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3.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5.xml" ContentType="application/vnd.openxmlformats-officedocument.drawingml.chart+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harts/chart16.xml" ContentType="application/vnd.openxmlformats-officedocument.drawingml.chart+xml"/>
  <Override PartName="/xl/drawings/drawing6.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17.xml" ContentType="application/vnd.openxmlformats-officedocument.drawingml.chart+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harts/chart18.xml" ContentType="application/vnd.openxmlformats-officedocument.drawingml.chart+xml"/>
  <Override PartName="/xl/drawings/drawing8.xml" ContentType="application/vnd.openxmlformats-officedocument.drawing+xml"/>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comments4.xml" ContentType="application/vnd.openxmlformats-officedocument.spreadsheetml.comments+xml"/>
  <Override PartName="/xl/drawings/drawing9.xml" ContentType="application/vnd.openxmlformats-officedocument.drawing+xml"/>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omments5.xml" ContentType="application/vnd.openxmlformats-officedocument.spreadsheetml.comments+xml"/>
  <Override PartName="/xl/drawings/drawing10.xml" ContentType="application/vnd.openxmlformats-officedocument.drawing+xml"/>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ctrlProps/ctrlProp9.xml" ContentType="application/vnd.ms-excel.controlproperties+xml"/>
  <Override PartName="/xl/drawings/drawing11.xml" ContentType="application/vnd.openxmlformats-officedocument.drawing+xml"/>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drawings/drawing12.xml" ContentType="application/vnd.openxmlformats-officedocument.drawing+xml"/>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drawings/drawing13.xml" ContentType="application/vnd.openxmlformats-officedocument.drawing+xml"/>
  <Override PartName="/xl/ctrlProps/ctrlProp10.xml" ContentType="application/vnd.ms-excel.controlproperties+xml"/>
  <Override PartName="/xl/ctrlProps/ctrlProp11.xml" ContentType="application/vnd.ms-excel.controlproperties+xml"/>
  <Override PartName="/xl/charts/chart1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EM5\"/>
    </mc:Choice>
  </mc:AlternateContent>
  <bookViews>
    <workbookView xWindow="0" yWindow="0" windowWidth="13680" windowHeight="6060" tabRatio="899" activeTab="1"/>
  </bookViews>
  <sheets>
    <sheet name="模型说明" sheetId="1" r:id="rId1"/>
    <sheet name="公司说明" sheetId="3" r:id="rId2"/>
    <sheet name="Financial summary" sheetId="29" r:id="rId3"/>
    <sheet name="财务摘要" sheetId="4" r:id="rId4"/>
    <sheet name="财务分析" sheetId="9" r:id="rId5"/>
    <sheet name="预测汇总.shadow" sheetId="23" state="hidden" r:id="rId6"/>
    <sheet name="SYSDATA" sheetId="21" state="hidden" r:id="rId7"/>
    <sheet name="收入拆分" sheetId="28" r:id="rId8"/>
    <sheet name="利润表" sheetId="5" r:id="rId9"/>
    <sheet name="CAPEX" sheetId="24" r:id="rId10"/>
    <sheet name="资产负债" sheetId="6" r:id="rId11"/>
    <sheet name="现金流量" sheetId="7" r:id="rId12"/>
    <sheet name="复杂FCFF" sheetId="18" r:id="rId13"/>
    <sheet name="DDM" sheetId="13" r:id="rId14"/>
    <sheet name="资金成本" sheetId="15" r:id="rId15"/>
    <sheet name="可比公司分析" sheetId="27" r:id="rId16"/>
    <sheet name="预测汇总" sheetId="22" state="hidden" r:id="rId17"/>
    <sheet name="子公司" sheetId="25" state="hidden" r:id="rId18"/>
    <sheet name="季报分析" sheetId="20" state="hidden" r:id="rId19"/>
  </sheets>
  <externalReferences>
    <externalReference r:id="rId20"/>
    <externalReference r:id="rId21"/>
  </externalReferences>
  <definedNames>
    <definedName name="__123Graph_AGRAPH1" localSheetId="2" hidden="1">[1]A!#REF!</definedName>
    <definedName name="__123Graph_AGRAPH1" localSheetId="7" hidden="1">[1]A!#REF!</definedName>
    <definedName name="__123Graph_AGRAPH1" hidden="1">[1]A!#REF!</definedName>
    <definedName name="__123Graph_BGRAPH1" localSheetId="2" hidden="1">[1]A!#REF!</definedName>
    <definedName name="__123Graph_BGRAPH1" localSheetId="7" hidden="1">[1]A!#REF!</definedName>
    <definedName name="__123Graph_BGRAPH1" hidden="1">[1]A!#REF!</definedName>
    <definedName name="__123Graph_CGRAPH1" localSheetId="2" hidden="1">[1]A!#REF!</definedName>
    <definedName name="__123Graph_CGRAPH1" localSheetId="7" hidden="1">[1]A!#REF!</definedName>
    <definedName name="__123Graph_CGRAPH1" hidden="1">[1]A!#REF!</definedName>
    <definedName name="__123Graph_DGRAPH1" localSheetId="2" hidden="1">[1]A!#REF!</definedName>
    <definedName name="__123Graph_DGRAPH1" localSheetId="7" hidden="1">[1]A!#REF!</definedName>
    <definedName name="__123Graph_DGRAPH1" hidden="1">[1]A!#REF!</definedName>
    <definedName name="__123Graph_XGRAPH1" localSheetId="2" hidden="1">[1]A!#REF!</definedName>
    <definedName name="__123Graph_XGRAPH1" localSheetId="7" hidden="1">[1]A!#REF!</definedName>
    <definedName name="__123Graph_XGRAPH1" hidden="1">[1]A!#REF!</definedName>
    <definedName name="__FDS_HYPERLINK_TOGGLE_STATE__" hidden="1">"ON"</definedName>
    <definedName name="_Order1" hidden="1">255</definedName>
    <definedName name="_Order2" hidden="1">255</definedName>
    <definedName name="_Regression_Int" hidden="1">1</definedName>
    <definedName name="A股和B股公司历史股价与NAV" localSheetId="2" hidden="1">[1]A!#REF!</definedName>
    <definedName name="A股和B股公司历史股价与NAV" localSheetId="7" hidden="1">[1]A!#REF!</definedName>
    <definedName name="A股和B股公司历史股价与NAV" hidden="1">[1]A!#REF!</definedName>
    <definedName name="BLPH1" localSheetId="2" hidden="1">#REF!</definedName>
    <definedName name="BLPH1" localSheetId="7" hidden="1">#REF!</definedName>
    <definedName name="BLPH1" hidden="1">#REF!</definedName>
    <definedName name="BLPH10" localSheetId="2" hidden="1">#REF!</definedName>
    <definedName name="BLPH10" localSheetId="7" hidden="1">#REF!</definedName>
    <definedName name="BLPH10" hidden="1">#REF!</definedName>
    <definedName name="BLPH11" localSheetId="2" hidden="1">#REF!</definedName>
    <definedName name="BLPH11" localSheetId="7" hidden="1">#REF!</definedName>
    <definedName name="BLPH11" hidden="1">#REF!</definedName>
    <definedName name="BLPH12" localSheetId="2" hidden="1">#REF!</definedName>
    <definedName name="BLPH12" localSheetId="7" hidden="1">#REF!</definedName>
    <definedName name="BLPH12" hidden="1">#REF!</definedName>
    <definedName name="BLPH13" localSheetId="2" hidden="1">#REF!</definedName>
    <definedName name="BLPH13" localSheetId="7" hidden="1">#REF!</definedName>
    <definedName name="BLPH13" hidden="1">#REF!</definedName>
    <definedName name="BLPH14" localSheetId="2" hidden="1">#REF!</definedName>
    <definedName name="BLPH14" localSheetId="7" hidden="1">#REF!</definedName>
    <definedName name="BLPH14" hidden="1">#REF!</definedName>
    <definedName name="BLPH15" localSheetId="2" hidden="1">#REF!</definedName>
    <definedName name="BLPH15" localSheetId="7" hidden="1">#REF!</definedName>
    <definedName name="BLPH15" hidden="1">#REF!</definedName>
    <definedName name="BLPH16" localSheetId="2" hidden="1">#REF!</definedName>
    <definedName name="BLPH16" localSheetId="7" hidden="1">#REF!</definedName>
    <definedName name="BLPH16" hidden="1">#REF!</definedName>
    <definedName name="BLPH17" localSheetId="2" hidden="1">#REF!</definedName>
    <definedName name="BLPH17" localSheetId="7" hidden="1">#REF!</definedName>
    <definedName name="BLPH17" hidden="1">#REF!</definedName>
    <definedName name="BLPH18" localSheetId="2" hidden="1">#REF!</definedName>
    <definedName name="BLPH18" localSheetId="7" hidden="1">#REF!</definedName>
    <definedName name="BLPH18" hidden="1">#REF!</definedName>
    <definedName name="BLPH19" localSheetId="2" hidden="1">#REF!</definedName>
    <definedName name="BLPH19" localSheetId="7" hidden="1">#REF!</definedName>
    <definedName name="BLPH19" hidden="1">#REF!</definedName>
    <definedName name="BLPH2" localSheetId="2" hidden="1">#REF!</definedName>
    <definedName name="BLPH2" localSheetId="7" hidden="1">#REF!</definedName>
    <definedName name="BLPH2" hidden="1">#REF!</definedName>
    <definedName name="BLPH20" localSheetId="2" hidden="1">#REF!</definedName>
    <definedName name="BLPH20" localSheetId="7" hidden="1">#REF!</definedName>
    <definedName name="BLPH20" hidden="1">#REF!</definedName>
    <definedName name="BLPH21" localSheetId="2" hidden="1">#REF!</definedName>
    <definedName name="BLPH21" localSheetId="7" hidden="1">#REF!</definedName>
    <definedName name="BLPH21" hidden="1">#REF!</definedName>
    <definedName name="BLPH22" localSheetId="2" hidden="1">#REF!</definedName>
    <definedName name="BLPH22" localSheetId="7" hidden="1">#REF!</definedName>
    <definedName name="BLPH22" hidden="1">#REF!</definedName>
    <definedName name="BLPH23" localSheetId="2" hidden="1">#REF!</definedName>
    <definedName name="BLPH23" localSheetId="7" hidden="1">#REF!</definedName>
    <definedName name="BLPH23" hidden="1">#REF!</definedName>
    <definedName name="BLPH24" localSheetId="2" hidden="1">#REF!</definedName>
    <definedName name="BLPH24" localSheetId="7" hidden="1">#REF!</definedName>
    <definedName name="BLPH24" hidden="1">#REF!</definedName>
    <definedName name="BLPH25" localSheetId="2" hidden="1">#REF!</definedName>
    <definedName name="BLPH25" localSheetId="7" hidden="1">#REF!</definedName>
    <definedName name="BLPH25" hidden="1">#REF!</definedName>
    <definedName name="BLPH26" localSheetId="2" hidden="1">#REF!</definedName>
    <definedName name="BLPH26" localSheetId="7" hidden="1">#REF!</definedName>
    <definedName name="BLPH26" hidden="1">#REF!</definedName>
    <definedName name="BLPH27" localSheetId="2" hidden="1">#REF!</definedName>
    <definedName name="BLPH27" localSheetId="7" hidden="1">#REF!</definedName>
    <definedName name="BLPH27" hidden="1">#REF!</definedName>
    <definedName name="BLPH28" localSheetId="2" hidden="1">#REF!</definedName>
    <definedName name="BLPH28" localSheetId="7" hidden="1">#REF!</definedName>
    <definedName name="BLPH28" hidden="1">#REF!</definedName>
    <definedName name="BLPH29" localSheetId="2" hidden="1">#REF!</definedName>
    <definedName name="BLPH29" localSheetId="7" hidden="1">#REF!</definedName>
    <definedName name="BLPH29" hidden="1">#REF!</definedName>
    <definedName name="BLPH3" localSheetId="2" hidden="1">#REF!</definedName>
    <definedName name="BLPH3" localSheetId="7" hidden="1">#REF!</definedName>
    <definedName name="BLPH3" hidden="1">#REF!</definedName>
    <definedName name="BLPH30" localSheetId="2" hidden="1">#REF!</definedName>
    <definedName name="BLPH30" localSheetId="7" hidden="1">#REF!</definedName>
    <definedName name="BLPH30" hidden="1">#REF!</definedName>
    <definedName name="BLPH31" localSheetId="2" hidden="1">#REF!</definedName>
    <definedName name="BLPH31" localSheetId="7" hidden="1">#REF!</definedName>
    <definedName name="BLPH31" hidden="1">#REF!</definedName>
    <definedName name="BLPH32" localSheetId="2" hidden="1">#REF!</definedName>
    <definedName name="BLPH32" localSheetId="7" hidden="1">#REF!</definedName>
    <definedName name="BLPH32" hidden="1">#REF!</definedName>
    <definedName name="BLPH33" localSheetId="2" hidden="1">#REF!</definedName>
    <definedName name="BLPH33" localSheetId="7" hidden="1">#REF!</definedName>
    <definedName name="BLPH33" hidden="1">#REF!</definedName>
    <definedName name="BLPH34" localSheetId="2" hidden="1">#REF!</definedName>
    <definedName name="BLPH34" localSheetId="7" hidden="1">#REF!</definedName>
    <definedName name="BLPH34" hidden="1">#REF!</definedName>
    <definedName name="BLPH35" localSheetId="2" hidden="1">#REF!</definedName>
    <definedName name="BLPH35" localSheetId="7" hidden="1">#REF!</definedName>
    <definedName name="BLPH35" hidden="1">#REF!</definedName>
    <definedName name="BLPH36" localSheetId="2" hidden="1">#REF!</definedName>
    <definedName name="BLPH36" localSheetId="7" hidden="1">#REF!</definedName>
    <definedName name="BLPH36" hidden="1">#REF!</definedName>
    <definedName name="BLPH37" localSheetId="2" hidden="1">#REF!</definedName>
    <definedName name="BLPH37" localSheetId="7" hidden="1">#REF!</definedName>
    <definedName name="BLPH37" hidden="1">#REF!</definedName>
    <definedName name="BLPH38" localSheetId="2" hidden="1">#REF!</definedName>
    <definedName name="BLPH38" localSheetId="7" hidden="1">#REF!</definedName>
    <definedName name="BLPH38" hidden="1">#REF!</definedName>
    <definedName name="BLPH39" localSheetId="2" hidden="1">#REF!</definedName>
    <definedName name="BLPH39" localSheetId="7" hidden="1">#REF!</definedName>
    <definedName name="BLPH39" hidden="1">#REF!</definedName>
    <definedName name="BLPH4" localSheetId="2" hidden="1">#REF!</definedName>
    <definedName name="BLPH4" localSheetId="7" hidden="1">#REF!</definedName>
    <definedName name="BLPH4" hidden="1">#REF!</definedName>
    <definedName name="BLPH40" localSheetId="2" hidden="1">#REF!</definedName>
    <definedName name="BLPH40" localSheetId="7" hidden="1">#REF!</definedName>
    <definedName name="BLPH40" hidden="1">#REF!</definedName>
    <definedName name="BLPH41" localSheetId="2" hidden="1">#REF!</definedName>
    <definedName name="BLPH41" localSheetId="7" hidden="1">#REF!</definedName>
    <definedName name="BLPH41" hidden="1">#REF!</definedName>
    <definedName name="BLPH42" localSheetId="2" hidden="1">#REF!</definedName>
    <definedName name="BLPH42" localSheetId="7" hidden="1">#REF!</definedName>
    <definedName name="BLPH42" hidden="1">#REF!</definedName>
    <definedName name="BLPH43" localSheetId="2" hidden="1">#REF!</definedName>
    <definedName name="BLPH43" localSheetId="7" hidden="1">#REF!</definedName>
    <definedName name="BLPH43" hidden="1">#REF!</definedName>
    <definedName name="BLPH44" localSheetId="2" hidden="1">#REF!</definedName>
    <definedName name="BLPH44" localSheetId="7" hidden="1">#REF!</definedName>
    <definedName name="BLPH44" hidden="1">#REF!</definedName>
    <definedName name="BLPH5" localSheetId="2" hidden="1">#REF!</definedName>
    <definedName name="BLPH5" localSheetId="7" hidden="1">#REF!</definedName>
    <definedName name="BLPH5" hidden="1">#REF!</definedName>
    <definedName name="BLPH6" hidden="1">[2]耀皮B股!$H$4</definedName>
    <definedName name="BLPH7" hidden="1">[2]耀皮B股!$K$4</definedName>
    <definedName name="BLPH8" localSheetId="2" hidden="1">#REF!</definedName>
    <definedName name="BLPH8" localSheetId="7" hidden="1">#REF!</definedName>
    <definedName name="BLPH8" hidden="1">#REF!</definedName>
    <definedName name="BLPH9" localSheetId="2" hidden="1">#REF!</definedName>
    <definedName name="BLPH9" localSheetId="7" hidden="1">#REF!</definedName>
    <definedName name="BLPH9" hidden="1">#REF!</definedName>
    <definedName name="cellVersion">公司说明!$C$1</definedName>
    <definedName name="cellYear2d">DDM!$C$6</definedName>
    <definedName name="cellYears1c">DDM!$C$4</definedName>
    <definedName name="cellYears21">复杂FCFF!$C$5</definedName>
    <definedName name="cellYears21b">复杂FCFF!$C$1</definedName>
    <definedName name="cellYears22">复杂FCFF!$C$6</definedName>
    <definedName name="cellYears22b">复杂FCFF!$D$1</definedName>
    <definedName name="cellYears2c">DDM!$C$5</definedName>
    <definedName name="cellYears2cOLD">DDM!$C$1</definedName>
    <definedName name="cellYears2dOLD">DDM!$D$1</definedName>
    <definedName name="PUB_FileID" hidden="1">"L10003363.xls"</definedName>
    <definedName name="PUB_UserID" hidden="1">"MAYERX"</definedName>
    <definedName name="solver_adj" localSheetId="14" hidden="1">资金成本!$C$14</definedName>
    <definedName name="solver_cvg" localSheetId="14" hidden="1">0.0001</definedName>
    <definedName name="solver_drv" localSheetId="14" hidden="1">1</definedName>
    <definedName name="solver_est" localSheetId="14" hidden="1">1</definedName>
    <definedName name="solver_itr" localSheetId="14" hidden="1">100</definedName>
    <definedName name="solver_lhs1" localSheetId="14" hidden="1">资金成本!$C$16</definedName>
    <definedName name="solver_lhs2" localSheetId="14" hidden="1">资金成本!$C$14</definedName>
    <definedName name="solver_lin" localSheetId="14" hidden="1">2</definedName>
    <definedName name="solver_neg" localSheetId="14" hidden="1">2</definedName>
    <definedName name="solver_num" localSheetId="14" hidden="1">2</definedName>
    <definedName name="solver_nwt" localSheetId="14" hidden="1">1</definedName>
    <definedName name="solver_opt" localSheetId="14" hidden="1">资金成本!$C$16</definedName>
    <definedName name="solver_pre" localSheetId="14" hidden="1">0.000001</definedName>
    <definedName name="solver_rel1" localSheetId="14" hidden="1">3</definedName>
    <definedName name="solver_rel2" localSheetId="14" hidden="1">3</definedName>
    <definedName name="solver_rhs1" localSheetId="14" hidden="1">0</definedName>
    <definedName name="solver_rhs2" localSheetId="14" hidden="1">0</definedName>
    <definedName name="solver_scl" localSheetId="14" hidden="1">2</definedName>
    <definedName name="solver_sho" localSheetId="14" hidden="1">2</definedName>
    <definedName name="solver_tim" localSheetId="14" hidden="1">100</definedName>
    <definedName name="solver_tol" localSheetId="14" hidden="1">0.05</definedName>
    <definedName name="solver_typ" localSheetId="14" hidden="1">2</definedName>
    <definedName name="solver_val" localSheetId="14" hidden="1">0</definedName>
  </definedNames>
  <calcPr calcId="152511" calcMode="autoNoTable" iterate="1"/>
</workbook>
</file>

<file path=xl/calcChain.xml><?xml version="1.0" encoding="utf-8"?>
<calcChain xmlns="http://schemas.openxmlformats.org/spreadsheetml/2006/main">
  <c r="G4" i="18" l="1"/>
  <c r="D7" i="13"/>
  <c r="F4" i="13"/>
  <c r="B1" i="3"/>
  <c r="R93" i="5"/>
  <c r="Q93" i="5"/>
  <c r="P93" i="5"/>
  <c r="O93" i="5"/>
  <c r="N93" i="5"/>
  <c r="M93" i="5"/>
  <c r="L93" i="5"/>
  <c r="K93" i="5"/>
  <c r="J93" i="5"/>
  <c r="R92" i="5"/>
  <c r="Q92" i="5"/>
  <c r="P92" i="5"/>
  <c r="O92" i="5"/>
  <c r="N92" i="5"/>
  <c r="M92" i="5"/>
  <c r="L92" i="5"/>
  <c r="K92" i="5"/>
  <c r="J92" i="5"/>
  <c r="R91" i="5"/>
  <c r="Q91" i="5"/>
  <c r="P91" i="5"/>
  <c r="O91" i="5"/>
  <c r="N91" i="5"/>
  <c r="M91" i="5"/>
  <c r="L91" i="5"/>
  <c r="K91" i="5"/>
  <c r="J91" i="5"/>
  <c r="R90" i="5"/>
  <c r="Q90" i="5"/>
  <c r="P90" i="5"/>
  <c r="O90" i="5"/>
  <c r="N90" i="5"/>
  <c r="M90" i="5"/>
  <c r="L90" i="5"/>
  <c r="K90" i="5"/>
  <c r="J90" i="5"/>
  <c r="M89" i="5"/>
  <c r="L89" i="5"/>
  <c r="K89" i="5"/>
  <c r="J89" i="5"/>
  <c r="R85" i="5"/>
  <c r="Q85" i="5"/>
  <c r="P85" i="5"/>
  <c r="O85" i="5"/>
  <c r="N85" i="5"/>
  <c r="M85" i="5"/>
  <c r="L85" i="5"/>
  <c r="K85" i="5"/>
  <c r="J85" i="5"/>
  <c r="R84" i="5"/>
  <c r="Q84" i="5"/>
  <c r="P84" i="5"/>
  <c r="O84" i="5"/>
  <c r="N84" i="5"/>
  <c r="M84" i="5"/>
  <c r="L84" i="5"/>
  <c r="K84" i="5"/>
  <c r="J84" i="5"/>
  <c r="R83" i="5"/>
  <c r="Q83" i="5"/>
  <c r="P83" i="5"/>
  <c r="O83" i="5"/>
  <c r="N83" i="5"/>
  <c r="M83" i="5"/>
  <c r="L83" i="5"/>
  <c r="K83" i="5"/>
  <c r="J83" i="5"/>
  <c r="R80" i="5"/>
  <c r="Q80" i="5"/>
  <c r="P80" i="5"/>
  <c r="O80" i="5"/>
  <c r="N71" i="22" l="1"/>
  <c r="O71" i="22" s="1"/>
  <c r="N72" i="22"/>
  <c r="N76" i="22"/>
  <c r="N77" i="22"/>
  <c r="O77" i="22" s="1"/>
  <c r="N80" i="22"/>
  <c r="O80" i="22" s="1"/>
  <c r="N81" i="22"/>
  <c r="N82" i="22"/>
  <c r="N83" i="22"/>
  <c r="O83" i="22" s="1"/>
  <c r="N111" i="22"/>
  <c r="O111" i="22" s="1"/>
  <c r="N112" i="22"/>
  <c r="N113" i="22"/>
  <c r="N128" i="22"/>
  <c r="O128" i="22" s="1"/>
  <c r="N129" i="22"/>
  <c r="N130" i="22"/>
  <c r="N131" i="22"/>
  <c r="N132" i="22"/>
  <c r="O132" i="22" s="1"/>
  <c r="N133" i="22"/>
  <c r="O133" i="22" s="1"/>
  <c r="N134" i="22"/>
  <c r="N141" i="22"/>
  <c r="P77" i="22" l="1"/>
  <c r="Q77" i="22" s="1"/>
  <c r="R77" i="22" s="1"/>
  <c r="P132" i="22"/>
  <c r="P128" i="22"/>
  <c r="P83" i="22"/>
  <c r="Q83" i="22" s="1"/>
  <c r="O131" i="22"/>
  <c r="P131" i="22" s="1"/>
  <c r="O113" i="22"/>
  <c r="O82" i="22"/>
  <c r="O76" i="22"/>
  <c r="P76" i="22" s="1"/>
  <c r="O141" i="22"/>
  <c r="P141" i="22" s="1"/>
  <c r="Q141" i="22" s="1"/>
  <c r="O129" i="22"/>
  <c r="O134" i="22"/>
  <c r="P133" i="22"/>
  <c r="Q132" i="22"/>
  <c r="R132" i="22" s="1"/>
  <c r="O130" i="22"/>
  <c r="Q128" i="22"/>
  <c r="R128" i="22" s="1"/>
  <c r="O112" i="22"/>
  <c r="P111" i="22"/>
  <c r="O81" i="22"/>
  <c r="P81" i="22" s="1"/>
  <c r="Q81" i="22" s="1"/>
  <c r="P80" i="22"/>
  <c r="Q80" i="22" s="1"/>
  <c r="O72" i="22"/>
  <c r="P71" i="22"/>
  <c r="C103" i="29"/>
  <c r="D103" i="29"/>
  <c r="E103" i="29"/>
  <c r="F103" i="29"/>
  <c r="G103" i="29"/>
  <c r="C116" i="29"/>
  <c r="D116" i="29"/>
  <c r="E116" i="29"/>
  <c r="F116" i="29"/>
  <c r="G116" i="29"/>
  <c r="C8" i="29"/>
  <c r="D8" i="29"/>
  <c r="E8" i="29"/>
  <c r="F8" i="29"/>
  <c r="G8" i="29"/>
  <c r="C9" i="29"/>
  <c r="D9" i="29"/>
  <c r="E9" i="29"/>
  <c r="F9" i="29"/>
  <c r="G9" i="29"/>
  <c r="C10" i="29"/>
  <c r="D10" i="29"/>
  <c r="E10" i="29"/>
  <c r="F10" i="29"/>
  <c r="G10" i="29"/>
  <c r="C11" i="29"/>
  <c r="D11" i="29"/>
  <c r="E11" i="29"/>
  <c r="F11" i="29"/>
  <c r="G11" i="29"/>
  <c r="C12" i="29"/>
  <c r="D12" i="29"/>
  <c r="E12" i="29"/>
  <c r="F12" i="29"/>
  <c r="G12" i="29"/>
  <c r="C15" i="29"/>
  <c r="D15" i="29"/>
  <c r="E15" i="29"/>
  <c r="F15" i="29"/>
  <c r="G15" i="29"/>
  <c r="C16" i="29"/>
  <c r="D16" i="29"/>
  <c r="E16" i="29"/>
  <c r="F16" i="29"/>
  <c r="G16" i="29"/>
  <c r="C17" i="29"/>
  <c r="D17" i="29"/>
  <c r="E17" i="29"/>
  <c r="F17" i="29"/>
  <c r="G17" i="29"/>
  <c r="C18" i="29"/>
  <c r="D18" i="29"/>
  <c r="E18" i="29"/>
  <c r="F18" i="29"/>
  <c r="G18" i="29"/>
  <c r="C19" i="29"/>
  <c r="D19" i="29"/>
  <c r="E19" i="29"/>
  <c r="F19" i="29"/>
  <c r="G19" i="29"/>
  <c r="Q71" i="22" l="1"/>
  <c r="R71" i="22" s="1"/>
  <c r="Q111" i="22"/>
  <c r="R111" i="22" s="1"/>
  <c r="Q133" i="22"/>
  <c r="R133" i="22" s="1"/>
  <c r="R80" i="22"/>
  <c r="Q82" i="22"/>
  <c r="R81" i="22"/>
  <c r="P129" i="22"/>
  <c r="Q129" i="22" s="1"/>
  <c r="Q112" i="22"/>
  <c r="P82" i="22"/>
  <c r="R82" i="22" s="1"/>
  <c r="R83" i="22"/>
  <c r="P72" i="22"/>
  <c r="Q72" i="22" s="1"/>
  <c r="P134" i="22"/>
  <c r="Q134" i="22" s="1"/>
  <c r="Q76" i="22"/>
  <c r="R76" i="22"/>
  <c r="P130" i="22"/>
  <c r="R141" i="22"/>
  <c r="P112" i="22"/>
  <c r="R112" i="22" s="1"/>
  <c r="Q131" i="22"/>
  <c r="R131" i="22" s="1"/>
  <c r="P113" i="22"/>
  <c r="R72" i="22" l="1"/>
  <c r="R129" i="22"/>
  <c r="R134" i="22"/>
  <c r="Q113" i="22"/>
  <c r="R113" i="22" s="1"/>
  <c r="Q130" i="22"/>
  <c r="R130" i="22" s="1"/>
  <c r="E85" i="4" l="1"/>
  <c r="E85" i="29" s="1"/>
  <c r="F85" i="4"/>
  <c r="F85" i="29" s="1"/>
  <c r="G85" i="4"/>
  <c r="G85" i="29" s="1"/>
  <c r="C69" i="4" l="1"/>
  <c r="C69" i="29" s="1"/>
  <c r="C70" i="4"/>
  <c r="C70" i="29" s="1"/>
  <c r="D75" i="4"/>
  <c r="D75" i="29" s="1"/>
  <c r="D79" i="4"/>
  <c r="D79" i="29" s="1"/>
  <c r="C80" i="4"/>
  <c r="C80" i="29" s="1"/>
  <c r="D83" i="4"/>
  <c r="D83" i="29" s="1"/>
  <c r="D72" i="4"/>
  <c r="D72" i="29" s="1"/>
  <c r="D77" i="4"/>
  <c r="D77" i="29" s="1"/>
  <c r="D90" i="4"/>
  <c r="D90" i="29" s="1"/>
  <c r="D69" i="4"/>
  <c r="D69" i="29" s="1"/>
  <c r="D70" i="4"/>
  <c r="D70" i="29" s="1"/>
  <c r="D80" i="4"/>
  <c r="D80" i="29" s="1"/>
  <c r="D81" i="4"/>
  <c r="D81" i="29" s="1"/>
  <c r="D78" i="4"/>
  <c r="D78" i="29" s="1"/>
  <c r="D85" i="4"/>
  <c r="D85" i="29" s="1"/>
  <c r="D74" i="4"/>
  <c r="D74" i="29" s="1"/>
  <c r="D71" i="4"/>
  <c r="D71" i="29" s="1"/>
  <c r="D73" i="4"/>
  <c r="D73" i="29" s="1"/>
  <c r="D68" i="4"/>
  <c r="D68" i="29" s="1"/>
  <c r="C74" i="4"/>
  <c r="C74" i="29" s="1"/>
  <c r="D88" i="4"/>
  <c r="D88" i="29" s="1"/>
  <c r="C57" i="4"/>
  <c r="C57" i="29" s="1"/>
  <c r="D82" i="4"/>
  <c r="D82" i="29" s="1"/>
  <c r="D86" i="4"/>
  <c r="D86" i="29" s="1"/>
  <c r="D89" i="4"/>
  <c r="D89" i="29" s="1"/>
  <c r="D91" i="4"/>
  <c r="D91" i="29" s="1"/>
  <c r="D57" i="4"/>
  <c r="D57" i="29" s="1"/>
  <c r="D92" i="4"/>
  <c r="D92" i="29" s="1"/>
  <c r="C52" i="4"/>
  <c r="C52" i="29" s="1"/>
  <c r="D84" i="4"/>
  <c r="D84" i="29" s="1"/>
  <c r="D87" i="4"/>
  <c r="D87" i="29" s="1"/>
  <c r="D52" i="4"/>
  <c r="D52" i="29" s="1"/>
  <c r="O17" i="13"/>
  <c r="O15" i="13"/>
  <c r="O14" i="13" s="1"/>
  <c r="R14" i="18"/>
  <c r="S14" i="18"/>
  <c r="R17" i="18"/>
  <c r="S17" i="18"/>
  <c r="R19" i="18"/>
  <c r="S19" i="18"/>
  <c r="U19" i="18"/>
  <c r="T19" i="18"/>
  <c r="U16" i="18"/>
  <c r="T16" i="18"/>
  <c r="U13" i="18"/>
  <c r="T13" i="18"/>
  <c r="M13" i="18"/>
  <c r="N13" i="18"/>
  <c r="M19" i="18"/>
  <c r="N19" i="18"/>
  <c r="O10" i="18"/>
  <c r="O14" i="18"/>
  <c r="P14" i="18"/>
  <c r="Q14" i="18"/>
  <c r="O17" i="18"/>
  <c r="P17" i="18"/>
  <c r="Q17" i="18"/>
  <c r="O19" i="18"/>
  <c r="P19" i="18"/>
  <c r="Q19" i="18"/>
  <c r="U17" i="18" l="1"/>
  <c r="U14" i="18"/>
  <c r="C81" i="4"/>
  <c r="C81" i="29" s="1"/>
  <c r="D76" i="4"/>
  <c r="D76" i="29" s="1"/>
  <c r="O13" i="18"/>
  <c r="P13" i="18" s="1"/>
  <c r="Q13" i="18" s="1"/>
  <c r="R13" i="18" s="1"/>
  <c r="N14" i="18"/>
  <c r="S13" i="18" l="1"/>
  <c r="T14" i="18" s="1"/>
  <c r="J229" i="6" l="1"/>
  <c r="K229" i="6"/>
  <c r="L229" i="6"/>
  <c r="M229" i="6"/>
  <c r="N229" i="6" s="1"/>
  <c r="I229" i="6"/>
  <c r="O229" i="6" l="1"/>
  <c r="N50" i="6"/>
  <c r="H229" i="6"/>
  <c r="O134" i="6"/>
  <c r="P134" i="6"/>
  <c r="Q134" i="6"/>
  <c r="R134" i="6"/>
  <c r="N134" i="6"/>
  <c r="P229" i="6" l="1"/>
  <c r="O50" i="6"/>
  <c r="N148" i="6"/>
  <c r="O148" i="6" s="1"/>
  <c r="P148" i="6" s="1"/>
  <c r="Q148" i="6" s="1"/>
  <c r="R148" i="6" s="1"/>
  <c r="N144" i="6"/>
  <c r="O144" i="6" s="1"/>
  <c r="P144" i="6" s="1"/>
  <c r="Q144" i="6" s="1"/>
  <c r="R144" i="6" s="1"/>
  <c r="O122" i="6"/>
  <c r="P122" i="6"/>
  <c r="Q122" i="6"/>
  <c r="R122" i="6"/>
  <c r="N122" i="6"/>
  <c r="N110" i="6"/>
  <c r="O110" i="6" s="1"/>
  <c r="P110" i="6" s="1"/>
  <c r="Q110" i="6" s="1"/>
  <c r="R110" i="6" s="1"/>
  <c r="N106" i="6"/>
  <c r="O106" i="6" s="1"/>
  <c r="P106" i="6" s="1"/>
  <c r="Q106" i="6" s="1"/>
  <c r="R106" i="6" s="1"/>
  <c r="O114" i="5"/>
  <c r="P114" i="5"/>
  <c r="Q114" i="5"/>
  <c r="R114" i="5"/>
  <c r="N114" i="5"/>
  <c r="O113" i="5"/>
  <c r="P113" i="5"/>
  <c r="Q113" i="5"/>
  <c r="R113" i="5"/>
  <c r="N113" i="5"/>
  <c r="N100" i="5"/>
  <c r="O100" i="5" s="1"/>
  <c r="P100" i="5" s="1"/>
  <c r="Q100" i="5" s="1"/>
  <c r="R100" i="5" s="1"/>
  <c r="P50" i="6" l="1"/>
  <c r="Q229" i="6"/>
  <c r="H110" i="6"/>
  <c r="H106" i="6"/>
  <c r="H134" i="6"/>
  <c r="H276" i="6"/>
  <c r="H148" i="6"/>
  <c r="H144" i="6"/>
  <c r="Q50" i="6" l="1"/>
  <c r="R229" i="6"/>
  <c r="R50" i="6" s="1"/>
  <c r="N67" i="22"/>
  <c r="O67" i="22" s="1"/>
  <c r="P67" i="22" s="1"/>
  <c r="N65" i="22"/>
  <c r="O65" i="22" s="1"/>
  <c r="N50" i="22"/>
  <c r="O50" i="22" s="1"/>
  <c r="P50" i="22" s="1"/>
  <c r="N22" i="22"/>
  <c r="O22" i="22" s="1"/>
  <c r="P22" i="22" s="1"/>
  <c r="N21" i="22"/>
  <c r="O19" i="22"/>
  <c r="P19" i="22" s="1"/>
  <c r="N19" i="22"/>
  <c r="N17" i="22"/>
  <c r="O17" i="22" s="1"/>
  <c r="P17" i="22" l="1"/>
  <c r="Q17" i="22" s="1"/>
  <c r="R17" i="22" s="1"/>
  <c r="O21" i="22"/>
  <c r="P21" i="22" s="1"/>
  <c r="Q21" i="22" s="1"/>
  <c r="R21" i="22" s="1"/>
  <c r="P65" i="22"/>
  <c r="Q67" i="22"/>
  <c r="R67" i="22" s="1"/>
  <c r="Q50" i="22"/>
  <c r="R50" i="22" s="1"/>
  <c r="Q22" i="22"/>
  <c r="R22" i="22" s="1"/>
  <c r="Q19" i="22"/>
  <c r="R19" i="22" s="1"/>
  <c r="Q65" i="22" l="1"/>
  <c r="R65" i="22" s="1"/>
  <c r="O102" i="5" l="1"/>
  <c r="O17" i="5" s="1"/>
  <c r="P102" i="5"/>
  <c r="P17" i="5" s="1"/>
  <c r="Q102" i="5"/>
  <c r="Q17" i="5" s="1"/>
  <c r="K208" i="9" s="1"/>
  <c r="R102" i="5"/>
  <c r="R17" i="5" s="1"/>
  <c r="L208" i="9" s="1"/>
  <c r="N102" i="5"/>
  <c r="N17" i="5" s="1"/>
  <c r="H208" i="9" l="1"/>
  <c r="E27" i="4"/>
  <c r="E27" i="29" s="1"/>
  <c r="I208" i="9"/>
  <c r="F27" i="4"/>
  <c r="F27" i="29" s="1"/>
  <c r="J208" i="9"/>
  <c r="G27" i="4"/>
  <c r="G27" i="29" s="1"/>
  <c r="M167" i="6" l="1"/>
  <c r="C7" i="13" l="1"/>
  <c r="D135" i="24" l="1"/>
  <c r="D116" i="24"/>
  <c r="D79" i="24"/>
  <c r="D60" i="24"/>
  <c r="D22" i="24"/>
  <c r="D42" i="24"/>
  <c r="E10" i="3" l="1"/>
  <c r="I74" i="27" l="1"/>
  <c r="J74" i="27"/>
  <c r="K74" i="27"/>
  <c r="L74" i="27"/>
  <c r="I75" i="27"/>
  <c r="J75" i="27"/>
  <c r="K75" i="27"/>
  <c r="L75" i="27"/>
  <c r="I76" i="27"/>
  <c r="J76" i="27"/>
  <c r="K76" i="27"/>
  <c r="L76" i="27"/>
  <c r="I77" i="27"/>
  <c r="J77" i="27"/>
  <c r="K77" i="27"/>
  <c r="L77" i="27"/>
  <c r="I78" i="27"/>
  <c r="J78" i="27"/>
  <c r="K78" i="27"/>
  <c r="L78" i="27"/>
  <c r="I79" i="27"/>
  <c r="J79" i="27"/>
  <c r="K79" i="27"/>
  <c r="L79" i="27"/>
  <c r="I80" i="27"/>
  <c r="J80" i="27"/>
  <c r="K80" i="27"/>
  <c r="L80" i="27"/>
  <c r="I81" i="27"/>
  <c r="J81" i="27"/>
  <c r="K81" i="27"/>
  <c r="L81" i="27"/>
  <c r="I82" i="27"/>
  <c r="J82" i="27"/>
  <c r="K82" i="27"/>
  <c r="L82" i="27"/>
  <c r="I83" i="27"/>
  <c r="J83" i="27"/>
  <c r="K83" i="27"/>
  <c r="L83" i="27"/>
  <c r="I84" i="27"/>
  <c r="J84" i="27"/>
  <c r="K84" i="27"/>
  <c r="L84" i="27"/>
  <c r="I85" i="27"/>
  <c r="J85" i="27"/>
  <c r="K85" i="27"/>
  <c r="L85" i="27"/>
  <c r="I86" i="27"/>
  <c r="J86" i="27"/>
  <c r="K86" i="27"/>
  <c r="L86" i="27"/>
  <c r="I87" i="27"/>
  <c r="J87" i="27"/>
  <c r="K87" i="27"/>
  <c r="L87" i="27"/>
  <c r="I88" i="27"/>
  <c r="J88" i="27"/>
  <c r="K88" i="27"/>
  <c r="L88" i="27"/>
  <c r="J69" i="27"/>
  <c r="K69" i="27"/>
  <c r="L69" i="27"/>
  <c r="I69" i="27"/>
  <c r="L73" i="27" l="1"/>
  <c r="I73" i="27"/>
  <c r="J73" i="27"/>
  <c r="K73" i="27"/>
  <c r="I72" i="27"/>
  <c r="J72" i="27"/>
  <c r="L72" i="27"/>
  <c r="K72" i="27"/>
  <c r="I71" i="27"/>
  <c r="J71" i="27"/>
  <c r="K71" i="27"/>
  <c r="L71" i="27"/>
  <c r="J70" i="27"/>
  <c r="L70" i="27"/>
  <c r="I70" i="27"/>
  <c r="K70" i="27"/>
  <c r="O317" i="6" l="1"/>
  <c r="P317" i="6"/>
  <c r="Q317" i="6"/>
  <c r="R317" i="6"/>
  <c r="N317" i="6"/>
  <c r="O298" i="6"/>
  <c r="P298" i="6"/>
  <c r="Q298" i="6"/>
  <c r="R298" i="6"/>
  <c r="N298" i="6"/>
  <c r="O287" i="6"/>
  <c r="P287" i="6"/>
  <c r="Q287" i="6"/>
  <c r="R287" i="6"/>
  <c r="N287" i="6"/>
  <c r="O286" i="6"/>
  <c r="P286" i="6"/>
  <c r="Q286" i="6"/>
  <c r="R286" i="6"/>
  <c r="N286" i="6"/>
  <c r="O269" i="6"/>
  <c r="P269" i="6"/>
  <c r="Q269" i="6"/>
  <c r="R269" i="6"/>
  <c r="N269" i="6"/>
  <c r="O268" i="6"/>
  <c r="P268" i="6"/>
  <c r="Q268" i="6"/>
  <c r="R268" i="6"/>
  <c r="N268" i="6"/>
  <c r="O249" i="6"/>
  <c r="P249" i="6"/>
  <c r="Q249" i="6"/>
  <c r="R249" i="6"/>
  <c r="N249" i="6"/>
  <c r="O248" i="6"/>
  <c r="P248" i="6"/>
  <c r="Q248" i="6"/>
  <c r="R248" i="6"/>
  <c r="N248" i="6"/>
  <c r="O246" i="6"/>
  <c r="P246" i="6"/>
  <c r="Q246" i="6"/>
  <c r="R246" i="6"/>
  <c r="N246" i="6"/>
  <c r="O207" i="6"/>
  <c r="P207" i="6"/>
  <c r="Q207" i="6"/>
  <c r="R207" i="6"/>
  <c r="N207" i="6"/>
  <c r="O206" i="6"/>
  <c r="P206" i="6"/>
  <c r="Q206" i="6"/>
  <c r="R206" i="6"/>
  <c r="N206" i="6"/>
  <c r="N204" i="6"/>
  <c r="O199" i="6"/>
  <c r="P199" i="6"/>
  <c r="Q199" i="6"/>
  <c r="R199" i="6"/>
  <c r="N199" i="6"/>
  <c r="O198" i="6"/>
  <c r="P198" i="6"/>
  <c r="Q198" i="6"/>
  <c r="R198" i="6"/>
  <c r="N198" i="6"/>
  <c r="O182" i="6"/>
  <c r="P182" i="6"/>
  <c r="Q182" i="6"/>
  <c r="R182" i="6"/>
  <c r="N182" i="6"/>
  <c r="O181" i="6"/>
  <c r="P181" i="6"/>
  <c r="Q181" i="6"/>
  <c r="R181" i="6"/>
  <c r="N181" i="6"/>
  <c r="N166" i="6"/>
  <c r="O157" i="6"/>
  <c r="P157" i="6"/>
  <c r="Q157" i="6"/>
  <c r="R157" i="6"/>
  <c r="N157" i="6"/>
  <c r="O156" i="6"/>
  <c r="P156" i="6"/>
  <c r="Q156" i="6"/>
  <c r="R156" i="6"/>
  <c r="N156" i="6"/>
  <c r="O129" i="6"/>
  <c r="P129" i="6"/>
  <c r="Q129" i="6"/>
  <c r="R129" i="6"/>
  <c r="N129" i="6"/>
  <c r="O204" i="6" l="1"/>
  <c r="O166" i="6"/>
  <c r="O104" i="5"/>
  <c r="O18" i="5" s="1"/>
  <c r="O10" i="7" s="1"/>
  <c r="P104" i="5"/>
  <c r="P18" i="5" s="1"/>
  <c r="P10" i="7" s="1"/>
  <c r="Q104" i="5"/>
  <c r="Q18" i="5" s="1"/>
  <c r="Q10" i="7" s="1"/>
  <c r="R104" i="5"/>
  <c r="R18" i="5" s="1"/>
  <c r="R10" i="7" s="1"/>
  <c r="N104" i="5"/>
  <c r="N18" i="5" s="1"/>
  <c r="N10" i="7" s="1"/>
  <c r="P204" i="6" l="1"/>
  <c r="P166" i="6"/>
  <c r="H317" i="6"/>
  <c r="H298" i="6"/>
  <c r="H287" i="6"/>
  <c r="H286" i="6"/>
  <c r="H283" i="6"/>
  <c r="H269" i="6"/>
  <c r="H268" i="6"/>
  <c r="H249" i="6"/>
  <c r="H248" i="6"/>
  <c r="H246" i="6"/>
  <c r="H207" i="6"/>
  <c r="H206" i="6"/>
  <c r="H204" i="6"/>
  <c r="H198" i="6"/>
  <c r="H199" i="6"/>
  <c r="H182" i="6"/>
  <c r="H181" i="6"/>
  <c r="H166" i="6"/>
  <c r="H157" i="6"/>
  <c r="H156" i="6"/>
  <c r="H129" i="6"/>
  <c r="H122" i="6"/>
  <c r="Q166" i="6" l="1"/>
  <c r="Q204" i="6"/>
  <c r="O273" i="6"/>
  <c r="P273" i="6"/>
  <c r="Q273" i="6"/>
  <c r="R273" i="6"/>
  <c r="N273" i="6"/>
  <c r="H273" i="6" s="1"/>
  <c r="H114" i="5"/>
  <c r="H113" i="5"/>
  <c r="H100" i="5"/>
  <c r="O77" i="5"/>
  <c r="P77" i="5"/>
  <c r="Q77" i="5"/>
  <c r="R77" i="5"/>
  <c r="N77" i="5"/>
  <c r="H77" i="5" s="1"/>
  <c r="O76" i="5"/>
  <c r="P76" i="5"/>
  <c r="Q76" i="5"/>
  <c r="R76" i="5"/>
  <c r="N76" i="5"/>
  <c r="H76" i="5" s="1"/>
  <c r="R204" i="6" l="1"/>
  <c r="R166" i="6"/>
  <c r="N247" i="6"/>
  <c r="O272" i="6"/>
  <c r="P272" i="6"/>
  <c r="Q272" i="6"/>
  <c r="R272" i="6"/>
  <c r="N272" i="6"/>
  <c r="N267" i="6"/>
  <c r="P247" i="6" l="1"/>
  <c r="O247" i="6"/>
  <c r="R247" i="6" l="1"/>
  <c r="Q247" i="6"/>
  <c r="P267" i="6" l="1"/>
  <c r="O267" i="6"/>
  <c r="Q267" i="6" l="1"/>
  <c r="L4" i="28"/>
  <c r="L3" i="28"/>
  <c r="R267" i="6" l="1"/>
  <c r="B88" i="27"/>
  <c r="D40" i="18" l="1"/>
  <c r="D86" i="28" l="1"/>
  <c r="E86" i="28" s="1"/>
  <c r="D84" i="28"/>
  <c r="C84" i="28"/>
  <c r="D85" i="28" s="1"/>
  <c r="Q78" i="28"/>
  <c r="P78" i="28"/>
  <c r="O78" i="28"/>
  <c r="N78" i="28"/>
  <c r="M78" i="28"/>
  <c r="L78" i="28"/>
  <c r="K78" i="28"/>
  <c r="J78" i="28"/>
  <c r="I78" i="28"/>
  <c r="H78" i="28"/>
  <c r="G78" i="28"/>
  <c r="F78" i="28"/>
  <c r="E78" i="28"/>
  <c r="D78" i="28"/>
  <c r="C78" i="28"/>
  <c r="C67" i="28"/>
  <c r="D64" i="28"/>
  <c r="C61" i="28"/>
  <c r="D58" i="28"/>
  <c r="D61" i="28" s="1"/>
  <c r="C55" i="28"/>
  <c r="D52" i="28"/>
  <c r="E52" i="28" s="1"/>
  <c r="C49" i="28"/>
  <c r="D46" i="28"/>
  <c r="C43" i="28"/>
  <c r="D40" i="28"/>
  <c r="C37" i="28"/>
  <c r="D34" i="28"/>
  <c r="D37" i="28" s="1"/>
  <c r="C31" i="28"/>
  <c r="D28" i="28"/>
  <c r="C25" i="28"/>
  <c r="D22" i="28"/>
  <c r="C19" i="28"/>
  <c r="C7" i="28" s="1"/>
  <c r="D16" i="28"/>
  <c r="D19" i="28" s="1"/>
  <c r="C13" i="28"/>
  <c r="D10" i="28"/>
  <c r="D13" i="28" s="1"/>
  <c r="C5" i="28"/>
  <c r="L82" i="28"/>
  <c r="M3" i="28"/>
  <c r="N4" i="25"/>
  <c r="N5" i="25"/>
  <c r="N6" i="25"/>
  <c r="N7" i="25"/>
  <c r="N8" i="25"/>
  <c r="N9" i="25"/>
  <c r="N10" i="25"/>
  <c r="N11" i="25"/>
  <c r="N12" i="25"/>
  <c r="N13" i="25"/>
  <c r="N14" i="25"/>
  <c r="N15" i="25"/>
  <c r="N16" i="25"/>
  <c r="N17" i="25"/>
  <c r="N18" i="25"/>
  <c r="N19" i="25"/>
  <c r="N20" i="25"/>
  <c r="N21" i="25"/>
  <c r="N22" i="25"/>
  <c r="N23" i="25"/>
  <c r="N24" i="25"/>
  <c r="N25" i="25"/>
  <c r="N26" i="25"/>
  <c r="N27" i="25"/>
  <c r="N28" i="25"/>
  <c r="N29" i="25"/>
  <c r="N30" i="25"/>
  <c r="N31" i="25"/>
  <c r="N32" i="25"/>
  <c r="N3" i="25"/>
  <c r="E10" i="28" l="1"/>
  <c r="F10" i="28" s="1"/>
  <c r="F52" i="28"/>
  <c r="E55" i="28"/>
  <c r="C8" i="28"/>
  <c r="D55" i="28"/>
  <c r="D6" i="28"/>
  <c r="N3" i="28"/>
  <c r="M4" i="28"/>
  <c r="E84" i="28"/>
  <c r="E85" i="28" s="1"/>
  <c r="F86" i="28"/>
  <c r="D42" i="28"/>
  <c r="D43" i="28"/>
  <c r="E40" i="28"/>
  <c r="D48" i="28"/>
  <c r="E46" i="28"/>
  <c r="D49" i="28"/>
  <c r="F13" i="28"/>
  <c r="G10" i="28"/>
  <c r="F55" i="28"/>
  <c r="G52" i="28"/>
  <c r="L73" i="28"/>
  <c r="D25" i="28"/>
  <c r="E22" i="28"/>
  <c r="K4" i="28"/>
  <c r="D5" i="28"/>
  <c r="D66" i="28" s="1"/>
  <c r="E13" i="28"/>
  <c r="E28" i="28"/>
  <c r="D31" i="28"/>
  <c r="D67" i="28"/>
  <c r="E64" i="28"/>
  <c r="E16" i="28"/>
  <c r="E34" i="28"/>
  <c r="E58" i="28"/>
  <c r="D30" i="28" l="1"/>
  <c r="D7" i="28"/>
  <c r="D8" i="28" s="1"/>
  <c r="K82" i="28"/>
  <c r="K73" i="28"/>
  <c r="J4" i="28"/>
  <c r="E49" i="28"/>
  <c r="F46" i="28"/>
  <c r="E61" i="28"/>
  <c r="F58" i="28"/>
  <c r="E31" i="28"/>
  <c r="F28" i="28"/>
  <c r="G13" i="28"/>
  <c r="H10" i="28"/>
  <c r="F34" i="28"/>
  <c r="E37" i="28"/>
  <c r="E25" i="28"/>
  <c r="F22" i="28"/>
  <c r="G55" i="28"/>
  <c r="H52" i="28"/>
  <c r="F16" i="28"/>
  <c r="E5" i="28"/>
  <c r="E30" i="28" s="1"/>
  <c r="E19" i="28"/>
  <c r="E43" i="28"/>
  <c r="F40" i="28"/>
  <c r="N4" i="28"/>
  <c r="O3" i="28"/>
  <c r="M73" i="28"/>
  <c r="M82" i="28"/>
  <c r="E67" i="28"/>
  <c r="F64" i="28"/>
  <c r="E66" i="28"/>
  <c r="D54" i="28"/>
  <c r="D60" i="28"/>
  <c r="E6" i="28"/>
  <c r="D18" i="28"/>
  <c r="D36" i="28"/>
  <c r="D12" i="28"/>
  <c r="D24" i="28"/>
  <c r="G86" i="28"/>
  <c r="F84" i="28"/>
  <c r="F85" i="28" s="1"/>
  <c r="E7" i="28" l="1"/>
  <c r="E8" i="28" s="1"/>
  <c r="E18" i="28"/>
  <c r="E24" i="28"/>
  <c r="E42" i="28"/>
  <c r="E36" i="28"/>
  <c r="E60" i="28"/>
  <c r="E48" i="28"/>
  <c r="N73" i="28"/>
  <c r="N82" i="28"/>
  <c r="F25" i="28"/>
  <c r="G22" i="28"/>
  <c r="H13" i="28"/>
  <c r="I10" i="28"/>
  <c r="F49" i="28"/>
  <c r="G46" i="28"/>
  <c r="G64" i="28"/>
  <c r="F67" i="28"/>
  <c r="O4" i="28"/>
  <c r="P3" i="28"/>
  <c r="F19" i="28"/>
  <c r="G16" i="28"/>
  <c r="F5" i="28"/>
  <c r="F66" i="28" s="1"/>
  <c r="F31" i="28"/>
  <c r="G28" i="28"/>
  <c r="J73" i="28"/>
  <c r="J82" i="28"/>
  <c r="I4" i="28"/>
  <c r="H86" i="28"/>
  <c r="G84" i="28"/>
  <c r="G85" i="28" s="1"/>
  <c r="F43" i="28"/>
  <c r="G40" i="28"/>
  <c r="F6" i="28"/>
  <c r="E12" i="28"/>
  <c r="E54" i="28"/>
  <c r="I52" i="28"/>
  <c r="H55" i="28"/>
  <c r="G34" i="28"/>
  <c r="F37" i="28"/>
  <c r="F61" i="28"/>
  <c r="G58" i="28"/>
  <c r="F60" i="28" l="1"/>
  <c r="F42" i="28"/>
  <c r="F30" i="28"/>
  <c r="F48" i="28"/>
  <c r="F36" i="28"/>
  <c r="F18" i="28"/>
  <c r="G37" i="28"/>
  <c r="H34" i="28"/>
  <c r="J52" i="28"/>
  <c r="I55" i="28"/>
  <c r="I86" i="28"/>
  <c r="H84" i="28"/>
  <c r="H85" i="28" s="1"/>
  <c r="G19" i="28"/>
  <c r="H16" i="28"/>
  <c r="G5" i="28"/>
  <c r="G48" i="28" s="1"/>
  <c r="H22" i="28"/>
  <c r="G25" i="28"/>
  <c r="F7" i="28"/>
  <c r="F8" i="28" s="1"/>
  <c r="H46" i="28"/>
  <c r="G49" i="28"/>
  <c r="O82" i="28"/>
  <c r="O73" i="28"/>
  <c r="H40" i="28"/>
  <c r="G43" i="28"/>
  <c r="I73" i="28"/>
  <c r="I82" i="28"/>
  <c r="H4" i="28"/>
  <c r="G31" i="28"/>
  <c r="H28" i="28"/>
  <c r="G61" i="28"/>
  <c r="H58" i="28"/>
  <c r="G6" i="28"/>
  <c r="F54" i="28"/>
  <c r="F12" i="28"/>
  <c r="Q3" i="28"/>
  <c r="Q4" i="28" s="1"/>
  <c r="P4" i="28"/>
  <c r="G67" i="28"/>
  <c r="H64" i="28"/>
  <c r="J10" i="28"/>
  <c r="I13" i="28"/>
  <c r="F24" i="28"/>
  <c r="G66" i="28" l="1"/>
  <c r="G60" i="28"/>
  <c r="H82" i="28"/>
  <c r="H73" i="28"/>
  <c r="G4" i="28"/>
  <c r="P82" i="28"/>
  <c r="P73" i="28"/>
  <c r="H31" i="28"/>
  <c r="I28" i="28"/>
  <c r="G42" i="28"/>
  <c r="H19" i="28"/>
  <c r="I16" i="28"/>
  <c r="H5" i="28"/>
  <c r="H30" i="28" s="1"/>
  <c r="I84" i="28"/>
  <c r="I85" i="28" s="1"/>
  <c r="J86" i="28"/>
  <c r="H37" i="28"/>
  <c r="I34" i="28"/>
  <c r="H36" i="28"/>
  <c r="Q73" i="28"/>
  <c r="Q82" i="28"/>
  <c r="H61" i="28"/>
  <c r="I58" i="28"/>
  <c r="H60" i="28"/>
  <c r="G30" i="28"/>
  <c r="H24" i="28"/>
  <c r="H25" i="28"/>
  <c r="I22" i="28"/>
  <c r="G7" i="28"/>
  <c r="G8" i="28" s="1"/>
  <c r="J13" i="28"/>
  <c r="K10" i="28"/>
  <c r="H42" i="28"/>
  <c r="H43" i="28"/>
  <c r="I40" i="28"/>
  <c r="H6" i="28"/>
  <c r="G54" i="28"/>
  <c r="G12" i="28"/>
  <c r="H66" i="28"/>
  <c r="H67" i="28"/>
  <c r="I64" i="28"/>
  <c r="H49" i="28"/>
  <c r="I46" i="28"/>
  <c r="G24" i="28"/>
  <c r="G18" i="28"/>
  <c r="J55" i="28"/>
  <c r="K52" i="28"/>
  <c r="G36" i="28"/>
  <c r="H48" i="28" l="1"/>
  <c r="H18" i="28"/>
  <c r="I43" i="28"/>
  <c r="J40" i="28"/>
  <c r="K13" i="28"/>
  <c r="L10" i="28"/>
  <c r="I25" i="28"/>
  <c r="J22" i="28"/>
  <c r="K86" i="28"/>
  <c r="J84" i="28"/>
  <c r="J85" i="28" s="1"/>
  <c r="J16" i="28"/>
  <c r="I19" i="28"/>
  <c r="I5" i="28"/>
  <c r="I24" i="28" s="1"/>
  <c r="G82" i="28"/>
  <c r="G73" i="28"/>
  <c r="F4" i="28"/>
  <c r="J28" i="28"/>
  <c r="I31" i="28"/>
  <c r="K55" i="28"/>
  <c r="L52" i="28"/>
  <c r="J58" i="28"/>
  <c r="I61" i="28"/>
  <c r="H7" i="28"/>
  <c r="H8" i="28" s="1"/>
  <c r="I49" i="28"/>
  <c r="J46" i="28"/>
  <c r="I67" i="28"/>
  <c r="J64" i="28"/>
  <c r="I66" i="28"/>
  <c r="I37" i="28"/>
  <c r="J34" i="28"/>
  <c r="I6" i="28"/>
  <c r="H54" i="28"/>
  <c r="H12" i="28"/>
  <c r="I60" i="28" l="1"/>
  <c r="L55" i="28"/>
  <c r="M52" i="28"/>
  <c r="I30" i="28"/>
  <c r="K34" i="28"/>
  <c r="J37" i="28"/>
  <c r="J67" i="28"/>
  <c r="K64" i="28"/>
  <c r="I48" i="28"/>
  <c r="K58" i="28"/>
  <c r="J61" i="28"/>
  <c r="F73" i="28"/>
  <c r="F82" i="28"/>
  <c r="E4" i="28"/>
  <c r="I7" i="28"/>
  <c r="I8" i="28" s="1"/>
  <c r="L86" i="28"/>
  <c r="K84" i="28"/>
  <c r="K85" i="28" s="1"/>
  <c r="I42" i="28"/>
  <c r="J18" i="28"/>
  <c r="K16" i="28"/>
  <c r="J19" i="28"/>
  <c r="J5" i="28"/>
  <c r="K40" i="28"/>
  <c r="J43" i="28"/>
  <c r="J6" i="28"/>
  <c r="I54" i="28"/>
  <c r="I12" i="28"/>
  <c r="I36" i="28"/>
  <c r="J49" i="28"/>
  <c r="K46" i="28"/>
  <c r="J31" i="28"/>
  <c r="J30" i="28"/>
  <c r="K28" i="28"/>
  <c r="I18" i="28"/>
  <c r="J24" i="28"/>
  <c r="J25" i="28"/>
  <c r="K22" i="28"/>
  <c r="M10" i="28"/>
  <c r="L13" i="28"/>
  <c r="K31" i="28" l="1"/>
  <c r="L28" i="28"/>
  <c r="M55" i="28"/>
  <c r="N52" i="28"/>
  <c r="K6" i="28"/>
  <c r="J12" i="28"/>
  <c r="J54" i="28"/>
  <c r="E73" i="28"/>
  <c r="E82" i="28"/>
  <c r="D4" i="28"/>
  <c r="K61" i="28"/>
  <c r="L58" i="28"/>
  <c r="J66" i="28"/>
  <c r="J36" i="28"/>
  <c r="K25" i="28"/>
  <c r="L22" i="28"/>
  <c r="K49" i="28"/>
  <c r="L46" i="28"/>
  <c r="K43" i="28"/>
  <c r="L40" i="28"/>
  <c r="K37" i="28"/>
  <c r="L34" i="28"/>
  <c r="J7" i="28"/>
  <c r="J8" i="28" s="1"/>
  <c r="J60" i="28"/>
  <c r="L64" i="28"/>
  <c r="K67" i="28"/>
  <c r="M13" i="28"/>
  <c r="N10" i="28"/>
  <c r="J48" i="28"/>
  <c r="J42" i="28"/>
  <c r="K19" i="28"/>
  <c r="L16" i="28"/>
  <c r="K5" i="28"/>
  <c r="K30" i="28" s="1"/>
  <c r="M86" i="28"/>
  <c r="L84" i="28"/>
  <c r="L85" i="28" s="1"/>
  <c r="K42" i="28" l="1"/>
  <c r="K66" i="28"/>
  <c r="K18" i="28"/>
  <c r="L19" i="28"/>
  <c r="M16" i="28"/>
  <c r="L5" i="28"/>
  <c r="L25" i="28"/>
  <c r="M22" i="28"/>
  <c r="K7" i="28"/>
  <c r="K8" i="28" s="1"/>
  <c r="N13" i="28"/>
  <c r="O10" i="28"/>
  <c r="K36" i="28"/>
  <c r="M46" i="28"/>
  <c r="L49" i="28"/>
  <c r="L61" i="28"/>
  <c r="M58" i="28"/>
  <c r="M28" i="28"/>
  <c r="L31" i="28"/>
  <c r="D82" i="28"/>
  <c r="C4" i="28"/>
  <c r="D73" i="28"/>
  <c r="M84" i="28"/>
  <c r="M85" i="28" s="1"/>
  <c r="N86" i="28"/>
  <c r="L42" i="28"/>
  <c r="L43" i="28"/>
  <c r="M40" i="28"/>
  <c r="K48" i="28"/>
  <c r="K24" i="28"/>
  <c r="N55" i="28"/>
  <c r="O52" i="28"/>
  <c r="L6" i="28"/>
  <c r="K54" i="28"/>
  <c r="K12" i="28"/>
  <c r="L66" i="28"/>
  <c r="L67" i="28"/>
  <c r="M64" i="28"/>
  <c r="L37" i="28"/>
  <c r="M34" i="28"/>
  <c r="K60" i="28"/>
  <c r="L54" i="28" l="1"/>
  <c r="L12" i="28"/>
  <c r="O55" i="28"/>
  <c r="P52" i="28"/>
  <c r="O86" i="28"/>
  <c r="N84" i="28"/>
  <c r="N85" i="28" s="1"/>
  <c r="L60" i="28"/>
  <c r="M49" i="28"/>
  <c r="N46" i="28"/>
  <c r="O13" i="28"/>
  <c r="P10" i="28"/>
  <c r="M25" i="28"/>
  <c r="N22" i="28"/>
  <c r="L18" i="28"/>
  <c r="C82" i="28"/>
  <c r="C73" i="28"/>
  <c r="M31" i="28"/>
  <c r="N28" i="28"/>
  <c r="M67" i="28"/>
  <c r="N64" i="28"/>
  <c r="M61" i="28"/>
  <c r="N58" i="28"/>
  <c r="L48" i="28"/>
  <c r="N16" i="28"/>
  <c r="M19" i="28"/>
  <c r="M5" i="28"/>
  <c r="N34" i="28"/>
  <c r="M37" i="28"/>
  <c r="M43" i="28"/>
  <c r="N40" i="28"/>
  <c r="L36" i="28"/>
  <c r="L30" i="28"/>
  <c r="L24" i="28"/>
  <c r="L7" i="28"/>
  <c r="L8" i="28" s="1"/>
  <c r="M6" i="28" l="1"/>
  <c r="M54" i="28"/>
  <c r="M12" i="28"/>
  <c r="M18" i="28"/>
  <c r="M66" i="28"/>
  <c r="N49" i="28"/>
  <c r="O46" i="28"/>
  <c r="M7" i="28"/>
  <c r="M8" i="28" s="1"/>
  <c r="N61" i="28"/>
  <c r="O58" i="28"/>
  <c r="O64" i="28"/>
  <c r="N67" i="28"/>
  <c r="M30" i="28"/>
  <c r="M24" i="28"/>
  <c r="P86" i="28"/>
  <c r="O84" i="28"/>
  <c r="O85" i="28" s="1"/>
  <c r="N31" i="28"/>
  <c r="O28" i="28"/>
  <c r="Q52" i="28"/>
  <c r="P55" i="28"/>
  <c r="M36" i="28"/>
  <c r="M42" i="28"/>
  <c r="N43" i="28"/>
  <c r="O40" i="28"/>
  <c r="O34" i="28"/>
  <c r="N37" i="28"/>
  <c r="N19" i="28"/>
  <c r="O16" i="28"/>
  <c r="N5" i="28"/>
  <c r="N42" i="28" s="1"/>
  <c r="M60" i="28"/>
  <c r="O22" i="28"/>
  <c r="N25" i="28"/>
  <c r="Q10" i="28"/>
  <c r="P13" i="28"/>
  <c r="M48" i="28"/>
  <c r="N48" i="28" l="1"/>
  <c r="N7" i="28"/>
  <c r="N8" i="28" s="1"/>
  <c r="N30" i="28"/>
  <c r="N36" i="28"/>
  <c r="N24" i="28"/>
  <c r="Q55" i="28"/>
  <c r="N18" i="28"/>
  <c r="P46" i="28"/>
  <c r="O49" i="28"/>
  <c r="O61" i="28"/>
  <c r="P58" i="28"/>
  <c r="N6" i="28"/>
  <c r="N12" i="28"/>
  <c r="N54" i="28"/>
  <c r="P40" i="28"/>
  <c r="O43" i="28"/>
  <c r="O31" i="28"/>
  <c r="P28" i="28"/>
  <c r="Q86" i="28"/>
  <c r="Q84" i="28" s="1"/>
  <c r="P84" i="28"/>
  <c r="P85" i="28" s="1"/>
  <c r="N66" i="28"/>
  <c r="N60" i="28"/>
  <c r="Q13" i="28"/>
  <c r="O24" i="28"/>
  <c r="P22" i="28"/>
  <c r="O25" i="28"/>
  <c r="O18" i="28"/>
  <c r="O19" i="28"/>
  <c r="P16" i="28"/>
  <c r="O5" i="28"/>
  <c r="O60" i="28" s="1"/>
  <c r="O36" i="28"/>
  <c r="O37" i="28"/>
  <c r="P34" i="28"/>
  <c r="O67" i="28"/>
  <c r="P64" i="28"/>
  <c r="O66" i="28" l="1"/>
  <c r="O7" i="28"/>
  <c r="O8" i="28" s="1"/>
  <c r="Q85" i="28"/>
  <c r="P19" i="28"/>
  <c r="Q16" i="28"/>
  <c r="P5" i="28"/>
  <c r="P31" i="28"/>
  <c r="P30" i="28"/>
  <c r="Q28" i="28"/>
  <c r="P42" i="28"/>
  <c r="P43" i="28"/>
  <c r="Q40" i="28"/>
  <c r="P37" i="28"/>
  <c r="Q34" i="28"/>
  <c r="P36" i="28"/>
  <c r="P24" i="28"/>
  <c r="P25" i="28"/>
  <c r="Q22" i="28"/>
  <c r="P48" i="28"/>
  <c r="P49" i="28"/>
  <c r="Q46" i="28"/>
  <c r="P66" i="28"/>
  <c r="P67" i="28"/>
  <c r="Q64" i="28"/>
  <c r="O6" i="28"/>
  <c r="O54" i="28"/>
  <c r="O12" i="28"/>
  <c r="O30" i="28"/>
  <c r="O42" i="28"/>
  <c r="P61" i="28"/>
  <c r="Q58" i="28"/>
  <c r="P60" i="28"/>
  <c r="O48" i="28"/>
  <c r="Q19" i="28" l="1"/>
  <c r="Q5" i="28"/>
  <c r="P7" i="28"/>
  <c r="P8" i="28" s="1"/>
  <c r="Q25" i="28"/>
  <c r="Q37" i="28"/>
  <c r="Q36" i="28"/>
  <c r="P6" i="28"/>
  <c r="P54" i="28"/>
  <c r="P12" i="28"/>
  <c r="Q61" i="28"/>
  <c r="Q67" i="28"/>
  <c r="Q66" i="28"/>
  <c r="Q43" i="28"/>
  <c r="Q48" i="28"/>
  <c r="Q49" i="28"/>
  <c r="Q30" i="28"/>
  <c r="Q31" i="28"/>
  <c r="P18" i="28"/>
  <c r="Q6" i="28" l="1"/>
  <c r="Q54" i="28"/>
  <c r="Q12" i="28"/>
  <c r="Q24" i="28"/>
  <c r="Q18" i="28"/>
  <c r="Q42" i="28"/>
  <c r="Q60" i="28"/>
  <c r="Q7" i="28"/>
  <c r="Q8" i="28" s="1"/>
  <c r="K16" i="13" l="1"/>
  <c r="J16" i="13"/>
  <c r="D5" i="13" l="1"/>
  <c r="E5" i="13"/>
  <c r="L18" i="13" l="1"/>
  <c r="N18" i="13"/>
  <c r="M18" i="13"/>
  <c r="M16" i="13"/>
  <c r="L16" i="13"/>
  <c r="N16" i="13"/>
  <c r="G4" i="13"/>
  <c r="B25" i="13" l="1"/>
  <c r="I15" i="13"/>
  <c r="K15" i="13"/>
  <c r="L15" i="13" s="1"/>
  <c r="M15" i="13" s="1"/>
  <c r="J15" i="13"/>
  <c r="N15" i="13" l="1"/>
  <c r="O284" i="6"/>
  <c r="P284" i="6"/>
  <c r="Q284" i="6"/>
  <c r="R284" i="6"/>
  <c r="Q285" i="6"/>
  <c r="P285" i="6" l="1"/>
  <c r="O285" i="6"/>
  <c r="R285" i="6"/>
  <c r="E89" i="27"/>
  <c r="F89" i="27"/>
  <c r="G89" i="27"/>
  <c r="H89" i="27"/>
  <c r="M89" i="27"/>
  <c r="D89" i="27"/>
  <c r="K89" i="27" l="1"/>
  <c r="I89" i="27"/>
  <c r="J89" i="27"/>
  <c r="L89" i="27"/>
  <c r="B70" i="27"/>
  <c r="B71" i="27"/>
  <c r="B72" i="27"/>
  <c r="B73" i="27"/>
  <c r="B74" i="27"/>
  <c r="B75" i="27"/>
  <c r="B76" i="27"/>
  <c r="B77" i="27"/>
  <c r="B78" i="27"/>
  <c r="B79" i="27"/>
  <c r="B80" i="27"/>
  <c r="B81" i="27"/>
  <c r="B82" i="27"/>
  <c r="B83" i="27"/>
  <c r="B84" i="27"/>
  <c r="B85" i="27"/>
  <c r="B86" i="27"/>
  <c r="B87" i="27"/>
  <c r="B69" i="27"/>
  <c r="M66" i="27"/>
  <c r="D67" i="27" s="1"/>
  <c r="B38" i="27" l="1"/>
  <c r="B90" i="27" s="1"/>
  <c r="B59" i="27"/>
  <c r="B60" i="27"/>
  <c r="B61" i="27"/>
  <c r="B62" i="27"/>
  <c r="B44" i="27"/>
  <c r="B45" i="27"/>
  <c r="B46" i="27"/>
  <c r="B47" i="27"/>
  <c r="B48" i="27"/>
  <c r="B49" i="27"/>
  <c r="B50" i="27"/>
  <c r="B51" i="27"/>
  <c r="B52" i="27"/>
  <c r="B53" i="27"/>
  <c r="B54" i="27"/>
  <c r="B55" i="27"/>
  <c r="B56" i="27"/>
  <c r="B57" i="27"/>
  <c r="B58" i="27"/>
  <c r="B43" i="27"/>
  <c r="B15" i="27"/>
  <c r="B63" i="27" l="1"/>
  <c r="H234" i="9" l="1"/>
  <c r="I234" i="9" s="1"/>
  <c r="J234" i="9" s="1"/>
  <c r="D90" i="27" l="1"/>
  <c r="C38" i="27"/>
  <c r="C90" i="27" s="1"/>
  <c r="G48" i="18"/>
  <c r="F48" i="18" s="1"/>
  <c r="E48" i="18" s="1"/>
  <c r="D48" i="18" s="1"/>
  <c r="I48" i="18" l="1"/>
  <c r="J48" i="18" s="1"/>
  <c r="K48" i="18" s="1"/>
  <c r="L48" i="18" s="1"/>
  <c r="I4" i="18"/>
  <c r="O33" i="5" l="1"/>
  <c r="P33" i="5"/>
  <c r="Q33" i="5"/>
  <c r="R33" i="5"/>
  <c r="N33" i="5"/>
  <c r="O134" i="5"/>
  <c r="O136" i="5" s="1"/>
  <c r="P134" i="5"/>
  <c r="P136" i="5" s="1"/>
  <c r="Q134" i="5"/>
  <c r="Q136" i="5" s="1"/>
  <c r="R134" i="5"/>
  <c r="R136" i="5" s="1"/>
  <c r="N134" i="5"/>
  <c r="N136" i="5" s="1"/>
  <c r="O32" i="25"/>
  <c r="O31" i="25"/>
  <c r="O30" i="25"/>
  <c r="O29" i="25"/>
  <c r="O28" i="25"/>
  <c r="O27" i="25"/>
  <c r="O26" i="25"/>
  <c r="O25" i="25"/>
  <c r="O24" i="25"/>
  <c r="O23" i="25"/>
  <c r="O22" i="25"/>
  <c r="O21" i="25"/>
  <c r="O20" i="25"/>
  <c r="O19" i="25"/>
  <c r="O18" i="25"/>
  <c r="O17" i="25"/>
  <c r="O16" i="25"/>
  <c r="O15" i="25"/>
  <c r="O14" i="25"/>
  <c r="O13" i="25"/>
  <c r="O12" i="25"/>
  <c r="O11" i="25"/>
  <c r="O10" i="25"/>
  <c r="O9" i="25"/>
  <c r="O8" i="25"/>
  <c r="O7" i="25"/>
  <c r="O6" i="25"/>
  <c r="O5" i="25"/>
  <c r="O4" i="25"/>
  <c r="O33" i="25" s="1"/>
  <c r="O3" i="25"/>
  <c r="N33" i="25"/>
  <c r="N35" i="25" s="1"/>
  <c r="M3" i="5"/>
  <c r="N195" i="6"/>
  <c r="E116" i="24"/>
  <c r="E135" i="24"/>
  <c r="E60" i="24"/>
  <c r="E79" i="24"/>
  <c r="N178" i="6" s="1"/>
  <c r="E42" i="24"/>
  <c r="N189" i="6"/>
  <c r="N183" i="6"/>
  <c r="F116" i="24"/>
  <c r="F135" i="24"/>
  <c r="F142" i="24" s="1"/>
  <c r="C146" i="24" s="1"/>
  <c r="F60" i="24"/>
  <c r="O190" i="6" s="1"/>
  <c r="O179" i="6" s="1"/>
  <c r="F79" i="24"/>
  <c r="O178" i="6" s="1"/>
  <c r="F42" i="24"/>
  <c r="O189" i="6"/>
  <c r="G116" i="24"/>
  <c r="G135" i="24"/>
  <c r="G60" i="24"/>
  <c r="P190" i="6"/>
  <c r="P179" i="6" s="1"/>
  <c r="G79" i="24"/>
  <c r="P178" i="6"/>
  <c r="P183" i="6"/>
  <c r="G42" i="24"/>
  <c r="P189" i="6" s="1"/>
  <c r="J13" i="18"/>
  <c r="K13" i="18"/>
  <c r="L13" i="18"/>
  <c r="M14" i="18" s="1"/>
  <c r="H116" i="24"/>
  <c r="H142" i="24" s="1"/>
  <c r="C148" i="24" s="1"/>
  <c r="H135" i="24"/>
  <c r="H60" i="24"/>
  <c r="Q190" i="6"/>
  <c r="Q179" i="6" s="1"/>
  <c r="H79" i="24"/>
  <c r="H22" i="24" s="1"/>
  <c r="H86" i="24" s="1"/>
  <c r="C92" i="24" s="1"/>
  <c r="N37" i="7"/>
  <c r="O37" i="7"/>
  <c r="N282" i="6"/>
  <c r="P37" i="7"/>
  <c r="J19" i="18"/>
  <c r="K19" i="18"/>
  <c r="L19" i="18"/>
  <c r="Q37" i="7"/>
  <c r="Q282" i="6"/>
  <c r="Q178" i="6"/>
  <c r="H42" i="24"/>
  <c r="Q189" i="6" s="1"/>
  <c r="Q270" i="6"/>
  <c r="Q34" i="7" s="1"/>
  <c r="R37" i="7"/>
  <c r="R282" i="6"/>
  <c r="I60" i="24"/>
  <c r="R190" i="6"/>
  <c r="R179" i="6" s="1"/>
  <c r="I79" i="24"/>
  <c r="R178" i="6" s="1"/>
  <c r="I116" i="24"/>
  <c r="I135" i="24"/>
  <c r="I42" i="24"/>
  <c r="R189" i="6"/>
  <c r="R270" i="6"/>
  <c r="R34" i="7" s="1"/>
  <c r="C44" i="18"/>
  <c r="E44" i="18" s="1"/>
  <c r="N285" i="6"/>
  <c r="N284" i="6"/>
  <c r="H284" i="6" s="1"/>
  <c r="M47" i="22"/>
  <c r="P47" i="22" s="1"/>
  <c r="E8" i="24"/>
  <c r="D142" i="24"/>
  <c r="D86" i="24"/>
  <c r="M2" i="6"/>
  <c r="L2" i="6" s="1"/>
  <c r="K2" i="6" s="1"/>
  <c r="J2" i="6" s="1"/>
  <c r="I2" i="6" s="1"/>
  <c r="E7" i="24"/>
  <c r="F7" i="24"/>
  <c r="G7" i="24"/>
  <c r="H7" i="24"/>
  <c r="I7" i="24"/>
  <c r="F8" i="24"/>
  <c r="G8" i="24"/>
  <c r="H8" i="24"/>
  <c r="I8" i="24"/>
  <c r="E9" i="24"/>
  <c r="F9" i="24"/>
  <c r="G9" i="24"/>
  <c r="H9" i="24"/>
  <c r="I9" i="24"/>
  <c r="E10" i="24"/>
  <c r="F10" i="24"/>
  <c r="G10" i="24"/>
  <c r="H10" i="24"/>
  <c r="I10" i="24"/>
  <c r="E11" i="24"/>
  <c r="F11" i="24"/>
  <c r="G11" i="24"/>
  <c r="H11" i="24"/>
  <c r="I11" i="24"/>
  <c r="E12" i="24"/>
  <c r="F12" i="24"/>
  <c r="G12" i="24"/>
  <c r="H12" i="24"/>
  <c r="I12" i="24"/>
  <c r="E13" i="24"/>
  <c r="F13" i="24"/>
  <c r="G13" i="24"/>
  <c r="H13" i="24"/>
  <c r="I13" i="24"/>
  <c r="E14" i="24"/>
  <c r="F14" i="24"/>
  <c r="G14" i="24"/>
  <c r="H14" i="24"/>
  <c r="I14" i="24"/>
  <c r="E15" i="24"/>
  <c r="F15" i="24"/>
  <c r="G15" i="24"/>
  <c r="H15" i="24"/>
  <c r="I15" i="24"/>
  <c r="E16" i="24"/>
  <c r="F16" i="24"/>
  <c r="G16" i="24"/>
  <c r="H16" i="24"/>
  <c r="I16" i="24"/>
  <c r="E17" i="24"/>
  <c r="F17" i="24"/>
  <c r="G17" i="24"/>
  <c r="H17" i="24"/>
  <c r="I17" i="24"/>
  <c r="E18" i="24"/>
  <c r="F18" i="24"/>
  <c r="G18" i="24"/>
  <c r="H18" i="24"/>
  <c r="I18" i="24"/>
  <c r="E19" i="24"/>
  <c r="F19" i="24"/>
  <c r="G19" i="24"/>
  <c r="H19" i="24"/>
  <c r="I19" i="24"/>
  <c r="E20" i="24"/>
  <c r="F20" i="24"/>
  <c r="G20" i="24"/>
  <c r="H20" i="24"/>
  <c r="I20" i="24"/>
  <c r="E21" i="24"/>
  <c r="F21" i="24"/>
  <c r="G21" i="24"/>
  <c r="H21" i="24"/>
  <c r="I21" i="24"/>
  <c r="G29" i="13"/>
  <c r="F29" i="13" s="1"/>
  <c r="E29" i="13" s="1"/>
  <c r="D29" i="13" s="1"/>
  <c r="I29" i="13"/>
  <c r="J29" i="13" s="1"/>
  <c r="K29" i="13" s="1"/>
  <c r="C32" i="13"/>
  <c r="C31" i="13" s="1"/>
  <c r="C30" i="13" s="1"/>
  <c r="C34" i="13"/>
  <c r="C35" i="13" s="1"/>
  <c r="C36" i="13" s="1"/>
  <c r="J306" i="6"/>
  <c r="K306" i="6"/>
  <c r="L306" i="6"/>
  <c r="M306" i="6"/>
  <c r="B4" i="9"/>
  <c r="B5" i="9"/>
  <c r="C7" i="18"/>
  <c r="G10" i="18"/>
  <c r="J10" i="18"/>
  <c r="AB37" i="20"/>
  <c r="AC37" i="20"/>
  <c r="AD37" i="20"/>
  <c r="AB39" i="20"/>
  <c r="AC39" i="20"/>
  <c r="AD39" i="20"/>
  <c r="AA40" i="20"/>
  <c r="AB40" i="20"/>
  <c r="AC40" i="20"/>
  <c r="AD40" i="20"/>
  <c r="AA41" i="20"/>
  <c r="AB41" i="20"/>
  <c r="AC41" i="20"/>
  <c r="AD41" i="20"/>
  <c r="AA42" i="20"/>
  <c r="AB42" i="20"/>
  <c r="AC42" i="20"/>
  <c r="AD42" i="20"/>
  <c r="AA43" i="20"/>
  <c r="AB43" i="20"/>
  <c r="AC43" i="20"/>
  <c r="AD43" i="20"/>
  <c r="AA44" i="20"/>
  <c r="AB44" i="20"/>
  <c r="AC44" i="20"/>
  <c r="AD44" i="20"/>
  <c r="AA45" i="20"/>
  <c r="AB45" i="20"/>
  <c r="AC45" i="20"/>
  <c r="AD45" i="20"/>
  <c r="AA46" i="20"/>
  <c r="AB46" i="20"/>
  <c r="AC46" i="20"/>
  <c r="AD46" i="20"/>
  <c r="AA47" i="20"/>
  <c r="AB47" i="20"/>
  <c r="AC47" i="20"/>
  <c r="AD47" i="20"/>
  <c r="AA48" i="20"/>
  <c r="AB48" i="20"/>
  <c r="AC48" i="20"/>
  <c r="AD48" i="20"/>
  <c r="B83" i="20"/>
  <c r="AA83" i="20"/>
  <c r="AB83" i="20"/>
  <c r="AC83" i="20"/>
  <c r="AD83" i="20"/>
  <c r="B84" i="20"/>
  <c r="AA84" i="20"/>
  <c r="AB84" i="20"/>
  <c r="AC84" i="20"/>
  <c r="AD84" i="20"/>
  <c r="B147" i="5"/>
  <c r="B148" i="5"/>
  <c r="B77" i="7"/>
  <c r="B78" i="7"/>
  <c r="M2" i="22"/>
  <c r="L2" i="22" s="1"/>
  <c r="K2" i="22" s="1"/>
  <c r="J2" i="22" s="1"/>
  <c r="I2" i="22" s="1"/>
  <c r="I6" i="22"/>
  <c r="I16" i="22"/>
  <c r="K47" i="22"/>
  <c r="N47" i="22" s="1"/>
  <c r="Q47" i="22" s="1"/>
  <c r="L47" i="22"/>
  <c r="O47" i="22" s="1"/>
  <c r="R47" i="22" s="1"/>
  <c r="I47" i="22"/>
  <c r="J47" i="22"/>
  <c r="I183" i="6"/>
  <c r="J183" i="6"/>
  <c r="K183" i="6"/>
  <c r="L183" i="6"/>
  <c r="M183" i="6"/>
  <c r="I306" i="6"/>
  <c r="B325" i="6"/>
  <c r="B326" i="6"/>
  <c r="B21" i="15"/>
  <c r="C90" i="15"/>
  <c r="G26" i="15"/>
  <c r="G27" i="15"/>
  <c r="G28" i="15"/>
  <c r="G36" i="15" s="1" a="1"/>
  <c r="G36" i="15" s="1"/>
  <c r="D40" i="15" s="1"/>
  <c r="G40" i="15" s="1"/>
  <c r="G29" i="15"/>
  <c r="G30" i="15"/>
  <c r="G31" i="15"/>
  <c r="G32" i="15"/>
  <c r="G33" i="15"/>
  <c r="G34" i="15"/>
  <c r="G35" i="15"/>
  <c r="B40" i="15"/>
  <c r="E40" i="15"/>
  <c r="F40" i="15"/>
  <c r="N190" i="6"/>
  <c r="N179" i="6" s="1"/>
  <c r="G22" i="24"/>
  <c r="G86" i="24"/>
  <c r="C91" i="24" s="1"/>
  <c r="E142" i="24"/>
  <c r="C145" i="24" s="1"/>
  <c r="I142" i="24"/>
  <c r="C149" i="24" s="1"/>
  <c r="I149" i="24" s="1"/>
  <c r="B17" i="3"/>
  <c r="E12" i="13"/>
  <c r="G110" i="9"/>
  <c r="F110" i="9" s="1"/>
  <c r="E110" i="9" s="1"/>
  <c r="D110" i="9" s="1"/>
  <c r="C110" i="9" s="1"/>
  <c r="A16" i="3"/>
  <c r="M3" i="22"/>
  <c r="A17" i="3"/>
  <c r="A19" i="3" s="1"/>
  <c r="M2" i="5"/>
  <c r="L2" i="5" s="1"/>
  <c r="K2" i="5" s="1"/>
  <c r="J2" i="5" s="1"/>
  <c r="I2" i="5" s="1"/>
  <c r="V52" i="20"/>
  <c r="S3" i="20" s="1"/>
  <c r="P270" i="6"/>
  <c r="P34" i="7" s="1"/>
  <c r="G54" i="4" s="1"/>
  <c r="G54" i="29" s="1"/>
  <c r="O183" i="6"/>
  <c r="R183" i="6"/>
  <c r="O270" i="6"/>
  <c r="O34" i="7" s="1"/>
  <c r="F54" i="4" s="1"/>
  <c r="F54" i="29" s="1"/>
  <c r="Q183" i="6"/>
  <c r="G142" i="24"/>
  <c r="C147" i="24" s="1"/>
  <c r="J25" i="22"/>
  <c r="J7" i="22"/>
  <c r="M28" i="22"/>
  <c r="P28" i="22" s="1"/>
  <c r="K28" i="22"/>
  <c r="N28" i="22" s="1"/>
  <c r="J28" i="22"/>
  <c r="M27" i="22"/>
  <c r="L27" i="22"/>
  <c r="K27" i="22"/>
  <c r="K24" i="22"/>
  <c r="N24" i="22" s="1"/>
  <c r="Q24" i="22" s="1"/>
  <c r="J24" i="22"/>
  <c r="J23" i="22"/>
  <c r="J20" i="22"/>
  <c r="J14" i="22"/>
  <c r="J12" i="22"/>
  <c r="J10" i="22"/>
  <c r="I23" i="22"/>
  <c r="I24" i="22"/>
  <c r="H146" i="24" l="1"/>
  <c r="F146" i="24"/>
  <c r="G145" i="24"/>
  <c r="I145" i="24"/>
  <c r="F145" i="24"/>
  <c r="H145" i="24"/>
  <c r="E22" i="24"/>
  <c r="E86" i="24" s="1"/>
  <c r="C89" i="24" s="1"/>
  <c r="G89" i="24" s="1"/>
  <c r="R177" i="6"/>
  <c r="D27" i="4"/>
  <c r="D27" i="29" s="1"/>
  <c r="G208" i="9"/>
  <c r="M102" i="5"/>
  <c r="D7" i="4"/>
  <c r="D7" i="29" s="1"/>
  <c r="D29" i="4"/>
  <c r="D29" i="29" s="1"/>
  <c r="G205" i="9"/>
  <c r="M88" i="5"/>
  <c r="G211" i="9"/>
  <c r="D23" i="4"/>
  <c r="D23" i="29" s="1"/>
  <c r="G203" i="9"/>
  <c r="M65" i="5"/>
  <c r="I92" i="24"/>
  <c r="H92" i="24"/>
  <c r="O36" i="25"/>
  <c r="O35" i="25"/>
  <c r="H148" i="24"/>
  <c r="I148" i="24"/>
  <c r="H147" i="24"/>
  <c r="I147" i="24"/>
  <c r="G147" i="24"/>
  <c r="I91" i="24"/>
  <c r="H91" i="24"/>
  <c r="G91" i="24"/>
  <c r="F22" i="24"/>
  <c r="F86" i="24" s="1"/>
  <c r="C90" i="24" s="1"/>
  <c r="O195" i="6"/>
  <c r="N27" i="22"/>
  <c r="Q28" i="22"/>
  <c r="G146" i="24"/>
  <c r="E145" i="24"/>
  <c r="I146" i="24"/>
  <c r="I22" i="24"/>
  <c r="I86" i="24" s="1"/>
  <c r="C93" i="24" s="1"/>
  <c r="I93" i="24" s="1"/>
  <c r="N36" i="25"/>
  <c r="P195" i="6"/>
  <c r="N177" i="6"/>
  <c r="M123" i="5"/>
  <c r="D31" i="4"/>
  <c r="D31" i="29" s="1"/>
  <c r="G210" i="9"/>
  <c r="M106" i="5"/>
  <c r="N106" i="5" s="1"/>
  <c r="D6" i="27"/>
  <c r="F38" i="27" s="1"/>
  <c r="M125" i="5"/>
  <c r="M141" i="5"/>
  <c r="M138" i="5"/>
  <c r="M108" i="5"/>
  <c r="D26" i="4"/>
  <c r="D26" i="29" s="1"/>
  <c r="D25" i="4"/>
  <c r="D25" i="29" s="1"/>
  <c r="G198" i="9"/>
  <c r="G199" i="9"/>
  <c r="D7" i="27"/>
  <c r="G38" i="27" s="1"/>
  <c r="N2" i="5"/>
  <c r="N3" i="5" s="1"/>
  <c r="F68" i="27" s="1"/>
  <c r="J68" i="27" s="1"/>
  <c r="G10" i="13"/>
  <c r="G12" i="13" s="1"/>
  <c r="B24" i="13"/>
  <c r="L14" i="18"/>
  <c r="M146" i="5"/>
  <c r="E68" i="27"/>
  <c r="I68" i="27" s="1"/>
  <c r="P282" i="6"/>
  <c r="N270" i="6"/>
  <c r="N34" i="7" s="1"/>
  <c r="E54" i="4" s="1"/>
  <c r="E54" i="29" s="1"/>
  <c r="O282" i="6"/>
  <c r="O177" i="6"/>
  <c r="Q177" i="6"/>
  <c r="G71" i="9"/>
  <c r="F11" i="18"/>
  <c r="E11" i="18" s="1"/>
  <c r="D11" i="18" s="1"/>
  <c r="L3" i="5"/>
  <c r="G226" i="9"/>
  <c r="H225" i="9" s="1"/>
  <c r="I225" i="9" s="1"/>
  <c r="J225" i="9" s="1"/>
  <c r="G138" i="9"/>
  <c r="G167" i="9"/>
  <c r="G175" i="9" s="1"/>
  <c r="M99" i="6"/>
  <c r="N98" i="6" s="1"/>
  <c r="O98" i="6" s="1"/>
  <c r="P98" i="6" s="1"/>
  <c r="G20" i="9"/>
  <c r="G19" i="9" s="1"/>
  <c r="H19" i="9" s="1"/>
  <c r="I19" i="9" s="1"/>
  <c r="J19" i="9" s="1"/>
  <c r="K19" i="9" s="1"/>
  <c r="L19" i="9" s="1"/>
  <c r="M264" i="6"/>
  <c r="N263" i="6" s="1"/>
  <c r="O263" i="6" s="1"/>
  <c r="P263" i="6" s="1"/>
  <c r="D5" i="4"/>
  <c r="D5" i="29" s="1"/>
  <c r="M219" i="6"/>
  <c r="N218" i="6" s="1"/>
  <c r="O218" i="6" s="1"/>
  <c r="P218" i="6" s="1"/>
  <c r="D6" i="24"/>
  <c r="D26" i="24" s="1"/>
  <c r="D44" i="24" s="1"/>
  <c r="D63" i="24" s="1"/>
  <c r="D85" i="24" s="1"/>
  <c r="K14" i="18"/>
  <c r="G247" i="9"/>
  <c r="G49" i="9"/>
  <c r="P177" i="6"/>
  <c r="G206" i="9"/>
  <c r="G212" i="9"/>
  <c r="M133" i="5"/>
  <c r="G213" i="9"/>
  <c r="G209" i="9"/>
  <c r="G237" i="9"/>
  <c r="G207" i="9"/>
  <c r="F10" i="13"/>
  <c r="F12" i="13" s="1"/>
  <c r="A18" i="3"/>
  <c r="T52" i="20"/>
  <c r="U52" i="20"/>
  <c r="A20" i="3"/>
  <c r="B19" i="3"/>
  <c r="H10" i="13"/>
  <c r="H12" i="13" s="1"/>
  <c r="C12" i="13"/>
  <c r="D12" i="13"/>
  <c r="L3" i="22"/>
  <c r="K3" i="22" s="1"/>
  <c r="J3" i="22" s="1"/>
  <c r="I3" i="22" s="1"/>
  <c r="N2" i="22"/>
  <c r="S35" i="20"/>
  <c r="S82" i="20"/>
  <c r="Z52" i="20"/>
  <c r="S52" i="20"/>
  <c r="V3" i="20"/>
  <c r="U3" i="20"/>
  <c r="T3" i="20"/>
  <c r="D97" i="29" l="1"/>
  <c r="D67" i="29"/>
  <c r="E3" i="29" s="1"/>
  <c r="F3" i="29" s="1"/>
  <c r="G3" i="29" s="1"/>
  <c r="D43" i="29"/>
  <c r="I24" i="29"/>
  <c r="I6" i="29"/>
  <c r="F89" i="24"/>
  <c r="H89" i="24"/>
  <c r="E89" i="24"/>
  <c r="I89" i="24"/>
  <c r="I24" i="4"/>
  <c r="I6" i="4"/>
  <c r="C7" i="4"/>
  <c r="C7" i="29" s="1"/>
  <c r="C23" i="4"/>
  <c r="C23" i="29" s="1"/>
  <c r="F203" i="9"/>
  <c r="L65" i="5"/>
  <c r="C29" i="4"/>
  <c r="C29" i="29" s="1"/>
  <c r="F205" i="9"/>
  <c r="L88" i="5"/>
  <c r="C27" i="4"/>
  <c r="C27" i="29" s="1"/>
  <c r="F208" i="9"/>
  <c r="L102" i="5"/>
  <c r="F211" i="9"/>
  <c r="O106" i="5"/>
  <c r="H106" i="5"/>
  <c r="N21" i="5"/>
  <c r="H108" i="5"/>
  <c r="N22" i="5"/>
  <c r="H90" i="24"/>
  <c r="F90" i="24"/>
  <c r="G90" i="24"/>
  <c r="I90" i="24"/>
  <c r="P27" i="22"/>
  <c r="Q195" i="6"/>
  <c r="M139" i="5"/>
  <c r="H138" i="9"/>
  <c r="L138" i="5"/>
  <c r="L125" i="5"/>
  <c r="C25" i="4"/>
  <c r="C25" i="29" s="1"/>
  <c r="F206" i="9"/>
  <c r="F209" i="9"/>
  <c r="F199" i="9"/>
  <c r="L123" i="5"/>
  <c r="F198" i="9"/>
  <c r="L133" i="5"/>
  <c r="G54" i="9"/>
  <c r="F49" i="9"/>
  <c r="L141" i="5"/>
  <c r="L108" i="5"/>
  <c r="F207" i="9"/>
  <c r="F237" i="9"/>
  <c r="F212" i="9"/>
  <c r="C31" i="4"/>
  <c r="C31" i="29" s="1"/>
  <c r="F210" i="9"/>
  <c r="L106" i="5"/>
  <c r="F213" i="9"/>
  <c r="F247" i="9"/>
  <c r="F20" i="9"/>
  <c r="F3" i="9" s="1"/>
  <c r="D100" i="24"/>
  <c r="D119" i="24" s="1"/>
  <c r="D141" i="24" s="1"/>
  <c r="B144" i="24" s="1"/>
  <c r="B88" i="24"/>
  <c r="D67" i="4"/>
  <c r="E3" i="4" s="1"/>
  <c r="F3" i="4" s="1"/>
  <c r="G3" i="4" s="1"/>
  <c r="F71" i="9"/>
  <c r="L58" i="7"/>
  <c r="I10" i="13"/>
  <c r="J10" i="13" s="1"/>
  <c r="K10" i="13" s="1"/>
  <c r="L10" i="13" s="1"/>
  <c r="B20" i="3"/>
  <c r="A21" i="3"/>
  <c r="V82" i="20"/>
  <c r="V35" i="20"/>
  <c r="N3" i="22"/>
  <c r="O2" i="22"/>
  <c r="T82" i="20"/>
  <c r="T35" i="20"/>
  <c r="Y3" i="20"/>
  <c r="AA3" i="20"/>
  <c r="AC3" i="20"/>
  <c r="W3" i="20"/>
  <c r="W52" i="20"/>
  <c r="AB3" i="20"/>
  <c r="Y52" i="20"/>
  <c r="J52" i="20"/>
  <c r="AD3" i="20"/>
  <c r="R52" i="20"/>
  <c r="Z3" i="20"/>
  <c r="F52" i="20"/>
  <c r="X3" i="20"/>
  <c r="X52" i="20"/>
  <c r="N52" i="20"/>
  <c r="U82" i="20"/>
  <c r="U35" i="20"/>
  <c r="L12" i="13" l="1"/>
  <c r="M10" i="13"/>
  <c r="O22" i="5"/>
  <c r="H210" i="9"/>
  <c r="E31" i="4"/>
  <c r="E31" i="29" s="1"/>
  <c r="N9" i="7"/>
  <c r="N23" i="7"/>
  <c r="H211" i="9"/>
  <c r="P106" i="5"/>
  <c r="O21" i="5"/>
  <c r="Q27" i="22"/>
  <c r="M140" i="5"/>
  <c r="R195" i="6"/>
  <c r="L139" i="5"/>
  <c r="J12" i="13"/>
  <c r="I12" i="13"/>
  <c r="K12" i="13"/>
  <c r="B21" i="3"/>
  <c r="A22" i="3"/>
  <c r="P3" i="20"/>
  <c r="Q3" i="20"/>
  <c r="R3" i="20"/>
  <c r="Q52" i="20"/>
  <c r="O3" i="20"/>
  <c r="P52" i="20"/>
  <c r="O52" i="20"/>
  <c r="AB35" i="20"/>
  <c r="AB82" i="20"/>
  <c r="AA35" i="20"/>
  <c r="AA82" i="20"/>
  <c r="N3" i="20"/>
  <c r="L52" i="20"/>
  <c r="K52" i="20"/>
  <c r="M52" i="20"/>
  <c r="M3" i="20"/>
  <c r="K3" i="20"/>
  <c r="L3" i="20"/>
  <c r="AC35" i="20"/>
  <c r="AC82" i="20"/>
  <c r="X35" i="20"/>
  <c r="X82" i="20"/>
  <c r="AD35" i="20"/>
  <c r="AD82" i="20"/>
  <c r="Y35" i="20"/>
  <c r="Y82" i="20"/>
  <c r="O3" i="22"/>
  <c r="P2" i="22"/>
  <c r="Z82" i="20"/>
  <c r="Z35" i="20"/>
  <c r="E52" i="20"/>
  <c r="C52" i="20"/>
  <c r="C3" i="20"/>
  <c r="D52" i="20"/>
  <c r="E3" i="20"/>
  <c r="F3" i="20"/>
  <c r="D3" i="20"/>
  <c r="I3" i="20"/>
  <c r="G3" i="20"/>
  <c r="G52" i="20"/>
  <c r="H3" i="20"/>
  <c r="J3" i="20"/>
  <c r="I52" i="20"/>
  <c r="H52" i="20"/>
  <c r="W82" i="20"/>
  <c r="W35" i="20"/>
  <c r="K19" i="20"/>
  <c r="D20" i="4"/>
  <c r="D20" i="29" s="1"/>
  <c r="G200" i="9"/>
  <c r="M56" i="5"/>
  <c r="M9" i="22" s="1"/>
  <c r="F197" i="9"/>
  <c r="L147" i="5"/>
  <c r="E12" i="18"/>
  <c r="C6" i="4"/>
  <c r="C6" i="29" s="1"/>
  <c r="L47" i="5"/>
  <c r="L43" i="5"/>
  <c r="O26" i="20"/>
  <c r="P10" i="20"/>
  <c r="P84" i="20" s="1"/>
  <c r="K20" i="20"/>
  <c r="N4" i="20"/>
  <c r="F201" i="9"/>
  <c r="L59" i="5"/>
  <c r="L11" i="22" s="1"/>
  <c r="C21" i="4"/>
  <c r="C21" i="29" s="1"/>
  <c r="E21" i="20"/>
  <c r="E30" i="20"/>
  <c r="O28" i="20"/>
  <c r="D25" i="20"/>
  <c r="G32" i="20"/>
  <c r="F9" i="15"/>
  <c r="C9" i="15" s="1"/>
  <c r="C37" i="4"/>
  <c r="C37" i="29" s="1"/>
  <c r="L127" i="5"/>
  <c r="L31" i="20"/>
  <c r="H16" i="20"/>
  <c r="G30" i="20"/>
  <c r="F18" i="20"/>
  <c r="H33" i="20"/>
  <c r="O29" i="20"/>
  <c r="L27" i="20"/>
  <c r="P30" i="20"/>
  <c r="E33" i="20"/>
  <c r="I29" i="20"/>
  <c r="M17" i="20"/>
  <c r="E28" i="20"/>
  <c r="C32" i="4"/>
  <c r="C32" i="29" s="1"/>
  <c r="E32" i="20"/>
  <c r="D37" i="4"/>
  <c r="D37" i="29" s="1"/>
  <c r="M127" i="5"/>
  <c r="M134" i="5" s="1"/>
  <c r="K30" i="20"/>
  <c r="E31" i="20"/>
  <c r="C33" i="20"/>
  <c r="C20" i="4"/>
  <c r="C20" i="29" s="1"/>
  <c r="F200" i="9"/>
  <c r="L56" i="5"/>
  <c r="L9" i="22" s="1"/>
  <c r="Q24" i="20"/>
  <c r="O21" i="20"/>
  <c r="E24" i="20"/>
  <c r="C13" i="4"/>
  <c r="C13" i="29" s="1"/>
  <c r="L50" i="5"/>
  <c r="C14" i="4"/>
  <c r="C14" i="29" s="1"/>
  <c r="X33" i="20"/>
  <c r="V26" i="20"/>
  <c r="Y27" i="20"/>
  <c r="X26" i="20"/>
  <c r="E10" i="20"/>
  <c r="E84" i="20" s="1"/>
  <c r="N33" i="20"/>
  <c r="H28" i="20"/>
  <c r="P26" i="20"/>
  <c r="V17" i="20"/>
  <c r="C26" i="4"/>
  <c r="C26" i="29" s="1"/>
  <c r="L98" i="5"/>
  <c r="L99" i="5" s="1"/>
  <c r="D19" i="20"/>
  <c r="O30" i="20"/>
  <c r="H27" i="20"/>
  <c r="Q16" i="20"/>
  <c r="F202" i="9"/>
  <c r="C22" i="4"/>
  <c r="C22" i="29" s="1"/>
  <c r="L62" i="5"/>
  <c r="L13" i="22" s="1"/>
  <c r="X21" i="20"/>
  <c r="M21" i="20"/>
  <c r="P18" i="20"/>
  <c r="G17" i="20"/>
  <c r="P29" i="20"/>
  <c r="K22" i="20"/>
  <c r="E26" i="20"/>
  <c r="W4" i="20"/>
  <c r="W83" i="20" s="1"/>
  <c r="E27" i="20"/>
  <c r="P25" i="20"/>
  <c r="M29" i="20"/>
  <c r="J25" i="20"/>
  <c r="H22" i="20"/>
  <c r="P33" i="20"/>
  <c r="M118" i="5"/>
  <c r="D35" i="4"/>
  <c r="D35" i="29" s="1"/>
  <c r="X31" i="20"/>
  <c r="L68" i="5"/>
  <c r="C24" i="4"/>
  <c r="C24" i="29" s="1"/>
  <c r="T32" i="20"/>
  <c r="M24" i="20"/>
  <c r="L104" i="5"/>
  <c r="C28" i="4"/>
  <c r="C28" i="29" s="1"/>
  <c r="L113" i="5"/>
  <c r="C33" i="4"/>
  <c r="C33" i="29" s="1"/>
  <c r="O31" i="20"/>
  <c r="K23" i="20"/>
  <c r="W31" i="20"/>
  <c r="E17" i="20"/>
  <c r="M31" i="20"/>
  <c r="C35" i="4"/>
  <c r="C35" i="29" s="1"/>
  <c r="L118" i="5"/>
  <c r="U16" i="20"/>
  <c r="C23" i="20"/>
  <c r="R17" i="20"/>
  <c r="G22" i="20"/>
  <c r="H21" i="20"/>
  <c r="R31" i="20"/>
  <c r="K28" i="20"/>
  <c r="V32" i="20"/>
  <c r="W33" i="20"/>
  <c r="S24" i="20"/>
  <c r="V21" i="20"/>
  <c r="Q27" i="20"/>
  <c r="C34" i="4"/>
  <c r="C34" i="29" s="1"/>
  <c r="H18" i="20"/>
  <c r="C36" i="4"/>
  <c r="F28" i="20"/>
  <c r="L148" i="5"/>
  <c r="L45" i="5"/>
  <c r="L114" i="5"/>
  <c r="O19" i="20"/>
  <c r="O20" i="20"/>
  <c r="G18" i="20"/>
  <c r="Q26" i="20"/>
  <c r="O16" i="20"/>
  <c r="N24" i="20"/>
  <c r="K16" i="20"/>
  <c r="H31" i="20"/>
  <c r="K27" i="20"/>
  <c r="O22" i="20"/>
  <c r="M50" i="5"/>
  <c r="D14" i="4"/>
  <c r="D14" i="29" s="1"/>
  <c r="M33" i="20"/>
  <c r="T22" i="20"/>
  <c r="L26" i="20"/>
  <c r="F16" i="20"/>
  <c r="F33" i="20"/>
  <c r="X17" i="20"/>
  <c r="L19" i="20"/>
  <c r="K18" i="20"/>
  <c r="R25" i="20"/>
  <c r="D27" i="20"/>
  <c r="L21" i="20"/>
  <c r="K33" i="20"/>
  <c r="P31" i="20"/>
  <c r="T29" i="20"/>
  <c r="E19" i="20"/>
  <c r="X4" i="20"/>
  <c r="AB36" i="20" s="1"/>
  <c r="G10" i="20"/>
  <c r="C16" i="20"/>
  <c r="K17" i="20"/>
  <c r="I18" i="20"/>
  <c r="J31" i="20"/>
  <c r="M10" i="20"/>
  <c r="Q23" i="20"/>
  <c r="T27" i="20"/>
  <c r="M20" i="20"/>
  <c r="N22" i="20"/>
  <c r="M28" i="20"/>
  <c r="J18" i="20"/>
  <c r="O32" i="20"/>
  <c r="I23" i="20"/>
  <c r="M79" i="5"/>
  <c r="D30" i="4"/>
  <c r="D30" i="29" s="1"/>
  <c r="G204" i="9"/>
  <c r="N31" i="20"/>
  <c r="M26" i="20"/>
  <c r="Q28" i="20"/>
  <c r="H10" i="20"/>
  <c r="H84" i="20" s="1"/>
  <c r="W29" i="20"/>
  <c r="L18" i="20"/>
  <c r="J19" i="20"/>
  <c r="X18" i="20"/>
  <c r="N17" i="20"/>
  <c r="C22" i="20"/>
  <c r="M32" i="20"/>
  <c r="V33" i="20"/>
  <c r="M4" i="20"/>
  <c r="M83" i="20" s="1"/>
  <c r="I27" i="20"/>
  <c r="F20" i="20"/>
  <c r="Q30" i="20"/>
  <c r="T25" i="20"/>
  <c r="K31" i="20"/>
  <c r="J32" i="20"/>
  <c r="G23" i="20"/>
  <c r="N16" i="20"/>
  <c r="Y4" i="20"/>
  <c r="Y83" i="20" s="1"/>
  <c r="I33" i="20"/>
  <c r="M27" i="20"/>
  <c r="T21" i="20"/>
  <c r="O23" i="20"/>
  <c r="N30" i="20"/>
  <c r="Y32" i="20"/>
  <c r="AC38" i="20" s="1"/>
  <c r="S27" i="20"/>
  <c r="G202" i="9"/>
  <c r="M62" i="5"/>
  <c r="M13" i="22" s="1"/>
  <c r="D22" i="4"/>
  <c r="D22" i="29" s="1"/>
  <c r="C21" i="20"/>
  <c r="P24" i="20"/>
  <c r="D21" i="4"/>
  <c r="D21" i="29" s="1"/>
  <c r="G201" i="9"/>
  <c r="M59" i="5"/>
  <c r="M11" i="22" s="1"/>
  <c r="F10" i="20"/>
  <c r="F84" i="20" s="1"/>
  <c r="J20" i="20"/>
  <c r="X19" i="20"/>
  <c r="O4" i="20"/>
  <c r="O83" i="20" s="1"/>
  <c r="W16" i="20"/>
  <c r="U27" i="20"/>
  <c r="T24" i="20"/>
  <c r="V29" i="20"/>
  <c r="P20" i="20"/>
  <c r="S28" i="20"/>
  <c r="P22" i="20"/>
  <c r="J30" i="20"/>
  <c r="G33" i="20"/>
  <c r="E23" i="20"/>
  <c r="D10" i="20"/>
  <c r="D84" i="20" s="1"/>
  <c r="E4" i="20"/>
  <c r="E83" i="20" s="1"/>
  <c r="T18" i="20"/>
  <c r="M16" i="20"/>
  <c r="J24" i="20"/>
  <c r="L17" i="20"/>
  <c r="Y24" i="20"/>
  <c r="H17" i="20"/>
  <c r="T23" i="20"/>
  <c r="H19" i="20"/>
  <c r="W32" i="20"/>
  <c r="AA38" i="20" s="1"/>
  <c r="R30" i="20"/>
  <c r="K4" i="20"/>
  <c r="P28" i="20"/>
  <c r="W30" i="20"/>
  <c r="W19" i="20"/>
  <c r="H20" i="20"/>
  <c r="V30" i="20"/>
  <c r="G26" i="20"/>
  <c r="C28" i="20"/>
  <c r="Q18" i="20"/>
  <c r="C32" i="20"/>
  <c r="G21" i="20"/>
  <c r="F29" i="20"/>
  <c r="C30" i="20"/>
  <c r="F19" i="20"/>
  <c r="I24" i="20"/>
  <c r="V10" i="20"/>
  <c r="V84" i="20" s="1"/>
  <c r="X10" i="20"/>
  <c r="T10" i="20"/>
  <c r="T30" i="20"/>
  <c r="C10" i="20"/>
  <c r="C84" i="20" s="1"/>
  <c r="G28" i="20"/>
  <c r="U31" i="20"/>
  <c r="N23" i="20"/>
  <c r="I20" i="20"/>
  <c r="F17" i="20"/>
  <c r="R21" i="20"/>
  <c r="S23" i="20"/>
  <c r="F24" i="20"/>
  <c r="F6" i="15"/>
  <c r="C6" i="15" s="1"/>
  <c r="M25" i="20"/>
  <c r="R28" i="20"/>
  <c r="V18" i="20"/>
  <c r="S4" i="20"/>
  <c r="R16" i="20"/>
  <c r="U19" i="20"/>
  <c r="D34" i="4"/>
  <c r="D34" i="29" s="1"/>
  <c r="N10" i="20"/>
  <c r="U18" i="20"/>
  <c r="T33" i="20"/>
  <c r="P32" i="20"/>
  <c r="E7" i="3"/>
  <c r="R4" i="20"/>
  <c r="R83" i="20" s="1"/>
  <c r="T19" i="20"/>
  <c r="U25" i="20"/>
  <c r="D21" i="20"/>
  <c r="Q32" i="20"/>
  <c r="C17" i="20"/>
  <c r="U17" i="20"/>
  <c r="B18" i="3"/>
  <c r="V4" i="20"/>
  <c r="S22" i="20"/>
  <c r="V16" i="20"/>
  <c r="K21" i="20"/>
  <c r="J21" i="20"/>
  <c r="F25" i="20"/>
  <c r="R10" i="20"/>
  <c r="R84" i="20" s="1"/>
  <c r="G4" i="20"/>
  <c r="G83" i="20" s="1"/>
  <c r="S30" i="20"/>
  <c r="G16" i="20"/>
  <c r="U33" i="20"/>
  <c r="D13" i="4"/>
  <c r="D13" i="29" s="1"/>
  <c r="M19" i="20"/>
  <c r="S20" i="20"/>
  <c r="L25" i="20"/>
  <c r="O281" i="6"/>
  <c r="P281" i="6"/>
  <c r="Q281" i="6"/>
  <c r="R281" i="6"/>
  <c r="N281" i="6"/>
  <c r="U32" i="20"/>
  <c r="V20" i="20"/>
  <c r="Q25" i="20"/>
  <c r="I26" i="20"/>
  <c r="J26" i="20"/>
  <c r="L32" i="20"/>
  <c r="V31" i="20"/>
  <c r="L28" i="20"/>
  <c r="D23" i="20"/>
  <c r="Y25" i="20"/>
  <c r="T31" i="20"/>
  <c r="G24" i="20"/>
  <c r="N27" i="20"/>
  <c r="M18" i="20"/>
  <c r="D26" i="20"/>
  <c r="U4" i="20"/>
  <c r="U83" i="20" s="1"/>
  <c r="X30" i="20"/>
  <c r="C25" i="20"/>
  <c r="S21" i="20"/>
  <c r="L30" i="20"/>
  <c r="C4" i="20"/>
  <c r="C83" i="20" s="1"/>
  <c r="L29" i="20"/>
  <c r="J29" i="20"/>
  <c r="J4" i="20"/>
  <c r="J83" i="20" s="1"/>
  <c r="S10" i="20"/>
  <c r="S84" i="20" s="1"/>
  <c r="F27" i="20"/>
  <c r="D31" i="20"/>
  <c r="Y17" i="20"/>
  <c r="W20" i="20"/>
  <c r="T17" i="20"/>
  <c r="E29" i="20"/>
  <c r="Y20" i="20"/>
  <c r="D22" i="20"/>
  <c r="C27" i="20"/>
  <c r="K32" i="20"/>
  <c r="N32" i="20"/>
  <c r="N45" i="20" s="1"/>
  <c r="N19" i="20"/>
  <c r="D36" i="4"/>
  <c r="S16" i="20"/>
  <c r="Y18" i="20"/>
  <c r="G31" i="20"/>
  <c r="W28" i="20"/>
  <c r="Q22" i="20"/>
  <c r="W25" i="20"/>
  <c r="F3" i="15"/>
  <c r="C3" i="15" s="1"/>
  <c r="W17" i="20"/>
  <c r="M23" i="20"/>
  <c r="S19" i="20"/>
  <c r="S43" i="20" s="1"/>
  <c r="D17" i="20"/>
  <c r="W21" i="20"/>
  <c r="D28" i="20"/>
  <c r="I32" i="20"/>
  <c r="I19" i="20"/>
  <c r="R18" i="20"/>
  <c r="D16" i="20"/>
  <c r="O33" i="20"/>
  <c r="X29" i="20"/>
  <c r="I25" i="20"/>
  <c r="Q33" i="20"/>
  <c r="V27" i="20"/>
  <c r="U23" i="20"/>
  <c r="Q21" i="20"/>
  <c r="J17" i="20"/>
  <c r="Y10" i="20"/>
  <c r="Y84" i="20" s="1"/>
  <c r="I22" i="20"/>
  <c r="W24" i="20"/>
  <c r="M113" i="5"/>
  <c r="D33" i="4"/>
  <c r="D33" i="29" s="1"/>
  <c r="J27" i="20"/>
  <c r="U26" i="20"/>
  <c r="R23" i="20"/>
  <c r="D24" i="4"/>
  <c r="D24" i="29" s="1"/>
  <c r="M68" i="5"/>
  <c r="V19" i="20"/>
  <c r="T20" i="20"/>
  <c r="P23" i="20"/>
  <c r="S26" i="20"/>
  <c r="K26" i="20"/>
  <c r="N25" i="20"/>
  <c r="G24" i="9"/>
  <c r="D101" i="4" s="1"/>
  <c r="F23" i="13"/>
  <c r="F24" i="9"/>
  <c r="C101" i="4" s="1"/>
  <c r="C24" i="9"/>
  <c r="E24" i="9"/>
  <c r="D24" i="9"/>
  <c r="D42" i="18"/>
  <c r="E6" i="3"/>
  <c r="H38" i="9" s="1"/>
  <c r="M114" i="5"/>
  <c r="L10" i="20"/>
  <c r="L84" i="20" s="1"/>
  <c r="L4" i="20"/>
  <c r="U20" i="20"/>
  <c r="L16" i="20"/>
  <c r="V28" i="20"/>
  <c r="D32" i="20"/>
  <c r="M30" i="20"/>
  <c r="X28" i="20"/>
  <c r="K10" i="20"/>
  <c r="D4" i="20"/>
  <c r="D83" i="20" s="1"/>
  <c r="I4" i="20"/>
  <c r="I83" i="20" s="1"/>
  <c r="I21" i="20"/>
  <c r="G19" i="20"/>
  <c r="D18" i="20"/>
  <c r="D42" i="20" s="1"/>
  <c r="L22" i="20"/>
  <c r="Y29" i="20"/>
  <c r="C29" i="20"/>
  <c r="F23" i="20"/>
  <c r="U21" i="20"/>
  <c r="W23" i="20"/>
  <c r="H24" i="20"/>
  <c r="Y31" i="20"/>
  <c r="Y21" i="20"/>
  <c r="S25" i="20"/>
  <c r="C17" i="3"/>
  <c r="D6" i="4"/>
  <c r="D6" i="29" s="1"/>
  <c r="G197" i="9"/>
  <c r="M43" i="5"/>
  <c r="M147" i="5"/>
  <c r="F12" i="18"/>
  <c r="R33" i="20"/>
  <c r="U24" i="20"/>
  <c r="H4" i="20"/>
  <c r="H83" i="20" s="1"/>
  <c r="Y23" i="20"/>
  <c r="I10" i="20"/>
  <c r="E16" i="20"/>
  <c r="Y30" i="20"/>
  <c r="I16" i="20"/>
  <c r="X32" i="20"/>
  <c r="F4" i="20"/>
  <c r="O17" i="20"/>
  <c r="R24" i="20"/>
  <c r="J22" i="20"/>
  <c r="F21" i="20"/>
  <c r="F22" i="20"/>
  <c r="R29" i="20"/>
  <c r="C31" i="20"/>
  <c r="N29" i="20"/>
  <c r="O27" i="20"/>
  <c r="Y26" i="20"/>
  <c r="F204" i="9"/>
  <c r="L79" i="5"/>
  <c r="C30" i="4"/>
  <c r="C30" i="29" s="1"/>
  <c r="Q31" i="20"/>
  <c r="N28" i="20"/>
  <c r="S31" i="20"/>
  <c r="T16" i="20"/>
  <c r="M22" i="20"/>
  <c r="V24" i="20"/>
  <c r="F32" i="20"/>
  <c r="T28" i="20"/>
  <c r="Q17" i="20"/>
  <c r="C20" i="20"/>
  <c r="D29" i="20"/>
  <c r="H23" i="20"/>
  <c r="F30" i="20"/>
  <c r="G25" i="20"/>
  <c r="D30" i="20"/>
  <c r="I30" i="20"/>
  <c r="J28" i="20"/>
  <c r="N26" i="20"/>
  <c r="L20" i="20"/>
  <c r="J33" i="20"/>
  <c r="N21" i="20"/>
  <c r="N18" i="20"/>
  <c r="W10" i="20"/>
  <c r="W84" i="20" s="1"/>
  <c r="W26" i="20"/>
  <c r="U29" i="20"/>
  <c r="P17" i="20"/>
  <c r="S33" i="20"/>
  <c r="T26" i="20"/>
  <c r="Y19" i="20"/>
  <c r="D32" i="4"/>
  <c r="D32" i="29" s="1"/>
  <c r="P21" i="20"/>
  <c r="S17" i="20"/>
  <c r="D33" i="20"/>
  <c r="P16" i="20"/>
  <c r="C19" i="20"/>
  <c r="F26" i="20"/>
  <c r="D24" i="20"/>
  <c r="P4" i="20"/>
  <c r="P83" i="20" s="1"/>
  <c r="X20" i="20"/>
  <c r="L24" i="20"/>
  <c r="C18" i="20"/>
  <c r="L33" i="20"/>
  <c r="X23" i="20"/>
  <c r="D20" i="20"/>
  <c r="H29" i="20"/>
  <c r="Y33" i="20"/>
  <c r="H26" i="20"/>
  <c r="C24" i="20"/>
  <c r="R22" i="20"/>
  <c r="R19" i="20"/>
  <c r="O10" i="20"/>
  <c r="O84" i="20" s="1"/>
  <c r="Q29" i="20"/>
  <c r="G29" i="20"/>
  <c r="V25" i="20"/>
  <c r="U30" i="20"/>
  <c r="R26" i="20"/>
  <c r="K24" i="20"/>
  <c r="S18" i="20"/>
  <c r="E22" i="20"/>
  <c r="M98" i="5"/>
  <c r="S32" i="20"/>
  <c r="O24" i="20"/>
  <c r="Y28" i="20"/>
  <c r="O18" i="20"/>
  <c r="F31" i="20"/>
  <c r="G20" i="20"/>
  <c r="U28" i="20"/>
  <c r="X27" i="20"/>
  <c r="Q20" i="20"/>
  <c r="W18" i="20"/>
  <c r="L37" i="5"/>
  <c r="F22" i="9" s="1"/>
  <c r="C99" i="4" s="1"/>
  <c r="L303" i="6"/>
  <c r="L308" i="6" s="1"/>
  <c r="F14" i="13" s="1"/>
  <c r="D13" i="13"/>
  <c r="C38" i="4"/>
  <c r="C38" i="29" s="1"/>
  <c r="F101" i="9"/>
  <c r="C26" i="20"/>
  <c r="I17" i="20"/>
  <c r="N20" i="20"/>
  <c r="Y16" i="20"/>
  <c r="H30" i="20"/>
  <c r="T4" i="20"/>
  <c r="X16" i="20"/>
  <c r="R27" i="20"/>
  <c r="I31" i="20"/>
  <c r="M148" i="5"/>
  <c r="M45" i="5"/>
  <c r="N45" i="5" s="1"/>
  <c r="P19" i="20"/>
  <c r="J16" i="20"/>
  <c r="K25" i="20"/>
  <c r="J10" i="20"/>
  <c r="J84" i="20" s="1"/>
  <c r="W27" i="20"/>
  <c r="S29" i="20"/>
  <c r="O25" i="20"/>
  <c r="G101" i="9"/>
  <c r="D38" i="4"/>
  <c r="D38" i="29" s="1"/>
  <c r="E17" i="3"/>
  <c r="M37" i="5"/>
  <c r="M303" i="6"/>
  <c r="E13" i="13"/>
  <c r="E20" i="20"/>
  <c r="I28" i="20"/>
  <c r="M104" i="5"/>
  <c r="M20" i="22" s="1"/>
  <c r="D28" i="4"/>
  <c r="D28" i="29" s="1"/>
  <c r="J23" i="20"/>
  <c r="E25" i="20"/>
  <c r="L23" i="20"/>
  <c r="V23" i="20"/>
  <c r="E18" i="20"/>
  <c r="Q4" i="20"/>
  <c r="G27" i="20"/>
  <c r="R32" i="20"/>
  <c r="U10" i="20"/>
  <c r="R20" i="20"/>
  <c r="P27" i="20"/>
  <c r="Q10" i="20"/>
  <c r="Q84" i="20" s="1"/>
  <c r="H32" i="20"/>
  <c r="X25" i="20"/>
  <c r="K29" i="20"/>
  <c r="X24" i="20"/>
  <c r="H25" i="20"/>
  <c r="Q19" i="20"/>
  <c r="Q43" i="20" s="1"/>
  <c r="M96" i="5"/>
  <c r="N96" i="5" s="1"/>
  <c r="L96" i="5"/>
  <c r="G214" i="9" l="1"/>
  <c r="F214" i="9"/>
  <c r="F47" i="9" s="1"/>
  <c r="C44" i="4"/>
  <c r="C44" i="29" s="1"/>
  <c r="C36" i="29"/>
  <c r="D44" i="4"/>
  <c r="D44" i="29" s="1"/>
  <c r="D36" i="29"/>
  <c r="C117" i="4"/>
  <c r="C117" i="29" s="1"/>
  <c r="C99" i="29"/>
  <c r="D115" i="4"/>
  <c r="D115" i="29" s="1"/>
  <c r="D101" i="29"/>
  <c r="C115" i="4"/>
  <c r="C115" i="29" s="1"/>
  <c r="C101" i="29"/>
  <c r="M12" i="13"/>
  <c r="N10" i="13"/>
  <c r="O10" i="13" s="1"/>
  <c r="O12" i="13" s="1"/>
  <c r="L7" i="22"/>
  <c r="L66" i="5"/>
  <c r="M66" i="5"/>
  <c r="N66" i="5" s="1"/>
  <c r="O66" i="5" s="1"/>
  <c r="P66" i="5" s="1"/>
  <c r="Q66" i="5" s="1"/>
  <c r="R66" i="5" s="1"/>
  <c r="O96" i="5"/>
  <c r="H96" i="5"/>
  <c r="N15" i="5"/>
  <c r="O9" i="7"/>
  <c r="I210" i="9"/>
  <c r="F31" i="4"/>
  <c r="F31" i="29" s="1"/>
  <c r="O23" i="7"/>
  <c r="I211" i="9"/>
  <c r="Q106" i="5"/>
  <c r="P21" i="5"/>
  <c r="P22" i="5"/>
  <c r="M136" i="5"/>
  <c r="M135" i="5"/>
  <c r="L140" i="5"/>
  <c r="L134" i="5"/>
  <c r="C44" i="20"/>
  <c r="G59" i="9"/>
  <c r="T36" i="20"/>
  <c r="X38" i="20"/>
  <c r="L24" i="22"/>
  <c r="L20" i="22"/>
  <c r="M24" i="22"/>
  <c r="P24" i="22" s="1"/>
  <c r="L23" i="22"/>
  <c r="L15" i="22"/>
  <c r="L51" i="5"/>
  <c r="D8" i="27"/>
  <c r="M51" i="5"/>
  <c r="K44" i="20"/>
  <c r="R38" i="20"/>
  <c r="W43" i="20"/>
  <c r="W42" i="20"/>
  <c r="AA36" i="20"/>
  <c r="W44" i="20"/>
  <c r="T45" i="20"/>
  <c r="N40" i="20"/>
  <c r="X44" i="20"/>
  <c r="M7" i="22"/>
  <c r="G46" i="9"/>
  <c r="F46" i="9"/>
  <c r="C106" i="4" s="1"/>
  <c r="C106" i="29" s="1"/>
  <c r="K38" i="9"/>
  <c r="I38" i="9"/>
  <c r="L36" i="20"/>
  <c r="C86" i="15"/>
  <c r="N46" i="5"/>
  <c r="D45" i="20"/>
  <c r="E38" i="9"/>
  <c r="I36" i="20"/>
  <c r="M23" i="22"/>
  <c r="M99" i="5"/>
  <c r="N99" i="5" s="1"/>
  <c r="M60" i="5"/>
  <c r="N60" i="5" s="1"/>
  <c r="O60" i="5" s="1"/>
  <c r="P60" i="5" s="1"/>
  <c r="Q60" i="5" s="1"/>
  <c r="R60" i="5" s="1"/>
  <c r="M57" i="5"/>
  <c r="N57" i="5" s="1"/>
  <c r="O57" i="5" s="1"/>
  <c r="P57" i="5" s="1"/>
  <c r="Q57" i="5" s="1"/>
  <c r="R57" i="5" s="1"/>
  <c r="L57" i="5"/>
  <c r="W38" i="20"/>
  <c r="P42" i="20"/>
  <c r="Q46" i="20"/>
  <c r="W37" i="20"/>
  <c r="F45" i="20"/>
  <c r="Q42" i="20"/>
  <c r="O38" i="20"/>
  <c r="V45" i="20"/>
  <c r="G44" i="20"/>
  <c r="N46" i="20"/>
  <c r="G42" i="20"/>
  <c r="X83" i="20"/>
  <c r="I86" i="15"/>
  <c r="F38" i="9"/>
  <c r="F40" i="9" s="1"/>
  <c r="C38" i="9"/>
  <c r="Q36" i="20"/>
  <c r="M43" i="20"/>
  <c r="X42" i="20"/>
  <c r="D38" i="9"/>
  <c r="G86" i="15"/>
  <c r="J86" i="15"/>
  <c r="H40" i="20"/>
  <c r="I39" i="20"/>
  <c r="V37" i="20"/>
  <c r="E42" i="20"/>
  <c r="E44" i="20"/>
  <c r="O42" i="20"/>
  <c r="C42" i="20"/>
  <c r="R46" i="20"/>
  <c r="F47" i="20"/>
  <c r="K42" i="20"/>
  <c r="H37" i="20"/>
  <c r="T83" i="20"/>
  <c r="O39" i="20"/>
  <c r="AC36" i="20"/>
  <c r="E40" i="20"/>
  <c r="G47" i="20"/>
  <c r="K43" i="20"/>
  <c r="K83" i="20"/>
  <c r="S38" i="20"/>
  <c r="F13" i="18"/>
  <c r="G46" i="20"/>
  <c r="M40" i="20"/>
  <c r="I41" i="20"/>
  <c r="G22" i="9"/>
  <c r="D99" i="4" s="1"/>
  <c r="E90" i="27"/>
  <c r="I90" i="27" s="1"/>
  <c r="K36" i="20"/>
  <c r="F46" i="20"/>
  <c r="I37" i="20"/>
  <c r="G40" i="20"/>
  <c r="D46" i="20"/>
  <c r="R42" i="20"/>
  <c r="Y42" i="20"/>
  <c r="P37" i="20"/>
  <c r="N41" i="20"/>
  <c r="X36" i="20"/>
  <c r="R47" i="20"/>
  <c r="T39" i="20"/>
  <c r="O47" i="20"/>
  <c r="M36" i="20"/>
  <c r="U44" i="20"/>
  <c r="Q47" i="20"/>
  <c r="P43" i="20"/>
  <c r="G45" i="20"/>
  <c r="P40" i="20"/>
  <c r="I43" i="20"/>
  <c r="I42" i="20"/>
  <c r="X41" i="20"/>
  <c r="Q83" i="20"/>
  <c r="D40" i="20"/>
  <c r="I84" i="20"/>
  <c r="Q41" i="20"/>
  <c r="U84" i="20"/>
  <c r="J37" i="20"/>
  <c r="S37" i="20"/>
  <c r="E46" i="20"/>
  <c r="O45" i="5"/>
  <c r="N5" i="5"/>
  <c r="E7" i="4" s="1"/>
  <c r="E7" i="29" s="1"/>
  <c r="I38" i="20"/>
  <c r="U48" i="20"/>
  <c r="O37" i="20"/>
  <c r="E43" i="20"/>
  <c r="X40" i="20"/>
  <c r="N307" i="6"/>
  <c r="T40" i="20"/>
  <c r="F83" i="20"/>
  <c r="V48" i="20"/>
  <c r="W39" i="20"/>
  <c r="H45" i="20"/>
  <c r="N84" i="20"/>
  <c r="U39" i="20"/>
  <c r="Y38" i="20"/>
  <c r="U36" i="20"/>
  <c r="D44" i="20"/>
  <c r="G51" i="9"/>
  <c r="D109" i="4" s="1"/>
  <c r="D109" i="29" s="1"/>
  <c r="S48" i="20"/>
  <c r="F40" i="20"/>
  <c r="T48" i="20"/>
  <c r="V39" i="20"/>
  <c r="U42" i="20"/>
  <c r="W45" i="20"/>
  <c r="C47" i="20"/>
  <c r="D47" i="20"/>
  <c r="Y45" i="20"/>
  <c r="E47" i="20"/>
  <c r="U40" i="20"/>
  <c r="D14" i="13"/>
  <c r="D19" i="13" s="1"/>
  <c r="K40" i="20"/>
  <c r="L37" i="20"/>
  <c r="T44" i="20"/>
  <c r="C48" i="20"/>
  <c r="P46" i="20"/>
  <c r="N42" i="20"/>
  <c r="N83" i="20"/>
  <c r="Q44" i="20"/>
  <c r="L63" i="5"/>
  <c r="M44" i="5"/>
  <c r="D17" i="3" s="1"/>
  <c r="L60" i="5"/>
  <c r="K45" i="20"/>
  <c r="L5" i="22"/>
  <c r="X39" i="20"/>
  <c r="B22" i="3"/>
  <c r="A23" i="3"/>
  <c r="B23" i="3" s="1"/>
  <c r="O44" i="20"/>
  <c r="O43" i="20"/>
  <c r="R40" i="20"/>
  <c r="M46" i="20"/>
  <c r="Q40" i="20"/>
  <c r="D41" i="20"/>
  <c r="E48" i="20"/>
  <c r="V47" i="20"/>
  <c r="T43" i="20"/>
  <c r="P38" i="20"/>
  <c r="S42" i="20"/>
  <c r="C12" i="15"/>
  <c r="F41" i="20"/>
  <c r="C45" i="20"/>
  <c r="H41" i="20"/>
  <c r="J44" i="20"/>
  <c r="J39" i="20"/>
  <c r="F44" i="20"/>
  <c r="M38" i="20"/>
  <c r="J43" i="20"/>
  <c r="M37" i="20"/>
  <c r="K41" i="20"/>
  <c r="L46" i="20"/>
  <c r="M41" i="20"/>
  <c r="F82" i="20"/>
  <c r="F35" i="20"/>
  <c r="P82" i="20"/>
  <c r="P35" i="20"/>
  <c r="S45" i="20"/>
  <c r="V38" i="20"/>
  <c r="J45" i="20"/>
  <c r="O41" i="20"/>
  <c r="G48" i="20"/>
  <c r="S40" i="20"/>
  <c r="R45" i="20"/>
  <c r="E45" i="20"/>
  <c r="J41" i="20"/>
  <c r="Y39" i="20"/>
  <c r="K84" i="20"/>
  <c r="Y46" i="20"/>
  <c r="L40" i="20"/>
  <c r="V41" i="20"/>
  <c r="X46" i="20"/>
  <c r="N38" i="20"/>
  <c r="J40" i="20"/>
  <c r="L38" i="20"/>
  <c r="Q38" i="20"/>
  <c r="U41" i="20"/>
  <c r="V42" i="20"/>
  <c r="X45" i="20"/>
  <c r="C46" i="20"/>
  <c r="T42" i="20"/>
  <c r="W40" i="20"/>
  <c r="Y36" i="20"/>
  <c r="L42" i="20"/>
  <c r="O48" i="20"/>
  <c r="M44" i="20"/>
  <c r="O46" i="20"/>
  <c r="G35" i="20"/>
  <c r="G82" i="20"/>
  <c r="E82" i="20"/>
  <c r="E35" i="20"/>
  <c r="M82" i="20"/>
  <c r="M35" i="20"/>
  <c r="N35" i="20"/>
  <c r="N82" i="20"/>
  <c r="K82" i="20"/>
  <c r="K35" i="20"/>
  <c r="D43" i="20"/>
  <c r="T84" i="20"/>
  <c r="M45" i="20"/>
  <c r="V83" i="20"/>
  <c r="G39" i="20"/>
  <c r="R39" i="20"/>
  <c r="K37" i="20"/>
  <c r="U47" i="20"/>
  <c r="AB38" i="20"/>
  <c r="I40" i="20"/>
  <c r="I45" i="20"/>
  <c r="K39" i="20"/>
  <c r="C40" i="20"/>
  <c r="M46" i="5"/>
  <c r="I46" i="20"/>
  <c r="J35" i="20"/>
  <c r="J82" i="20"/>
  <c r="I82" i="20"/>
  <c r="I35" i="20"/>
  <c r="R82" i="20"/>
  <c r="R35" i="20"/>
  <c r="G88" i="9"/>
  <c r="O82" i="20"/>
  <c r="O35" i="20"/>
  <c r="P48" i="20"/>
  <c r="K48" i="20"/>
  <c r="D48" i="20"/>
  <c r="V43" i="20"/>
  <c r="Q45" i="20"/>
  <c r="L48" i="20"/>
  <c r="H48" i="20"/>
  <c r="S46" i="20"/>
  <c r="H46" i="20"/>
  <c r="Y41" i="20"/>
  <c r="U46" i="20"/>
  <c r="X43" i="20"/>
  <c r="O40" i="20"/>
  <c r="G41" i="20"/>
  <c r="H82" i="20"/>
  <c r="H35" i="20"/>
  <c r="D35" i="20"/>
  <c r="D82" i="20"/>
  <c r="C82" i="20"/>
  <c r="C35" i="20"/>
  <c r="Q2" i="22"/>
  <c r="P3" i="22"/>
  <c r="L35" i="20"/>
  <c r="L82" i="20"/>
  <c r="Q35" i="20"/>
  <c r="Q82" i="20"/>
  <c r="N47" i="20"/>
  <c r="L47" i="20"/>
  <c r="M63" i="5"/>
  <c r="N63" i="5" s="1"/>
  <c r="T41" i="20"/>
  <c r="U37" i="20"/>
  <c r="Y43" i="20"/>
  <c r="V44" i="20"/>
  <c r="F48" i="20"/>
  <c r="Q39" i="20"/>
  <c r="H36" i="20"/>
  <c r="M48" i="20"/>
  <c r="T38" i="20"/>
  <c r="W36" i="20"/>
  <c r="J48" i="20"/>
  <c r="L44" i="20"/>
  <c r="N37" i="20"/>
  <c r="T47" i="20"/>
  <c r="U45" i="20"/>
  <c r="J42" i="20"/>
  <c r="C41" i="20"/>
  <c r="L39" i="20"/>
  <c r="S44" i="20"/>
  <c r="N36" i="20"/>
  <c r="F42" i="20"/>
  <c r="N48" i="20"/>
  <c r="G84" i="20"/>
  <c r="L41" i="20"/>
  <c r="P47" i="20"/>
  <c r="M39" i="20"/>
  <c r="P45" i="20"/>
  <c r="R36" i="20"/>
  <c r="L83" i="20"/>
  <c r="L43" i="20"/>
  <c r="S39" i="20"/>
  <c r="V36" i="20"/>
  <c r="W41" i="20"/>
  <c r="I48" i="20"/>
  <c r="R41" i="20"/>
  <c r="U43" i="20"/>
  <c r="J38" i="20"/>
  <c r="G38" i="9"/>
  <c r="H86" i="15"/>
  <c r="J38" i="9"/>
  <c r="D86" i="15"/>
  <c r="G36" i="20"/>
  <c r="N5" i="22"/>
  <c r="H38" i="20"/>
  <c r="X84" i="20"/>
  <c r="G38" i="20"/>
  <c r="K38" i="20"/>
  <c r="I44" i="20"/>
  <c r="Y37" i="20"/>
  <c r="S83" i="20"/>
  <c r="S41" i="20"/>
  <c r="R48" i="20"/>
  <c r="J47" i="20"/>
  <c r="U38" i="20"/>
  <c r="M42" i="20"/>
  <c r="M84" i="20"/>
  <c r="O45" i="20"/>
  <c r="C43" i="20"/>
  <c r="Y40" i="20"/>
  <c r="Y44" i="20"/>
  <c r="Q48" i="20"/>
  <c r="I47" i="20"/>
  <c r="L45" i="20"/>
  <c r="K47" i="20"/>
  <c r="H47" i="20"/>
  <c r="K46" i="20"/>
  <c r="N44" i="20"/>
  <c r="N39" i="20"/>
  <c r="T37" i="20"/>
  <c r="P36" i="20"/>
  <c r="P39" i="20"/>
  <c r="V40" i="20"/>
  <c r="H39" i="20"/>
  <c r="S47" i="20"/>
  <c r="J36" i="20"/>
  <c r="G37" i="20"/>
  <c r="R43" i="20"/>
  <c r="E86" i="15"/>
  <c r="F86" i="15"/>
  <c r="L38" i="9"/>
  <c r="O36" i="20"/>
  <c r="M5" i="22"/>
  <c r="X37" i="20"/>
  <c r="H42" i="20"/>
  <c r="S36" i="20"/>
  <c r="R37" i="20"/>
  <c r="P41" i="20"/>
  <c r="M47" i="20"/>
  <c r="Q37" i="20"/>
  <c r="R44" i="20"/>
  <c r="G43" i="20"/>
  <c r="N43" i="20"/>
  <c r="P44" i="20"/>
  <c r="E41" i="20"/>
  <c r="J46" i="20"/>
  <c r="V46" i="20"/>
  <c r="F43" i="20"/>
  <c r="H44" i="20"/>
  <c r="H43" i="20"/>
  <c r="W46" i="20"/>
  <c r="T46" i="20"/>
  <c r="G14" i="13"/>
  <c r="E14" i="13"/>
  <c r="E19" i="13" s="1"/>
  <c r="D117" i="4" l="1"/>
  <c r="D117" i="29" s="1"/>
  <c r="D99" i="29"/>
  <c r="F59" i="9"/>
  <c r="N12" i="13"/>
  <c r="O24" i="22"/>
  <c r="R24" i="22" s="1"/>
  <c r="O99" i="5"/>
  <c r="P99" i="5" s="1"/>
  <c r="Q99" i="5" s="1"/>
  <c r="R99" i="5" s="1"/>
  <c r="H99" i="5"/>
  <c r="P9" i="7"/>
  <c r="G31" i="4"/>
  <c r="G31" i="29" s="1"/>
  <c r="J210" i="9"/>
  <c r="P23" i="7"/>
  <c r="L8" i="22"/>
  <c r="R106" i="5"/>
  <c r="R21" i="5" s="1"/>
  <c r="Q21" i="5"/>
  <c r="H206" i="9"/>
  <c r="E25" i="4"/>
  <c r="E25" i="29" s="1"/>
  <c r="J211" i="9"/>
  <c r="R22" i="5"/>
  <c r="L211" i="9" s="1"/>
  <c r="Q22" i="5"/>
  <c r="K211" i="9" s="1"/>
  <c r="P96" i="5"/>
  <c r="O15" i="5"/>
  <c r="L135" i="5"/>
  <c r="L136" i="5"/>
  <c r="O63" i="5"/>
  <c r="L12" i="22"/>
  <c r="L10" i="22"/>
  <c r="M10" i="22"/>
  <c r="M12" i="22"/>
  <c r="F91" i="9"/>
  <c r="F19" i="13"/>
  <c r="F20" i="13" s="1"/>
  <c r="M14" i="22"/>
  <c r="L14" i="22"/>
  <c r="M6" i="22"/>
  <c r="B33" i="13"/>
  <c r="G17" i="3"/>
  <c r="F228" i="9"/>
  <c r="E15" i="18" s="1"/>
  <c r="C16" i="15"/>
  <c r="E10" i="13"/>
  <c r="P45" i="5"/>
  <c r="O5" i="5"/>
  <c r="O46" i="5"/>
  <c r="G40" i="9"/>
  <c r="J17" i="3" s="1"/>
  <c r="D106" i="4"/>
  <c r="D106" i="29" s="1"/>
  <c r="G91" i="9"/>
  <c r="M8" i="22"/>
  <c r="H17" i="3"/>
  <c r="N6" i="22"/>
  <c r="Q3" i="22"/>
  <c r="R2" i="22"/>
  <c r="R3" i="22" s="1"/>
  <c r="F4" i="9"/>
  <c r="G105" i="9"/>
  <c r="F7" i="4" l="1"/>
  <c r="F7" i="29" s="1"/>
  <c r="I206" i="9"/>
  <c r="F25" i="4"/>
  <c r="F25" i="29" s="1"/>
  <c r="K210" i="9"/>
  <c r="Q9" i="7"/>
  <c r="Q23" i="7"/>
  <c r="Q96" i="5"/>
  <c r="P15" i="5"/>
  <c r="L210" i="9"/>
  <c r="R9" i="7"/>
  <c r="R23" i="7"/>
  <c r="P63" i="5"/>
  <c r="J77" i="9"/>
  <c r="F105" i="9"/>
  <c r="F17" i="3"/>
  <c r="E77" i="9"/>
  <c r="F77" i="9"/>
  <c r="G77" i="9"/>
  <c r="C77" i="9"/>
  <c r="H77" i="9"/>
  <c r="I77" i="9"/>
  <c r="E7" i="18"/>
  <c r="L77" i="9"/>
  <c r="D77" i="9"/>
  <c r="K77" i="9"/>
  <c r="Q45" i="5"/>
  <c r="P5" i="5"/>
  <c r="P46" i="5"/>
  <c r="U22" i="18" l="1"/>
  <c r="T22" i="18"/>
  <c r="R23" i="18"/>
  <c r="S23" i="18"/>
  <c r="O23" i="18"/>
  <c r="P23" i="18"/>
  <c r="Q23" i="18"/>
  <c r="G7" i="4"/>
  <c r="G7" i="29" s="1"/>
  <c r="J206" i="9"/>
  <c r="G25" i="4"/>
  <c r="G25" i="29" s="1"/>
  <c r="R96" i="5"/>
  <c r="R15" i="5" s="1"/>
  <c r="L206" i="9" s="1"/>
  <c r="Q15" i="5"/>
  <c r="K206" i="9" s="1"/>
  <c r="Q63" i="5"/>
  <c r="D110" i="4"/>
  <c r="D110" i="29" s="1"/>
  <c r="C51" i="18"/>
  <c r="C50" i="18" s="1"/>
  <c r="C49" i="18" s="1"/>
  <c r="C53" i="18"/>
  <c r="C54" i="18" s="1"/>
  <c r="C55" i="18" s="1"/>
  <c r="R45" i="5"/>
  <c r="Q5" i="5"/>
  <c r="Q46" i="5"/>
  <c r="E16" i="18"/>
  <c r="U23" i="18" l="1"/>
  <c r="R63" i="5"/>
  <c r="R5" i="5"/>
  <c r="R46" i="5"/>
  <c r="D97" i="4" l="1"/>
  <c r="D43" i="4"/>
  <c r="E5" i="4"/>
  <c r="E5" i="29" s="1"/>
  <c r="C5" i="4"/>
  <c r="H42" i="27"/>
  <c r="G42" i="27"/>
  <c r="H38" i="27"/>
  <c r="E3" i="27"/>
  <c r="D3" i="27"/>
  <c r="C43" i="18"/>
  <c r="G9" i="18"/>
  <c r="H9" i="18" s="1"/>
  <c r="I9" i="18" s="1"/>
  <c r="J9" i="18" s="1"/>
  <c r="N58" i="7"/>
  <c r="M58" i="7"/>
  <c r="N57" i="7" s="1"/>
  <c r="O57" i="7" s="1"/>
  <c r="P57" i="7" s="1"/>
  <c r="Q57" i="7" s="1"/>
  <c r="R57" i="7" s="1"/>
  <c r="N3" i="7"/>
  <c r="N76" i="7" s="1"/>
  <c r="M3" i="7"/>
  <c r="L3" i="7"/>
  <c r="N264" i="6"/>
  <c r="L264" i="6"/>
  <c r="N219" i="6"/>
  <c r="L219" i="6"/>
  <c r="N99" i="6"/>
  <c r="L99" i="6"/>
  <c r="N3" i="6"/>
  <c r="M3" i="6"/>
  <c r="L3" i="6"/>
  <c r="E6" i="24"/>
  <c r="E26" i="24" s="1"/>
  <c r="E44" i="24" s="1"/>
  <c r="E63" i="24" s="1"/>
  <c r="E85" i="24" s="1"/>
  <c r="N146" i="5"/>
  <c r="L146" i="5"/>
  <c r="N42" i="5"/>
  <c r="M42" i="5"/>
  <c r="N41" i="5" s="1"/>
  <c r="O41" i="5" s="1"/>
  <c r="P41" i="5" s="1"/>
  <c r="L42" i="5"/>
  <c r="M53" i="5"/>
  <c r="L53" i="5"/>
  <c r="M47" i="5"/>
  <c r="K3" i="5"/>
  <c r="O2" i="5"/>
  <c r="P2" i="5" s="1"/>
  <c r="Q2" i="5" s="1"/>
  <c r="G3" i="9"/>
  <c r="G246" i="9"/>
  <c r="F246" i="9"/>
  <c r="G236" i="9"/>
  <c r="F236" i="9"/>
  <c r="H226" i="9"/>
  <c r="F226" i="9"/>
  <c r="D9" i="27"/>
  <c r="I38" i="27" s="1"/>
  <c r="H196" i="9"/>
  <c r="G196" i="9"/>
  <c r="H195" i="9" s="1"/>
  <c r="I195" i="9" s="1"/>
  <c r="J195" i="9" s="1"/>
  <c r="F196" i="9"/>
  <c r="H167" i="9"/>
  <c r="H175" i="9" s="1"/>
  <c r="F167" i="9"/>
  <c r="F175" i="9" s="1"/>
  <c r="F138" i="9"/>
  <c r="H111" i="9"/>
  <c r="G111" i="9"/>
  <c r="H110" i="9" s="1"/>
  <c r="I110" i="9" s="1"/>
  <c r="J110" i="9" s="1"/>
  <c r="K110" i="9" s="1"/>
  <c r="L110" i="9" s="1"/>
  <c r="F111" i="9"/>
  <c r="H97" i="9"/>
  <c r="G97" i="9"/>
  <c r="H96" i="9" s="1"/>
  <c r="I96" i="9" s="1"/>
  <c r="J96" i="9" s="1"/>
  <c r="F97" i="9"/>
  <c r="H82" i="9"/>
  <c r="G82" i="9"/>
  <c r="H81" i="9" s="1"/>
  <c r="I81" i="9" s="1"/>
  <c r="J81" i="9" s="1"/>
  <c r="F82" i="9"/>
  <c r="H71" i="9"/>
  <c r="H20" i="9"/>
  <c r="F19" i="9"/>
  <c r="M110" i="5" l="1"/>
  <c r="M49" i="5"/>
  <c r="L49" i="5"/>
  <c r="L110" i="5"/>
  <c r="C43" i="4"/>
  <c r="C5" i="29"/>
  <c r="E67" i="29"/>
  <c r="E43" i="29"/>
  <c r="E97" i="29"/>
  <c r="M112" i="6"/>
  <c r="G67" i="9"/>
  <c r="G103" i="9" s="1"/>
  <c r="M161" i="6"/>
  <c r="N161" i="6" s="1"/>
  <c r="G126" i="9"/>
  <c r="G128" i="9"/>
  <c r="M124" i="6"/>
  <c r="N124" i="6" s="1"/>
  <c r="M162" i="6"/>
  <c r="N162" i="6" s="1"/>
  <c r="M146" i="6"/>
  <c r="M147" i="6" s="1"/>
  <c r="N147" i="6" s="1"/>
  <c r="M233" i="6"/>
  <c r="N233" i="6" s="1"/>
  <c r="M131" i="6"/>
  <c r="M132" i="6" s="1"/>
  <c r="G116" i="9"/>
  <c r="M120" i="6"/>
  <c r="G127" i="9"/>
  <c r="G129" i="9"/>
  <c r="D33" i="18" s="1"/>
  <c r="M142" i="6"/>
  <c r="M118" i="6"/>
  <c r="N118" i="6" s="1"/>
  <c r="M108" i="6"/>
  <c r="G157" i="9"/>
  <c r="M113" i="6"/>
  <c r="M114" i="6" s="1"/>
  <c r="M115" i="6" s="1"/>
  <c r="G61" i="9" s="1"/>
  <c r="E208" i="9"/>
  <c r="K102" i="5"/>
  <c r="E199" i="9"/>
  <c r="E211" i="9"/>
  <c r="E205" i="9"/>
  <c r="K88" i="5"/>
  <c r="E203" i="9"/>
  <c r="K65" i="5"/>
  <c r="F157" i="9"/>
  <c r="F128" i="9"/>
  <c r="F126" i="9"/>
  <c r="L162" i="6"/>
  <c r="L118" i="6"/>
  <c r="F127" i="9"/>
  <c r="L142" i="6"/>
  <c r="F129" i="9"/>
  <c r="L146" i="6"/>
  <c r="L147" i="6" s="1"/>
  <c r="L112" i="6"/>
  <c r="L124" i="6"/>
  <c r="L120" i="6"/>
  <c r="C72" i="4"/>
  <c r="C72" i="29" s="1"/>
  <c r="L131" i="6"/>
  <c r="L132" i="6" s="1"/>
  <c r="L133" i="6" s="1"/>
  <c r="F63" i="9" s="1"/>
  <c r="L161" i="6"/>
  <c r="L108" i="6"/>
  <c r="F116" i="9"/>
  <c r="F67" i="9"/>
  <c r="F103" i="9" s="1"/>
  <c r="L113" i="6"/>
  <c r="L114" i="6" s="1"/>
  <c r="L115" i="6" s="1"/>
  <c r="L18" i="7"/>
  <c r="C49" i="4" s="1"/>
  <c r="C49" i="29" s="1"/>
  <c r="F249" i="9"/>
  <c r="K141" i="5"/>
  <c r="E198" i="9"/>
  <c r="K47" i="5"/>
  <c r="N47" i="5" s="1"/>
  <c r="H47" i="5" s="1"/>
  <c r="K125" i="5"/>
  <c r="K123" i="5"/>
  <c r="K108" i="5"/>
  <c r="E210" i="9"/>
  <c r="K106" i="5"/>
  <c r="K138" i="5"/>
  <c r="M18" i="7"/>
  <c r="C85" i="4"/>
  <c r="C85" i="29" s="1"/>
  <c r="C73" i="4"/>
  <c r="C73" i="29" s="1"/>
  <c r="C87" i="4"/>
  <c r="C87" i="29" s="1"/>
  <c r="G249" i="9"/>
  <c r="L76" i="7"/>
  <c r="K3" i="7"/>
  <c r="M76" i="7"/>
  <c r="E100" i="24"/>
  <c r="E119" i="24" s="1"/>
  <c r="E141" i="24" s="1"/>
  <c r="B145" i="24" s="1"/>
  <c r="B89" i="24"/>
  <c r="L54" i="5"/>
  <c r="M54" i="5"/>
  <c r="G20" i="15"/>
  <c r="G83" i="15" s="1"/>
  <c r="L83" i="6"/>
  <c r="G47" i="9"/>
  <c r="G4" i="9" s="1"/>
  <c r="G52" i="9"/>
  <c r="F152" i="9"/>
  <c r="G152" i="9"/>
  <c r="E247" i="9"/>
  <c r="F54" i="9"/>
  <c r="E49" i="9"/>
  <c r="N2" i="6"/>
  <c r="O2" i="6" s="1"/>
  <c r="P2" i="6" s="1"/>
  <c r="Q2" i="6" s="1"/>
  <c r="R2" i="6" s="1"/>
  <c r="N2" i="7"/>
  <c r="O2" i="7" s="1"/>
  <c r="P2" i="7" s="1"/>
  <c r="Q2" i="7" s="1"/>
  <c r="R2" i="7" s="1"/>
  <c r="O3" i="5"/>
  <c r="E197" i="9"/>
  <c r="K43" i="5"/>
  <c r="K147" i="5"/>
  <c r="D12" i="18"/>
  <c r="E13" i="18" s="1"/>
  <c r="K50" i="5"/>
  <c r="L104" i="6"/>
  <c r="D12" i="27"/>
  <c r="L38" i="27" s="1"/>
  <c r="M325" i="6"/>
  <c r="G114" i="9"/>
  <c r="D11" i="27"/>
  <c r="K38" i="27" s="1"/>
  <c r="G115" i="9"/>
  <c r="M126" i="6"/>
  <c r="G56" i="9"/>
  <c r="G57" i="9"/>
  <c r="L151" i="6"/>
  <c r="M152" i="6"/>
  <c r="L165" i="6"/>
  <c r="L164" i="6"/>
  <c r="G125" i="9"/>
  <c r="L205" i="6"/>
  <c r="M209" i="6"/>
  <c r="N209" i="6" s="1"/>
  <c r="O209" i="6" s="1"/>
  <c r="P209" i="6" s="1"/>
  <c r="Q209" i="6" s="1"/>
  <c r="R209" i="6" s="1"/>
  <c r="L211" i="6"/>
  <c r="G45" i="9"/>
  <c r="D4" i="27"/>
  <c r="D38" i="27" s="1"/>
  <c r="M241" i="6"/>
  <c r="N241" i="6" s="1"/>
  <c r="O241" i="6" s="1"/>
  <c r="P241" i="6" s="1"/>
  <c r="Q241" i="6" s="1"/>
  <c r="R241" i="6" s="1"/>
  <c r="M222" i="6"/>
  <c r="M231" i="6"/>
  <c r="N231" i="6" s="1"/>
  <c r="O231" i="6" s="1"/>
  <c r="P231" i="6" s="1"/>
  <c r="Q231" i="6" s="1"/>
  <c r="R231" i="6" s="1"/>
  <c r="C78" i="4"/>
  <c r="C78" i="29" s="1"/>
  <c r="L250" i="6"/>
  <c r="M245" i="6" s="1"/>
  <c r="L244" i="6"/>
  <c r="F143" i="9"/>
  <c r="G58" i="9"/>
  <c r="D5" i="27"/>
  <c r="E38" i="27" s="1"/>
  <c r="L276" i="6"/>
  <c r="L290" i="6"/>
  <c r="L136" i="22" s="1"/>
  <c r="M292" i="6"/>
  <c r="N292" i="6" s="1"/>
  <c r="N25" i="7" s="1"/>
  <c r="G151" i="9"/>
  <c r="M311" i="6"/>
  <c r="N302" i="6" s="1"/>
  <c r="M301" i="6"/>
  <c r="C90" i="4"/>
  <c r="C90" i="29" s="1"/>
  <c r="L316" i="6"/>
  <c r="F147" i="9"/>
  <c r="C92" i="4"/>
  <c r="C92" i="29" s="1"/>
  <c r="L129" i="6"/>
  <c r="L172" i="6"/>
  <c r="L186" i="6"/>
  <c r="F185" i="9"/>
  <c r="F216" i="9"/>
  <c r="F217" i="9" s="1"/>
  <c r="F48" i="9" s="1"/>
  <c r="F240" i="9"/>
  <c r="M77" i="7"/>
  <c r="C46" i="4"/>
  <c r="C46" i="29" s="1"/>
  <c r="L78" i="7"/>
  <c r="G242" i="9"/>
  <c r="C48" i="4"/>
  <c r="C48" i="29" s="1"/>
  <c r="F241" i="9"/>
  <c r="C51" i="4"/>
  <c r="C51" i="29" s="1"/>
  <c r="C54" i="4"/>
  <c r="C54" i="29" s="1"/>
  <c r="D55" i="4"/>
  <c r="D55" i="29" s="1"/>
  <c r="D56" i="4"/>
  <c r="D56" i="29" s="1"/>
  <c r="C58" i="4"/>
  <c r="C58" i="29" s="1"/>
  <c r="D59" i="4"/>
  <c r="D59" i="29" s="1"/>
  <c r="E200" i="9"/>
  <c r="K56" i="5"/>
  <c r="K62" i="5"/>
  <c r="E202" i="9"/>
  <c r="E204" i="9"/>
  <c r="K79" i="5"/>
  <c r="K98" i="5"/>
  <c r="E207" i="9"/>
  <c r="E237" i="9"/>
  <c r="K114" i="5"/>
  <c r="E213" i="9"/>
  <c r="K118" i="5"/>
  <c r="K127" i="5"/>
  <c r="K133" i="5"/>
  <c r="F156" i="9"/>
  <c r="L52" i="7"/>
  <c r="L100" i="6"/>
  <c r="M104" i="6"/>
  <c r="D35" i="18"/>
  <c r="L150" i="6"/>
  <c r="M151" i="6"/>
  <c r="N151" i="6" s="1"/>
  <c r="O151" i="6" s="1"/>
  <c r="P151" i="6" s="1"/>
  <c r="Q151" i="6" s="1"/>
  <c r="R151" i="6" s="1"/>
  <c r="M164" i="6"/>
  <c r="M165" i="6"/>
  <c r="N165" i="6" s="1"/>
  <c r="L202" i="6"/>
  <c r="M205" i="6"/>
  <c r="N205" i="6" s="1"/>
  <c r="L210" i="6"/>
  <c r="M211" i="6"/>
  <c r="N211" i="6" s="1"/>
  <c r="O211" i="6" s="1"/>
  <c r="P211" i="6" s="1"/>
  <c r="Q211" i="6" s="1"/>
  <c r="R211" i="6" s="1"/>
  <c r="L221" i="6"/>
  <c r="L68" i="7" s="1"/>
  <c r="L104" i="22"/>
  <c r="O104" i="22" s="1"/>
  <c r="R104" i="22" s="1"/>
  <c r="L230" i="6"/>
  <c r="M250" i="6"/>
  <c r="N245" i="6" s="1"/>
  <c r="G143" i="9"/>
  <c r="M244" i="6"/>
  <c r="L254" i="6"/>
  <c r="L115" i="22" s="1"/>
  <c r="F144" i="9"/>
  <c r="C82" i="4"/>
  <c r="C82" i="29" s="1"/>
  <c r="M276" i="6"/>
  <c r="M290" i="6"/>
  <c r="N290" i="6" s="1"/>
  <c r="F150" i="9"/>
  <c r="C88" i="4"/>
  <c r="C88" i="29" s="1"/>
  <c r="L295" i="6"/>
  <c r="L299" i="6"/>
  <c r="G147" i="9"/>
  <c r="D39" i="18"/>
  <c r="D38" i="18" s="1"/>
  <c r="M316" i="6"/>
  <c r="M129" i="6"/>
  <c r="M172" i="6"/>
  <c r="M82" i="5" s="1"/>
  <c r="C45" i="4"/>
  <c r="C45" i="29" s="1"/>
  <c r="M186" i="6"/>
  <c r="G185" i="9"/>
  <c r="G216" i="9"/>
  <c r="G217" i="9" s="1"/>
  <c r="G48" i="9" s="1"/>
  <c r="G240" i="9"/>
  <c r="C47" i="4"/>
  <c r="C47" i="29" s="1"/>
  <c r="M78" i="7"/>
  <c r="D46" i="4"/>
  <c r="D46" i="29" s="1"/>
  <c r="D48" i="4"/>
  <c r="D48" i="29" s="1"/>
  <c r="G241" i="9"/>
  <c r="L61" i="7"/>
  <c r="F23" i="9"/>
  <c r="C100" i="4" s="1"/>
  <c r="C100" i="29" s="1"/>
  <c r="C50" i="4"/>
  <c r="C50" i="29" s="1"/>
  <c r="F238" i="9"/>
  <c r="F239" i="9" s="1"/>
  <c r="D51" i="4"/>
  <c r="D51" i="29" s="1"/>
  <c r="L62" i="7"/>
  <c r="C53" i="4"/>
  <c r="C53" i="29" s="1"/>
  <c r="D54" i="4"/>
  <c r="D54" i="29" s="1"/>
  <c r="D58" i="4"/>
  <c r="D58" i="29" s="1"/>
  <c r="M63" i="7"/>
  <c r="L72" i="7"/>
  <c r="K148" i="5"/>
  <c r="K45" i="5"/>
  <c r="M52" i="7"/>
  <c r="M100" i="6"/>
  <c r="G156" i="9"/>
  <c r="D34" i="18"/>
  <c r="N48" i="7"/>
  <c r="N59" i="7" s="1"/>
  <c r="L326" i="6"/>
  <c r="L52" i="22"/>
  <c r="O52" i="22" s="1"/>
  <c r="R52" i="22" s="1"/>
  <c r="L136" i="6"/>
  <c r="M150" i="6"/>
  <c r="N150" i="6" s="1"/>
  <c r="O150" i="6" s="1"/>
  <c r="L154" i="6"/>
  <c r="L188" i="6"/>
  <c r="L196" i="6"/>
  <c r="L193" i="6" s="1"/>
  <c r="M202" i="6"/>
  <c r="M203" i="6" s="1"/>
  <c r="N203" i="6" s="1"/>
  <c r="O203" i="6" s="1"/>
  <c r="P203" i="6" s="1"/>
  <c r="Q203" i="6" s="1"/>
  <c r="R203" i="6" s="1"/>
  <c r="M210" i="6"/>
  <c r="N210" i="6" s="1"/>
  <c r="O210" i="6" s="1"/>
  <c r="P210" i="6" s="1"/>
  <c r="Q210" i="6" s="1"/>
  <c r="R210" i="6" s="1"/>
  <c r="L70" i="7"/>
  <c r="C79" i="4"/>
  <c r="C79" i="29" s="1"/>
  <c r="F141" i="9"/>
  <c r="L220" i="6"/>
  <c r="M67" i="7"/>
  <c r="M221" i="6"/>
  <c r="N221" i="6" s="1"/>
  <c r="O221" i="6" s="1"/>
  <c r="P221" i="6" s="1"/>
  <c r="Q221" i="6" s="1"/>
  <c r="R221" i="6" s="1"/>
  <c r="L224" i="6"/>
  <c r="M230" i="6"/>
  <c r="N230" i="6" s="1"/>
  <c r="L242" i="6"/>
  <c r="M238" i="6" s="1"/>
  <c r="F142" i="9"/>
  <c r="L237" i="6"/>
  <c r="M74" i="5"/>
  <c r="M254" i="6"/>
  <c r="N254" i="6" s="1"/>
  <c r="O254" i="6" s="1"/>
  <c r="P254" i="6" s="1"/>
  <c r="Q254" i="6" s="1"/>
  <c r="R254" i="6" s="1"/>
  <c r="G144" i="9"/>
  <c r="F148" i="9"/>
  <c r="C84" i="4"/>
  <c r="C84" i="29" s="1"/>
  <c r="L274" i="6"/>
  <c r="L265" i="6"/>
  <c r="F149" i="9"/>
  <c r="L288" i="6"/>
  <c r="L278" i="6"/>
  <c r="C86" i="4"/>
  <c r="C86" i="29" s="1"/>
  <c r="M295" i="6"/>
  <c r="G150" i="9"/>
  <c r="M299" i="6"/>
  <c r="C91" i="4"/>
  <c r="C91" i="29" s="1"/>
  <c r="F39" i="9"/>
  <c r="L159" i="6"/>
  <c r="D45" i="4"/>
  <c r="D45" i="29" s="1"/>
  <c r="D47" i="4"/>
  <c r="D47" i="29" s="1"/>
  <c r="M61" i="7"/>
  <c r="D50" i="4"/>
  <c r="D50" i="29" s="1"/>
  <c r="G23" i="9"/>
  <c r="D100" i="4" s="1"/>
  <c r="D100" i="29" s="1"/>
  <c r="G238" i="9"/>
  <c r="G239" i="9" s="1"/>
  <c r="D53" i="4"/>
  <c r="D53" i="29" s="1"/>
  <c r="M62" i="7"/>
  <c r="L64" i="7"/>
  <c r="L59" i="7"/>
  <c r="M72" i="7"/>
  <c r="K59" i="5"/>
  <c r="E201" i="9"/>
  <c r="K68" i="5"/>
  <c r="K104" i="5"/>
  <c r="E209" i="9"/>
  <c r="K96" i="5"/>
  <c r="E206" i="9"/>
  <c r="K113" i="5"/>
  <c r="E212" i="9"/>
  <c r="K37" i="5"/>
  <c r="E22" i="9" s="1"/>
  <c r="E101" i="9"/>
  <c r="K303" i="6"/>
  <c r="K308" i="6" s="1"/>
  <c r="C14" i="13" s="1"/>
  <c r="C13" i="13"/>
  <c r="E40" i="9"/>
  <c r="F114" i="9"/>
  <c r="L325" i="6"/>
  <c r="M326" i="6"/>
  <c r="C71" i="4"/>
  <c r="C71" i="29" s="1"/>
  <c r="F115" i="9"/>
  <c r="L126" i="6"/>
  <c r="M136" i="6"/>
  <c r="F57" i="9"/>
  <c r="C68" i="4"/>
  <c r="C68" i="29" s="1"/>
  <c r="F56" i="9"/>
  <c r="L138" i="6"/>
  <c r="L152" i="6"/>
  <c r="M154" i="6"/>
  <c r="C75" i="4"/>
  <c r="C75" i="29" s="1"/>
  <c r="F125" i="9"/>
  <c r="M188" i="6"/>
  <c r="N188" i="6" s="1"/>
  <c r="M196" i="6"/>
  <c r="M193" i="6" s="1"/>
  <c r="L209" i="6"/>
  <c r="C77" i="4"/>
  <c r="C77" i="29" s="1"/>
  <c r="F45" i="9"/>
  <c r="D10" i="27"/>
  <c r="J38" i="27" s="1"/>
  <c r="M70" i="7"/>
  <c r="M220" i="6"/>
  <c r="G141" i="9"/>
  <c r="L222" i="6"/>
  <c r="L241" i="6"/>
  <c r="L110" i="22" s="1"/>
  <c r="M224" i="6"/>
  <c r="N224" i="6" s="1"/>
  <c r="L231" i="6"/>
  <c r="M242" i="6"/>
  <c r="N238" i="6" s="1"/>
  <c r="G142" i="9"/>
  <c r="M237" i="6"/>
  <c r="F58" i="9"/>
  <c r="C83" i="4"/>
  <c r="C83" i="29" s="1"/>
  <c r="M265" i="6"/>
  <c r="G148" i="9"/>
  <c r="M274" i="6"/>
  <c r="N266" i="6" s="1"/>
  <c r="M288" i="6"/>
  <c r="G149" i="9"/>
  <c r="M278" i="6"/>
  <c r="L292" i="6"/>
  <c r="L311" i="6"/>
  <c r="M302" i="6" s="1"/>
  <c r="L301" i="6"/>
  <c r="F151" i="9"/>
  <c r="C89" i="4"/>
  <c r="C89" i="29" s="1"/>
  <c r="G39" i="9"/>
  <c r="M159" i="6"/>
  <c r="M81" i="5" s="1"/>
  <c r="L77" i="7"/>
  <c r="F242" i="9"/>
  <c r="C55" i="4"/>
  <c r="C55" i="29" s="1"/>
  <c r="C56" i="4"/>
  <c r="C56" i="29" s="1"/>
  <c r="C59" i="4"/>
  <c r="C59" i="29" s="1"/>
  <c r="M59" i="7"/>
  <c r="M64" i="7"/>
  <c r="J11" i="18"/>
  <c r="K9" i="18"/>
  <c r="Q3" i="5"/>
  <c r="R2" i="5"/>
  <c r="R3" i="5" s="1"/>
  <c r="E20" i="9"/>
  <c r="E71" i="9"/>
  <c r="E97" i="9"/>
  <c r="E226" i="9"/>
  <c r="P3" i="5"/>
  <c r="H68" i="27" s="1"/>
  <c r="L68" i="27" s="1"/>
  <c r="K146" i="5"/>
  <c r="M83" i="6"/>
  <c r="L324" i="6"/>
  <c r="K58" i="7"/>
  <c r="G11" i="18"/>
  <c r="H3" i="9"/>
  <c r="H236" i="9"/>
  <c r="E138" i="9"/>
  <c r="E167" i="9"/>
  <c r="E175" i="9" s="1"/>
  <c r="J3" i="5"/>
  <c r="K264" i="6"/>
  <c r="M324" i="6"/>
  <c r="H11" i="18"/>
  <c r="F42" i="27"/>
  <c r="F20" i="15"/>
  <c r="F83" i="15" s="1"/>
  <c r="C67" i="4"/>
  <c r="G228" i="9"/>
  <c r="N324" i="6"/>
  <c r="H20" i="15"/>
  <c r="H83" i="15" s="1"/>
  <c r="K99" i="6"/>
  <c r="I11" i="18"/>
  <c r="C97" i="4"/>
  <c r="E82" i="9"/>
  <c r="E111" i="9"/>
  <c r="E196" i="9"/>
  <c r="K42" i="5"/>
  <c r="K3" i="6"/>
  <c r="K219" i="6"/>
  <c r="E97" i="4"/>
  <c r="E67" i="4"/>
  <c r="E43" i="4"/>
  <c r="E214" i="9" l="1"/>
  <c r="E47" i="9" s="1"/>
  <c r="M80" i="5"/>
  <c r="N80" i="5"/>
  <c r="D113" i="4"/>
  <c r="D113" i="29" s="1"/>
  <c r="C43" i="29"/>
  <c r="C67" i="29"/>
  <c r="C97" i="29"/>
  <c r="G243" i="9"/>
  <c r="F243" i="9"/>
  <c r="N6" i="5"/>
  <c r="O165" i="6"/>
  <c r="N27" i="7"/>
  <c r="N152" i="6"/>
  <c r="O224" i="6"/>
  <c r="N21" i="7"/>
  <c r="L143" i="6"/>
  <c r="M252" i="6"/>
  <c r="N252" i="6" s="1"/>
  <c r="O252" i="6" s="1"/>
  <c r="P252" i="6" s="1"/>
  <c r="Q252" i="6" s="1"/>
  <c r="R252" i="6" s="1"/>
  <c r="M143" i="6"/>
  <c r="N143" i="6" s="1"/>
  <c r="O143" i="6" s="1"/>
  <c r="E67" i="9"/>
  <c r="E103" i="9" s="1"/>
  <c r="K213" i="6"/>
  <c r="K131" i="6"/>
  <c r="K132" i="6" s="1"/>
  <c r="K133" i="6" s="1"/>
  <c r="E63" i="9" s="1"/>
  <c r="K142" i="6"/>
  <c r="E129" i="9"/>
  <c r="F172" i="9" s="1"/>
  <c r="E127" i="9"/>
  <c r="F170" i="9" s="1"/>
  <c r="K113" i="6"/>
  <c r="K114" i="6" s="1"/>
  <c r="K115" i="6" s="1"/>
  <c r="E116" i="9"/>
  <c r="K112" i="6"/>
  <c r="K146" i="6"/>
  <c r="K147" i="6" s="1"/>
  <c r="K108" i="6"/>
  <c r="L109" i="6" s="1"/>
  <c r="K124" i="6"/>
  <c r="E126" i="9"/>
  <c r="K118" i="6"/>
  <c r="K161" i="6"/>
  <c r="K120" i="6"/>
  <c r="E128" i="9"/>
  <c r="K162" i="6"/>
  <c r="E157" i="9"/>
  <c r="D205" i="9"/>
  <c r="J88" i="5"/>
  <c r="D211" i="9"/>
  <c r="J47" i="5"/>
  <c r="D203" i="9"/>
  <c r="J65" i="5"/>
  <c r="D208" i="9"/>
  <c r="J102" i="5"/>
  <c r="F161" i="9"/>
  <c r="F181" i="9"/>
  <c r="F61" i="9"/>
  <c r="F66" i="9"/>
  <c r="F120" i="9"/>
  <c r="M109" i="6"/>
  <c r="N109" i="6" s="1"/>
  <c r="G172" i="9"/>
  <c r="G181" i="9"/>
  <c r="G161" i="9"/>
  <c r="N146" i="6"/>
  <c r="N20" i="6" s="1"/>
  <c r="O147" i="6"/>
  <c r="H147" i="6"/>
  <c r="N25" i="6"/>
  <c r="H161" i="6"/>
  <c r="O161" i="6"/>
  <c r="K66" i="5"/>
  <c r="G66" i="9"/>
  <c r="D112" i="4" s="1"/>
  <c r="D112" i="29" s="1"/>
  <c r="N132" i="6"/>
  <c r="M133" i="6"/>
  <c r="G63" i="9" s="1"/>
  <c r="N26" i="6"/>
  <c r="O162" i="6"/>
  <c r="H162" i="6"/>
  <c r="O118" i="6"/>
  <c r="H118" i="6"/>
  <c r="N9" i="6"/>
  <c r="G120" i="9"/>
  <c r="O233" i="6"/>
  <c r="P233" i="6" s="1"/>
  <c r="Q233" i="6" s="1"/>
  <c r="R233" i="6" s="1"/>
  <c r="H233" i="6"/>
  <c r="O47" i="5"/>
  <c r="O43" i="5" s="1"/>
  <c r="N43" i="5"/>
  <c r="M70" i="5"/>
  <c r="N70" i="5" s="1"/>
  <c r="O70" i="5" s="1"/>
  <c r="P70" i="5" s="1"/>
  <c r="Q70" i="5" s="1"/>
  <c r="R70" i="5" s="1"/>
  <c r="P150" i="6"/>
  <c r="M105" i="6"/>
  <c r="N105" i="6" s="1"/>
  <c r="L140" i="6"/>
  <c r="O124" i="6"/>
  <c r="N12" i="6"/>
  <c r="L56" i="22"/>
  <c r="N159" i="6"/>
  <c r="N81" i="5" s="1"/>
  <c r="N172" i="6"/>
  <c r="N82" i="5" s="1"/>
  <c r="M192" i="6"/>
  <c r="K53" i="5"/>
  <c r="K54" i="5" s="1"/>
  <c r="N54" i="5" s="1"/>
  <c r="K72" i="7"/>
  <c r="K59" i="7"/>
  <c r="K64" i="7"/>
  <c r="K159" i="22" s="1"/>
  <c r="K18" i="7"/>
  <c r="K61" i="7"/>
  <c r="E238" i="9"/>
  <c r="E239" i="9" s="1"/>
  <c r="E23" i="9"/>
  <c r="K186" i="6"/>
  <c r="E216" i="9"/>
  <c r="E185" i="9"/>
  <c r="K62" i="7"/>
  <c r="K77" i="7"/>
  <c r="K78" i="7"/>
  <c r="J108" i="5"/>
  <c r="D210" i="9"/>
  <c r="J106" i="5"/>
  <c r="D199" i="9"/>
  <c r="D198" i="9"/>
  <c r="J123" i="5"/>
  <c r="J138" i="5"/>
  <c r="J141" i="5"/>
  <c r="J125" i="5"/>
  <c r="K138" i="6"/>
  <c r="K76" i="7"/>
  <c r="C76" i="4"/>
  <c r="C76" i="29" s="1"/>
  <c r="E241" i="9"/>
  <c r="K139" i="5"/>
  <c r="M138" i="6"/>
  <c r="N138" i="6" s="1"/>
  <c r="N136" i="6"/>
  <c r="H136" i="6" s="1"/>
  <c r="E242" i="9"/>
  <c r="O230" i="6"/>
  <c r="N51" i="6"/>
  <c r="O99" i="6"/>
  <c r="G68" i="27"/>
  <c r="K68" i="27" s="1"/>
  <c r="O290" i="6"/>
  <c r="P290" i="6" s="1"/>
  <c r="Q290" i="6" s="1"/>
  <c r="R290" i="6" s="1"/>
  <c r="L127" i="6"/>
  <c r="H254" i="6"/>
  <c r="H210" i="6"/>
  <c r="H230" i="6"/>
  <c r="H203" i="6"/>
  <c r="H211" i="6"/>
  <c r="H224" i="6"/>
  <c r="H231" i="6"/>
  <c r="H241" i="6"/>
  <c r="H150" i="6"/>
  <c r="H151" i="6"/>
  <c r="H209" i="6"/>
  <c r="H124" i="6"/>
  <c r="F6" i="24"/>
  <c r="F26" i="24" s="1"/>
  <c r="F44" i="24" s="1"/>
  <c r="F63" i="24" s="1"/>
  <c r="F85" i="24" s="1"/>
  <c r="O219" i="6"/>
  <c r="F165" i="6"/>
  <c r="L107" i="22"/>
  <c r="L106" i="22"/>
  <c r="L60" i="22"/>
  <c r="L63" i="22"/>
  <c r="L85" i="22"/>
  <c r="N25" i="5"/>
  <c r="O25" i="5"/>
  <c r="I213" i="9" s="1"/>
  <c r="L68" i="22"/>
  <c r="L252" i="6"/>
  <c r="L114" i="22" s="1"/>
  <c r="L84" i="22"/>
  <c r="L51" i="22"/>
  <c r="L53" i="22"/>
  <c r="O53" i="22" s="1"/>
  <c r="R53" i="22" s="1"/>
  <c r="L105" i="22"/>
  <c r="O105" i="22" s="1"/>
  <c r="R105" i="22" s="1"/>
  <c r="N24" i="5"/>
  <c r="O24" i="5"/>
  <c r="L101" i="22"/>
  <c r="L57" i="22"/>
  <c r="L86" i="22"/>
  <c r="L59" i="22"/>
  <c r="M116" i="5"/>
  <c r="M111" i="5"/>
  <c r="M25" i="22"/>
  <c r="L116" i="5"/>
  <c r="L111" i="5"/>
  <c r="L25" i="22"/>
  <c r="L192" i="6"/>
  <c r="K51" i="5"/>
  <c r="N51" i="5" s="1"/>
  <c r="O3" i="6"/>
  <c r="I20" i="15" s="1"/>
  <c r="I83" i="15" s="1"/>
  <c r="F5" i="4"/>
  <c r="O264" i="6"/>
  <c r="O146" i="5"/>
  <c r="O3" i="7"/>
  <c r="O76" i="7" s="1"/>
  <c r="O42" i="5"/>
  <c r="F3" i="27"/>
  <c r="D247" i="9"/>
  <c r="E152" i="9"/>
  <c r="G171" i="9"/>
  <c r="E240" i="9"/>
  <c r="G146" i="9"/>
  <c r="F146" i="9"/>
  <c r="C113" i="4"/>
  <c r="C113" i="29" s="1"/>
  <c r="E54" i="9"/>
  <c r="D49" i="9"/>
  <c r="M43" i="22"/>
  <c r="G169" i="9"/>
  <c r="F104" i="9"/>
  <c r="C108" i="4"/>
  <c r="C108" i="29" s="1"/>
  <c r="F93" i="9"/>
  <c r="E46" i="9"/>
  <c r="L170" i="6"/>
  <c r="L175" i="6" s="1"/>
  <c r="F65" i="9" s="1"/>
  <c r="M38" i="5"/>
  <c r="D121" i="4" s="1"/>
  <c r="D121" i="29" s="1"/>
  <c r="L38" i="5"/>
  <c r="C121" i="4" s="1"/>
  <c r="C121" i="29" s="1"/>
  <c r="L58" i="22"/>
  <c r="M256" i="6"/>
  <c r="N256" i="6" s="1"/>
  <c r="G104" i="9"/>
  <c r="M313" i="6"/>
  <c r="N313" i="6" s="1"/>
  <c r="H313" i="6" s="1"/>
  <c r="L256" i="6"/>
  <c r="L43" i="22"/>
  <c r="K23" i="22"/>
  <c r="N23" i="22" s="1"/>
  <c r="K99" i="5"/>
  <c r="G170" i="9"/>
  <c r="M65" i="7"/>
  <c r="O58" i="7"/>
  <c r="I167" i="9"/>
  <c r="I175" i="9" s="1"/>
  <c r="I111" i="9"/>
  <c r="I20" i="9"/>
  <c r="I97" i="9"/>
  <c r="I82" i="9"/>
  <c r="I226" i="9"/>
  <c r="I196" i="9"/>
  <c r="I138" i="9"/>
  <c r="I71" i="9"/>
  <c r="F140" i="9"/>
  <c r="F94" i="15" s="1"/>
  <c r="K150" i="6"/>
  <c r="E45" i="9"/>
  <c r="E142" i="9"/>
  <c r="K242" i="6"/>
  <c r="L238" i="6" s="1"/>
  <c r="L74" i="5"/>
  <c r="K237" i="6"/>
  <c r="E147" i="9"/>
  <c r="K316" i="6"/>
  <c r="K231" i="6"/>
  <c r="K278" i="6"/>
  <c r="K288" i="6"/>
  <c r="E149" i="9"/>
  <c r="K241" i="6"/>
  <c r="K110" i="22" s="1"/>
  <c r="K222" i="6"/>
  <c r="E58" i="9"/>
  <c r="E84" i="15" s="1"/>
  <c r="K100" i="6"/>
  <c r="K52" i="7"/>
  <c r="E156" i="9"/>
  <c r="K165" i="6"/>
  <c r="K164" i="6"/>
  <c r="K129" i="6"/>
  <c r="E143" i="9"/>
  <c r="K250" i="6"/>
  <c r="L245" i="6" s="1"/>
  <c r="K244" i="6"/>
  <c r="E151" i="9"/>
  <c r="K311" i="6"/>
  <c r="L302" i="6" s="1"/>
  <c r="K301" i="6"/>
  <c r="K290" i="6"/>
  <c r="K136" i="22" s="1"/>
  <c r="K196" i="6"/>
  <c r="K193" i="6" s="1"/>
  <c r="K276" i="6"/>
  <c r="E39" i="9"/>
  <c r="K104" i="22"/>
  <c r="N104" i="22" s="1"/>
  <c r="Q104" i="22" s="1"/>
  <c r="K126" i="6"/>
  <c r="E115" i="9"/>
  <c r="K210" i="6"/>
  <c r="K230" i="6"/>
  <c r="K299" i="6"/>
  <c r="E150" i="9"/>
  <c r="K295" i="6"/>
  <c r="E144" i="9"/>
  <c r="K159" i="6"/>
  <c r="K172" i="6"/>
  <c r="K211" i="6"/>
  <c r="K205" i="6"/>
  <c r="K151" i="6"/>
  <c r="K104" i="6"/>
  <c r="K292" i="6"/>
  <c r="K209" i="6"/>
  <c r="E125" i="9"/>
  <c r="F168" i="9" s="1"/>
  <c r="K152" i="6"/>
  <c r="E57" i="9"/>
  <c r="E56" i="9"/>
  <c r="E114" i="9"/>
  <c r="K325" i="6"/>
  <c r="K274" i="6"/>
  <c r="K265" i="6"/>
  <c r="E148" i="9"/>
  <c r="K224" i="6"/>
  <c r="E141" i="9"/>
  <c r="K70" i="7"/>
  <c r="L67" i="7"/>
  <c r="L69" i="7" s="1"/>
  <c r="K220" i="6"/>
  <c r="L63" i="7"/>
  <c r="L65" i="7" s="1"/>
  <c r="K188" i="6"/>
  <c r="K154" i="6"/>
  <c r="K136" i="6"/>
  <c r="K52" i="22"/>
  <c r="N52" i="22" s="1"/>
  <c r="Q52" i="22" s="1"/>
  <c r="K326" i="6"/>
  <c r="K254" i="6"/>
  <c r="K115" i="22" s="1"/>
  <c r="K221" i="6"/>
  <c r="K68" i="7" s="1"/>
  <c r="K202" i="6"/>
  <c r="J50" i="5"/>
  <c r="J147" i="5"/>
  <c r="D197" i="9"/>
  <c r="J43" i="5"/>
  <c r="D101" i="9"/>
  <c r="J37" i="5"/>
  <c r="D22" i="9" s="1"/>
  <c r="J303" i="6"/>
  <c r="J308" i="6" s="1"/>
  <c r="D40" i="9"/>
  <c r="D212" i="9"/>
  <c r="J113" i="5"/>
  <c r="D206" i="9"/>
  <c r="J96" i="5"/>
  <c r="D209" i="9"/>
  <c r="J104" i="5"/>
  <c r="J68" i="5"/>
  <c r="J59" i="5"/>
  <c r="D201" i="9"/>
  <c r="J53" i="5"/>
  <c r="J45" i="5"/>
  <c r="K46" i="5" s="1"/>
  <c r="J148" i="5"/>
  <c r="J133" i="5"/>
  <c r="J127" i="5"/>
  <c r="J118" i="5"/>
  <c r="J114" i="5"/>
  <c r="D213" i="9"/>
  <c r="D237" i="9"/>
  <c r="D207" i="9"/>
  <c r="J98" i="5"/>
  <c r="J99" i="5" s="1"/>
  <c r="D204" i="9"/>
  <c r="J79" i="5"/>
  <c r="D202" i="9"/>
  <c r="J62" i="5"/>
  <c r="D200" i="9"/>
  <c r="J56" i="5"/>
  <c r="N53" i="6"/>
  <c r="M57" i="22"/>
  <c r="K11" i="22"/>
  <c r="K60" i="5"/>
  <c r="L117" i="6"/>
  <c r="M115" i="22"/>
  <c r="M239" i="6"/>
  <c r="N239" i="6" s="1"/>
  <c r="O239" i="6" s="1"/>
  <c r="P239" i="6" s="1"/>
  <c r="Q239" i="6" s="1"/>
  <c r="R239" i="6" s="1"/>
  <c r="M240" i="6"/>
  <c r="N240" i="6" s="1"/>
  <c r="N40" i="7" s="1"/>
  <c r="M197" i="6"/>
  <c r="L201" i="6"/>
  <c r="M68" i="22"/>
  <c r="N68" i="6"/>
  <c r="M41" i="22"/>
  <c r="G53" i="9"/>
  <c r="M105" i="22"/>
  <c r="P105" i="22" s="1"/>
  <c r="M84" i="22"/>
  <c r="L9" i="18"/>
  <c r="M9" i="18" s="1"/>
  <c r="K11" i="18"/>
  <c r="D108" i="4"/>
  <c r="D108" i="29" s="1"/>
  <c r="G93" i="9"/>
  <c r="P219" i="6"/>
  <c r="G6" i="24"/>
  <c r="G26" i="24" s="1"/>
  <c r="G44" i="24" s="1"/>
  <c r="G63" i="24" s="1"/>
  <c r="G85" i="24" s="1"/>
  <c r="J71" i="9"/>
  <c r="J20" i="9"/>
  <c r="G3" i="27"/>
  <c r="P99" i="6"/>
  <c r="G5" i="4"/>
  <c r="G5" i="29" s="1"/>
  <c r="P264" i="6"/>
  <c r="J167" i="9"/>
  <c r="J175" i="9" s="1"/>
  <c r="J97" i="9"/>
  <c r="P58" i="7"/>
  <c r="P3" i="7"/>
  <c r="P76" i="7" s="1"/>
  <c r="P3" i="6"/>
  <c r="P146" i="5"/>
  <c r="P42" i="5"/>
  <c r="J226" i="9"/>
  <c r="J196" i="9"/>
  <c r="J138" i="9"/>
  <c r="J111" i="9"/>
  <c r="J82" i="9"/>
  <c r="E19" i="9"/>
  <c r="E3" i="9"/>
  <c r="E236" i="9"/>
  <c r="E246" i="9"/>
  <c r="M158" i="6"/>
  <c r="N155" i="6" s="1"/>
  <c r="M63" i="22"/>
  <c r="C111" i="4"/>
  <c r="C111" i="29" s="1"/>
  <c r="F84" i="15"/>
  <c r="M69" i="7"/>
  <c r="N67" i="7"/>
  <c r="F124" i="9"/>
  <c r="F100" i="9"/>
  <c r="F99" i="9" s="1"/>
  <c r="D17" i="13" s="1"/>
  <c r="F25" i="9"/>
  <c r="C102" i="4" s="1"/>
  <c r="L313" i="6"/>
  <c r="L314" i="6" s="1"/>
  <c r="L319" i="6" s="1"/>
  <c r="N296" i="6"/>
  <c r="M106" i="22"/>
  <c r="M68" i="7"/>
  <c r="M73" i="5" s="1"/>
  <c r="M75" i="5" s="1"/>
  <c r="N75" i="5" s="1"/>
  <c r="H221" i="6"/>
  <c r="M85" i="22"/>
  <c r="M53" i="22"/>
  <c r="P53" i="22" s="1"/>
  <c r="M53" i="7"/>
  <c r="M56" i="22"/>
  <c r="M86" i="22"/>
  <c r="C144" i="24"/>
  <c r="M48" i="22"/>
  <c r="M121" i="6"/>
  <c r="N121" i="6" s="1"/>
  <c r="O121" i="6" s="1"/>
  <c r="P121" i="6" s="1"/>
  <c r="Q121" i="6" s="1"/>
  <c r="R121" i="6" s="1"/>
  <c r="L53" i="7"/>
  <c r="K63" i="5"/>
  <c r="K13" i="22"/>
  <c r="N71" i="6"/>
  <c r="E87" i="4" s="1"/>
  <c r="E87" i="29" s="1"/>
  <c r="O292" i="6"/>
  <c r="O25" i="7" s="1"/>
  <c r="D111" i="4"/>
  <c r="D111" i="29" s="1"/>
  <c r="G84" i="15"/>
  <c r="G124" i="9"/>
  <c r="G168" i="9"/>
  <c r="M60" i="22"/>
  <c r="M127" i="6"/>
  <c r="M128" i="6" s="1"/>
  <c r="G62" i="9" s="1"/>
  <c r="M51" i="22"/>
  <c r="K7" i="22"/>
  <c r="L111" i="9"/>
  <c r="L138" i="9"/>
  <c r="R58" i="7"/>
  <c r="L167" i="9"/>
  <c r="L175" i="9" s="1"/>
  <c r="R264" i="6"/>
  <c r="R219" i="6"/>
  <c r="R146" i="5"/>
  <c r="L82" i="9"/>
  <c r="L97" i="9"/>
  <c r="R3" i="6"/>
  <c r="R324" i="6" s="1"/>
  <c r="R99" i="6"/>
  <c r="R3" i="7"/>
  <c r="R76" i="7" s="1"/>
  <c r="I6" i="24"/>
  <c r="I26" i="24" s="1"/>
  <c r="I44" i="24" s="1"/>
  <c r="I63" i="24" s="1"/>
  <c r="I85" i="24" s="1"/>
  <c r="L20" i="9"/>
  <c r="L196" i="9"/>
  <c r="L71" i="9"/>
  <c r="L226" i="9"/>
  <c r="R42" i="5"/>
  <c r="M159" i="22"/>
  <c r="M101" i="6"/>
  <c r="N101" i="6" s="1"/>
  <c r="M117" i="6"/>
  <c r="N117" i="6" s="1"/>
  <c r="M44" i="22"/>
  <c r="G119" i="9"/>
  <c r="M226" i="6"/>
  <c r="G140" i="9"/>
  <c r="N197" i="6"/>
  <c r="M201" i="6"/>
  <c r="N201" i="6" s="1"/>
  <c r="O201" i="6" s="1"/>
  <c r="P201" i="6" s="1"/>
  <c r="Q201" i="6" s="1"/>
  <c r="R201" i="6" s="1"/>
  <c r="M52" i="22"/>
  <c r="P52" i="22" s="1"/>
  <c r="M266" i="6"/>
  <c r="L310" i="6"/>
  <c r="M104" i="22"/>
  <c r="P104" i="22" s="1"/>
  <c r="N202" i="6"/>
  <c r="N32" i="6" s="1"/>
  <c r="L158" i="6"/>
  <c r="M155" i="6" s="1"/>
  <c r="M58" i="22"/>
  <c r="L46" i="5"/>
  <c r="L160" i="22"/>
  <c r="K9" i="22"/>
  <c r="K57" i="5"/>
  <c r="M170" i="6"/>
  <c r="L121" i="6"/>
  <c r="L48" i="22"/>
  <c r="L44" i="5"/>
  <c r="L6" i="22" s="1"/>
  <c r="K5" i="22"/>
  <c r="K324" i="6"/>
  <c r="K83" i="6"/>
  <c r="E20" i="15"/>
  <c r="E83" i="15" s="1"/>
  <c r="F15" i="18"/>
  <c r="F16" i="18" s="1"/>
  <c r="E42" i="27"/>
  <c r="I3" i="5"/>
  <c r="J58" i="7"/>
  <c r="J219" i="6"/>
  <c r="J42" i="5"/>
  <c r="D138" i="9"/>
  <c r="D97" i="9"/>
  <c r="D226" i="9"/>
  <c r="D167" i="9"/>
  <c r="D175" i="9" s="1"/>
  <c r="D71" i="9"/>
  <c r="J3" i="7"/>
  <c r="D111" i="9"/>
  <c r="J146" i="5"/>
  <c r="D82" i="9"/>
  <c r="J99" i="6"/>
  <c r="D20" i="9"/>
  <c r="J3" i="6"/>
  <c r="D196" i="9"/>
  <c r="J264" i="6"/>
  <c r="K196" i="9"/>
  <c r="H6" i="24"/>
  <c r="H26" i="24" s="1"/>
  <c r="H44" i="24" s="1"/>
  <c r="H63" i="24" s="1"/>
  <c r="H85" i="24" s="1"/>
  <c r="K20" i="9"/>
  <c r="K167" i="9"/>
  <c r="K175" i="9" s="1"/>
  <c r="Q3" i="7"/>
  <c r="Q76" i="7" s="1"/>
  <c r="Q58" i="7"/>
  <c r="Q146" i="5"/>
  <c r="Q3" i="6"/>
  <c r="Q324" i="6" s="1"/>
  <c r="K97" i="9"/>
  <c r="K138" i="9"/>
  <c r="K71" i="9"/>
  <c r="K111" i="9"/>
  <c r="Q219" i="6"/>
  <c r="Q42" i="5"/>
  <c r="K82" i="9"/>
  <c r="Q264" i="6"/>
  <c r="K226" i="9"/>
  <c r="Q99" i="6"/>
  <c r="M38" i="27"/>
  <c r="G100" i="9"/>
  <c r="G99" i="9" s="1"/>
  <c r="E17" i="13" s="1"/>
  <c r="G25" i="9"/>
  <c r="D102" i="4" s="1"/>
  <c r="N279" i="6"/>
  <c r="M101" i="22"/>
  <c r="O188" i="6"/>
  <c r="N29" i="6"/>
  <c r="F113" i="9"/>
  <c r="C19" i="13"/>
  <c r="L159" i="22"/>
  <c r="L101" i="6"/>
  <c r="L102" i="6" s="1"/>
  <c r="M279" i="6"/>
  <c r="M285" i="6" s="1"/>
  <c r="L226" i="6"/>
  <c r="F119" i="9"/>
  <c r="M213" i="6"/>
  <c r="N213" i="6" s="1"/>
  <c r="N30" i="7" s="1"/>
  <c r="M296" i="6"/>
  <c r="M298" i="6" s="1"/>
  <c r="M137" i="22" s="1"/>
  <c r="H290" i="6"/>
  <c r="M136" i="22"/>
  <c r="N33" i="6"/>
  <c r="O205" i="6"/>
  <c r="M59" i="22"/>
  <c r="L233" i="6"/>
  <c r="M107" i="22"/>
  <c r="M110" i="22"/>
  <c r="G113" i="9"/>
  <c r="L41" i="22"/>
  <c r="F88" i="9"/>
  <c r="F51" i="9"/>
  <c r="C109" i="4" s="1"/>
  <c r="C109" i="29" s="1"/>
  <c r="N79" i="5" l="1"/>
  <c r="D214" i="9"/>
  <c r="K49" i="5"/>
  <c r="J110" i="5"/>
  <c r="K110" i="5"/>
  <c r="K25" i="22" s="1"/>
  <c r="L82" i="5"/>
  <c r="J49" i="5"/>
  <c r="L80" i="5"/>
  <c r="L81" i="5"/>
  <c r="D47" i="9"/>
  <c r="O4" i="5"/>
  <c r="F6" i="4" s="1"/>
  <c r="F6" i="29" s="1"/>
  <c r="H172" i="6"/>
  <c r="G43" i="29"/>
  <c r="G67" i="29"/>
  <c r="G97" i="29"/>
  <c r="F67" i="4"/>
  <c r="F5" i="29"/>
  <c r="N115" i="22"/>
  <c r="N110" i="22"/>
  <c r="N136" i="22"/>
  <c r="N159" i="22"/>
  <c r="O115" i="22"/>
  <c r="D118" i="4"/>
  <c r="D118" i="29" s="1"/>
  <c r="D102" i="29"/>
  <c r="C118" i="4"/>
  <c r="C118" i="29" s="1"/>
  <c r="C102" i="29"/>
  <c r="O240" i="6"/>
  <c r="O40" i="7" s="1"/>
  <c r="E243" i="9"/>
  <c r="N9" i="18"/>
  <c r="M11" i="18"/>
  <c r="E59" i="9"/>
  <c r="N142" i="6"/>
  <c r="N19" i="6" s="1"/>
  <c r="H143" i="6"/>
  <c r="O105" i="6"/>
  <c r="N28" i="7"/>
  <c r="P165" i="6"/>
  <c r="O27" i="7"/>
  <c r="F51" i="4" s="1"/>
  <c r="F51" i="29" s="1"/>
  <c r="O152" i="6"/>
  <c r="H152" i="6"/>
  <c r="N36" i="7"/>
  <c r="P224" i="6"/>
  <c r="O21" i="7"/>
  <c r="L235" i="6"/>
  <c r="N226" i="6"/>
  <c r="N17" i="7" s="1"/>
  <c r="M235" i="6"/>
  <c r="F171" i="9"/>
  <c r="M114" i="22"/>
  <c r="H252" i="6"/>
  <c r="N42" i="7"/>
  <c r="K143" i="6"/>
  <c r="C203" i="9"/>
  <c r="I65" i="5"/>
  <c r="C208" i="9"/>
  <c r="I102" i="5"/>
  <c r="C211" i="9"/>
  <c r="C205" i="9"/>
  <c r="I88" i="5"/>
  <c r="D128" i="9"/>
  <c r="D157" i="9"/>
  <c r="J146" i="6"/>
  <c r="J147" i="6" s="1"/>
  <c r="J120" i="6"/>
  <c r="D67" i="9"/>
  <c r="D103" i="9" s="1"/>
  <c r="J113" i="6"/>
  <c r="J114" i="6" s="1"/>
  <c r="J115" i="6" s="1"/>
  <c r="D61" i="9" s="1"/>
  <c r="J162" i="6"/>
  <c r="D126" i="9"/>
  <c r="E169" i="9" s="1"/>
  <c r="J108" i="6"/>
  <c r="K109" i="6" s="1"/>
  <c r="J124" i="6"/>
  <c r="J51" i="22" s="1"/>
  <c r="J161" i="6"/>
  <c r="D129" i="9"/>
  <c r="E172" i="9" s="1"/>
  <c r="J142" i="6"/>
  <c r="D127" i="9"/>
  <c r="J118" i="6"/>
  <c r="J112" i="6"/>
  <c r="J131" i="6"/>
  <c r="J132" i="6" s="1"/>
  <c r="J133" i="6" s="1"/>
  <c r="D63" i="9" s="1"/>
  <c r="D116" i="9"/>
  <c r="O59" i="5"/>
  <c r="P161" i="6"/>
  <c r="O25" i="6"/>
  <c r="P147" i="6"/>
  <c r="O146" i="6"/>
  <c r="O20" i="6" s="1"/>
  <c r="E161" i="9"/>
  <c r="K313" i="6"/>
  <c r="K314" i="6" s="1"/>
  <c r="K319" i="6" s="1"/>
  <c r="E66" i="9"/>
  <c r="P162" i="6"/>
  <c r="O26" i="6"/>
  <c r="O142" i="6"/>
  <c r="P143" i="6"/>
  <c r="O109" i="6"/>
  <c r="P109" i="6" s="1"/>
  <c r="Q109" i="6" s="1"/>
  <c r="R109" i="6" s="1"/>
  <c r="H109" i="6"/>
  <c r="P118" i="6"/>
  <c r="O9" i="6"/>
  <c r="O132" i="6"/>
  <c r="G132" i="6"/>
  <c r="N133" i="6"/>
  <c r="N108" i="6"/>
  <c r="E120" i="9"/>
  <c r="E61" i="9"/>
  <c r="N115" i="6"/>
  <c r="O6" i="5"/>
  <c r="P5" i="22"/>
  <c r="O62" i="5"/>
  <c r="O56" i="5"/>
  <c r="O44" i="5"/>
  <c r="D20" i="3" s="1"/>
  <c r="O138" i="6"/>
  <c r="O16" i="6" s="1"/>
  <c r="H138" i="6"/>
  <c r="O65" i="5"/>
  <c r="O13" i="5" s="1"/>
  <c r="O213" i="6"/>
  <c r="H213" i="6"/>
  <c r="O117" i="6"/>
  <c r="P117" i="6" s="1"/>
  <c r="Q117" i="6" s="1"/>
  <c r="R117" i="6" s="1"/>
  <c r="O101" i="6"/>
  <c r="N102" i="6"/>
  <c r="N63" i="6"/>
  <c r="H256" i="6"/>
  <c r="N65" i="5"/>
  <c r="F56" i="5"/>
  <c r="N44" i="5"/>
  <c r="D19" i="3" s="1"/>
  <c r="N59" i="5"/>
  <c r="F62" i="5"/>
  <c r="N56" i="5"/>
  <c r="N62" i="5"/>
  <c r="N12" i="5" s="1"/>
  <c r="N4" i="5"/>
  <c r="F65" i="5"/>
  <c r="F59" i="5"/>
  <c r="O5" i="22"/>
  <c r="O6" i="22" s="1"/>
  <c r="N50" i="5"/>
  <c r="F50" i="5"/>
  <c r="O51" i="5"/>
  <c r="O50" i="5" s="1"/>
  <c r="N18" i="7"/>
  <c r="P47" i="5"/>
  <c r="P6" i="5" s="1"/>
  <c r="O54" i="5"/>
  <c r="P54" i="5" s="1"/>
  <c r="L70" i="5"/>
  <c r="K140" i="6"/>
  <c r="Q150" i="6"/>
  <c r="H159" i="6"/>
  <c r="L105" i="6"/>
  <c r="M140" i="6"/>
  <c r="L54" i="22"/>
  <c r="L128" i="6"/>
  <c r="F62" i="9" s="1"/>
  <c r="O23" i="22"/>
  <c r="O159" i="6"/>
  <c r="P124" i="6"/>
  <c r="O12" i="6"/>
  <c r="F118" i="9"/>
  <c r="F122" i="9" s="1"/>
  <c r="K101" i="6"/>
  <c r="K102" i="6" s="1"/>
  <c r="K56" i="22"/>
  <c r="N56" i="22" s="1"/>
  <c r="O172" i="6"/>
  <c r="O82" i="5" s="1"/>
  <c r="K140" i="5"/>
  <c r="K134" i="5"/>
  <c r="N16" i="6"/>
  <c r="L213" i="6"/>
  <c r="K192" i="6"/>
  <c r="K44" i="5"/>
  <c r="K6" i="22" s="1"/>
  <c r="J66" i="5"/>
  <c r="K256" i="6"/>
  <c r="J138" i="6"/>
  <c r="E249" i="9"/>
  <c r="J18" i="7"/>
  <c r="I123" i="5"/>
  <c r="I106" i="5"/>
  <c r="C210" i="9"/>
  <c r="I141" i="5"/>
  <c r="I138" i="5"/>
  <c r="I108" i="5"/>
  <c r="I47" i="5"/>
  <c r="C199" i="9"/>
  <c r="C198" i="9"/>
  <c r="I125" i="5"/>
  <c r="J139" i="5"/>
  <c r="O136" i="6"/>
  <c r="E4" i="9"/>
  <c r="F100" i="24"/>
  <c r="F119" i="24" s="1"/>
  <c r="F141" i="24" s="1"/>
  <c r="B146" i="24" s="1"/>
  <c r="B90" i="24"/>
  <c r="I100" i="24"/>
  <c r="I119" i="24" s="1"/>
  <c r="I141" i="24" s="1"/>
  <c r="B149" i="24" s="1"/>
  <c r="B93" i="24"/>
  <c r="G100" i="24"/>
  <c r="G119" i="24" s="1"/>
  <c r="G141" i="24" s="1"/>
  <c r="B147" i="24" s="1"/>
  <c r="B91" i="24"/>
  <c r="H100" i="24"/>
  <c r="H119" i="24" s="1"/>
  <c r="H141" i="24" s="1"/>
  <c r="B148" i="24" s="1"/>
  <c r="B92" i="24"/>
  <c r="P230" i="6"/>
  <c r="O51" i="6"/>
  <c r="L258" i="6"/>
  <c r="H121" i="6"/>
  <c r="H239" i="6"/>
  <c r="H70" i="5"/>
  <c r="O75" i="5"/>
  <c r="P75" i="5" s="1"/>
  <c r="Q75" i="5" s="1"/>
  <c r="R75" i="5" s="1"/>
  <c r="H75" i="5"/>
  <c r="H240" i="6"/>
  <c r="O324" i="6"/>
  <c r="F43" i="4"/>
  <c r="F97" i="4"/>
  <c r="E51" i="4"/>
  <c r="E51" i="29" s="1"/>
  <c r="K10" i="22"/>
  <c r="N10" i="22" s="1"/>
  <c r="L79" i="22"/>
  <c r="K57" i="22"/>
  <c r="N57" i="22" s="1"/>
  <c r="K101" i="22"/>
  <c r="N101" i="22" s="1"/>
  <c r="O101" i="22" s="1"/>
  <c r="K60" i="22"/>
  <c r="N60" i="22" s="1"/>
  <c r="K86" i="22"/>
  <c r="N86" i="22" s="1"/>
  <c r="K85" i="22"/>
  <c r="N85" i="22" s="1"/>
  <c r="O85" i="22" s="1"/>
  <c r="N35" i="6"/>
  <c r="H165" i="6"/>
  <c r="I212" i="9"/>
  <c r="F33" i="4"/>
  <c r="F33" i="29" s="1"/>
  <c r="K68" i="22"/>
  <c r="N68" i="22" s="1"/>
  <c r="K105" i="22"/>
  <c r="N105" i="22" s="1"/>
  <c r="Q105" i="22" s="1"/>
  <c r="P25" i="5"/>
  <c r="J213" i="9" s="1"/>
  <c r="L49" i="22"/>
  <c r="K84" i="22"/>
  <c r="N84" i="22" s="1"/>
  <c r="O84" i="22" s="1"/>
  <c r="N8" i="7"/>
  <c r="K59" i="22"/>
  <c r="N59" i="22" s="1"/>
  <c r="O59" i="22" s="1"/>
  <c r="P59" i="22" s="1"/>
  <c r="K63" i="22"/>
  <c r="N63" i="22" s="1"/>
  <c r="K107" i="22"/>
  <c r="N107" i="22" s="1"/>
  <c r="N98" i="5"/>
  <c r="N16" i="5" s="1"/>
  <c r="H209" i="9"/>
  <c r="E28" i="4"/>
  <c r="E28" i="29" s="1"/>
  <c r="Z67" i="20"/>
  <c r="Z23" i="20" s="1"/>
  <c r="H212" i="9"/>
  <c r="E33" i="4"/>
  <c r="E33" i="29" s="1"/>
  <c r="Z70" i="20"/>
  <c r="Z26" i="20" s="1"/>
  <c r="K12" i="22"/>
  <c r="N12" i="22" s="1"/>
  <c r="K53" i="22"/>
  <c r="N53" i="22" s="1"/>
  <c r="Q53" i="22" s="1"/>
  <c r="K51" i="22"/>
  <c r="N51" i="22" s="1"/>
  <c r="K106" i="22"/>
  <c r="N106" i="22" s="1"/>
  <c r="H213" i="9"/>
  <c r="Z71" i="20"/>
  <c r="Z27" i="20" s="1"/>
  <c r="L119" i="5"/>
  <c r="L121" i="5"/>
  <c r="G91" i="15"/>
  <c r="M26" i="22"/>
  <c r="F91" i="15"/>
  <c r="M119" i="5"/>
  <c r="G94" i="9" s="1"/>
  <c r="M121" i="5"/>
  <c r="K127" i="6"/>
  <c r="M102" i="6"/>
  <c r="J51" i="5"/>
  <c r="D91" i="9" s="1"/>
  <c r="L185" i="6"/>
  <c r="L174" i="6"/>
  <c r="L169" i="6" s="1"/>
  <c r="M258" i="6"/>
  <c r="F27" i="9"/>
  <c r="F31" i="9" s="1"/>
  <c r="F5" i="9" s="1"/>
  <c r="K158" i="6"/>
  <c r="L155" i="6" s="1"/>
  <c r="L156" i="6" s="1"/>
  <c r="D152" i="9"/>
  <c r="C247" i="9"/>
  <c r="E51" i="9"/>
  <c r="F93" i="15"/>
  <c r="F95" i="15" s="1"/>
  <c r="F21" i="15" s="1"/>
  <c r="F87" i="15"/>
  <c r="F88" i="15" s="1"/>
  <c r="F154" i="9"/>
  <c r="F159" i="9" s="1"/>
  <c r="F163" i="9" s="1"/>
  <c r="E88" i="9"/>
  <c r="E146" i="9"/>
  <c r="G173" i="9"/>
  <c r="G178" i="9" s="1"/>
  <c r="O256" i="6"/>
  <c r="P256" i="6" s="1"/>
  <c r="D54" i="9"/>
  <c r="C49" i="9"/>
  <c r="C112" i="4"/>
  <c r="C112" i="29" s="1"/>
  <c r="D46" i="9"/>
  <c r="K58" i="22"/>
  <c r="N58" i="22" s="1"/>
  <c r="M314" i="6"/>
  <c r="M319" i="6" s="1"/>
  <c r="K38" i="5"/>
  <c r="K43" i="22"/>
  <c r="K14" i="22"/>
  <c r="N14" i="22" s="1"/>
  <c r="O147" i="5"/>
  <c r="E140" i="9"/>
  <c r="E94" i="15" s="1"/>
  <c r="I3" i="9"/>
  <c r="I236" i="9"/>
  <c r="M280" i="6"/>
  <c r="J57" i="5"/>
  <c r="J13" i="22" s="1"/>
  <c r="J60" i="5"/>
  <c r="D241" i="9"/>
  <c r="J78" i="7"/>
  <c r="D242" i="9"/>
  <c r="J72" i="7"/>
  <c r="D238" i="9"/>
  <c r="D239" i="9" s="1"/>
  <c r="J61" i="7"/>
  <c r="D23" i="9"/>
  <c r="J186" i="6"/>
  <c r="D185" i="9"/>
  <c r="D216" i="9"/>
  <c r="D240" i="9"/>
  <c r="J77" i="7"/>
  <c r="J64" i="7"/>
  <c r="J59" i="7"/>
  <c r="J62" i="7"/>
  <c r="C237" i="9"/>
  <c r="I133" i="5"/>
  <c r="I59" i="5"/>
  <c r="C201" i="9"/>
  <c r="C207" i="9"/>
  <c r="I98" i="5"/>
  <c r="I99" i="5" s="1"/>
  <c r="I96" i="5"/>
  <c r="C206" i="9"/>
  <c r="I118" i="5"/>
  <c r="I148" i="5"/>
  <c r="I45" i="5"/>
  <c r="J46" i="5" s="1"/>
  <c r="I37" i="5"/>
  <c r="C22" i="9" s="1"/>
  <c r="C101" i="9"/>
  <c r="I303" i="6"/>
  <c r="I308" i="6" s="1"/>
  <c r="C40" i="9"/>
  <c r="C209" i="9"/>
  <c r="I104" i="5"/>
  <c r="I20" i="22" s="1"/>
  <c r="I147" i="5"/>
  <c r="C197" i="9"/>
  <c r="I43" i="5"/>
  <c r="C213" i="9"/>
  <c r="I114" i="5"/>
  <c r="I79" i="5"/>
  <c r="C204" i="9"/>
  <c r="I68" i="5"/>
  <c r="C212" i="9"/>
  <c r="I113" i="5"/>
  <c r="I50" i="5"/>
  <c r="I127" i="5"/>
  <c r="C200" i="9"/>
  <c r="I56" i="5"/>
  <c r="C202" i="9"/>
  <c r="I62" i="5"/>
  <c r="J53" i="22"/>
  <c r="J209" i="6"/>
  <c r="J84" i="22" s="1"/>
  <c r="J152" i="6"/>
  <c r="J60" i="22" s="1"/>
  <c r="D156" i="9"/>
  <c r="J100" i="6"/>
  <c r="J52" i="7"/>
  <c r="J164" i="6"/>
  <c r="J165" i="6"/>
  <c r="J202" i="6"/>
  <c r="D142" i="9"/>
  <c r="J242" i="6"/>
  <c r="K238" i="6" s="1"/>
  <c r="J237" i="6"/>
  <c r="K74" i="5"/>
  <c r="D39" i="9"/>
  <c r="J104" i="22"/>
  <c r="J105" i="22"/>
  <c r="J274" i="6"/>
  <c r="D148" i="9"/>
  <c r="J265" i="6"/>
  <c r="J129" i="6"/>
  <c r="D151" i="9"/>
  <c r="J311" i="6"/>
  <c r="K302" i="6" s="1"/>
  <c r="J301" i="6"/>
  <c r="J254" i="6"/>
  <c r="J115" i="22" s="1"/>
  <c r="D57" i="9"/>
  <c r="D56" i="9"/>
  <c r="J188" i="6"/>
  <c r="J316" i="6"/>
  <c r="D147" i="9"/>
  <c r="J196" i="6"/>
  <c r="J193" i="6" s="1"/>
  <c r="J230" i="6"/>
  <c r="J106" i="22" s="1"/>
  <c r="J136" i="6"/>
  <c r="J57" i="22" s="1"/>
  <c r="J211" i="6"/>
  <c r="J86" i="22" s="1"/>
  <c r="J295" i="6"/>
  <c r="J299" i="6"/>
  <c r="D150" i="9"/>
  <c r="D144" i="9"/>
  <c r="J159" i="6"/>
  <c r="J172" i="6"/>
  <c r="K82" i="5" s="1"/>
  <c r="J292" i="6"/>
  <c r="D45" i="9"/>
  <c r="J250" i="6"/>
  <c r="K245" i="6" s="1"/>
  <c r="D143" i="9"/>
  <c r="J244" i="6"/>
  <c r="J290" i="6"/>
  <c r="J136" i="22" s="1"/>
  <c r="J326" i="6"/>
  <c r="D114" i="9"/>
  <c r="J325" i="6"/>
  <c r="J205" i="6"/>
  <c r="D115" i="9"/>
  <c r="J126" i="6"/>
  <c r="J210" i="6"/>
  <c r="J85" i="22" s="1"/>
  <c r="J276" i="6"/>
  <c r="J151" i="6"/>
  <c r="J59" i="22" s="1"/>
  <c r="K67" i="7"/>
  <c r="K69" i="7" s="1"/>
  <c r="J220" i="6"/>
  <c r="D141" i="9"/>
  <c r="J70" i="7"/>
  <c r="K63" i="7"/>
  <c r="K65" i="7" s="1"/>
  <c r="J231" i="6"/>
  <c r="J107" i="22" s="1"/>
  <c r="J278" i="6"/>
  <c r="J288" i="6"/>
  <c r="D149" i="9"/>
  <c r="J222" i="6"/>
  <c r="J241" i="6"/>
  <c r="J110" i="22" s="1"/>
  <c r="D58" i="9"/>
  <c r="D84" i="15" s="1"/>
  <c r="J224" i="6"/>
  <c r="J101" i="22" s="1"/>
  <c r="J104" i="6"/>
  <c r="J154" i="6"/>
  <c r="J52" i="22"/>
  <c r="J221" i="6"/>
  <c r="J68" i="7" s="1"/>
  <c r="J150" i="6"/>
  <c r="D125" i="9"/>
  <c r="E168" i="9" s="1"/>
  <c r="P188" i="6"/>
  <c r="O29" i="6"/>
  <c r="N74" i="6"/>
  <c r="O313" i="6"/>
  <c r="J76" i="7"/>
  <c r="M16" i="22"/>
  <c r="G90" i="15"/>
  <c r="N193" i="6"/>
  <c r="N200" i="6" s="1"/>
  <c r="G118" i="9"/>
  <c r="G122" i="9" s="1"/>
  <c r="L3" i="9"/>
  <c r="L236" i="9"/>
  <c r="N58" i="6"/>
  <c r="M160" i="22"/>
  <c r="N62" i="6"/>
  <c r="N15" i="6"/>
  <c r="L266" i="6"/>
  <c r="K310" i="6"/>
  <c r="E124" i="9"/>
  <c r="K41" i="22"/>
  <c r="N41" i="22" s="1"/>
  <c r="O41" i="22" s="1"/>
  <c r="P41" i="22" s="1"/>
  <c r="K233" i="6"/>
  <c r="K226" i="6"/>
  <c r="E119" i="9"/>
  <c r="N70" i="6"/>
  <c r="O42" i="7"/>
  <c r="K236" i="9"/>
  <c r="K3" i="9"/>
  <c r="C196" i="9"/>
  <c r="C97" i="9"/>
  <c r="I3" i="7"/>
  <c r="C167" i="9"/>
  <c r="C175" i="9" s="1"/>
  <c r="I264" i="6"/>
  <c r="C71" i="9"/>
  <c r="I3" i="6"/>
  <c r="C138" i="9"/>
  <c r="I42" i="5"/>
  <c r="I99" i="6"/>
  <c r="I58" i="7"/>
  <c r="I219" i="6"/>
  <c r="C82" i="9"/>
  <c r="C111" i="9"/>
  <c r="C226" i="9"/>
  <c r="I146" i="5"/>
  <c r="C20" i="9"/>
  <c r="D42" i="27"/>
  <c r="C88" i="24"/>
  <c r="N170" i="6"/>
  <c r="N175" i="6" s="1"/>
  <c r="H65" i="9" s="1"/>
  <c r="M175" i="6"/>
  <c r="G65" i="9" s="1"/>
  <c r="M174" i="6"/>
  <c r="M169" i="6" s="1"/>
  <c r="M215" i="6" s="1"/>
  <c r="M156" i="6"/>
  <c r="M61" i="22" s="1"/>
  <c r="M157" i="6"/>
  <c r="M62" i="22" s="1"/>
  <c r="G93" i="15"/>
  <c r="D37" i="18"/>
  <c r="G154" i="9"/>
  <c r="G159" i="9" s="1"/>
  <c r="G163" i="9" s="1"/>
  <c r="G94" i="15"/>
  <c r="G87" i="15"/>
  <c r="G88" i="15" s="1"/>
  <c r="E91" i="9"/>
  <c r="K8" i="22"/>
  <c r="N8" i="22" s="1"/>
  <c r="N23" i="6"/>
  <c r="M49" i="22"/>
  <c r="M15" i="22"/>
  <c r="P324" i="6"/>
  <c r="J20" i="15"/>
  <c r="J83" i="15" s="1"/>
  <c r="J5" i="22"/>
  <c r="K117" i="6"/>
  <c r="K121" i="6"/>
  <c r="K48" i="22"/>
  <c r="E228" i="9"/>
  <c r="E217" i="9"/>
  <c r="F52" i="9"/>
  <c r="N52" i="6"/>
  <c r="N22" i="6"/>
  <c r="N44" i="6"/>
  <c r="G107" i="9"/>
  <c r="G44" i="9"/>
  <c r="J324" i="6"/>
  <c r="D20" i="15"/>
  <c r="D83" i="15" s="1"/>
  <c r="J83" i="6"/>
  <c r="G27" i="9"/>
  <c r="M54" i="22"/>
  <c r="P292" i="6"/>
  <c r="P25" i="7" s="1"/>
  <c r="O71" i="6"/>
  <c r="F87" i="4" s="1"/>
  <c r="F87" i="29" s="1"/>
  <c r="N36" i="6"/>
  <c r="M297" i="6"/>
  <c r="M304" i="6" s="1"/>
  <c r="J236" i="9"/>
  <c r="J3" i="9"/>
  <c r="C107" i="4"/>
  <c r="C107" i="29" s="1"/>
  <c r="F92" i="9"/>
  <c r="M109" i="22"/>
  <c r="G92" i="9"/>
  <c r="D107" i="4"/>
  <c r="D107" i="29" s="1"/>
  <c r="K160" i="22"/>
  <c r="L73" i="5"/>
  <c r="L75" i="5" s="1"/>
  <c r="L296" i="6"/>
  <c r="E100" i="9"/>
  <c r="E99" i="9" s="1"/>
  <c r="C17" i="13" s="1"/>
  <c r="E25" i="9"/>
  <c r="K252" i="6"/>
  <c r="K114" i="22" s="1"/>
  <c r="K53" i="7"/>
  <c r="L240" i="6"/>
  <c r="L109" i="22" s="1"/>
  <c r="L239" i="6"/>
  <c r="O33" i="6"/>
  <c r="P205" i="6"/>
  <c r="N222" i="6"/>
  <c r="N43" i="6" s="1"/>
  <c r="N37" i="6"/>
  <c r="L102" i="22"/>
  <c r="L227" i="6"/>
  <c r="F64" i="9" s="1"/>
  <c r="D236" i="9"/>
  <c r="D19" i="9"/>
  <c r="D246" i="9"/>
  <c r="D3" i="9"/>
  <c r="M185" i="6"/>
  <c r="N21" i="6"/>
  <c r="O202" i="6"/>
  <c r="O32" i="6" s="1"/>
  <c r="N309" i="6"/>
  <c r="M79" i="22"/>
  <c r="M102" i="22"/>
  <c r="M227" i="6"/>
  <c r="G64" i="9" s="1"/>
  <c r="M45" i="22"/>
  <c r="H144" i="24"/>
  <c r="H151" i="24" s="1"/>
  <c r="G144" i="24"/>
  <c r="G151" i="24" s="1"/>
  <c r="I144" i="24"/>
  <c r="I151" i="24" s="1"/>
  <c r="D144" i="24"/>
  <c r="E144" i="24"/>
  <c r="E151" i="24" s="1"/>
  <c r="E152" i="24" s="1"/>
  <c r="N167" i="6" s="1"/>
  <c r="F144" i="24"/>
  <c r="F151" i="24" s="1"/>
  <c r="N68" i="7"/>
  <c r="F44" i="9"/>
  <c r="C105" i="4" s="1"/>
  <c r="C105" i="29" s="1"/>
  <c r="F107" i="9"/>
  <c r="G97" i="4"/>
  <c r="G67" i="4"/>
  <c r="G43" i="4"/>
  <c r="L11" i="18"/>
  <c r="F169" i="9"/>
  <c r="F173" i="9" s="1"/>
  <c r="F178" i="9" s="1"/>
  <c r="O68" i="6"/>
  <c r="M108" i="22"/>
  <c r="L44" i="22"/>
  <c r="O53" i="6"/>
  <c r="J63" i="5"/>
  <c r="J54" i="5"/>
  <c r="J11" i="22" s="1"/>
  <c r="E113" i="9"/>
  <c r="K170" i="6"/>
  <c r="K201" i="6"/>
  <c r="L197" i="6"/>
  <c r="L279" i="6"/>
  <c r="E104" i="9"/>
  <c r="C214" i="9" l="1"/>
  <c r="K80" i="5"/>
  <c r="O81" i="5"/>
  <c r="O79" i="5"/>
  <c r="K81" i="5"/>
  <c r="N114" i="22"/>
  <c r="N160" i="22"/>
  <c r="O160" i="22" s="1"/>
  <c r="P160" i="22" s="1"/>
  <c r="I197" i="9"/>
  <c r="H12" i="18"/>
  <c r="C20" i="3"/>
  <c r="P159" i="6"/>
  <c r="K20" i="22"/>
  <c r="N20" i="22" s="1"/>
  <c r="O20" i="22" s="1"/>
  <c r="P20" i="22" s="1"/>
  <c r="F67" i="29"/>
  <c r="F97" i="29"/>
  <c r="F43" i="29"/>
  <c r="O107" i="22"/>
  <c r="P85" i="22"/>
  <c r="O86" i="22"/>
  <c r="P86" i="22" s="1"/>
  <c r="Q86" i="22" s="1"/>
  <c r="P101" i="22"/>
  <c r="O114" i="22"/>
  <c r="P114" i="22" s="1"/>
  <c r="Q114" i="22" s="1"/>
  <c r="P115" i="22"/>
  <c r="O110" i="22"/>
  <c r="P110" i="22" s="1"/>
  <c r="Q110" i="22" s="1"/>
  <c r="O159" i="22"/>
  <c r="O106" i="22"/>
  <c r="O68" i="22"/>
  <c r="P84" i="22"/>
  <c r="O136" i="22"/>
  <c r="E73" i="4"/>
  <c r="E73" i="29" s="1"/>
  <c r="C47" i="9"/>
  <c r="P240" i="6"/>
  <c r="P40" i="7" s="1"/>
  <c r="C114" i="4"/>
  <c r="C114" i="29" s="1"/>
  <c r="F94" i="9"/>
  <c r="F231" i="9" s="1"/>
  <c r="E18" i="18" s="1"/>
  <c r="D243" i="9"/>
  <c r="E81" i="4"/>
  <c r="E81" i="29" s="1"/>
  <c r="N11" i="18"/>
  <c r="O9" i="18"/>
  <c r="K116" i="5"/>
  <c r="K121" i="5" s="1"/>
  <c r="K124" i="5" s="1"/>
  <c r="K111" i="5"/>
  <c r="E91" i="15" s="1"/>
  <c r="O36" i="7"/>
  <c r="F57" i="4" s="1"/>
  <c r="F57" i="29" s="1"/>
  <c r="N227" i="6"/>
  <c r="H64" i="9" s="1"/>
  <c r="D59" i="9"/>
  <c r="E57" i="4"/>
  <c r="E57" i="29" s="1"/>
  <c r="O226" i="6"/>
  <c r="O17" i="7" s="1"/>
  <c r="Q165" i="6"/>
  <c r="P27" i="7"/>
  <c r="G51" i="4" s="1"/>
  <c r="G51" i="29" s="1"/>
  <c r="E181" i="9"/>
  <c r="P152" i="6"/>
  <c r="P105" i="6"/>
  <c r="O28" i="7"/>
  <c r="K235" i="6"/>
  <c r="Q224" i="6"/>
  <c r="P21" i="7"/>
  <c r="L215" i="6"/>
  <c r="L216" i="6" s="1"/>
  <c r="P213" i="6"/>
  <c r="O30" i="7"/>
  <c r="J256" i="6"/>
  <c r="O19" i="6"/>
  <c r="J143" i="6"/>
  <c r="I124" i="6"/>
  <c r="I51" i="22" s="1"/>
  <c r="I112" i="6"/>
  <c r="I161" i="6"/>
  <c r="C129" i="9"/>
  <c r="C161" i="9" s="1"/>
  <c r="C127" i="9"/>
  <c r="D170" i="9" s="1"/>
  <c r="I142" i="6"/>
  <c r="I131" i="6"/>
  <c r="I132" i="6" s="1"/>
  <c r="I133" i="6" s="1"/>
  <c r="C63" i="9" s="1"/>
  <c r="C116" i="9"/>
  <c r="I146" i="6"/>
  <c r="I147" i="6" s="1"/>
  <c r="I120" i="6"/>
  <c r="C128" i="9"/>
  <c r="C126" i="9"/>
  <c r="D169" i="9" s="1"/>
  <c r="I162" i="6"/>
  <c r="I108" i="6"/>
  <c r="J109" i="6" s="1"/>
  <c r="I118" i="6"/>
  <c r="I113" i="6"/>
  <c r="I114" i="6" s="1"/>
  <c r="I115" i="6" s="1"/>
  <c r="C61" i="9" s="1"/>
  <c r="C67" i="9"/>
  <c r="C103" i="9" s="1"/>
  <c r="C157" i="9"/>
  <c r="P132" i="6"/>
  <c r="O133" i="6"/>
  <c r="Q162" i="6"/>
  <c r="P26" i="6"/>
  <c r="Q161" i="6"/>
  <c r="P25" i="6"/>
  <c r="I66" i="5"/>
  <c r="N6" i="6"/>
  <c r="O108" i="6"/>
  <c r="Q143" i="6"/>
  <c r="P142" i="6"/>
  <c r="O115" i="6"/>
  <c r="P115" i="6" s="1"/>
  <c r="Q118" i="6"/>
  <c r="P9" i="6"/>
  <c r="Q147" i="6"/>
  <c r="P146" i="6"/>
  <c r="P20" i="6" s="1"/>
  <c r="D161" i="9"/>
  <c r="D172" i="9"/>
  <c r="D120" i="9"/>
  <c r="D66" i="9"/>
  <c r="I203" i="9"/>
  <c r="F23" i="4"/>
  <c r="F23" i="29" s="1"/>
  <c r="P138" i="6"/>
  <c r="P16" i="6" s="1"/>
  <c r="P6" i="22"/>
  <c r="P51" i="5"/>
  <c r="P50" i="5" s="1"/>
  <c r="H62" i="5"/>
  <c r="G62" i="5"/>
  <c r="O18" i="7"/>
  <c r="O58" i="22"/>
  <c r="P58" i="22" s="1"/>
  <c r="Q47" i="5"/>
  <c r="Q6" i="5" s="1"/>
  <c r="P43" i="5"/>
  <c r="H56" i="5"/>
  <c r="G56" i="5"/>
  <c r="Q54" i="5"/>
  <c r="R54" i="5" s="1"/>
  <c r="H65" i="5"/>
  <c r="N13" i="5"/>
  <c r="G65" i="5"/>
  <c r="P101" i="6"/>
  <c r="O102" i="6"/>
  <c r="G50" i="5"/>
  <c r="H50" i="5"/>
  <c r="C19" i="3"/>
  <c r="H197" i="9"/>
  <c r="N147" i="5"/>
  <c r="G12" i="18"/>
  <c r="G13" i="18" s="1"/>
  <c r="Z53" i="20"/>
  <c r="Z4" i="20" s="1"/>
  <c r="E6" i="4"/>
  <c r="E6" i="29" s="1"/>
  <c r="H59" i="5"/>
  <c r="G59" i="5"/>
  <c r="K54" i="22"/>
  <c r="K128" i="6"/>
  <c r="E62" i="9" s="1"/>
  <c r="N127" i="6"/>
  <c r="Q59" i="22"/>
  <c r="R59" i="22" s="1"/>
  <c r="O57" i="22"/>
  <c r="P57" i="22" s="1"/>
  <c r="Q57" i="22" s="1"/>
  <c r="R57" i="22" s="1"/>
  <c r="K105" i="6"/>
  <c r="R150" i="6"/>
  <c r="H129" i="9"/>
  <c r="N7" i="22"/>
  <c r="O8" i="22"/>
  <c r="N11" i="22"/>
  <c r="O12" i="22"/>
  <c r="E26" i="4"/>
  <c r="E26" i="29" s="1"/>
  <c r="N22" i="7"/>
  <c r="E52" i="4" s="1"/>
  <c r="E52" i="29" s="1"/>
  <c r="O60" i="22"/>
  <c r="P60" i="22" s="1"/>
  <c r="Q60" i="22" s="1"/>
  <c r="O56" i="22"/>
  <c r="P56" i="22" s="1"/>
  <c r="Q56" i="22" s="1"/>
  <c r="R56" i="22" s="1"/>
  <c r="K70" i="5"/>
  <c r="K15" i="22" s="1"/>
  <c r="N15" i="22" s="1"/>
  <c r="J140" i="6"/>
  <c r="N13" i="22"/>
  <c r="O14" i="22"/>
  <c r="N9" i="22"/>
  <c r="O10" i="22"/>
  <c r="Q124" i="6"/>
  <c r="P12" i="6"/>
  <c r="P23" i="22"/>
  <c r="Q23" i="22" s="1"/>
  <c r="O51" i="22"/>
  <c r="P51" i="22" s="1"/>
  <c r="O63" i="22"/>
  <c r="P63" i="22" s="1"/>
  <c r="P172" i="6"/>
  <c r="P82" i="5" s="1"/>
  <c r="J68" i="22"/>
  <c r="J63" i="22"/>
  <c r="J56" i="22"/>
  <c r="K135" i="5"/>
  <c r="K136" i="5"/>
  <c r="J140" i="5"/>
  <c r="J134" i="5"/>
  <c r="E118" i="9"/>
  <c r="E122" i="9" s="1"/>
  <c r="F179" i="9" s="1"/>
  <c r="F177" i="9" s="1"/>
  <c r="F183" i="9" s="1"/>
  <c r="I53" i="5"/>
  <c r="I49" i="5" s="1"/>
  <c r="I139" i="5"/>
  <c r="I138" i="6"/>
  <c r="I18" i="7"/>
  <c r="D249" i="9"/>
  <c r="D4" i="9"/>
  <c r="P136" i="6"/>
  <c r="L157" i="6"/>
  <c r="L62" i="22" s="1"/>
  <c r="Q230" i="6"/>
  <c r="P51" i="6"/>
  <c r="N119" i="5"/>
  <c r="D114" i="4"/>
  <c r="D114" i="29" s="1"/>
  <c r="L260" i="6"/>
  <c r="M260" i="6"/>
  <c r="O63" i="6"/>
  <c r="H200" i="6"/>
  <c r="G200" i="6"/>
  <c r="F200" i="6"/>
  <c r="E49" i="4"/>
  <c r="E49" i="29" s="1"/>
  <c r="N34" i="6"/>
  <c r="L26" i="22"/>
  <c r="E8" i="27"/>
  <c r="K79" i="22"/>
  <c r="N79" i="22" s="1"/>
  <c r="K49" i="22"/>
  <c r="N49" i="22" s="1"/>
  <c r="O49" i="22" s="1"/>
  <c r="H207" i="9"/>
  <c r="Z68" i="20"/>
  <c r="Z24" i="20" s="1"/>
  <c r="N12" i="7"/>
  <c r="P24" i="5"/>
  <c r="N13" i="7"/>
  <c r="O15" i="6"/>
  <c r="F73" i="4" s="1"/>
  <c r="F73" i="29" s="1"/>
  <c r="L108" i="22"/>
  <c r="L61" i="22"/>
  <c r="N250" i="6"/>
  <c r="N11" i="5"/>
  <c r="O12" i="5"/>
  <c r="Z58" i="20"/>
  <c r="Z19" i="20" s="1"/>
  <c r="E22" i="4"/>
  <c r="E22" i="29" s="1"/>
  <c r="H202" i="9"/>
  <c r="P98" i="5"/>
  <c r="P16" i="5" s="1"/>
  <c r="O98" i="5"/>
  <c r="O16" i="5" s="1"/>
  <c r="I209" i="9"/>
  <c r="F28" i="4"/>
  <c r="F28" i="29" s="1"/>
  <c r="L55" i="22"/>
  <c r="O34" i="6"/>
  <c r="R25" i="5"/>
  <c r="L213" i="9" s="1"/>
  <c r="Q25" i="5"/>
  <c r="K213" i="9" s="1"/>
  <c r="J209" i="9"/>
  <c r="G28" i="4"/>
  <c r="G28" i="29" s="1"/>
  <c r="M124" i="5"/>
  <c r="M130" i="5"/>
  <c r="M131" i="5" s="1"/>
  <c r="M128" i="5"/>
  <c r="N128" i="5" s="1"/>
  <c r="O128" i="5" s="1"/>
  <c r="P128" i="5" s="1"/>
  <c r="Q128" i="5" s="1"/>
  <c r="R128" i="5" s="1"/>
  <c r="J9" i="22"/>
  <c r="F19" i="18"/>
  <c r="G231" i="9"/>
  <c r="L130" i="5"/>
  <c r="L131" i="5" s="1"/>
  <c r="L128" i="5"/>
  <c r="L124" i="5"/>
  <c r="I51" i="5"/>
  <c r="E93" i="9"/>
  <c r="E48" i="9"/>
  <c r="E92" i="9" s="1"/>
  <c r="F96" i="15"/>
  <c r="F35" i="9"/>
  <c r="F33" i="9"/>
  <c r="F28" i="9"/>
  <c r="F36" i="9" s="1"/>
  <c r="F29" i="9"/>
  <c r="C152" i="9"/>
  <c r="D51" i="9"/>
  <c r="D88" i="9"/>
  <c r="E154" i="9"/>
  <c r="E159" i="9" s="1"/>
  <c r="E163" i="9" s="1"/>
  <c r="D146" i="9"/>
  <c r="E93" i="15"/>
  <c r="E96" i="15" s="1"/>
  <c r="E27" i="9"/>
  <c r="E33" i="9" s="1"/>
  <c r="E87" i="15"/>
  <c r="E88" i="15" s="1"/>
  <c r="J158" i="6"/>
  <c r="K155" i="6" s="1"/>
  <c r="K157" i="6" s="1"/>
  <c r="C46" i="9"/>
  <c r="J38" i="5"/>
  <c r="M216" i="6"/>
  <c r="J58" i="22"/>
  <c r="I129" i="6"/>
  <c r="I56" i="22" s="1"/>
  <c r="J43" i="22"/>
  <c r="D104" i="9"/>
  <c r="J313" i="6"/>
  <c r="J314" i="6" s="1"/>
  <c r="J319" i="6" s="1"/>
  <c r="J44" i="5"/>
  <c r="J6" i="22" s="1"/>
  <c r="J127" i="6"/>
  <c r="D140" i="9"/>
  <c r="D94" i="15" s="1"/>
  <c r="J170" i="6"/>
  <c r="J185" i="6" s="1"/>
  <c r="I326" i="6"/>
  <c r="I209" i="6"/>
  <c r="I84" i="22" s="1"/>
  <c r="C151" i="9"/>
  <c r="I311" i="6"/>
  <c r="J302" i="6" s="1"/>
  <c r="I301" i="6"/>
  <c r="I136" i="6"/>
  <c r="I57" i="22" s="1"/>
  <c r="I211" i="6"/>
  <c r="I86" i="22" s="1"/>
  <c r="I159" i="6"/>
  <c r="I63" i="22" s="1"/>
  <c r="I52" i="22"/>
  <c r="I221" i="6"/>
  <c r="I68" i="7" s="1"/>
  <c r="I288" i="6"/>
  <c r="C149" i="9"/>
  <c r="I278" i="6"/>
  <c r="I224" i="6"/>
  <c r="I101" i="22" s="1"/>
  <c r="I276" i="6"/>
  <c r="C45" i="9"/>
  <c r="I231" i="6"/>
  <c r="I107" i="22" s="1"/>
  <c r="C115" i="9"/>
  <c r="I126" i="6"/>
  <c r="I53" i="22"/>
  <c r="I196" i="6"/>
  <c r="I151" i="6"/>
  <c r="I59" i="22" s="1"/>
  <c r="I220" i="6"/>
  <c r="J67" i="7"/>
  <c r="J69" i="7" s="1"/>
  <c r="C141" i="9"/>
  <c r="J63" i="7"/>
  <c r="J65" i="7" s="1"/>
  <c r="I152" i="6"/>
  <c r="I60" i="22" s="1"/>
  <c r="I241" i="6"/>
  <c r="I110" i="22" s="1"/>
  <c r="I222" i="6"/>
  <c r="I172" i="6"/>
  <c r="I68" i="22" s="1"/>
  <c r="I254" i="6"/>
  <c r="I115" i="22" s="1"/>
  <c r="I230" i="6"/>
  <c r="I106" i="22" s="1"/>
  <c r="I299" i="6"/>
  <c r="C150" i="9"/>
  <c r="I295" i="6"/>
  <c r="I165" i="6"/>
  <c r="I164" i="6"/>
  <c r="I250" i="6"/>
  <c r="J245" i="6" s="1"/>
  <c r="I244" i="6"/>
  <c r="C143" i="9"/>
  <c r="I202" i="6"/>
  <c r="C114" i="9"/>
  <c r="I325" i="6"/>
  <c r="C156" i="9"/>
  <c r="I52" i="7"/>
  <c r="I100" i="6"/>
  <c r="I150" i="6"/>
  <c r="C57" i="9"/>
  <c r="C56" i="9"/>
  <c r="I104" i="6"/>
  <c r="I41" i="22" s="1"/>
  <c r="I169" i="6"/>
  <c r="C125" i="9"/>
  <c r="D168" i="9" s="1"/>
  <c r="I210" i="6"/>
  <c r="I85" i="22" s="1"/>
  <c r="C39" i="9"/>
  <c r="I188" i="6"/>
  <c r="I104" i="22"/>
  <c r="C58" i="9"/>
  <c r="C84" i="15" s="1"/>
  <c r="I238" i="6"/>
  <c r="I105" i="22"/>
  <c r="I274" i="6"/>
  <c r="I265" i="6"/>
  <c r="C148" i="9"/>
  <c r="I242" i="6"/>
  <c r="J238" i="6" s="1"/>
  <c r="I237" i="6"/>
  <c r="C142" i="9"/>
  <c r="J74" i="5"/>
  <c r="C147" i="9"/>
  <c r="I316" i="6"/>
  <c r="I154" i="6"/>
  <c r="C144" i="9"/>
  <c r="I205" i="6"/>
  <c r="I290" i="6"/>
  <c r="I136" i="22" s="1"/>
  <c r="I292" i="6"/>
  <c r="C216" i="9"/>
  <c r="I186" i="6"/>
  <c r="C240" i="9"/>
  <c r="I77" i="7"/>
  <c r="I64" i="7"/>
  <c r="I78" i="7"/>
  <c r="C238" i="9"/>
  <c r="C239" i="9" s="1"/>
  <c r="C23" i="9"/>
  <c r="C241" i="9"/>
  <c r="K279" i="6"/>
  <c r="K197" i="6"/>
  <c r="J201" i="6"/>
  <c r="J79" i="22" s="1"/>
  <c r="I7" i="22"/>
  <c r="L285" i="6"/>
  <c r="L280" i="6"/>
  <c r="K44" i="22"/>
  <c r="K258" i="6"/>
  <c r="J8" i="22"/>
  <c r="O58" i="6"/>
  <c r="O197" i="6"/>
  <c r="J53" i="7"/>
  <c r="O37" i="6"/>
  <c r="E44" i="9"/>
  <c r="E107" i="9"/>
  <c r="L16" i="22"/>
  <c r="F90" i="15"/>
  <c r="O13" i="7"/>
  <c r="O35" i="6"/>
  <c r="P71" i="6"/>
  <c r="G87" i="4" s="1"/>
  <c r="G87" i="29" s="1"/>
  <c r="Q292" i="6"/>
  <c r="Q25" i="7" s="1"/>
  <c r="M55" i="22"/>
  <c r="O22" i="6"/>
  <c r="D15" i="18"/>
  <c r="D16" i="18" s="1"/>
  <c r="N120" i="6"/>
  <c r="N11" i="6" s="1"/>
  <c r="E88" i="24"/>
  <c r="E95" i="24" s="1"/>
  <c r="G88" i="24"/>
  <c r="G95" i="24" s="1"/>
  <c r="P186" i="6" s="1"/>
  <c r="P6" i="7" s="1"/>
  <c r="D88" i="24"/>
  <c r="I88" i="24"/>
  <c r="I95" i="24" s="1"/>
  <c r="R186" i="6" s="1"/>
  <c r="R6" i="7" s="1"/>
  <c r="F88" i="24"/>
  <c r="F95" i="24" s="1"/>
  <c r="O186" i="6" s="1"/>
  <c r="H88" i="24"/>
  <c r="H95" i="24" s="1"/>
  <c r="Q186" i="6" s="1"/>
  <c r="I324" i="6"/>
  <c r="I83" i="6"/>
  <c r="C20" i="15"/>
  <c r="C83" i="15" s="1"/>
  <c r="I76" i="7"/>
  <c r="G131" i="9"/>
  <c r="G135" i="9" s="1"/>
  <c r="G165" i="9" s="1"/>
  <c r="G179" i="9"/>
  <c r="G177" i="9" s="1"/>
  <c r="G183" i="9" s="1"/>
  <c r="G187" i="9" s="1"/>
  <c r="G190" i="9" s="1"/>
  <c r="O62" i="6"/>
  <c r="I5" i="22"/>
  <c r="L45" i="22"/>
  <c r="P33" i="6"/>
  <c r="Q205" i="6"/>
  <c r="D228" i="9"/>
  <c r="E52" i="9"/>
  <c r="D217" i="9"/>
  <c r="O52" i="6"/>
  <c r="E170" i="9"/>
  <c r="E173" i="9" s="1"/>
  <c r="E178" i="9" s="1"/>
  <c r="G95" i="15"/>
  <c r="G21" i="15" s="1"/>
  <c r="G96" i="15"/>
  <c r="P42" i="7"/>
  <c r="O70" i="6"/>
  <c r="D113" i="9"/>
  <c r="J213" i="6"/>
  <c r="J192" i="6"/>
  <c r="J310" i="6"/>
  <c r="K266" i="6"/>
  <c r="I9" i="22"/>
  <c r="I57" i="5"/>
  <c r="I10" i="22" s="1"/>
  <c r="I27" i="22"/>
  <c r="I25" i="22"/>
  <c r="I11" i="22"/>
  <c r="I60" i="5"/>
  <c r="P68" i="6"/>
  <c r="N164" i="6"/>
  <c r="F152" i="24"/>
  <c r="O167" i="6" s="1"/>
  <c r="M103" i="22"/>
  <c r="P202" i="6"/>
  <c r="P32" i="6" s="1"/>
  <c r="O21" i="6"/>
  <c r="L103" i="22"/>
  <c r="O36" i="6"/>
  <c r="G35" i="9"/>
  <c r="G28" i="9"/>
  <c r="G29" i="9"/>
  <c r="G33" i="9"/>
  <c r="G31" i="9"/>
  <c r="I17" i="3"/>
  <c r="D105" i="4"/>
  <c r="D105" i="29" s="1"/>
  <c r="F131" i="9"/>
  <c r="F135" i="9" s="1"/>
  <c r="F53" i="9"/>
  <c r="C3" i="9"/>
  <c r="C236" i="9"/>
  <c r="C246" i="9"/>
  <c r="C19" i="9"/>
  <c r="P63" i="6"/>
  <c r="Q256" i="6"/>
  <c r="E105" i="9"/>
  <c r="C110" i="4"/>
  <c r="C110" i="29" s="1"/>
  <c r="P29" i="6"/>
  <c r="Q188" i="6"/>
  <c r="J160" i="22"/>
  <c r="K73" i="5"/>
  <c r="K75" i="5" s="1"/>
  <c r="J233" i="6"/>
  <c r="D119" i="9"/>
  <c r="J226" i="6"/>
  <c r="J252" i="6"/>
  <c r="J114" i="22" s="1"/>
  <c r="J117" i="6"/>
  <c r="J48" i="22"/>
  <c r="J121" i="6"/>
  <c r="J49" i="22" s="1"/>
  <c r="K240" i="6"/>
  <c r="K109" i="22" s="1"/>
  <c r="N109" i="22" s="1"/>
  <c r="K239" i="6"/>
  <c r="J159" i="22"/>
  <c r="J101" i="6"/>
  <c r="J102" i="6" s="1"/>
  <c r="K174" i="6"/>
  <c r="K169" i="6" s="1"/>
  <c r="K215" i="6" s="1"/>
  <c r="K175" i="6"/>
  <c r="E65" i="9" s="1"/>
  <c r="K185" i="6"/>
  <c r="P53" i="6"/>
  <c r="N271" i="6"/>
  <c r="N274" i="6" s="1"/>
  <c r="N306" i="6"/>
  <c r="O68" i="7"/>
  <c r="O222" i="6"/>
  <c r="O43" i="6" s="1"/>
  <c r="L298" i="6"/>
  <c r="L137" i="22" s="1"/>
  <c r="L297" i="6"/>
  <c r="L304" i="6" s="1"/>
  <c r="M138" i="22"/>
  <c r="M305" i="6"/>
  <c r="N305" i="6" s="1"/>
  <c r="O305" i="6" s="1"/>
  <c r="P305" i="6" s="1"/>
  <c r="Q305" i="6" s="1"/>
  <c r="R305" i="6" s="1"/>
  <c r="E171" i="9"/>
  <c r="O23" i="6"/>
  <c r="O170" i="6"/>
  <c r="O175" i="6" s="1"/>
  <c r="I65" i="9" s="1"/>
  <c r="K102" i="22"/>
  <c r="K227" i="6"/>
  <c r="E64" i="9" s="1"/>
  <c r="Q41" i="22"/>
  <c r="R41" i="22" s="1"/>
  <c r="N73" i="5"/>
  <c r="K26" i="22"/>
  <c r="H90" i="15"/>
  <c r="P313" i="6"/>
  <c r="O74" i="6"/>
  <c r="D124" i="9"/>
  <c r="J41" i="22"/>
  <c r="K296" i="6"/>
  <c r="D25" i="9"/>
  <c r="D100" i="9"/>
  <c r="D99" i="9" s="1"/>
  <c r="I13" i="22"/>
  <c r="I63" i="5"/>
  <c r="C242" i="9"/>
  <c r="J82" i="5" l="1"/>
  <c r="J80" i="5"/>
  <c r="P81" i="5"/>
  <c r="P79" i="5"/>
  <c r="J81" i="5"/>
  <c r="I110" i="5"/>
  <c r="I111" i="5" s="1"/>
  <c r="E19" i="18"/>
  <c r="Q159" i="6"/>
  <c r="K119" i="5"/>
  <c r="E94" i="9" s="1"/>
  <c r="E231" i="9" s="1"/>
  <c r="D18" i="18" s="1"/>
  <c r="Q85" i="22"/>
  <c r="R85" i="22" s="1"/>
  <c r="O109" i="22"/>
  <c r="Q101" i="22"/>
  <c r="R101" i="22" s="1"/>
  <c r="P106" i="22"/>
  <c r="P68" i="22"/>
  <c r="R110" i="22"/>
  <c r="Q115" i="22"/>
  <c r="R115" i="22" s="1"/>
  <c r="Q84" i="22"/>
  <c r="R84" i="22" s="1"/>
  <c r="P136" i="22"/>
  <c r="Q136" i="22" s="1"/>
  <c r="P159" i="22"/>
  <c r="Q159" i="22" s="1"/>
  <c r="R159" i="22" s="1"/>
  <c r="R114" i="22"/>
  <c r="Q160" i="22"/>
  <c r="R160" i="22" s="1"/>
  <c r="R86" i="22"/>
  <c r="P107" i="22"/>
  <c r="Q107" i="22" s="1"/>
  <c r="P226" i="6"/>
  <c r="P17" i="7" s="1"/>
  <c r="D19" i="18"/>
  <c r="I51" i="9"/>
  <c r="F109" i="4" s="1"/>
  <c r="F109" i="29" s="1"/>
  <c r="Q240" i="6"/>
  <c r="Q40" i="7" s="1"/>
  <c r="C243" i="9"/>
  <c r="Q51" i="5"/>
  <c r="Q50" i="5" s="1"/>
  <c r="O11" i="18"/>
  <c r="P9" i="18"/>
  <c r="Q138" i="6"/>
  <c r="R138" i="6" s="1"/>
  <c r="R16" i="6" s="1"/>
  <c r="C59" i="9"/>
  <c r="P18" i="7"/>
  <c r="G49" i="4" s="1"/>
  <c r="G49" i="29" s="1"/>
  <c r="P36" i="7"/>
  <c r="G57" i="4" s="1"/>
  <c r="G57" i="29" s="1"/>
  <c r="O227" i="6"/>
  <c r="I64" i="9" s="1"/>
  <c r="I140" i="6"/>
  <c r="Q105" i="6"/>
  <c r="P28" i="7"/>
  <c r="Q152" i="6"/>
  <c r="R165" i="6"/>
  <c r="R27" i="7" s="1"/>
  <c r="Q27" i="7"/>
  <c r="R224" i="6"/>
  <c r="R21" i="7" s="1"/>
  <c r="Q21" i="7"/>
  <c r="Q213" i="6"/>
  <c r="P30" i="7"/>
  <c r="J235" i="6"/>
  <c r="D171" i="9"/>
  <c r="I143" i="6"/>
  <c r="P19" i="6"/>
  <c r="C120" i="9"/>
  <c r="R118" i="6"/>
  <c r="R9" i="6" s="1"/>
  <c r="Q9" i="6"/>
  <c r="R143" i="6"/>
  <c r="R142" i="6" s="1"/>
  <c r="Q142" i="6"/>
  <c r="R162" i="6"/>
  <c r="R26" i="6" s="1"/>
  <c r="Q26" i="6"/>
  <c r="P108" i="6"/>
  <c r="O6" i="6"/>
  <c r="C66" i="9"/>
  <c r="D181" i="9"/>
  <c r="Q146" i="6"/>
  <c r="Q20" i="6" s="1"/>
  <c r="R147" i="6"/>
  <c r="R146" i="6" s="1"/>
  <c r="R20" i="6" s="1"/>
  <c r="Q115" i="6"/>
  <c r="R115" i="6" s="1"/>
  <c r="R161" i="6"/>
  <c r="R25" i="6" s="1"/>
  <c r="Q25" i="6"/>
  <c r="Q132" i="6"/>
  <c r="P133" i="6"/>
  <c r="H203" i="9"/>
  <c r="E23" i="4"/>
  <c r="E23" i="29" s="1"/>
  <c r="I88" i="9"/>
  <c r="N26" i="22"/>
  <c r="N25" i="22" s="1"/>
  <c r="Z43" i="20"/>
  <c r="R23" i="22"/>
  <c r="Q58" i="22"/>
  <c r="R58" i="22" s="1"/>
  <c r="X47" i="20"/>
  <c r="Z36" i="20"/>
  <c r="Z83" i="20"/>
  <c r="W47" i="20"/>
  <c r="Z47" i="20"/>
  <c r="AD36" i="20"/>
  <c r="Y47" i="20"/>
  <c r="P102" i="6"/>
  <c r="Q101" i="6"/>
  <c r="R51" i="5"/>
  <c r="R50" i="5" s="1"/>
  <c r="H13" i="18"/>
  <c r="P65" i="5"/>
  <c r="P13" i="5" s="1"/>
  <c r="P59" i="5"/>
  <c r="Q5" i="22"/>
  <c r="Q6" i="22" s="1"/>
  <c r="P56" i="5"/>
  <c r="P62" i="5"/>
  <c r="P12" i="5" s="1"/>
  <c r="G22" i="4" s="1"/>
  <c r="G22" i="29" s="1"/>
  <c r="P4" i="5"/>
  <c r="P44" i="5"/>
  <c r="D21" i="3" s="1"/>
  <c r="R47" i="5"/>
  <c r="R6" i="5" s="1"/>
  <c r="Q43" i="5"/>
  <c r="Q63" i="22"/>
  <c r="R63" i="22" s="1"/>
  <c r="H51" i="9"/>
  <c r="E109" i="4" s="1"/>
  <c r="E109" i="29" s="1"/>
  <c r="H88" i="9"/>
  <c r="P49" i="22"/>
  <c r="Q49" i="22" s="1"/>
  <c r="O15" i="22"/>
  <c r="P15" i="22" s="1"/>
  <c r="P14" i="22"/>
  <c r="P13" i="22" s="1"/>
  <c r="O13" i="22"/>
  <c r="R124" i="6"/>
  <c r="R12" i="6" s="1"/>
  <c r="Q12" i="6"/>
  <c r="J54" i="22"/>
  <c r="J128" i="6"/>
  <c r="D62" i="9" s="1"/>
  <c r="F26" i="4"/>
  <c r="F26" i="29" s="1"/>
  <c r="O22" i="7"/>
  <c r="F52" i="4" s="1"/>
  <c r="F52" i="29" s="1"/>
  <c r="P10" i="22"/>
  <c r="O9" i="22"/>
  <c r="O127" i="6"/>
  <c r="P127" i="6" s="1"/>
  <c r="Q127" i="6" s="1"/>
  <c r="R127" i="6" s="1"/>
  <c r="I129" i="9"/>
  <c r="G232" i="9"/>
  <c r="G90" i="9" s="1"/>
  <c r="F18" i="18"/>
  <c r="F20" i="18" s="1"/>
  <c r="Q51" i="22"/>
  <c r="R51" i="22" s="1"/>
  <c r="O79" i="22"/>
  <c r="G26" i="4"/>
  <c r="G26" i="29" s="1"/>
  <c r="P22" i="7"/>
  <c r="Q20" i="22"/>
  <c r="R20" i="22" s="1"/>
  <c r="R60" i="22"/>
  <c r="P12" i="22"/>
  <c r="O11" i="22"/>
  <c r="P8" i="22"/>
  <c r="O7" i="22"/>
  <c r="J105" i="6"/>
  <c r="J136" i="5"/>
  <c r="J135" i="5"/>
  <c r="L80" i="6"/>
  <c r="I54" i="5"/>
  <c r="I140" i="5"/>
  <c r="I134" i="5"/>
  <c r="J70" i="5"/>
  <c r="J15" i="22" s="1"/>
  <c r="Q172" i="6"/>
  <c r="Q82" i="5" s="1"/>
  <c r="I192" i="6"/>
  <c r="M80" i="6"/>
  <c r="Q136" i="6"/>
  <c r="C4" i="9"/>
  <c r="H94" i="9"/>
  <c r="E28" i="9"/>
  <c r="E34" i="9" s="1"/>
  <c r="O119" i="5"/>
  <c r="I94" i="9" s="1"/>
  <c r="E114" i="4"/>
  <c r="E114" i="29" s="1"/>
  <c r="R230" i="6"/>
  <c r="R51" i="6" s="1"/>
  <c r="Q51" i="6"/>
  <c r="D87" i="15"/>
  <c r="D88" i="15" s="1"/>
  <c r="O44" i="6"/>
  <c r="F81" i="4" s="1"/>
  <c r="F81" i="29" s="1"/>
  <c r="O11" i="5"/>
  <c r="G8" i="27"/>
  <c r="N244" i="6"/>
  <c r="N57" i="6" s="1"/>
  <c r="H143" i="9" s="1"/>
  <c r="O245" i="6"/>
  <c r="O250" i="6" s="1"/>
  <c r="O244" i="6" s="1"/>
  <c r="O57" i="6" s="1"/>
  <c r="I143" i="9" s="1"/>
  <c r="R98" i="5"/>
  <c r="R16" i="5" s="1"/>
  <c r="R22" i="7" s="1"/>
  <c r="E31" i="9"/>
  <c r="E5" i="9" s="1"/>
  <c r="E35" i="9"/>
  <c r="K108" i="22"/>
  <c r="N108" i="22" s="1"/>
  <c r="N280" i="6"/>
  <c r="Q98" i="5"/>
  <c r="Q16" i="5" s="1"/>
  <c r="Q22" i="7" s="1"/>
  <c r="P12" i="7"/>
  <c r="J207" i="9"/>
  <c r="H201" i="9"/>
  <c r="E21" i="4"/>
  <c r="E21" i="29" s="1"/>
  <c r="Z57" i="20"/>
  <c r="Z18" i="20" s="1"/>
  <c r="Z42" i="20" s="1"/>
  <c r="P13" i="7"/>
  <c r="R24" i="5"/>
  <c r="L212" i="9" s="1"/>
  <c r="Q24" i="5"/>
  <c r="K212" i="9" s="1"/>
  <c r="O8" i="7"/>
  <c r="F49" i="4"/>
  <c r="F49" i="29" s="1"/>
  <c r="P8" i="7"/>
  <c r="F8" i="27"/>
  <c r="K62" i="22"/>
  <c r="N62" i="22" s="1"/>
  <c r="K209" i="9"/>
  <c r="I252" i="6"/>
  <c r="I114" i="22" s="1"/>
  <c r="L28" i="22"/>
  <c r="O28" i="22" s="1"/>
  <c r="L209" i="9"/>
  <c r="O12" i="7"/>
  <c r="I207" i="9"/>
  <c r="F22" i="4"/>
  <c r="F22" i="29" s="1"/>
  <c r="I202" i="9"/>
  <c r="J212" i="9"/>
  <c r="G33" i="4"/>
  <c r="G33" i="29" s="1"/>
  <c r="C119" i="4"/>
  <c r="C119" i="29" s="1"/>
  <c r="E20" i="18"/>
  <c r="F232" i="9"/>
  <c r="F189" i="9" s="1"/>
  <c r="F30" i="9"/>
  <c r="D93" i="15"/>
  <c r="D95" i="15" s="1"/>
  <c r="D21" i="15" s="1"/>
  <c r="D27" i="9"/>
  <c r="D35" i="9" s="1"/>
  <c r="D93" i="9"/>
  <c r="D48" i="9"/>
  <c r="D92" i="9" s="1"/>
  <c r="F32" i="9"/>
  <c r="F34" i="9"/>
  <c r="C120" i="4"/>
  <c r="C120" i="29" s="1"/>
  <c r="E131" i="9"/>
  <c r="E135" i="9" s="1"/>
  <c r="E74" i="9" s="1"/>
  <c r="K260" i="6"/>
  <c r="E95" i="15"/>
  <c r="E21" i="15" s="1"/>
  <c r="E29" i="9"/>
  <c r="J175" i="6"/>
  <c r="D65" i="9" s="1"/>
  <c r="J174" i="6"/>
  <c r="J169" i="6" s="1"/>
  <c r="D154" i="9"/>
  <c r="D159" i="9" s="1"/>
  <c r="D163" i="9" s="1"/>
  <c r="C146" i="9"/>
  <c r="K156" i="6"/>
  <c r="D173" i="9"/>
  <c r="D178" i="9" s="1"/>
  <c r="K216" i="6"/>
  <c r="I38" i="5"/>
  <c r="I43" i="22"/>
  <c r="I256" i="6"/>
  <c r="I14" i="22"/>
  <c r="K55" i="22"/>
  <c r="N55" i="22" s="1"/>
  <c r="I158" i="6"/>
  <c r="J155" i="6" s="1"/>
  <c r="J157" i="6" s="1"/>
  <c r="J62" i="22" s="1"/>
  <c r="I170" i="6"/>
  <c r="I185" i="6" s="1"/>
  <c r="C124" i="9"/>
  <c r="D118" i="9"/>
  <c r="D122" i="9" s="1"/>
  <c r="I266" i="6"/>
  <c r="I197" i="6"/>
  <c r="I193" i="6" s="1"/>
  <c r="I245" i="6"/>
  <c r="I155" i="6"/>
  <c r="I302" i="6"/>
  <c r="I279" i="6"/>
  <c r="I280" i="6" s="1"/>
  <c r="I296" i="6"/>
  <c r="I298" i="6" s="1"/>
  <c r="I137" i="22" s="1"/>
  <c r="K298" i="6"/>
  <c r="K137" i="22" s="1"/>
  <c r="N137" i="22" s="1"/>
  <c r="K297" i="6"/>
  <c r="K304" i="6" s="1"/>
  <c r="I90" i="15"/>
  <c r="R256" i="6"/>
  <c r="R63" i="6" s="1"/>
  <c r="Q63" i="6"/>
  <c r="F74" i="9"/>
  <c r="E21" i="18"/>
  <c r="F165" i="9"/>
  <c r="P21" i="6"/>
  <c r="I12" i="22"/>
  <c r="P70" i="6"/>
  <c r="Q42" i="7"/>
  <c r="P52" i="6"/>
  <c r="F21" i="18"/>
  <c r="G74" i="9"/>
  <c r="P35" i="6"/>
  <c r="P37" i="6"/>
  <c r="J258" i="6"/>
  <c r="P58" i="6"/>
  <c r="J239" i="6"/>
  <c r="J108" i="22" s="1"/>
  <c r="J240" i="6"/>
  <c r="J109" i="22" s="1"/>
  <c r="C25" i="9"/>
  <c r="I313" i="6"/>
  <c r="I314" i="6" s="1"/>
  <c r="I319" i="6" s="1"/>
  <c r="C100" i="9"/>
  <c r="C99" i="9" s="1"/>
  <c r="J296" i="6"/>
  <c r="C140" i="9"/>
  <c r="C27" i="9" s="1"/>
  <c r="C113" i="9"/>
  <c r="I160" i="22"/>
  <c r="J73" i="5"/>
  <c r="J75" i="5" s="1"/>
  <c r="P23" i="6"/>
  <c r="L138" i="22"/>
  <c r="L305" i="6"/>
  <c r="L139" i="22" s="1"/>
  <c r="J44" i="22"/>
  <c r="E90" i="15"/>
  <c r="K16" i="22"/>
  <c r="N16" i="22" s="1"/>
  <c r="O16" i="22" s="1"/>
  <c r="P36" i="6"/>
  <c r="G152" i="24"/>
  <c r="P167" i="6" s="1"/>
  <c r="O164" i="6"/>
  <c r="R68" i="6"/>
  <c r="Q68" i="6"/>
  <c r="P44" i="6"/>
  <c r="P62" i="6"/>
  <c r="Q6" i="7"/>
  <c r="N48" i="22"/>
  <c r="R292" i="6"/>
  <c r="Q71" i="6"/>
  <c r="K285" i="6"/>
  <c r="K280" i="6"/>
  <c r="D44" i="9"/>
  <c r="D107" i="9"/>
  <c r="P74" i="6"/>
  <c r="Q313" i="6"/>
  <c r="K103" i="22"/>
  <c r="N103" i="22" s="1"/>
  <c r="P170" i="6"/>
  <c r="P175" i="6" s="1"/>
  <c r="J65" i="9" s="1"/>
  <c r="H181" i="9"/>
  <c r="H161" i="9"/>
  <c r="H172" i="9"/>
  <c r="O73" i="5"/>
  <c r="R53" i="6"/>
  <c r="Q53" i="6"/>
  <c r="J102" i="22"/>
  <c r="J227" i="6"/>
  <c r="D64" i="9" s="1"/>
  <c r="R188" i="6"/>
  <c r="R29" i="6" s="1"/>
  <c r="Q29" i="6"/>
  <c r="K130" i="5"/>
  <c r="K131" i="5" s="1"/>
  <c r="K128" i="5"/>
  <c r="G32" i="9"/>
  <c r="G34" i="9"/>
  <c r="G30" i="9"/>
  <c r="G36" i="9"/>
  <c r="D120" i="4"/>
  <c r="D120" i="29" s="1"/>
  <c r="D119" i="4"/>
  <c r="D119" i="29" s="1"/>
  <c r="Q202" i="6"/>
  <c r="Q32" i="6" s="1"/>
  <c r="N27" i="6"/>
  <c r="O6" i="7"/>
  <c r="O185" i="6"/>
  <c r="N171" i="6"/>
  <c r="N186" i="6"/>
  <c r="O120" i="6"/>
  <c r="O11" i="6" s="1"/>
  <c r="J27" i="22"/>
  <c r="J111" i="5"/>
  <c r="J116" i="5"/>
  <c r="I8" i="22"/>
  <c r="C91" i="9"/>
  <c r="I101" i="6"/>
  <c r="I102" i="6" s="1"/>
  <c r="I159" i="22"/>
  <c r="I240" i="6"/>
  <c r="I109" i="22" s="1"/>
  <c r="I239" i="6"/>
  <c r="I108" i="22" s="1"/>
  <c r="I226" i="6"/>
  <c r="C119" i="9"/>
  <c r="I58" i="22"/>
  <c r="I233" i="6"/>
  <c r="I117" i="6"/>
  <c r="M139" i="22"/>
  <c r="P222" i="6"/>
  <c r="P43" i="6" s="1"/>
  <c r="P68" i="7"/>
  <c r="P73" i="5" s="1"/>
  <c r="O266" i="6"/>
  <c r="N265" i="6"/>
  <c r="P34" i="6"/>
  <c r="F187" i="9"/>
  <c r="F190" i="9" s="1"/>
  <c r="G5" i="9"/>
  <c r="K17" i="3"/>
  <c r="E53" i="9"/>
  <c r="Q33" i="6"/>
  <c r="R205" i="6"/>
  <c r="R33" i="6" s="1"/>
  <c r="P22" i="6"/>
  <c r="O193" i="6"/>
  <c r="O200" i="6" s="1"/>
  <c r="K45" i="22"/>
  <c r="N45" i="22" s="1"/>
  <c r="O309" i="6"/>
  <c r="O271" i="6" s="1"/>
  <c r="C228" i="9"/>
  <c r="D52" i="9"/>
  <c r="C217" i="9"/>
  <c r="J266" i="6"/>
  <c r="I310" i="6"/>
  <c r="I53" i="7"/>
  <c r="I15" i="22"/>
  <c r="I213" i="6"/>
  <c r="I127" i="6"/>
  <c r="I128" i="6" s="1"/>
  <c r="C62" i="9" s="1"/>
  <c r="C104" i="9"/>
  <c r="J279" i="6"/>
  <c r="I121" i="6"/>
  <c r="I49" i="22" s="1"/>
  <c r="I48" i="22"/>
  <c r="I116" i="5" l="1"/>
  <c r="Q79" i="5"/>
  <c r="Q81" i="5"/>
  <c r="P227" i="6"/>
  <c r="J64" i="9" s="1"/>
  <c r="R159" i="6"/>
  <c r="Q16" i="6"/>
  <c r="Q18" i="7"/>
  <c r="Q226" i="6"/>
  <c r="Q17" i="7" s="1"/>
  <c r="Q68" i="22"/>
  <c r="R68" i="22" s="1"/>
  <c r="N102" i="22"/>
  <c r="R136" i="22"/>
  <c r="R107" i="22"/>
  <c r="Q106" i="22"/>
  <c r="R106" i="22" s="1"/>
  <c r="O108" i="22"/>
  <c r="P109" i="22"/>
  <c r="Q109" i="22" s="1"/>
  <c r="O137" i="22"/>
  <c r="O103" i="22"/>
  <c r="P103" i="22" s="1"/>
  <c r="P102" i="22" s="1"/>
  <c r="R240" i="6"/>
  <c r="R40" i="7" s="1"/>
  <c r="J202" i="9"/>
  <c r="P11" i="18"/>
  <c r="Q9" i="18"/>
  <c r="G52" i="4"/>
  <c r="G52" i="29" s="1"/>
  <c r="C118" i="9"/>
  <c r="C122" i="9" s="1"/>
  <c r="C131" i="9" s="1"/>
  <c r="C135" i="9" s="1"/>
  <c r="C74" i="9" s="1"/>
  <c r="G81" i="4"/>
  <c r="G81" i="29" s="1"/>
  <c r="Q36" i="7"/>
  <c r="R152" i="6"/>
  <c r="R23" i="6" s="1"/>
  <c r="R105" i="6"/>
  <c r="R28" i="7" s="1"/>
  <c r="Q28" i="7"/>
  <c r="I235" i="6"/>
  <c r="R213" i="6"/>
  <c r="R30" i="7" s="1"/>
  <c r="Q30" i="7"/>
  <c r="I215" i="6"/>
  <c r="I216" i="6" s="1"/>
  <c r="R19" i="6"/>
  <c r="J215" i="6"/>
  <c r="J216" i="6" s="1"/>
  <c r="Q19" i="6"/>
  <c r="Q108" i="6"/>
  <c r="P6" i="6"/>
  <c r="O26" i="22"/>
  <c r="O25" i="22" s="1"/>
  <c r="R132" i="6"/>
  <c r="R133" i="6" s="1"/>
  <c r="Q133" i="6"/>
  <c r="J203" i="9"/>
  <c r="G23" i="4"/>
  <c r="G23" i="29" s="1"/>
  <c r="Q14" i="22"/>
  <c r="R14" i="22" s="1"/>
  <c r="G189" i="9"/>
  <c r="R43" i="5"/>
  <c r="G73" i="9"/>
  <c r="G76" i="9" s="1"/>
  <c r="G78" i="9" s="1"/>
  <c r="G37" i="9" s="1"/>
  <c r="J55" i="22"/>
  <c r="Q65" i="5"/>
  <c r="Q13" i="5" s="1"/>
  <c r="K203" i="9" s="1"/>
  <c r="R5" i="22"/>
  <c r="R6" i="22" s="1"/>
  <c r="Q56" i="5"/>
  <c r="Q59" i="5"/>
  <c r="Q4" i="5"/>
  <c r="Q62" i="5"/>
  <c r="Q12" i="5" s="1"/>
  <c r="K202" i="9" s="1"/>
  <c r="Q44" i="5"/>
  <c r="D22" i="3" s="1"/>
  <c r="R101" i="6"/>
  <c r="Q102" i="6"/>
  <c r="P147" i="5"/>
  <c r="J197" i="9"/>
  <c r="I12" i="18"/>
  <c r="G6" i="4"/>
  <c r="G6" i="29" s="1"/>
  <c r="C21" i="3"/>
  <c r="P16" i="22"/>
  <c r="Q16" i="22" s="1"/>
  <c r="R16" i="22" s="1"/>
  <c r="P7" i="22"/>
  <c r="Q8" i="22"/>
  <c r="Q15" i="22"/>
  <c r="R15" i="22" s="1"/>
  <c r="N54" i="22"/>
  <c r="R28" i="22"/>
  <c r="R27" i="22" s="1"/>
  <c r="O27" i="22"/>
  <c r="O55" i="22"/>
  <c r="P55" i="22" s="1"/>
  <c r="P54" i="22" s="1"/>
  <c r="P79" i="22"/>
  <c r="Q79" i="22" s="1"/>
  <c r="R79" i="22" s="1"/>
  <c r="O62" i="22"/>
  <c r="P62" i="22" s="1"/>
  <c r="O45" i="22"/>
  <c r="J129" i="9"/>
  <c r="P11" i="22"/>
  <c r="Q12" i="22"/>
  <c r="P9" i="22"/>
  <c r="Q10" i="22"/>
  <c r="Q9" i="22" s="1"/>
  <c r="R49" i="22"/>
  <c r="I136" i="5"/>
  <c r="I135" i="5"/>
  <c r="R172" i="6"/>
  <c r="R82" i="5" s="1"/>
  <c r="F75" i="9"/>
  <c r="R136" i="6"/>
  <c r="R18" i="7" s="1"/>
  <c r="D31" i="9"/>
  <c r="D5" i="9" s="1"/>
  <c r="D28" i="9"/>
  <c r="D34" i="9" s="1"/>
  <c r="E32" i="9"/>
  <c r="D96" i="15"/>
  <c r="E36" i="9"/>
  <c r="D33" i="9"/>
  <c r="P119" i="5"/>
  <c r="F114" i="4"/>
  <c r="F114" i="29" s="1"/>
  <c r="I258" i="6"/>
  <c r="K80" i="6"/>
  <c r="G75" i="9"/>
  <c r="P15" i="6"/>
  <c r="G73" i="4" s="1"/>
  <c r="G73" i="29" s="1"/>
  <c r="F21" i="4"/>
  <c r="F21" i="29" s="1"/>
  <c r="I201" i="9"/>
  <c r="P11" i="5"/>
  <c r="P245" i="6"/>
  <c r="P250" i="6" s="1"/>
  <c r="Q245" i="6" s="1"/>
  <c r="Q250" i="6" s="1"/>
  <c r="N26" i="7"/>
  <c r="R35" i="6"/>
  <c r="Q12" i="7"/>
  <c r="K207" i="9"/>
  <c r="K61" i="22"/>
  <c r="N61" i="22" s="1"/>
  <c r="R12" i="7"/>
  <c r="L207" i="9"/>
  <c r="N242" i="6"/>
  <c r="F90" i="9"/>
  <c r="F73" i="9"/>
  <c r="D29" i="9"/>
  <c r="C93" i="9"/>
  <c r="C48" i="9"/>
  <c r="C92" i="9" s="1"/>
  <c r="D21" i="18"/>
  <c r="E24" i="18" s="1"/>
  <c r="E165" i="9"/>
  <c r="E30" i="9"/>
  <c r="I285" i="6"/>
  <c r="J260" i="6"/>
  <c r="J156" i="6"/>
  <c r="J61" i="22" s="1"/>
  <c r="N38" i="5"/>
  <c r="R71" i="6"/>
  <c r="R25" i="7"/>
  <c r="I175" i="6"/>
  <c r="C65" i="9" s="1"/>
  <c r="I174" i="6"/>
  <c r="I297" i="6"/>
  <c r="I304" i="6" s="1"/>
  <c r="I305" i="6" s="1"/>
  <c r="I139" i="22" s="1"/>
  <c r="F24" i="18"/>
  <c r="I102" i="22"/>
  <c r="I227" i="6"/>
  <c r="C64" i="9" s="1"/>
  <c r="P120" i="6"/>
  <c r="P11" i="6" s="1"/>
  <c r="I121" i="5"/>
  <c r="I124" i="5" s="1"/>
  <c r="I119" i="5"/>
  <c r="J16" i="22"/>
  <c r="D90" i="15"/>
  <c r="K138" i="22"/>
  <c r="K305" i="6"/>
  <c r="K139" i="22" s="1"/>
  <c r="N139" i="22" s="1"/>
  <c r="I172" i="9"/>
  <c r="I181" i="9"/>
  <c r="I161" i="9"/>
  <c r="O274" i="6"/>
  <c r="N6" i="7"/>
  <c r="N185" i="6"/>
  <c r="R202" i="6"/>
  <c r="R32" i="6" s="1"/>
  <c r="J298" i="6"/>
  <c r="J137" i="22" s="1"/>
  <c r="J297" i="6"/>
  <c r="J304" i="6" s="1"/>
  <c r="R58" i="6"/>
  <c r="Q58" i="6"/>
  <c r="Q13" i="7"/>
  <c r="Q35" i="6"/>
  <c r="I54" i="22"/>
  <c r="P197" i="6"/>
  <c r="N67" i="6"/>
  <c r="E84" i="4" s="1"/>
  <c r="E84" i="29" s="1"/>
  <c r="H152" i="24"/>
  <c r="Q167" i="6" s="1"/>
  <c r="P164" i="6"/>
  <c r="Q36" i="6"/>
  <c r="R36" i="6"/>
  <c r="C28" i="9"/>
  <c r="C31" i="9"/>
  <c r="C5" i="9" s="1"/>
  <c r="C33" i="9"/>
  <c r="C35" i="9"/>
  <c r="R42" i="7"/>
  <c r="Q70" i="6"/>
  <c r="D53" i="9"/>
  <c r="J285" i="6"/>
  <c r="J280" i="6"/>
  <c r="I44" i="22"/>
  <c r="O171" i="6"/>
  <c r="N174" i="6"/>
  <c r="N78" i="22" s="1"/>
  <c r="Q74" i="6"/>
  <c r="R313" i="6"/>
  <c r="R74" i="6" s="1"/>
  <c r="Q62" i="6"/>
  <c r="G86" i="9"/>
  <c r="G87" i="9"/>
  <c r="Q15" i="6"/>
  <c r="Q21" i="6"/>
  <c r="J90" i="15"/>
  <c r="I201" i="6"/>
  <c r="I79" i="22" s="1"/>
  <c r="J197" i="6"/>
  <c r="D131" i="9"/>
  <c r="D135" i="9" s="1"/>
  <c r="E179" i="9"/>
  <c r="E177" i="9" s="1"/>
  <c r="E183" i="9" s="1"/>
  <c r="D91" i="15"/>
  <c r="J26" i="22"/>
  <c r="Q44" i="6"/>
  <c r="R44" i="6"/>
  <c r="Q23" i="6"/>
  <c r="I156" i="6"/>
  <c r="I61" i="22" s="1"/>
  <c r="I157" i="6"/>
  <c r="I62" i="22" s="1"/>
  <c r="R22" i="6"/>
  <c r="Q22" i="6"/>
  <c r="E86" i="9"/>
  <c r="Q34" i="6"/>
  <c r="Q68" i="7"/>
  <c r="Q73" i="5" s="1"/>
  <c r="R68" i="7"/>
  <c r="Q222" i="6"/>
  <c r="Q43" i="6" s="1"/>
  <c r="R222" i="6"/>
  <c r="R43" i="6" s="1"/>
  <c r="J121" i="5"/>
  <c r="J124" i="5" s="1"/>
  <c r="D105" i="9"/>
  <c r="J119" i="5"/>
  <c r="D94" i="9" s="1"/>
  <c r="D231" i="9" s="1"/>
  <c r="D232" i="9" s="1"/>
  <c r="D90" i="9" s="1"/>
  <c r="O48" i="22"/>
  <c r="J103" i="22"/>
  <c r="P185" i="6"/>
  <c r="Q170" i="6"/>
  <c r="Q175" i="6" s="1"/>
  <c r="K65" i="9" s="1"/>
  <c r="O27" i="6"/>
  <c r="J45" i="22"/>
  <c r="C94" i="15"/>
  <c r="C93" i="15"/>
  <c r="C87" i="15"/>
  <c r="C88" i="15" s="1"/>
  <c r="C154" i="9"/>
  <c r="C159" i="9" s="1"/>
  <c r="C163" i="9" s="1"/>
  <c r="C44" i="9"/>
  <c r="C107" i="9"/>
  <c r="Q37" i="6"/>
  <c r="D20" i="18"/>
  <c r="E232" i="9"/>
  <c r="E90" i="9" s="1"/>
  <c r="R52" i="6"/>
  <c r="Q52" i="6"/>
  <c r="F86" i="9"/>
  <c r="F87" i="9"/>
  <c r="R226" i="6" l="1"/>
  <c r="R17" i="7" s="1"/>
  <c r="R79" i="5"/>
  <c r="R81" i="5"/>
  <c r="Q227" i="6"/>
  <c r="K64" i="9" s="1"/>
  <c r="R44" i="5"/>
  <c r="D23" i="3" s="1"/>
  <c r="R4" i="5"/>
  <c r="R147" i="5" s="1"/>
  <c r="R109" i="22"/>
  <c r="R59" i="5"/>
  <c r="O139" i="22"/>
  <c r="O102" i="22"/>
  <c r="P108" i="22"/>
  <c r="Q103" i="22"/>
  <c r="Q102" i="22" s="1"/>
  <c r="N138" i="22"/>
  <c r="P137" i="22"/>
  <c r="Q137" i="22" s="1"/>
  <c r="Q11" i="18"/>
  <c r="R9" i="18"/>
  <c r="R56" i="5"/>
  <c r="R62" i="5"/>
  <c r="R12" i="5" s="1"/>
  <c r="L202" i="9" s="1"/>
  <c r="R65" i="5"/>
  <c r="R13" i="5" s="1"/>
  <c r="L203" i="9" s="1"/>
  <c r="Q13" i="22"/>
  <c r="R36" i="7"/>
  <c r="J80" i="6"/>
  <c r="P26" i="22"/>
  <c r="P25" i="22" s="1"/>
  <c r="R108" i="6"/>
  <c r="R6" i="6" s="1"/>
  <c r="Q6" i="6"/>
  <c r="R102" i="6"/>
  <c r="G79" i="9"/>
  <c r="R13" i="22"/>
  <c r="J12" i="18"/>
  <c r="K12" i="18" s="1"/>
  <c r="L12" i="18" s="1"/>
  <c r="M12" i="18" s="1"/>
  <c r="I13" i="18"/>
  <c r="J14" i="18" s="1"/>
  <c r="J88" i="9"/>
  <c r="J51" i="9"/>
  <c r="G109" i="4" s="1"/>
  <c r="G109" i="29" s="1"/>
  <c r="K197" i="9"/>
  <c r="C22" i="3"/>
  <c r="Q147" i="5"/>
  <c r="R12" i="22"/>
  <c r="R11" i="22" s="1"/>
  <c r="Q11" i="22"/>
  <c r="R227" i="6"/>
  <c r="L64" i="9" s="1"/>
  <c r="K129" i="9"/>
  <c r="F79" i="9"/>
  <c r="Q62" i="22"/>
  <c r="R62" i="22" s="1"/>
  <c r="Q7" i="22"/>
  <c r="R8" i="22"/>
  <c r="R7" i="22" s="1"/>
  <c r="O61" i="22"/>
  <c r="P61" i="22" s="1"/>
  <c r="P45" i="22"/>
  <c r="Q45" i="22" s="1"/>
  <c r="O54" i="22"/>
  <c r="Q55" i="22"/>
  <c r="R55" i="22" s="1"/>
  <c r="R10" i="22"/>
  <c r="R9" i="22" s="1"/>
  <c r="R15" i="6"/>
  <c r="I260" i="6"/>
  <c r="I80" i="6" s="1"/>
  <c r="D36" i="9"/>
  <c r="D32" i="9"/>
  <c r="G43" i="9"/>
  <c r="D104" i="4" s="1"/>
  <c r="D104" i="29" s="1"/>
  <c r="F22" i="18"/>
  <c r="G84" i="9"/>
  <c r="Q119" i="5"/>
  <c r="R119" i="5" s="1"/>
  <c r="L94" i="9" s="1"/>
  <c r="G114" i="4"/>
  <c r="G114" i="29" s="1"/>
  <c r="H24" i="9"/>
  <c r="E101" i="4" s="1"/>
  <c r="E121" i="4"/>
  <c r="E121" i="29" s="1"/>
  <c r="R37" i="6"/>
  <c r="P244" i="6"/>
  <c r="P57" i="6" s="1"/>
  <c r="J143" i="9" s="1"/>
  <c r="N237" i="6"/>
  <c r="N258" i="6" s="1"/>
  <c r="N64" i="6" s="1"/>
  <c r="E82" i="4" s="1"/>
  <c r="E82" i="29" s="1"/>
  <c r="O238" i="6"/>
  <c r="O242" i="6" s="1"/>
  <c r="J201" i="9"/>
  <c r="G21" i="4"/>
  <c r="G21" i="29" s="1"/>
  <c r="R245" i="6"/>
  <c r="R250" i="6" s="1"/>
  <c r="R244" i="6" s="1"/>
  <c r="R57" i="6" s="1"/>
  <c r="L143" i="9" s="1"/>
  <c r="Q244" i="6"/>
  <c r="Q57" i="6" s="1"/>
  <c r="K143" i="9" s="1"/>
  <c r="F76" i="9"/>
  <c r="F78" i="9" s="1"/>
  <c r="F37" i="9" s="1"/>
  <c r="J94" i="9"/>
  <c r="N158" i="6"/>
  <c r="P26" i="7"/>
  <c r="O26" i="7"/>
  <c r="Q11" i="5"/>
  <c r="K201" i="9" s="1"/>
  <c r="R34" i="6"/>
  <c r="Q8" i="7"/>
  <c r="C165" i="9"/>
  <c r="R21" i="6"/>
  <c r="R8" i="7"/>
  <c r="I138" i="22"/>
  <c r="D179" i="9"/>
  <c r="D177" i="9" s="1"/>
  <c r="D183" i="9" s="1"/>
  <c r="D187" i="9" s="1"/>
  <c r="D190" i="9" s="1"/>
  <c r="C95" i="15"/>
  <c r="C21" i="15" s="1"/>
  <c r="R13" i="7"/>
  <c r="D74" i="9"/>
  <c r="D165" i="9"/>
  <c r="Q164" i="6"/>
  <c r="Q27" i="6" s="1"/>
  <c r="I152" i="24"/>
  <c r="I55" i="22"/>
  <c r="P48" i="22"/>
  <c r="E73" i="9"/>
  <c r="C96" i="15"/>
  <c r="D73" i="9"/>
  <c r="R70" i="6"/>
  <c r="H148" i="9"/>
  <c r="J138" i="22"/>
  <c r="J305" i="6"/>
  <c r="J139" i="22" s="1"/>
  <c r="R120" i="6"/>
  <c r="R11" i="6" s="1"/>
  <c r="Q120" i="6"/>
  <c r="Q11" i="6" s="1"/>
  <c r="R170" i="6"/>
  <c r="R175" i="6" s="1"/>
  <c r="L65" i="9" s="1"/>
  <c r="Q185" i="6"/>
  <c r="J130" i="5"/>
  <c r="J131" i="5" s="1"/>
  <c r="J128" i="5"/>
  <c r="R73" i="5"/>
  <c r="E187" i="9"/>
  <c r="E190" i="9" s="1"/>
  <c r="E189" i="9"/>
  <c r="R62" i="6"/>
  <c r="D30" i="9"/>
  <c r="N169" i="6"/>
  <c r="N28" i="6" s="1"/>
  <c r="E75" i="4" s="1"/>
  <c r="E75" i="29" s="1"/>
  <c r="I45" i="22"/>
  <c r="C36" i="9"/>
  <c r="C30" i="9"/>
  <c r="C34" i="9"/>
  <c r="C32" i="9"/>
  <c r="P193" i="6"/>
  <c r="P200" i="6" s="1"/>
  <c r="P309" i="6"/>
  <c r="P271" i="6" s="1"/>
  <c r="O265" i="6"/>
  <c r="P266" i="6"/>
  <c r="C91" i="15"/>
  <c r="I26" i="22"/>
  <c r="C94" i="9"/>
  <c r="C231" i="9" s="1"/>
  <c r="C232" i="9" s="1"/>
  <c r="C90" i="9" s="1"/>
  <c r="I103" i="22"/>
  <c r="P171" i="6"/>
  <c r="O174" i="6"/>
  <c r="O78" i="22" s="1"/>
  <c r="C29" i="9"/>
  <c r="P27" i="6"/>
  <c r="J172" i="9"/>
  <c r="J161" i="9"/>
  <c r="J181" i="9"/>
  <c r="I130" i="5"/>
  <c r="I128" i="5"/>
  <c r="I28" i="22" s="1"/>
  <c r="L197" i="9" l="1"/>
  <c r="C23" i="3"/>
  <c r="R137" i="22"/>
  <c r="R103" i="22"/>
  <c r="R102" i="22" s="1"/>
  <c r="Q108" i="22"/>
  <c r="R108" i="22" s="1"/>
  <c r="P139" i="22"/>
  <c r="E115" i="4"/>
  <c r="E115" i="29" s="1"/>
  <c r="E101" i="29"/>
  <c r="S9" i="18"/>
  <c r="R11" i="18"/>
  <c r="N12" i="18"/>
  <c r="Q26" i="22"/>
  <c r="Q25" i="22" s="1"/>
  <c r="Q54" i="22"/>
  <c r="K94" i="9"/>
  <c r="K51" i="9"/>
  <c r="K88" i="9"/>
  <c r="L129" i="9"/>
  <c r="L172" i="9" s="1"/>
  <c r="R45" i="22"/>
  <c r="Q61" i="22"/>
  <c r="R61" i="22" s="1"/>
  <c r="R164" i="6"/>
  <c r="R27" i="6" s="1"/>
  <c r="R167" i="6"/>
  <c r="F84" i="9"/>
  <c r="F43" i="9"/>
  <c r="C104" i="4" s="1"/>
  <c r="C104" i="29" s="1"/>
  <c r="E22" i="18"/>
  <c r="D75" i="9"/>
  <c r="D79" i="9" s="1"/>
  <c r="E75" i="9"/>
  <c r="E79" i="9" s="1"/>
  <c r="N56" i="6"/>
  <c r="R11" i="5"/>
  <c r="L201" i="9" s="1"/>
  <c r="O237" i="6"/>
  <c r="O56" i="6" s="1"/>
  <c r="P238" i="6"/>
  <c r="P242" i="6" s="1"/>
  <c r="Q26" i="7"/>
  <c r="N154" i="6"/>
  <c r="O155" i="6"/>
  <c r="O158" i="6" s="1"/>
  <c r="O38" i="5"/>
  <c r="F121" i="4" s="1"/>
  <c r="F121" i="29" s="1"/>
  <c r="L88" i="9"/>
  <c r="L51" i="9"/>
  <c r="D189" i="9"/>
  <c r="P274" i="6"/>
  <c r="Q266" i="6" s="1"/>
  <c r="R48" i="22"/>
  <c r="D86" i="9"/>
  <c r="E87" i="9"/>
  <c r="C73" i="9"/>
  <c r="C76" i="9" s="1"/>
  <c r="O67" i="6"/>
  <c r="F84" i="4" s="1"/>
  <c r="F84" i="29" s="1"/>
  <c r="H125" i="9"/>
  <c r="R185" i="6"/>
  <c r="E76" i="9"/>
  <c r="K181" i="9"/>
  <c r="K161" i="9"/>
  <c r="K172" i="9"/>
  <c r="I131" i="5"/>
  <c r="C105" i="9"/>
  <c r="O169" i="6"/>
  <c r="O28" i="6" s="1"/>
  <c r="F75" i="4" s="1"/>
  <c r="F75" i="29" s="1"/>
  <c r="D87" i="9"/>
  <c r="Q171" i="6"/>
  <c r="P174" i="6"/>
  <c r="P78" i="22" s="1"/>
  <c r="R54" i="22"/>
  <c r="Q197" i="6"/>
  <c r="Q48" i="22"/>
  <c r="D76" i="9"/>
  <c r="Q139" i="22" l="1"/>
  <c r="T9" i="18"/>
  <c r="S11" i="18"/>
  <c r="R26" i="22"/>
  <c r="R25" i="22" s="1"/>
  <c r="O12" i="18"/>
  <c r="N24" i="6"/>
  <c r="E74" i="4" s="1"/>
  <c r="E74" i="29" s="1"/>
  <c r="L181" i="9"/>
  <c r="L161" i="9"/>
  <c r="O74" i="5"/>
  <c r="O72" i="5" s="1"/>
  <c r="H142" i="9"/>
  <c r="N74" i="5"/>
  <c r="H144" i="9"/>
  <c r="I142" i="9"/>
  <c r="O258" i="6"/>
  <c r="O64" i="6" s="1"/>
  <c r="F82" i="4" s="1"/>
  <c r="F82" i="29" s="1"/>
  <c r="P237" i="6"/>
  <c r="P258" i="6" s="1"/>
  <c r="P64" i="6" s="1"/>
  <c r="G82" i="4" s="1"/>
  <c r="G82" i="29" s="1"/>
  <c r="Q238" i="6"/>
  <c r="Q242" i="6" s="1"/>
  <c r="R26" i="7"/>
  <c r="P155" i="6"/>
  <c r="P158" i="6" s="1"/>
  <c r="O154" i="6"/>
  <c r="Q309" i="6"/>
  <c r="Q271" i="6" s="1"/>
  <c r="Q274" i="6" s="1"/>
  <c r="P265" i="6"/>
  <c r="Q193" i="6"/>
  <c r="P169" i="6"/>
  <c r="P28" i="6" s="1"/>
  <c r="G75" i="4" s="1"/>
  <c r="G75" i="29" s="1"/>
  <c r="I125" i="9"/>
  <c r="E43" i="9"/>
  <c r="E84" i="9"/>
  <c r="E78" i="9"/>
  <c r="E37" i="9" s="1"/>
  <c r="D22" i="18"/>
  <c r="I148" i="9"/>
  <c r="R171" i="6"/>
  <c r="R174" i="6" s="1"/>
  <c r="R78" i="22" s="1"/>
  <c r="Q174" i="6"/>
  <c r="Q78" i="22" s="1"/>
  <c r="D84" i="9"/>
  <c r="D78" i="9"/>
  <c r="D37" i="9" s="1"/>
  <c r="D43" i="9"/>
  <c r="H168" i="9"/>
  <c r="R139" i="22" l="1"/>
  <c r="T11" i="18"/>
  <c r="U9" i="18"/>
  <c r="U11" i="18" s="1"/>
  <c r="H127" i="9"/>
  <c r="H170" i="9" s="1"/>
  <c r="H128" i="9"/>
  <c r="H171" i="9" s="1"/>
  <c r="P12" i="18"/>
  <c r="O24" i="6"/>
  <c r="F74" i="4" s="1"/>
  <c r="F74" i="29" s="1"/>
  <c r="P67" i="6"/>
  <c r="O18" i="22"/>
  <c r="Q200" i="6"/>
  <c r="N18" i="22"/>
  <c r="N72" i="5"/>
  <c r="I144" i="9"/>
  <c r="Q237" i="6"/>
  <c r="Q258" i="6" s="1"/>
  <c r="Q64" i="6" s="1"/>
  <c r="R238" i="6"/>
  <c r="R242" i="6" s="1"/>
  <c r="R237" i="6" s="1"/>
  <c r="R258" i="6" s="1"/>
  <c r="R64" i="6" s="1"/>
  <c r="P56" i="6"/>
  <c r="J142" i="9" s="1"/>
  <c r="Q155" i="6"/>
  <c r="Q158" i="6" s="1"/>
  <c r="P154" i="6"/>
  <c r="R309" i="6"/>
  <c r="R271" i="6" s="1"/>
  <c r="R266" i="6"/>
  <c r="Q265" i="6"/>
  <c r="Q38" i="5" s="1"/>
  <c r="P38" i="5"/>
  <c r="G121" i="4" s="1"/>
  <c r="G121" i="29" s="1"/>
  <c r="Q169" i="6"/>
  <c r="Q28" i="6" s="1"/>
  <c r="I168" i="9"/>
  <c r="R169" i="6"/>
  <c r="R28" i="6" s="1"/>
  <c r="J125" i="9"/>
  <c r="R197" i="6"/>
  <c r="J148" i="9" l="1"/>
  <c r="G84" i="4"/>
  <c r="G84" i="29" s="1"/>
  <c r="I127" i="9"/>
  <c r="I170" i="9" s="1"/>
  <c r="Q12" i="18"/>
  <c r="I128" i="9"/>
  <c r="I171" i="9" s="1"/>
  <c r="P24" i="6"/>
  <c r="G74" i="4" s="1"/>
  <c r="G74" i="29" s="1"/>
  <c r="J128" i="9"/>
  <c r="J171" i="9" s="1"/>
  <c r="Q56" i="6"/>
  <c r="K142" i="9" s="1"/>
  <c r="J144" i="9"/>
  <c r="R56" i="6"/>
  <c r="L142" i="9" s="1"/>
  <c r="P74" i="5"/>
  <c r="Q154" i="6"/>
  <c r="R155" i="6"/>
  <c r="R158" i="6" s="1"/>
  <c r="Q67" i="6"/>
  <c r="K148" i="9" s="1"/>
  <c r="R274" i="6"/>
  <c r="R265" i="6" s="1"/>
  <c r="R67" i="6" s="1"/>
  <c r="L148" i="9" s="1"/>
  <c r="J168" i="9"/>
  <c r="R193" i="6"/>
  <c r="L125" i="9"/>
  <c r="K125" i="9"/>
  <c r="R12" i="18" l="1"/>
  <c r="J127" i="9"/>
  <c r="J170" i="9" s="1"/>
  <c r="Q24" i="6"/>
  <c r="K128" i="9" s="1"/>
  <c r="K171" i="9" s="1"/>
  <c r="R200" i="6"/>
  <c r="K144" i="9"/>
  <c r="Q74" i="5"/>
  <c r="Q72" i="5" s="1"/>
  <c r="L144" i="9"/>
  <c r="R74" i="5"/>
  <c r="P72" i="5"/>
  <c r="P18" i="22"/>
  <c r="R154" i="6"/>
  <c r="R38" i="5"/>
  <c r="K168" i="9"/>
  <c r="L168" i="9"/>
  <c r="K127" i="9" l="1"/>
  <c r="K170" i="9" s="1"/>
  <c r="S12" i="18"/>
  <c r="R24" i="6"/>
  <c r="L128" i="9" s="1"/>
  <c r="L171" i="9" s="1"/>
  <c r="Q18" i="22"/>
  <c r="R18" i="22"/>
  <c r="R72" i="5"/>
  <c r="N288" i="6"/>
  <c r="O279" i="6" s="1"/>
  <c r="N14" i="7"/>
  <c r="E47" i="4" s="1"/>
  <c r="E47" i="29" s="1"/>
  <c r="L127" i="9" l="1"/>
  <c r="L170" i="9" s="1"/>
  <c r="T12" i="18"/>
  <c r="N278" i="6"/>
  <c r="U12" i="18" l="1"/>
  <c r="U15" i="18" s="1"/>
  <c r="U18" i="18" s="1"/>
  <c r="U20" i="18" s="1"/>
  <c r="U21" i="18" s="1"/>
  <c r="T15" i="18"/>
  <c r="T18" i="18" s="1"/>
  <c r="T20" i="18" s="1"/>
  <c r="T21" i="18" s="1"/>
  <c r="N69" i="6"/>
  <c r="E86" i="4" s="1"/>
  <c r="E86" i="29" s="1"/>
  <c r="U24" i="18" l="1"/>
  <c r="U25" i="18" s="1"/>
  <c r="H149" i="9"/>
  <c r="H91" i="9" l="1"/>
  <c r="H46" i="9" l="1"/>
  <c r="N8" i="5"/>
  <c r="N128" i="6" l="1"/>
  <c r="H62" i="9" s="1"/>
  <c r="H198" i="9"/>
  <c r="E106" i="4"/>
  <c r="E106" i="29" s="1"/>
  <c r="H19" i="3"/>
  <c r="E14" i="4"/>
  <c r="E14" i="29" s="1"/>
  <c r="Z55" i="20"/>
  <c r="Z16" i="20" s="1"/>
  <c r="F127" i="6" l="1"/>
  <c r="L91" i="9"/>
  <c r="K91" i="9"/>
  <c r="J91" i="9"/>
  <c r="I91" i="9"/>
  <c r="O8" i="5" l="1"/>
  <c r="O128" i="6" s="1"/>
  <c r="I62" i="9" s="1"/>
  <c r="I46" i="9"/>
  <c r="L46" i="9"/>
  <c r="R8" i="5"/>
  <c r="J46" i="9"/>
  <c r="P8" i="5"/>
  <c r="P128" i="6" s="1"/>
  <c r="J62" i="9" s="1"/>
  <c r="K46" i="9"/>
  <c r="Q8" i="5"/>
  <c r="K198" i="9" l="1"/>
  <c r="Q128" i="6"/>
  <c r="K62" i="9" s="1"/>
  <c r="L198" i="9"/>
  <c r="R128" i="6"/>
  <c r="L62" i="9" s="1"/>
  <c r="J198" i="9"/>
  <c r="I198" i="9"/>
  <c r="F106" i="4"/>
  <c r="F106" i="29" s="1"/>
  <c r="H20" i="3"/>
  <c r="G14" i="4"/>
  <c r="G14" i="29" s="1"/>
  <c r="H21" i="3"/>
  <c r="G106" i="4"/>
  <c r="G106" i="29" s="1"/>
  <c r="H23" i="3"/>
  <c r="H22" i="3"/>
  <c r="F14" i="4"/>
  <c r="F14" i="29" s="1"/>
  <c r="N10" i="5" l="1"/>
  <c r="Z56" i="20" l="1"/>
  <c r="Z17" i="20" s="1"/>
  <c r="Z40" i="20" s="1"/>
  <c r="E20" i="4"/>
  <c r="E20" i="29" s="1"/>
  <c r="H200" i="9"/>
  <c r="R10" i="5" l="1"/>
  <c r="L200" i="9" s="1"/>
  <c r="Q10" i="5"/>
  <c r="K200" i="9" s="1"/>
  <c r="P10" i="5"/>
  <c r="O10" i="5"/>
  <c r="G20" i="4" l="1"/>
  <c r="G20" i="29" s="1"/>
  <c r="J200" i="9"/>
  <c r="I200" i="9"/>
  <c r="F20" i="4"/>
  <c r="F20" i="29" s="1"/>
  <c r="R14" i="7" l="1"/>
  <c r="Q280" i="6"/>
  <c r="Q138" i="22" s="1"/>
  <c r="O14" i="7"/>
  <c r="F47" i="4" s="1"/>
  <c r="F47" i="29" s="1"/>
  <c r="O280" i="6" l="1"/>
  <c r="P280" i="6"/>
  <c r="P138" i="22" s="1"/>
  <c r="P14" i="7"/>
  <c r="G47" i="4" s="1"/>
  <c r="G47" i="29" s="1"/>
  <c r="Q14" i="7"/>
  <c r="R280" i="6"/>
  <c r="R138" i="22" s="1"/>
  <c r="O288" i="6" l="1"/>
  <c r="P279" i="6" s="1"/>
  <c r="P288" i="6" s="1"/>
  <c r="O138" i="22"/>
  <c r="O278" i="6" l="1"/>
  <c r="O69" i="6" s="1"/>
  <c r="F86" i="4" s="1"/>
  <c r="F86" i="29" s="1"/>
  <c r="Q279" i="6"/>
  <c r="Q288" i="6" s="1"/>
  <c r="P278" i="6"/>
  <c r="I149" i="9" l="1"/>
  <c r="P69" i="6"/>
  <c r="G86" i="4" s="1"/>
  <c r="G86" i="29" s="1"/>
  <c r="Q278" i="6"/>
  <c r="R279" i="6"/>
  <c r="R288" i="6" s="1"/>
  <c r="R278" i="6" s="1"/>
  <c r="R69" i="6" l="1"/>
  <c r="L149" i="9" s="1"/>
  <c r="Q69" i="6"/>
  <c r="K149" i="9" s="1"/>
  <c r="J149" i="9"/>
  <c r="G19" i="18" l="1"/>
  <c r="N7" i="7" l="1"/>
  <c r="N194" i="6" l="1"/>
  <c r="N196" i="6" s="1"/>
  <c r="N31" i="6" s="1"/>
  <c r="H185" i="9"/>
  <c r="H216" i="9"/>
  <c r="N192" i="6" l="1"/>
  <c r="N30" i="6" l="1"/>
  <c r="E76" i="4" s="1"/>
  <c r="E76" i="29" s="1"/>
  <c r="N215" i="6"/>
  <c r="N38" i="6" s="1"/>
  <c r="H126" i="9" l="1"/>
  <c r="H169" i="9" s="1"/>
  <c r="H173" i="9" s="1"/>
  <c r="H178" i="9" s="1"/>
  <c r="P7" i="7"/>
  <c r="R7" i="7"/>
  <c r="Q7" i="7"/>
  <c r="O7" i="7"/>
  <c r="H124" i="9" l="1"/>
  <c r="I185" i="9"/>
  <c r="I216" i="9"/>
  <c r="K216" i="9"/>
  <c r="K185" i="9"/>
  <c r="L216" i="9"/>
  <c r="L185" i="9"/>
  <c r="O194" i="6"/>
  <c r="J216" i="9"/>
  <c r="J185" i="9"/>
  <c r="O196" i="6" l="1"/>
  <c r="P194" i="6"/>
  <c r="P196" i="6" l="1"/>
  <c r="Q194" i="6"/>
  <c r="O31" i="6"/>
  <c r="O192" i="6"/>
  <c r="O215" i="6" s="1"/>
  <c r="O30" i="6" l="1"/>
  <c r="F76" i="4" s="1"/>
  <c r="F76" i="29" s="1"/>
  <c r="O38" i="6"/>
  <c r="I126" i="9" s="1"/>
  <c r="Q196" i="6"/>
  <c r="R194" i="6"/>
  <c r="R196" i="6" s="1"/>
  <c r="P31" i="6"/>
  <c r="P192" i="6"/>
  <c r="P215" i="6" s="1"/>
  <c r="P30" i="6" l="1"/>
  <c r="G76" i="4" s="1"/>
  <c r="G76" i="29" s="1"/>
  <c r="P38" i="6"/>
  <c r="J126" i="9" s="1"/>
  <c r="I124" i="9"/>
  <c r="I169" i="9"/>
  <c r="I173" i="9" s="1"/>
  <c r="I178" i="9" s="1"/>
  <c r="R31" i="6"/>
  <c r="R192" i="6"/>
  <c r="R215" i="6" s="1"/>
  <c r="Q31" i="6"/>
  <c r="Q192" i="6"/>
  <c r="Q215" i="6" s="1"/>
  <c r="Q30" i="6" l="1"/>
  <c r="Q38" i="6"/>
  <c r="K126" i="9" s="1"/>
  <c r="J124" i="9"/>
  <c r="J169" i="9"/>
  <c r="J173" i="9" s="1"/>
  <c r="J178" i="9" s="1"/>
  <c r="R30" i="6"/>
  <c r="R38" i="6"/>
  <c r="L126" i="9" s="1"/>
  <c r="L124" i="9" l="1"/>
  <c r="L169" i="9"/>
  <c r="L173" i="9" s="1"/>
  <c r="L178" i="9" s="1"/>
  <c r="K124" i="9"/>
  <c r="K169" i="9"/>
  <c r="K173" i="9" s="1"/>
  <c r="K178" i="9" s="1"/>
  <c r="H19" i="18" l="1"/>
  <c r="I19" i="18" l="1"/>
  <c r="N20" i="5" l="1"/>
  <c r="E30" i="4" l="1"/>
  <c r="E30" i="29" s="1"/>
  <c r="Z60" i="20"/>
  <c r="Z21" i="20" s="1"/>
  <c r="H204" i="9"/>
  <c r="N325" i="6"/>
  <c r="P20" i="5" l="1"/>
  <c r="R20" i="5" l="1"/>
  <c r="G30" i="4"/>
  <c r="G30" i="29" s="1"/>
  <c r="J204" i="9"/>
  <c r="Q20" i="5"/>
  <c r="O20" i="5"/>
  <c r="K204" i="9" l="1"/>
  <c r="P325" i="6"/>
  <c r="R325" i="6"/>
  <c r="F30" i="4"/>
  <c r="F30" i="29" s="1"/>
  <c r="I204" i="9"/>
  <c r="O325" i="6"/>
  <c r="L204" i="9"/>
  <c r="Q325" i="6" l="1"/>
  <c r="F101" i="6" l="1"/>
  <c r="G101" i="6"/>
  <c r="N64" i="7"/>
  <c r="H101" i="6" l="1"/>
  <c r="O64" i="7"/>
  <c r="P64" i="7"/>
  <c r="Q64" i="7"/>
  <c r="R64" i="7"/>
  <c r="D49" i="4"/>
  <c r="D49" i="29" s="1"/>
  <c r="G127" i="6" l="1"/>
  <c r="N126" i="6" l="1"/>
  <c r="H127" i="6"/>
  <c r="N15" i="7"/>
  <c r="N13" i="6" l="1"/>
  <c r="E71" i="4" s="1"/>
  <c r="E71" i="29" s="1"/>
  <c r="H115" i="9" l="1"/>
  <c r="O15" i="7"/>
  <c r="P126" i="6"/>
  <c r="Q126" i="6"/>
  <c r="R126" i="6"/>
  <c r="P13" i="6" l="1"/>
  <c r="G71" i="4" s="1"/>
  <c r="G71" i="29" s="1"/>
  <c r="R13" i="6"/>
  <c r="L115" i="9" s="1"/>
  <c r="Q13" i="6"/>
  <c r="K115" i="9" s="1"/>
  <c r="O126" i="6"/>
  <c r="R15" i="7"/>
  <c r="Q15" i="7"/>
  <c r="P15" i="7"/>
  <c r="J115" i="9" l="1"/>
  <c r="O13" i="6"/>
  <c r="F71" i="4" s="1"/>
  <c r="F71" i="29" s="1"/>
  <c r="I115" i="9" l="1"/>
  <c r="F226" i="6"/>
  <c r="G226" i="6" l="1"/>
  <c r="H226" i="6"/>
  <c r="N45" i="6"/>
  <c r="E80" i="4" s="1"/>
  <c r="E80" i="29" s="1"/>
  <c r="H119" i="9" l="1"/>
  <c r="P45" i="6" l="1"/>
  <c r="G80" i="4" s="1"/>
  <c r="G80" i="29" s="1"/>
  <c r="O45" i="6"/>
  <c r="F80" i="4" s="1"/>
  <c r="F80" i="29" s="1"/>
  <c r="R45" i="6"/>
  <c r="L119" i="9" s="1"/>
  <c r="Q45" i="6"/>
  <c r="K119" i="9" s="1"/>
  <c r="I119" i="9" l="1"/>
  <c r="J119" i="9"/>
  <c r="F53" i="5"/>
  <c r="N53" i="5"/>
  <c r="H53" i="5" l="1"/>
  <c r="G53" i="5"/>
  <c r="N9" i="5"/>
  <c r="H199" i="9" s="1"/>
  <c r="O53" i="5" l="1"/>
  <c r="P53" i="5"/>
  <c r="Q53" i="5"/>
  <c r="R53" i="5"/>
  <c r="Q9" i="5" l="1"/>
  <c r="K199" i="9" s="1"/>
  <c r="O9" i="5"/>
  <c r="I199" i="9" s="1"/>
  <c r="P9" i="5"/>
  <c r="J199" i="9" s="1"/>
  <c r="R9" i="5"/>
  <c r="L199" i="9" s="1"/>
  <c r="N104" i="6"/>
  <c r="N5" i="6" s="1"/>
  <c r="H157" i="9" s="1"/>
  <c r="H105" i="6"/>
  <c r="N31" i="7" l="1"/>
  <c r="N32" i="7" s="1"/>
  <c r="E53" i="4" s="1"/>
  <c r="E53" i="29" s="1"/>
  <c r="P31" i="7"/>
  <c r="P32" i="7" s="1"/>
  <c r="Q31" i="7"/>
  <c r="Q32" i="7" s="1"/>
  <c r="R31" i="7"/>
  <c r="R32" i="7" s="1"/>
  <c r="R62" i="7" s="1"/>
  <c r="O104" i="6"/>
  <c r="O5" i="6" s="1"/>
  <c r="I157" i="9" s="1"/>
  <c r="N62" i="7" l="1"/>
  <c r="O31" i="7"/>
  <c r="O32" i="7" s="1"/>
  <c r="F53" i="4" s="1"/>
  <c r="F53" i="29" s="1"/>
  <c r="Q62" i="7"/>
  <c r="G53" i="4"/>
  <c r="G53" i="29" s="1"/>
  <c r="P62" i="7"/>
  <c r="P104" i="6"/>
  <c r="O62" i="7" l="1"/>
  <c r="P5" i="6"/>
  <c r="J157" i="9" s="1"/>
  <c r="Q104" i="6"/>
  <c r="Q5" i="6" l="1"/>
  <c r="K157" i="9" s="1"/>
  <c r="R104" i="6"/>
  <c r="R5" i="6" s="1"/>
  <c r="L157" i="9" s="1"/>
  <c r="H61" i="9"/>
  <c r="F114" i="6"/>
  <c r="N114" i="6"/>
  <c r="N116" i="6" l="1"/>
  <c r="N10" i="6"/>
  <c r="H114" i="6"/>
  <c r="F116" i="6"/>
  <c r="G114" i="6"/>
  <c r="N89" i="5" l="1"/>
  <c r="N88" i="5"/>
  <c r="N19" i="5" s="1"/>
  <c r="N5" i="7" s="1"/>
  <c r="N113" i="6"/>
  <c r="N43" i="22" s="1"/>
  <c r="H116" i="6"/>
  <c r="G116" i="6"/>
  <c r="N112" i="6" l="1"/>
  <c r="N8" i="6" s="1"/>
  <c r="N7" i="6" s="1"/>
  <c r="E70" i="4" s="1"/>
  <c r="E70" i="29" s="1"/>
  <c r="H205" i="9"/>
  <c r="H214" i="9" s="1"/>
  <c r="E29" i="4"/>
  <c r="E29" i="29" s="1"/>
  <c r="E45" i="4"/>
  <c r="E45" i="29" s="1"/>
  <c r="H114" i="9"/>
  <c r="E12" i="27"/>
  <c r="I61" i="9"/>
  <c r="J61" i="9"/>
  <c r="K61" i="9"/>
  <c r="L61" i="9"/>
  <c r="O114" i="6"/>
  <c r="P114" i="6"/>
  <c r="Q114" i="6"/>
  <c r="R114" i="6"/>
  <c r="R10" i="6" s="1"/>
  <c r="H52" i="9" l="1"/>
  <c r="E9" i="27"/>
  <c r="H47" i="9"/>
  <c r="H217" i="9"/>
  <c r="H228" i="9"/>
  <c r="N326" i="6"/>
  <c r="Q116" i="6"/>
  <c r="Q10" i="6"/>
  <c r="P116" i="6"/>
  <c r="P10" i="6"/>
  <c r="O116" i="6"/>
  <c r="O10" i="6"/>
  <c r="R116" i="6"/>
  <c r="Q89" i="5" l="1"/>
  <c r="Q88" i="5"/>
  <c r="Q19" i="5" s="1"/>
  <c r="Q5" i="7" s="1"/>
  <c r="O88" i="5"/>
  <c r="O19" i="5" s="1"/>
  <c r="O5" i="7" s="1"/>
  <c r="O89" i="5"/>
  <c r="R89" i="5"/>
  <c r="R88" i="5"/>
  <c r="R19" i="5" s="1"/>
  <c r="R5" i="7" s="1"/>
  <c r="P88" i="5"/>
  <c r="P19" i="5" s="1"/>
  <c r="P5" i="7" s="1"/>
  <c r="P89" i="5"/>
  <c r="Q113" i="6"/>
  <c r="Q43" i="22" s="1"/>
  <c r="R113" i="6"/>
  <c r="R43" i="22" s="1"/>
  <c r="H48" i="9"/>
  <c r="H53" i="9"/>
  <c r="E108" i="4"/>
  <c r="E108" i="29" s="1"/>
  <c r="H4" i="9"/>
  <c r="H93" i="9"/>
  <c r="H231" i="9"/>
  <c r="G18" i="18" s="1"/>
  <c r="G15" i="18"/>
  <c r="O113" i="6"/>
  <c r="O43" i="22" s="1"/>
  <c r="P113" i="6"/>
  <c r="P112" i="6" s="1"/>
  <c r="P8" i="6" s="1"/>
  <c r="P7" i="6" s="1"/>
  <c r="G70" i="4" s="1"/>
  <c r="G70" i="29" s="1"/>
  <c r="Q112" i="6"/>
  <c r="Q8" i="6" s="1"/>
  <c r="Q7" i="6" s="1"/>
  <c r="R112" i="6" l="1"/>
  <c r="R8" i="6" s="1"/>
  <c r="R7" i="6" s="1"/>
  <c r="R326" i="6" s="1"/>
  <c r="K205" i="9"/>
  <c r="K214" i="9" s="1"/>
  <c r="F29" i="4"/>
  <c r="F29" i="29" s="1"/>
  <c r="I205" i="9"/>
  <c r="I214" i="9" s="1"/>
  <c r="F45" i="4"/>
  <c r="F45" i="29" s="1"/>
  <c r="G16" i="18"/>
  <c r="G20" i="18"/>
  <c r="H232" i="9"/>
  <c r="E107" i="4"/>
  <c r="E107" i="29" s="1"/>
  <c r="H92" i="9"/>
  <c r="O112" i="6"/>
  <c r="O8" i="6" s="1"/>
  <c r="O7" i="6" s="1"/>
  <c r="F70" i="4" s="1"/>
  <c r="F70" i="29" s="1"/>
  <c r="J205" i="9"/>
  <c r="J214" i="9" s="1"/>
  <c r="G29" i="4"/>
  <c r="G29" i="29" s="1"/>
  <c r="P43" i="22"/>
  <c r="L205" i="9"/>
  <c r="L214" i="9" s="1"/>
  <c r="G45" i="4"/>
  <c r="G45" i="29" s="1"/>
  <c r="K114" i="9"/>
  <c r="Q326" i="6"/>
  <c r="J114" i="9"/>
  <c r="P326" i="6"/>
  <c r="N16" i="7"/>
  <c r="N131" i="6"/>
  <c r="N14" i="6" s="1"/>
  <c r="E72" i="4" s="1"/>
  <c r="E72" i="29" s="1"/>
  <c r="H132" i="6"/>
  <c r="L114" i="9" l="1"/>
  <c r="I114" i="9"/>
  <c r="I228" i="9"/>
  <c r="G9" i="27"/>
  <c r="J228" i="9"/>
  <c r="J47" i="9"/>
  <c r="J217" i="9"/>
  <c r="J52" i="9"/>
  <c r="L228" i="9"/>
  <c r="L231" i="9" s="1"/>
  <c r="L232" i="9" s="1"/>
  <c r="L47" i="9"/>
  <c r="H90" i="9"/>
  <c r="H73" i="9"/>
  <c r="O326" i="6"/>
  <c r="G12" i="27"/>
  <c r="F12" i="27"/>
  <c r="E48" i="4"/>
  <c r="E48" i="29" s="1"/>
  <c r="O16" i="7"/>
  <c r="P16" i="7"/>
  <c r="Q16" i="7"/>
  <c r="R16" i="7"/>
  <c r="O131" i="6"/>
  <c r="O14" i="6" s="1"/>
  <c r="F72" i="4" s="1"/>
  <c r="F72" i="29" s="1"/>
  <c r="P131" i="6"/>
  <c r="P14" i="6" s="1"/>
  <c r="G72" i="4" s="1"/>
  <c r="G72" i="29" s="1"/>
  <c r="Q131" i="6"/>
  <c r="Q14" i="6" s="1"/>
  <c r="R131" i="6"/>
  <c r="R14" i="6" s="1"/>
  <c r="K47" i="9" l="1"/>
  <c r="K228" i="9"/>
  <c r="K231" i="9" s="1"/>
  <c r="K232" i="9" s="1"/>
  <c r="K52" i="9"/>
  <c r="L52" i="9"/>
  <c r="K217" i="9"/>
  <c r="K48" i="9" s="1"/>
  <c r="K92" i="9" s="1"/>
  <c r="H15" i="18"/>
  <c r="I231" i="9"/>
  <c r="H18" i="18" s="1"/>
  <c r="H20" i="18" s="1"/>
  <c r="I47" i="9"/>
  <c r="F9" i="27"/>
  <c r="I52" i="9"/>
  <c r="I217" i="9"/>
  <c r="J53" i="9" s="1"/>
  <c r="L217" i="9"/>
  <c r="G108" i="4"/>
  <c r="G108" i="29" s="1"/>
  <c r="J4" i="9"/>
  <c r="J93" i="9"/>
  <c r="L4" i="9"/>
  <c r="L93" i="9"/>
  <c r="J231" i="9"/>
  <c r="I18" i="18" s="1"/>
  <c r="I15" i="18"/>
  <c r="L73" i="9"/>
  <c r="L90" i="9"/>
  <c r="J48" i="9"/>
  <c r="K53" i="9"/>
  <c r="H16" i="18"/>
  <c r="G48" i="4"/>
  <c r="G48" i="29" s="1"/>
  <c r="F48" i="4"/>
  <c r="F48" i="29" s="1"/>
  <c r="H63" i="9"/>
  <c r="F132" i="6"/>
  <c r="I63" i="9"/>
  <c r="J63" i="9"/>
  <c r="K63" i="9"/>
  <c r="L63" i="9"/>
  <c r="C249" i="9"/>
  <c r="K73" i="9" l="1"/>
  <c r="K90" i="9"/>
  <c r="I232" i="9"/>
  <c r="K4" i="9"/>
  <c r="K93" i="9"/>
  <c r="I4" i="9"/>
  <c r="I93" i="9"/>
  <c r="F108" i="4"/>
  <c r="F108" i="29" s="1"/>
  <c r="I48" i="9"/>
  <c r="I53" i="9"/>
  <c r="L48" i="9"/>
  <c r="L92" i="9" s="1"/>
  <c r="L53" i="9"/>
  <c r="G107" i="4"/>
  <c r="G107" i="29" s="1"/>
  <c r="J92" i="9"/>
  <c r="J232" i="9"/>
  <c r="I16" i="18"/>
  <c r="I20" i="18"/>
  <c r="I73" i="9" l="1"/>
  <c r="I90" i="9"/>
  <c r="I92" i="9"/>
  <c r="F107" i="4"/>
  <c r="F107" i="29" s="1"/>
  <c r="M17" i="18"/>
  <c r="K17" i="18"/>
  <c r="N17" i="18"/>
  <c r="J17" i="18"/>
  <c r="J16" i="18" s="1"/>
  <c r="L17" i="18"/>
  <c r="J90" i="9"/>
  <c r="J73" i="9"/>
  <c r="J15" i="18" l="1"/>
  <c r="J18" i="18" s="1"/>
  <c r="J20" i="18" s="1"/>
  <c r="K16" i="18"/>
  <c r="L16" i="18" l="1"/>
  <c r="K15" i="18"/>
  <c r="K18" i="18" s="1"/>
  <c r="K20" i="18" s="1"/>
  <c r="M16" i="18" l="1"/>
  <c r="L15" i="18"/>
  <c r="L18" i="18" s="1"/>
  <c r="L20" i="18" s="1"/>
  <c r="N16" i="18" l="1"/>
  <c r="M15" i="18"/>
  <c r="M18" i="18" l="1"/>
  <c r="M20" i="18" s="1"/>
  <c r="O16" i="18"/>
  <c r="N15" i="18"/>
  <c r="N18" i="18" s="1"/>
  <c r="N20" i="18" s="1"/>
  <c r="P16" i="18" l="1"/>
  <c r="O15" i="18"/>
  <c r="O18" i="18" s="1"/>
  <c r="O20" i="18" s="1"/>
  <c r="Q16" i="18" l="1"/>
  <c r="P15" i="18"/>
  <c r="P18" i="18" s="1"/>
  <c r="P20" i="18" s="1"/>
  <c r="R16" i="18" l="1"/>
  <c r="Q15" i="18"/>
  <c r="Q18" i="18" s="1"/>
  <c r="Q20" i="18" s="1"/>
  <c r="S16" i="18" l="1"/>
  <c r="R15" i="18"/>
  <c r="R18" i="18" s="1"/>
  <c r="R20" i="18" s="1"/>
  <c r="T17" i="18" l="1"/>
  <c r="S15" i="18"/>
  <c r="S18" i="18" s="1"/>
  <c r="S20" i="18" s="1"/>
  <c r="F13" i="13"/>
  <c r="G13" i="13"/>
  <c r="H13" i="13"/>
  <c r="I13" i="13"/>
  <c r="J13" i="13"/>
  <c r="K13" i="13"/>
  <c r="L13" i="13"/>
  <c r="M13" i="13"/>
  <c r="N13" i="13"/>
  <c r="O13" i="13"/>
  <c r="H14" i="13"/>
  <c r="I14" i="13"/>
  <c r="J14" i="13"/>
  <c r="K14" i="13"/>
  <c r="L14" i="13"/>
  <c r="M14" i="13"/>
  <c r="N14" i="13"/>
  <c r="F15" i="13"/>
  <c r="G15" i="13"/>
  <c r="H15" i="13"/>
  <c r="I16" i="13"/>
  <c r="F17" i="13"/>
  <c r="G17" i="13"/>
  <c r="H17" i="13"/>
  <c r="I17" i="13"/>
  <c r="J17" i="13"/>
  <c r="K17" i="13"/>
  <c r="L17" i="13"/>
  <c r="M17" i="13"/>
  <c r="N17" i="13"/>
  <c r="I18" i="13"/>
  <c r="J18" i="13"/>
  <c r="K18" i="13"/>
  <c r="G19" i="13"/>
  <c r="H19" i="13"/>
  <c r="I19" i="13"/>
  <c r="J19" i="13"/>
  <c r="K19" i="13"/>
  <c r="L19" i="13"/>
  <c r="M19" i="13"/>
  <c r="N19" i="13"/>
  <c r="O19" i="13"/>
  <c r="G20" i="13"/>
  <c r="H20" i="13"/>
  <c r="I20" i="13"/>
  <c r="J20" i="13"/>
  <c r="K20" i="13"/>
  <c r="L20" i="13"/>
  <c r="M20" i="13"/>
  <c r="N20" i="13"/>
  <c r="F21" i="13"/>
  <c r="I21" i="13"/>
  <c r="L21" i="13"/>
  <c r="O21" i="13"/>
  <c r="F22" i="13"/>
  <c r="F24" i="13"/>
  <c r="F25" i="13"/>
  <c r="C29" i="13"/>
  <c r="E13" i="29"/>
  <c r="F13" i="29"/>
  <c r="G13" i="29"/>
  <c r="E24" i="29"/>
  <c r="F24" i="29"/>
  <c r="G24" i="29"/>
  <c r="E32" i="29"/>
  <c r="F32" i="29"/>
  <c r="G32" i="29"/>
  <c r="E34" i="29"/>
  <c r="F34" i="29"/>
  <c r="G34" i="29"/>
  <c r="E35" i="29"/>
  <c r="F35" i="29"/>
  <c r="G35" i="29"/>
  <c r="E36" i="29"/>
  <c r="F36" i="29"/>
  <c r="G36" i="29"/>
  <c r="E37" i="29"/>
  <c r="F37" i="29"/>
  <c r="G37" i="29"/>
  <c r="E38" i="29"/>
  <c r="F38" i="29"/>
  <c r="G38" i="29"/>
  <c r="E44" i="29"/>
  <c r="F44" i="29"/>
  <c r="G44" i="29"/>
  <c r="E46" i="29"/>
  <c r="F46" i="29"/>
  <c r="G46" i="29"/>
  <c r="E50" i="29"/>
  <c r="F50" i="29"/>
  <c r="G50" i="29"/>
  <c r="E55" i="29"/>
  <c r="F55" i="29"/>
  <c r="G55" i="29"/>
  <c r="E56" i="29"/>
  <c r="F56" i="29"/>
  <c r="G56" i="29"/>
  <c r="E58" i="29"/>
  <c r="F58" i="29"/>
  <c r="G58" i="29"/>
  <c r="E59" i="29"/>
  <c r="F59" i="29"/>
  <c r="G59" i="29"/>
  <c r="E68" i="29"/>
  <c r="F68" i="29"/>
  <c r="G68" i="29"/>
  <c r="E69" i="29"/>
  <c r="F69" i="29"/>
  <c r="G69" i="29"/>
  <c r="E77" i="29"/>
  <c r="F77" i="29"/>
  <c r="G77" i="29"/>
  <c r="E78" i="29"/>
  <c r="F78" i="29"/>
  <c r="G78" i="29"/>
  <c r="E79" i="29"/>
  <c r="F79" i="29"/>
  <c r="G79" i="29"/>
  <c r="E83" i="29"/>
  <c r="F83" i="29"/>
  <c r="G83" i="29"/>
  <c r="E88" i="29"/>
  <c r="F88" i="29"/>
  <c r="G88" i="29"/>
  <c r="E89" i="29"/>
  <c r="F89" i="29"/>
  <c r="G89" i="29"/>
  <c r="E90" i="29"/>
  <c r="F90" i="29"/>
  <c r="G90" i="29"/>
  <c r="E91" i="29"/>
  <c r="F91" i="29"/>
  <c r="G91" i="29"/>
  <c r="E92" i="29"/>
  <c r="F92" i="29"/>
  <c r="G92" i="29"/>
  <c r="E99" i="29"/>
  <c r="F99" i="29"/>
  <c r="G99" i="29"/>
  <c r="E100" i="29"/>
  <c r="F100" i="29"/>
  <c r="G100" i="29"/>
  <c r="F101" i="29"/>
  <c r="G101" i="29"/>
  <c r="E102" i="29"/>
  <c r="F102" i="29"/>
  <c r="G102" i="29"/>
  <c r="E104" i="29"/>
  <c r="F104" i="29"/>
  <c r="G104" i="29"/>
  <c r="E105" i="29"/>
  <c r="F105" i="29"/>
  <c r="G105" i="29"/>
  <c r="E110" i="29"/>
  <c r="F110" i="29"/>
  <c r="G110" i="29"/>
  <c r="E111" i="29"/>
  <c r="F111" i="29"/>
  <c r="G111" i="29"/>
  <c r="E112" i="29"/>
  <c r="F112" i="29"/>
  <c r="G112" i="29"/>
  <c r="E113" i="29"/>
  <c r="F113" i="29"/>
  <c r="G113" i="29"/>
  <c r="F115" i="29"/>
  <c r="G115" i="29"/>
  <c r="E117" i="29"/>
  <c r="F117" i="29"/>
  <c r="G117" i="29"/>
  <c r="E118" i="29"/>
  <c r="F118" i="29"/>
  <c r="G118" i="29"/>
  <c r="E119" i="29"/>
  <c r="F119" i="29"/>
  <c r="G119" i="29"/>
  <c r="E120" i="29"/>
  <c r="F120" i="29"/>
  <c r="G120" i="29"/>
  <c r="H5" i="9"/>
  <c r="I5" i="9"/>
  <c r="J5" i="9"/>
  <c r="K5" i="9"/>
  <c r="L5" i="9"/>
  <c r="H22" i="9"/>
  <c r="I22" i="9"/>
  <c r="J22" i="9"/>
  <c r="K22" i="9"/>
  <c r="L22" i="9"/>
  <c r="H23" i="9"/>
  <c r="I23" i="9"/>
  <c r="J23" i="9"/>
  <c r="K23" i="9"/>
  <c r="L23" i="9"/>
  <c r="I24" i="9"/>
  <c r="J24" i="9"/>
  <c r="K24" i="9"/>
  <c r="L24" i="9"/>
  <c r="H25" i="9"/>
  <c r="I25" i="9"/>
  <c r="J25" i="9"/>
  <c r="K25" i="9"/>
  <c r="L25" i="9"/>
  <c r="H27" i="9"/>
  <c r="I27" i="9"/>
  <c r="J27" i="9"/>
  <c r="K27" i="9"/>
  <c r="L27" i="9"/>
  <c r="H28" i="9"/>
  <c r="I28" i="9"/>
  <c r="J28" i="9"/>
  <c r="K28" i="9"/>
  <c r="L28" i="9"/>
  <c r="H29" i="9"/>
  <c r="I29" i="9"/>
  <c r="J29" i="9"/>
  <c r="K29" i="9"/>
  <c r="L29" i="9"/>
  <c r="H30" i="9"/>
  <c r="I30" i="9"/>
  <c r="J30" i="9"/>
  <c r="K30" i="9"/>
  <c r="L30" i="9"/>
  <c r="H31" i="9"/>
  <c r="I31" i="9"/>
  <c r="J31" i="9"/>
  <c r="K31" i="9"/>
  <c r="L31" i="9"/>
  <c r="H32" i="9"/>
  <c r="I32" i="9"/>
  <c r="J32" i="9"/>
  <c r="K32" i="9"/>
  <c r="L32" i="9"/>
  <c r="H33" i="9"/>
  <c r="I33" i="9"/>
  <c r="J33" i="9"/>
  <c r="K33" i="9"/>
  <c r="L33" i="9"/>
  <c r="H34" i="9"/>
  <c r="I34" i="9"/>
  <c r="J34" i="9"/>
  <c r="K34" i="9"/>
  <c r="L34" i="9"/>
  <c r="H35" i="9"/>
  <c r="I35" i="9"/>
  <c r="J35" i="9"/>
  <c r="K35" i="9"/>
  <c r="L35" i="9"/>
  <c r="H36" i="9"/>
  <c r="I36" i="9"/>
  <c r="J36" i="9"/>
  <c r="K36" i="9"/>
  <c r="L36" i="9"/>
  <c r="H37" i="9"/>
  <c r="I37" i="9"/>
  <c r="J37" i="9"/>
  <c r="K37" i="9"/>
  <c r="L37" i="9"/>
  <c r="H39" i="9"/>
  <c r="I39" i="9"/>
  <c r="J39" i="9"/>
  <c r="K39" i="9"/>
  <c r="L39" i="9"/>
  <c r="H40" i="9"/>
  <c r="I40" i="9"/>
  <c r="J40" i="9"/>
  <c r="K40" i="9"/>
  <c r="L40" i="9"/>
  <c r="H43" i="9"/>
  <c r="I43" i="9"/>
  <c r="J43" i="9"/>
  <c r="K43" i="9"/>
  <c r="L43" i="9"/>
  <c r="H44" i="9"/>
  <c r="I44" i="9"/>
  <c r="J44" i="9"/>
  <c r="K44" i="9"/>
  <c r="L44" i="9"/>
  <c r="H45" i="9"/>
  <c r="I45" i="9"/>
  <c r="J45" i="9"/>
  <c r="K45" i="9"/>
  <c r="L45" i="9"/>
  <c r="H49" i="9"/>
  <c r="I49" i="9"/>
  <c r="J49" i="9"/>
  <c r="K49" i="9"/>
  <c r="L49" i="9"/>
  <c r="H54" i="9"/>
  <c r="I54" i="9"/>
  <c r="J54" i="9"/>
  <c r="K54" i="9"/>
  <c r="L54" i="9"/>
  <c r="H56" i="9"/>
  <c r="I56" i="9"/>
  <c r="J56" i="9"/>
  <c r="K56" i="9"/>
  <c r="L56" i="9"/>
  <c r="H57" i="9"/>
  <c r="I57" i="9"/>
  <c r="J57" i="9"/>
  <c r="K57" i="9"/>
  <c r="L57" i="9"/>
  <c r="H58" i="9"/>
  <c r="I58" i="9"/>
  <c r="J58" i="9"/>
  <c r="K58" i="9"/>
  <c r="L58" i="9"/>
  <c r="H59" i="9"/>
  <c r="I59" i="9"/>
  <c r="J59" i="9"/>
  <c r="K59" i="9"/>
  <c r="L59" i="9"/>
  <c r="H66" i="9"/>
  <c r="I66" i="9"/>
  <c r="J66" i="9"/>
  <c r="K66" i="9"/>
  <c r="L66" i="9"/>
  <c r="H67" i="9"/>
  <c r="I67" i="9"/>
  <c r="J67" i="9"/>
  <c r="K67" i="9"/>
  <c r="L67" i="9"/>
  <c r="H74" i="9"/>
  <c r="I74" i="9"/>
  <c r="J74" i="9"/>
  <c r="K74" i="9"/>
  <c r="L74" i="9"/>
  <c r="H75" i="9"/>
  <c r="I75" i="9"/>
  <c r="J75" i="9"/>
  <c r="K75" i="9"/>
  <c r="L75" i="9"/>
  <c r="H76" i="9"/>
  <c r="I76" i="9"/>
  <c r="J76" i="9"/>
  <c r="K76" i="9"/>
  <c r="L76" i="9"/>
  <c r="H78" i="9"/>
  <c r="I78" i="9"/>
  <c r="J78" i="9"/>
  <c r="K78" i="9"/>
  <c r="L78" i="9"/>
  <c r="H79" i="9"/>
  <c r="I79" i="9"/>
  <c r="J79" i="9"/>
  <c r="K79" i="9"/>
  <c r="L79" i="9"/>
  <c r="H84" i="9"/>
  <c r="I84" i="9"/>
  <c r="J84" i="9"/>
  <c r="K84" i="9"/>
  <c r="L84" i="9"/>
  <c r="H86" i="9"/>
  <c r="I86" i="9"/>
  <c r="J86" i="9"/>
  <c r="K86" i="9"/>
  <c r="L86" i="9"/>
  <c r="H87" i="9"/>
  <c r="I87" i="9"/>
  <c r="J87" i="9"/>
  <c r="K87" i="9"/>
  <c r="L87" i="9"/>
  <c r="H99" i="9"/>
  <c r="I99" i="9"/>
  <c r="J99" i="9"/>
  <c r="K99" i="9"/>
  <c r="L99" i="9"/>
  <c r="H100" i="9"/>
  <c r="I100" i="9"/>
  <c r="J100" i="9"/>
  <c r="K100" i="9"/>
  <c r="L100" i="9"/>
  <c r="H101" i="9"/>
  <c r="I101" i="9"/>
  <c r="J101" i="9"/>
  <c r="K101" i="9"/>
  <c r="L101" i="9"/>
  <c r="H103" i="9"/>
  <c r="I103" i="9"/>
  <c r="J103" i="9"/>
  <c r="K103" i="9"/>
  <c r="L103" i="9"/>
  <c r="H104" i="9"/>
  <c r="I104" i="9"/>
  <c r="J104" i="9"/>
  <c r="K104" i="9"/>
  <c r="L104" i="9"/>
  <c r="H105" i="9"/>
  <c r="I105" i="9"/>
  <c r="J105" i="9"/>
  <c r="K105" i="9"/>
  <c r="L105" i="9"/>
  <c r="H107" i="9"/>
  <c r="I107" i="9"/>
  <c r="J107" i="9"/>
  <c r="K107" i="9"/>
  <c r="L107" i="9"/>
  <c r="H113" i="9"/>
  <c r="I113" i="9"/>
  <c r="J113" i="9"/>
  <c r="K113" i="9"/>
  <c r="L113" i="9"/>
  <c r="H116" i="9"/>
  <c r="I116" i="9"/>
  <c r="J116" i="9"/>
  <c r="K116" i="9"/>
  <c r="L116" i="9"/>
  <c r="H118" i="9"/>
  <c r="I118" i="9"/>
  <c r="J118" i="9"/>
  <c r="K118" i="9"/>
  <c r="L118" i="9"/>
  <c r="H120" i="9"/>
  <c r="I120" i="9"/>
  <c r="J120" i="9"/>
  <c r="K120" i="9"/>
  <c r="L120" i="9"/>
  <c r="H122" i="9"/>
  <c r="I122" i="9"/>
  <c r="J122" i="9"/>
  <c r="K122" i="9"/>
  <c r="L122" i="9"/>
  <c r="H131" i="9"/>
  <c r="I131" i="9"/>
  <c r="J131" i="9"/>
  <c r="K131" i="9"/>
  <c r="L131" i="9"/>
  <c r="H135" i="9"/>
  <c r="I135" i="9"/>
  <c r="J135" i="9"/>
  <c r="K135" i="9"/>
  <c r="L135" i="9"/>
  <c r="H140" i="9"/>
  <c r="I140" i="9"/>
  <c r="J140" i="9"/>
  <c r="K140" i="9"/>
  <c r="L140" i="9"/>
  <c r="H141" i="9"/>
  <c r="I141" i="9"/>
  <c r="J141" i="9"/>
  <c r="K141" i="9"/>
  <c r="L141" i="9"/>
  <c r="H146" i="9"/>
  <c r="I146" i="9"/>
  <c r="J146" i="9"/>
  <c r="K146" i="9"/>
  <c r="L146" i="9"/>
  <c r="H147" i="9"/>
  <c r="I147" i="9"/>
  <c r="J147" i="9"/>
  <c r="K147" i="9"/>
  <c r="L147" i="9"/>
  <c r="H150" i="9"/>
  <c r="I150" i="9"/>
  <c r="J150" i="9"/>
  <c r="K150" i="9"/>
  <c r="L150" i="9"/>
  <c r="H151" i="9"/>
  <c r="I151" i="9"/>
  <c r="J151" i="9"/>
  <c r="K151" i="9"/>
  <c r="L151" i="9"/>
  <c r="H152" i="9"/>
  <c r="I152" i="9"/>
  <c r="J152" i="9"/>
  <c r="K152" i="9"/>
  <c r="L152" i="9"/>
  <c r="H154" i="9"/>
  <c r="I154" i="9"/>
  <c r="J154" i="9"/>
  <c r="K154" i="9"/>
  <c r="L154" i="9"/>
  <c r="H156" i="9"/>
  <c r="I156" i="9"/>
  <c r="J156" i="9"/>
  <c r="K156" i="9"/>
  <c r="L156" i="9"/>
  <c r="H159" i="9"/>
  <c r="I159" i="9"/>
  <c r="J159" i="9"/>
  <c r="K159" i="9"/>
  <c r="L159" i="9"/>
  <c r="H163" i="9"/>
  <c r="I163" i="9"/>
  <c r="J163" i="9"/>
  <c r="K163" i="9"/>
  <c r="L163" i="9"/>
  <c r="H165" i="9"/>
  <c r="I165" i="9"/>
  <c r="J165" i="9"/>
  <c r="K165" i="9"/>
  <c r="L165" i="9"/>
  <c r="H177" i="9"/>
  <c r="I177" i="9"/>
  <c r="J177" i="9"/>
  <c r="K177" i="9"/>
  <c r="L177" i="9"/>
  <c r="H179" i="9"/>
  <c r="I179" i="9"/>
  <c r="J179" i="9"/>
  <c r="K179" i="9"/>
  <c r="L179" i="9"/>
  <c r="H183" i="9"/>
  <c r="I183" i="9"/>
  <c r="J183" i="9"/>
  <c r="K183" i="9"/>
  <c r="L183" i="9"/>
  <c r="H187" i="9"/>
  <c r="I187" i="9"/>
  <c r="J187" i="9"/>
  <c r="K187" i="9"/>
  <c r="L187" i="9"/>
  <c r="H189" i="9"/>
  <c r="I189" i="9"/>
  <c r="J189" i="9"/>
  <c r="K189" i="9"/>
  <c r="L189" i="9"/>
  <c r="H190" i="9"/>
  <c r="I190" i="9"/>
  <c r="J190" i="9"/>
  <c r="K190" i="9"/>
  <c r="L190" i="9"/>
  <c r="H237" i="9"/>
  <c r="I237" i="9"/>
  <c r="J237" i="9"/>
  <c r="K237" i="9"/>
  <c r="L237" i="9"/>
  <c r="H238" i="9"/>
  <c r="I238" i="9"/>
  <c r="J238" i="9"/>
  <c r="K238" i="9"/>
  <c r="L238" i="9"/>
  <c r="H239" i="9"/>
  <c r="I239" i="9"/>
  <c r="J239" i="9"/>
  <c r="K239" i="9"/>
  <c r="L239" i="9"/>
  <c r="H240" i="9"/>
  <c r="I240" i="9"/>
  <c r="J240" i="9"/>
  <c r="K240" i="9"/>
  <c r="L240" i="9"/>
  <c r="H241" i="9"/>
  <c r="I241" i="9"/>
  <c r="J241" i="9"/>
  <c r="K241" i="9"/>
  <c r="L241" i="9"/>
  <c r="H242" i="9"/>
  <c r="I242" i="9"/>
  <c r="J242" i="9"/>
  <c r="K242" i="9"/>
  <c r="L242" i="9"/>
  <c r="H243" i="9"/>
  <c r="I243" i="9"/>
  <c r="J243" i="9"/>
  <c r="K243" i="9"/>
  <c r="L243" i="9"/>
  <c r="E13" i="4"/>
  <c r="F13" i="4"/>
  <c r="G13" i="4"/>
  <c r="E24" i="4"/>
  <c r="F24" i="4"/>
  <c r="G24" i="4"/>
  <c r="E32" i="4"/>
  <c r="F32" i="4"/>
  <c r="G32" i="4"/>
  <c r="E34" i="4"/>
  <c r="F34" i="4"/>
  <c r="G34" i="4"/>
  <c r="E35" i="4"/>
  <c r="F35" i="4"/>
  <c r="G35" i="4"/>
  <c r="E36" i="4"/>
  <c r="F36" i="4"/>
  <c r="G36" i="4"/>
  <c r="E37" i="4"/>
  <c r="F37" i="4"/>
  <c r="G37" i="4"/>
  <c r="E38" i="4"/>
  <c r="F38" i="4"/>
  <c r="G38" i="4"/>
  <c r="E44" i="4"/>
  <c r="F44" i="4"/>
  <c r="G44" i="4"/>
  <c r="E46" i="4"/>
  <c r="F46" i="4"/>
  <c r="G46" i="4"/>
  <c r="E50" i="4"/>
  <c r="F50" i="4"/>
  <c r="G50" i="4"/>
  <c r="E55" i="4"/>
  <c r="F55" i="4"/>
  <c r="G55" i="4"/>
  <c r="E56" i="4"/>
  <c r="F56" i="4"/>
  <c r="G56" i="4"/>
  <c r="E58" i="4"/>
  <c r="F58" i="4"/>
  <c r="G58" i="4"/>
  <c r="E59" i="4"/>
  <c r="F59" i="4"/>
  <c r="G59" i="4"/>
  <c r="E68" i="4"/>
  <c r="F68" i="4"/>
  <c r="G68" i="4"/>
  <c r="E69" i="4"/>
  <c r="F69" i="4"/>
  <c r="G69" i="4"/>
  <c r="E77" i="4"/>
  <c r="F77" i="4"/>
  <c r="G77" i="4"/>
  <c r="E78" i="4"/>
  <c r="F78" i="4"/>
  <c r="G78" i="4"/>
  <c r="E79" i="4"/>
  <c r="F79" i="4"/>
  <c r="G79" i="4"/>
  <c r="E83" i="4"/>
  <c r="F83" i="4"/>
  <c r="G83" i="4"/>
  <c r="E88" i="4"/>
  <c r="F88" i="4"/>
  <c r="G88" i="4"/>
  <c r="E89" i="4"/>
  <c r="F89" i="4"/>
  <c r="G89" i="4"/>
  <c r="E90" i="4"/>
  <c r="F90" i="4"/>
  <c r="G90" i="4"/>
  <c r="E91" i="4"/>
  <c r="F91" i="4"/>
  <c r="G91" i="4"/>
  <c r="E92" i="4"/>
  <c r="F92" i="4"/>
  <c r="G92" i="4"/>
  <c r="E99" i="4"/>
  <c r="F99" i="4"/>
  <c r="G99" i="4"/>
  <c r="E100" i="4"/>
  <c r="F100" i="4"/>
  <c r="G100" i="4"/>
  <c r="F101" i="4"/>
  <c r="G101" i="4"/>
  <c r="E102" i="4"/>
  <c r="F102" i="4"/>
  <c r="G102" i="4"/>
  <c r="E104" i="4"/>
  <c r="F104" i="4"/>
  <c r="G104" i="4"/>
  <c r="E105" i="4"/>
  <c r="F105" i="4"/>
  <c r="G105" i="4"/>
  <c r="E110" i="4"/>
  <c r="F110" i="4"/>
  <c r="G110" i="4"/>
  <c r="E111" i="4"/>
  <c r="F111" i="4"/>
  <c r="G111" i="4"/>
  <c r="E112" i="4"/>
  <c r="F112" i="4"/>
  <c r="G112" i="4"/>
  <c r="E113" i="4"/>
  <c r="F113" i="4"/>
  <c r="G113" i="4"/>
  <c r="F115" i="4"/>
  <c r="G115" i="4"/>
  <c r="E117" i="4"/>
  <c r="F117" i="4"/>
  <c r="G117" i="4"/>
  <c r="E118" i="4"/>
  <c r="F118" i="4"/>
  <c r="G118" i="4"/>
  <c r="E119" i="4"/>
  <c r="F119" i="4"/>
  <c r="G119" i="4"/>
  <c r="E120" i="4"/>
  <c r="F120" i="4"/>
  <c r="G120" i="4"/>
  <c r="G21" i="18"/>
  <c r="H21" i="18"/>
  <c r="I21" i="18"/>
  <c r="J21" i="18"/>
  <c r="K21" i="18"/>
  <c r="L21" i="18"/>
  <c r="M21" i="18"/>
  <c r="N21" i="18"/>
  <c r="O21" i="18"/>
  <c r="P21" i="18"/>
  <c r="Q21" i="18"/>
  <c r="R21" i="18"/>
  <c r="S21" i="18"/>
  <c r="G22" i="18"/>
  <c r="H22" i="18"/>
  <c r="I22" i="18"/>
  <c r="J22" i="18"/>
  <c r="K22" i="18"/>
  <c r="L22" i="18"/>
  <c r="M22" i="18"/>
  <c r="N22" i="18"/>
  <c r="O22" i="18"/>
  <c r="P22" i="18"/>
  <c r="Q22" i="18"/>
  <c r="R22" i="18"/>
  <c r="S22" i="18"/>
  <c r="J23" i="18"/>
  <c r="K23" i="18"/>
  <c r="L23" i="18"/>
  <c r="M23" i="18"/>
  <c r="N23" i="18"/>
  <c r="T23" i="18"/>
  <c r="G24" i="18"/>
  <c r="H24" i="18"/>
  <c r="I24" i="18"/>
  <c r="J24" i="18"/>
  <c r="K24" i="18"/>
  <c r="L24" i="18"/>
  <c r="M24" i="18"/>
  <c r="N24" i="18"/>
  <c r="O24" i="18"/>
  <c r="P24" i="18"/>
  <c r="Q24" i="18"/>
  <c r="R24" i="18"/>
  <c r="S24" i="18"/>
  <c r="T24" i="18"/>
  <c r="G25" i="18"/>
  <c r="H25" i="18"/>
  <c r="I25" i="18"/>
  <c r="J25" i="18"/>
  <c r="K25" i="18"/>
  <c r="L25" i="18"/>
  <c r="M25" i="18"/>
  <c r="N25" i="18"/>
  <c r="O25" i="18"/>
  <c r="P25" i="18"/>
  <c r="Q25" i="18"/>
  <c r="R25" i="18"/>
  <c r="S25" i="18"/>
  <c r="T25" i="18"/>
  <c r="D30" i="18"/>
  <c r="E30" i="18"/>
  <c r="D31" i="18"/>
  <c r="E31" i="18"/>
  <c r="D32" i="18"/>
  <c r="E32" i="18"/>
  <c r="E33" i="18"/>
  <c r="E34" i="18"/>
  <c r="E35" i="18"/>
  <c r="D36" i="18"/>
  <c r="E36" i="18"/>
  <c r="E37" i="18"/>
  <c r="E38" i="18"/>
  <c r="D41" i="18"/>
  <c r="E41" i="18"/>
  <c r="D43" i="18"/>
  <c r="D44" i="18"/>
  <c r="C48" i="18"/>
  <c r="C9" i="3"/>
  <c r="E19" i="3"/>
  <c r="F19" i="3"/>
  <c r="G19" i="3"/>
  <c r="I19" i="3"/>
  <c r="J19" i="3"/>
  <c r="K19" i="3"/>
  <c r="E20" i="3"/>
  <c r="F20" i="3"/>
  <c r="G20" i="3"/>
  <c r="I20" i="3"/>
  <c r="J20" i="3"/>
  <c r="K20" i="3"/>
  <c r="E21" i="3"/>
  <c r="F21" i="3"/>
  <c r="G21" i="3"/>
  <c r="I21" i="3"/>
  <c r="J21" i="3"/>
  <c r="K21" i="3"/>
  <c r="E22" i="3"/>
  <c r="F22" i="3"/>
  <c r="G22" i="3"/>
  <c r="I22" i="3"/>
  <c r="J22" i="3"/>
  <c r="K22" i="3"/>
  <c r="E23" i="3"/>
  <c r="F23" i="3"/>
  <c r="G23" i="3"/>
  <c r="I23" i="3"/>
  <c r="J23" i="3"/>
  <c r="K23" i="3"/>
  <c r="Z10" i="20"/>
  <c r="Z20" i="20"/>
  <c r="Z25" i="20"/>
  <c r="Z28" i="20"/>
  <c r="Z29" i="20"/>
  <c r="Z30" i="20"/>
  <c r="Z31" i="20"/>
  <c r="Z32" i="20"/>
  <c r="Z33" i="20"/>
  <c r="Z37" i="20"/>
  <c r="AA37" i="20"/>
  <c r="Z38" i="20"/>
  <c r="AD38" i="20"/>
  <c r="Z39" i="20"/>
  <c r="AA39" i="20"/>
  <c r="Z41" i="20"/>
  <c r="Z44" i="20"/>
  <c r="Z45" i="20"/>
  <c r="Z46" i="20"/>
  <c r="W48" i="20"/>
  <c r="X48" i="20"/>
  <c r="Y48" i="20"/>
  <c r="Z48" i="20"/>
  <c r="Z54" i="20"/>
  <c r="Z59" i="20"/>
  <c r="Z69" i="20"/>
  <c r="Z72" i="20"/>
  <c r="Z73" i="20"/>
  <c r="Z74" i="20"/>
  <c r="Z75" i="20"/>
  <c r="Z76" i="20"/>
  <c r="Z77" i="20"/>
  <c r="Z78" i="20"/>
  <c r="Z84" i="20"/>
  <c r="E4" i="27"/>
  <c r="F4" i="27"/>
  <c r="G4" i="27"/>
  <c r="E5" i="27"/>
  <c r="F5" i="27"/>
  <c r="G5" i="27"/>
  <c r="E6" i="27"/>
  <c r="F6" i="27"/>
  <c r="G6" i="27"/>
  <c r="E7" i="27"/>
  <c r="F7" i="27"/>
  <c r="G7" i="27"/>
  <c r="E10" i="27"/>
  <c r="F10" i="27"/>
  <c r="G10" i="27"/>
  <c r="E11" i="27"/>
  <c r="F11" i="27"/>
  <c r="G11" i="27"/>
  <c r="F90" i="27"/>
  <c r="G90" i="27"/>
  <c r="H90" i="27"/>
  <c r="J90" i="27"/>
  <c r="K90" i="27"/>
  <c r="L90" i="27"/>
  <c r="M90" i="27"/>
  <c r="N7" i="5"/>
  <c r="O7" i="5"/>
  <c r="P7" i="5"/>
  <c r="Q7" i="5"/>
  <c r="R7" i="5"/>
  <c r="N14" i="5"/>
  <c r="O14" i="5"/>
  <c r="P14" i="5"/>
  <c r="Q14" i="5"/>
  <c r="R14" i="5"/>
  <c r="N23" i="5"/>
  <c r="O23" i="5"/>
  <c r="P23" i="5"/>
  <c r="Q23" i="5"/>
  <c r="R23" i="5"/>
  <c r="N26" i="5"/>
  <c r="O26" i="5"/>
  <c r="P26" i="5"/>
  <c r="Q26" i="5"/>
  <c r="R26" i="5"/>
  <c r="N27" i="5"/>
  <c r="O27" i="5"/>
  <c r="P27" i="5"/>
  <c r="Q27" i="5"/>
  <c r="R27" i="5"/>
  <c r="N28" i="5"/>
  <c r="O28" i="5"/>
  <c r="P28" i="5"/>
  <c r="Q28" i="5"/>
  <c r="R28" i="5"/>
  <c r="N29" i="5"/>
  <c r="O29" i="5"/>
  <c r="P29" i="5"/>
  <c r="Q29" i="5"/>
  <c r="R29" i="5"/>
  <c r="N30" i="5"/>
  <c r="O30" i="5"/>
  <c r="P30" i="5"/>
  <c r="Q30" i="5"/>
  <c r="R30" i="5"/>
  <c r="N31" i="5"/>
  <c r="O31" i="5"/>
  <c r="P31" i="5"/>
  <c r="Q31" i="5"/>
  <c r="R31" i="5"/>
  <c r="N32" i="5"/>
  <c r="O32" i="5"/>
  <c r="P32" i="5"/>
  <c r="Q32" i="5"/>
  <c r="R32" i="5"/>
  <c r="N34" i="5"/>
  <c r="O34" i="5"/>
  <c r="P34" i="5"/>
  <c r="Q34" i="5"/>
  <c r="R34" i="5"/>
  <c r="N35" i="5"/>
  <c r="O35" i="5"/>
  <c r="P35" i="5"/>
  <c r="Q35" i="5"/>
  <c r="R35" i="5"/>
  <c r="N36" i="5"/>
  <c r="O36" i="5"/>
  <c r="P36" i="5"/>
  <c r="Q36" i="5"/>
  <c r="R36" i="5"/>
  <c r="N37" i="5"/>
  <c r="O37" i="5"/>
  <c r="P37" i="5"/>
  <c r="Q37" i="5"/>
  <c r="R37" i="5"/>
  <c r="N49" i="5"/>
  <c r="O49" i="5"/>
  <c r="P49" i="5"/>
  <c r="Q49" i="5"/>
  <c r="R49" i="5"/>
  <c r="N68" i="5"/>
  <c r="O68" i="5"/>
  <c r="P68" i="5"/>
  <c r="Q68" i="5"/>
  <c r="R68" i="5"/>
  <c r="N69" i="5"/>
  <c r="O69" i="5"/>
  <c r="P69" i="5"/>
  <c r="Q69" i="5"/>
  <c r="R69" i="5"/>
  <c r="N110" i="5"/>
  <c r="O110" i="5"/>
  <c r="P110" i="5"/>
  <c r="Q110" i="5"/>
  <c r="R110" i="5"/>
  <c r="N111" i="5"/>
  <c r="O111" i="5"/>
  <c r="P111" i="5"/>
  <c r="Q111" i="5"/>
  <c r="R111" i="5"/>
  <c r="N116" i="5"/>
  <c r="O116" i="5"/>
  <c r="P116" i="5"/>
  <c r="Q116" i="5"/>
  <c r="R116" i="5"/>
  <c r="F118" i="5"/>
  <c r="G118" i="5"/>
  <c r="H118" i="5"/>
  <c r="N118" i="5"/>
  <c r="O118" i="5"/>
  <c r="P118" i="5"/>
  <c r="Q118" i="5"/>
  <c r="R118" i="5"/>
  <c r="N121" i="5"/>
  <c r="O121" i="5"/>
  <c r="P121" i="5"/>
  <c r="Q121" i="5"/>
  <c r="R121" i="5"/>
  <c r="N123" i="5"/>
  <c r="O123" i="5"/>
  <c r="P123" i="5"/>
  <c r="Q123" i="5"/>
  <c r="R123" i="5"/>
  <c r="N125" i="5"/>
  <c r="O125" i="5"/>
  <c r="P125" i="5"/>
  <c r="Q125" i="5"/>
  <c r="R125" i="5"/>
  <c r="F127" i="5"/>
  <c r="G127" i="5"/>
  <c r="H127" i="5"/>
  <c r="N127" i="5"/>
  <c r="O127" i="5"/>
  <c r="P127" i="5"/>
  <c r="Q127" i="5"/>
  <c r="R127" i="5"/>
  <c r="N130" i="5"/>
  <c r="O130" i="5"/>
  <c r="P130" i="5"/>
  <c r="Q130" i="5"/>
  <c r="R130" i="5"/>
  <c r="N131" i="5"/>
  <c r="O131" i="5"/>
  <c r="P131" i="5"/>
  <c r="Q131" i="5"/>
  <c r="R131" i="5"/>
  <c r="N138" i="5"/>
  <c r="O138" i="5"/>
  <c r="P138" i="5"/>
  <c r="Q138" i="5"/>
  <c r="R138" i="5"/>
  <c r="N139" i="5"/>
  <c r="O139" i="5"/>
  <c r="P139" i="5"/>
  <c r="Q139" i="5"/>
  <c r="R139" i="5"/>
  <c r="N140" i="5"/>
  <c r="O140" i="5"/>
  <c r="P140" i="5"/>
  <c r="Q140" i="5"/>
  <c r="R140" i="5"/>
  <c r="N141" i="5"/>
  <c r="O141" i="5"/>
  <c r="P141" i="5"/>
  <c r="Q141" i="5"/>
  <c r="R141" i="5"/>
  <c r="N148" i="5"/>
  <c r="O148" i="5"/>
  <c r="P148" i="5"/>
  <c r="Q148" i="5"/>
  <c r="R148" i="5"/>
  <c r="N4" i="7"/>
  <c r="O4" i="7"/>
  <c r="P4" i="7"/>
  <c r="Q4" i="7"/>
  <c r="R4" i="7"/>
  <c r="N11" i="7"/>
  <c r="O11" i="7"/>
  <c r="P11" i="7"/>
  <c r="Q11" i="7"/>
  <c r="R11" i="7"/>
  <c r="N19" i="7"/>
  <c r="O19" i="7"/>
  <c r="P19" i="7"/>
  <c r="Q19" i="7"/>
  <c r="R19" i="7"/>
  <c r="N35" i="7"/>
  <c r="O35" i="7"/>
  <c r="P35" i="7"/>
  <c r="Q35" i="7"/>
  <c r="R35" i="7"/>
  <c r="N38" i="7"/>
  <c r="O38" i="7"/>
  <c r="P38" i="7"/>
  <c r="Q38" i="7"/>
  <c r="R38" i="7"/>
  <c r="N41" i="7"/>
  <c r="O41" i="7"/>
  <c r="P41" i="7"/>
  <c r="Q41" i="7"/>
  <c r="R41" i="7"/>
  <c r="N44" i="7"/>
  <c r="O44" i="7"/>
  <c r="P44" i="7"/>
  <c r="Q44" i="7"/>
  <c r="R44" i="7"/>
  <c r="N45" i="7"/>
  <c r="O45" i="7"/>
  <c r="P45" i="7"/>
  <c r="Q45" i="7"/>
  <c r="R45" i="7"/>
  <c r="N47" i="7"/>
  <c r="O47" i="7"/>
  <c r="P47" i="7"/>
  <c r="Q47" i="7"/>
  <c r="R47" i="7"/>
  <c r="O48" i="7"/>
  <c r="P48" i="7"/>
  <c r="Q48" i="7"/>
  <c r="R48" i="7"/>
  <c r="N49" i="7"/>
  <c r="O49" i="7"/>
  <c r="P49" i="7"/>
  <c r="Q49" i="7"/>
  <c r="R49" i="7"/>
  <c r="N53" i="7"/>
  <c r="O53" i="7"/>
  <c r="P53" i="7"/>
  <c r="Q53" i="7"/>
  <c r="R53" i="7"/>
  <c r="O59" i="7"/>
  <c r="P59" i="7"/>
  <c r="Q59" i="7"/>
  <c r="R59" i="7"/>
  <c r="N61" i="7"/>
  <c r="O61" i="7"/>
  <c r="P61" i="7"/>
  <c r="Q61" i="7"/>
  <c r="R61" i="7"/>
  <c r="N63" i="7"/>
  <c r="O63" i="7"/>
  <c r="P63" i="7"/>
  <c r="Q63" i="7"/>
  <c r="R63" i="7"/>
  <c r="N65" i="7"/>
  <c r="O65" i="7"/>
  <c r="P65" i="7"/>
  <c r="Q65" i="7"/>
  <c r="R65" i="7"/>
  <c r="O67" i="7"/>
  <c r="P67" i="7"/>
  <c r="Q67" i="7"/>
  <c r="R67" i="7"/>
  <c r="N69" i="7"/>
  <c r="O69" i="7"/>
  <c r="P69" i="7"/>
  <c r="Q69" i="7"/>
  <c r="R69" i="7"/>
  <c r="N70" i="7"/>
  <c r="O70" i="7"/>
  <c r="P70" i="7"/>
  <c r="Q70" i="7"/>
  <c r="R70" i="7"/>
  <c r="N72" i="7"/>
  <c r="O72" i="7"/>
  <c r="P72" i="7"/>
  <c r="Q72" i="7"/>
  <c r="R72" i="7"/>
  <c r="N77" i="7"/>
  <c r="O77" i="7"/>
  <c r="P77" i="7"/>
  <c r="Q77" i="7"/>
  <c r="R77" i="7"/>
  <c r="N78" i="7"/>
  <c r="O78" i="7"/>
  <c r="P78" i="7"/>
  <c r="Q78" i="7"/>
  <c r="R78" i="7"/>
  <c r="N44" i="22"/>
  <c r="O44" i="22"/>
  <c r="P44" i="22"/>
  <c r="Q44" i="22"/>
  <c r="R44" i="22"/>
  <c r="N46" i="22"/>
  <c r="O46" i="22"/>
  <c r="P46" i="22"/>
  <c r="Q46" i="22"/>
  <c r="R46" i="22"/>
  <c r="N4" i="6"/>
  <c r="O4" i="6"/>
  <c r="P4" i="6"/>
  <c r="Q4" i="6"/>
  <c r="R4" i="6"/>
  <c r="N17" i="6"/>
  <c r="O17" i="6"/>
  <c r="P17" i="6"/>
  <c r="Q17" i="6"/>
  <c r="R17" i="6"/>
  <c r="N39" i="6"/>
  <c r="O39" i="6"/>
  <c r="P39" i="6"/>
  <c r="Q39" i="6"/>
  <c r="R39" i="6"/>
  <c r="N41" i="6"/>
  <c r="O41" i="6"/>
  <c r="P41" i="6"/>
  <c r="Q41" i="6"/>
  <c r="R41" i="6"/>
  <c r="N42" i="6"/>
  <c r="O42" i="6"/>
  <c r="P42" i="6"/>
  <c r="Q42" i="6"/>
  <c r="R42" i="6"/>
  <c r="N54" i="6"/>
  <c r="O54" i="6"/>
  <c r="P54" i="6"/>
  <c r="Q54" i="6"/>
  <c r="R54" i="6"/>
  <c r="N65" i="6"/>
  <c r="O65" i="6"/>
  <c r="P65" i="6"/>
  <c r="Q65" i="6"/>
  <c r="R65" i="6"/>
  <c r="N72" i="6"/>
  <c r="O72" i="6"/>
  <c r="P72" i="6"/>
  <c r="Q72" i="6"/>
  <c r="R72" i="6"/>
  <c r="N73" i="6"/>
  <c r="O73" i="6"/>
  <c r="P73" i="6"/>
  <c r="Q73" i="6"/>
  <c r="R73" i="6"/>
  <c r="N75" i="6"/>
  <c r="O75" i="6"/>
  <c r="P75" i="6"/>
  <c r="Q75" i="6"/>
  <c r="R75" i="6"/>
  <c r="N76" i="6"/>
  <c r="O76" i="6"/>
  <c r="P76" i="6"/>
  <c r="Q76" i="6"/>
  <c r="R76" i="6"/>
  <c r="N77" i="6"/>
  <c r="O77" i="6"/>
  <c r="P77" i="6"/>
  <c r="Q77" i="6"/>
  <c r="R77" i="6"/>
  <c r="N78" i="6"/>
  <c r="O78" i="6"/>
  <c r="P78" i="6"/>
  <c r="Q78" i="6"/>
  <c r="R78" i="6"/>
  <c r="N80" i="6"/>
  <c r="O80" i="6"/>
  <c r="P80" i="6"/>
  <c r="Q80" i="6"/>
  <c r="R80" i="6"/>
  <c r="N100" i="6"/>
  <c r="O100" i="6"/>
  <c r="P100" i="6"/>
  <c r="Q100" i="6"/>
  <c r="R100" i="6"/>
  <c r="N140" i="6"/>
  <c r="O140" i="6"/>
  <c r="P140" i="6"/>
  <c r="Q140" i="6"/>
  <c r="R140" i="6"/>
  <c r="N216" i="6"/>
  <c r="O216" i="6"/>
  <c r="P216" i="6"/>
  <c r="Q216" i="6"/>
  <c r="R216" i="6"/>
  <c r="N220" i="6"/>
  <c r="O220" i="6"/>
  <c r="P220" i="6"/>
  <c r="Q220" i="6"/>
  <c r="R220" i="6"/>
  <c r="N235" i="6"/>
  <c r="O235" i="6"/>
  <c r="P235" i="6"/>
  <c r="Q235" i="6"/>
  <c r="R235" i="6"/>
  <c r="N260" i="6"/>
  <c r="O260" i="6"/>
  <c r="P260" i="6"/>
  <c r="Q260" i="6"/>
  <c r="R260" i="6"/>
  <c r="N295" i="6"/>
  <c r="O295" i="6"/>
  <c r="P295" i="6"/>
  <c r="Q295" i="6"/>
  <c r="R295" i="6"/>
  <c r="O296" i="6"/>
  <c r="P296" i="6"/>
  <c r="Q296" i="6"/>
  <c r="R296" i="6"/>
  <c r="N297" i="6"/>
  <c r="O297" i="6"/>
  <c r="P297" i="6"/>
  <c r="Q297" i="6"/>
  <c r="R297" i="6"/>
  <c r="N299" i="6"/>
  <c r="O299" i="6"/>
  <c r="P299" i="6"/>
  <c r="Q299" i="6"/>
  <c r="R299" i="6"/>
  <c r="N301" i="6"/>
  <c r="O301" i="6"/>
  <c r="P301" i="6"/>
  <c r="Q301" i="6"/>
  <c r="R301" i="6"/>
  <c r="O302" i="6"/>
  <c r="P302" i="6"/>
  <c r="Q302" i="6"/>
  <c r="R302" i="6"/>
  <c r="N303" i="6"/>
  <c r="O303" i="6"/>
  <c r="P303" i="6"/>
  <c r="Q303" i="6"/>
  <c r="R303" i="6"/>
  <c r="F304" i="6"/>
  <c r="G304" i="6"/>
  <c r="H304" i="6"/>
  <c r="N304" i="6"/>
  <c r="O304" i="6"/>
  <c r="P304" i="6"/>
  <c r="Q304" i="6"/>
  <c r="R304" i="6"/>
  <c r="O306" i="6"/>
  <c r="P306" i="6"/>
  <c r="Q306" i="6"/>
  <c r="R306" i="6"/>
  <c r="O307" i="6"/>
  <c r="P307" i="6"/>
  <c r="Q307" i="6"/>
  <c r="R307" i="6"/>
  <c r="N311" i="6"/>
  <c r="O311" i="6"/>
  <c r="P311" i="6"/>
  <c r="Q311" i="6"/>
  <c r="R311" i="6"/>
  <c r="N314" i="6"/>
  <c r="O314" i="6"/>
  <c r="P314" i="6"/>
  <c r="Q314" i="6"/>
  <c r="R314" i="6"/>
  <c r="N316" i="6"/>
  <c r="O316" i="6"/>
  <c r="P316" i="6"/>
  <c r="Q316" i="6"/>
  <c r="R316" i="6"/>
  <c r="N319" i="6"/>
  <c r="O319" i="6"/>
  <c r="P319" i="6"/>
  <c r="Q319" i="6"/>
  <c r="R319" i="6"/>
  <c r="H21" i="15"/>
  <c r="I21" i="15"/>
  <c r="J21" i="15"/>
  <c r="H84" i="15"/>
  <c r="I84" i="15"/>
  <c r="J84" i="15"/>
  <c r="H87" i="15"/>
  <c r="I87" i="15"/>
  <c r="J87" i="15"/>
  <c r="H88" i="15"/>
  <c r="I88" i="15"/>
  <c r="J88" i="15"/>
  <c r="H91" i="15"/>
  <c r="I91" i="15"/>
  <c r="J91" i="15"/>
  <c r="H93" i="15"/>
  <c r="I93" i="15"/>
  <c r="J93" i="15"/>
  <c r="H94" i="15"/>
  <c r="I94" i="15"/>
  <c r="J94" i="15"/>
  <c r="H95" i="15"/>
  <c r="I95" i="15"/>
  <c r="J95" i="15"/>
  <c r="H96" i="15"/>
  <c r="I96" i="15"/>
  <c r="J96" i="15"/>
</calcChain>
</file>

<file path=xl/comments1.xml><?xml version="1.0" encoding="utf-8"?>
<comments xmlns="http://schemas.openxmlformats.org/spreadsheetml/2006/main">
  <authors>
    <author>郭德培</author>
  </authors>
  <commentList>
    <comment ref="B27" authorId="0" shapeId="0">
      <text>
        <r>
          <rPr>
            <b/>
            <sz val="9"/>
            <color indexed="81"/>
            <rFont val="宋体"/>
            <family val="3"/>
            <charset val="134"/>
          </rPr>
          <t>EV(企业总价值）:使用总市值+负债+少数股东权益</t>
        </r>
        <r>
          <rPr>
            <sz val="9"/>
            <color indexed="81"/>
            <rFont val="宋体"/>
            <family val="3"/>
            <charset val="134"/>
          </rPr>
          <t xml:space="preserve">
</t>
        </r>
      </text>
    </comment>
    <comment ref="B28" authorId="0" shapeId="0">
      <text>
        <r>
          <rPr>
            <b/>
            <sz val="9"/>
            <color indexed="81"/>
            <rFont val="宋体"/>
            <family val="3"/>
            <charset val="134"/>
          </rPr>
          <t>核心EV（核心企业价值）:EV基础上减去货币资金-交易性金融工具净值-非核心长期投资</t>
        </r>
        <r>
          <rPr>
            <sz val="9"/>
            <color indexed="81"/>
            <rFont val="宋体"/>
            <family val="3"/>
            <charset val="134"/>
          </rPr>
          <t xml:space="preserve">
</t>
        </r>
      </text>
    </comment>
    <comment ref="B37" authorId="0" shapeId="0">
      <text>
        <r>
          <rPr>
            <b/>
            <sz val="9"/>
            <color indexed="81"/>
            <rFont val="宋体"/>
            <family val="3"/>
            <charset val="134"/>
          </rPr>
          <t>此处为
(核心EV/IC)/(ROIC/WACC)</t>
        </r>
      </text>
    </comment>
    <comment ref="B46" authorId="0" shapeId="0">
      <text>
        <r>
          <rPr>
            <b/>
            <sz val="9"/>
            <color indexed="81"/>
            <rFont val="宋体"/>
            <family val="3"/>
            <charset val="134"/>
          </rPr>
          <t>=（营业收入-营业成本）/营业收入</t>
        </r>
      </text>
    </comment>
    <comment ref="B47" authorId="0" shapeId="0">
      <text>
        <r>
          <rPr>
            <b/>
            <sz val="9"/>
            <color indexed="81"/>
            <rFont val="宋体"/>
            <family val="3"/>
            <charset val="134"/>
          </rPr>
          <t>=EBIT/营业总收入</t>
        </r>
      </text>
    </comment>
    <comment ref="B48" authorId="0" shapeId="0">
      <text>
        <r>
          <rPr>
            <b/>
            <sz val="9"/>
            <color indexed="81"/>
            <rFont val="宋体"/>
            <family val="3"/>
            <charset val="134"/>
          </rPr>
          <t>=EBITDA/营业总收入</t>
        </r>
      </text>
    </comment>
    <comment ref="B49" authorId="0" shapeId="0">
      <text>
        <r>
          <rPr>
            <b/>
            <sz val="9"/>
            <color indexed="81"/>
            <rFont val="宋体"/>
            <family val="3"/>
            <charset val="134"/>
          </rPr>
          <t>=净利润/营业总收入</t>
        </r>
      </text>
    </comment>
    <comment ref="B90" authorId="0" shapeId="0">
      <text>
        <r>
          <rPr>
            <b/>
            <sz val="9"/>
            <color indexed="81"/>
            <rFont val="宋体"/>
            <family val="3"/>
            <charset val="134"/>
          </rPr>
          <t>=NOPLAT/营业总收入</t>
        </r>
      </text>
    </comment>
    <comment ref="B114" authorId="0" shapeId="0">
      <text>
        <r>
          <rPr>
            <b/>
            <sz val="9"/>
            <color indexed="81"/>
            <rFont val="宋体"/>
            <family val="3"/>
            <charset val="134"/>
          </rPr>
          <t>＝应收票据及应收账款＋其他应收账款+预付账款</t>
        </r>
      </text>
    </comment>
    <comment ref="B116" authorId="0" shapeId="0">
      <text>
        <r>
          <rPr>
            <b/>
            <sz val="9"/>
            <color indexed="81"/>
            <rFont val="宋体"/>
            <family val="3"/>
            <charset val="134"/>
          </rPr>
          <t>＝合同资产+其他流动资产＋持有待售资产＋一年内到期的等非流动资产等</t>
        </r>
      </text>
    </comment>
    <comment ref="B119" authorId="0" shapeId="0">
      <text>
        <r>
          <rPr>
            <b/>
            <sz val="9"/>
            <color indexed="81"/>
            <rFont val="宋体"/>
            <family val="3"/>
            <charset val="134"/>
          </rPr>
          <t>=应付票据及应付账款+预收款项+应付职工薪酬+应交税费</t>
        </r>
      </text>
    </comment>
    <comment ref="B120" authorId="0" shapeId="0">
      <text>
        <r>
          <rPr>
            <b/>
            <sz val="9"/>
            <color indexed="81"/>
            <rFont val="宋体"/>
            <family val="3"/>
            <charset val="134"/>
          </rPr>
          <t>=合同负债+其他应付款＋持有待售负债+其他流动负债+ 一年内到期的非流动负债等</t>
        </r>
      </text>
    </comment>
    <comment ref="B127" authorId="0" shapeId="0">
      <text>
        <r>
          <rPr>
            <b/>
            <sz val="9"/>
            <color indexed="81"/>
            <rFont val="宋体"/>
            <family val="3"/>
            <charset val="134"/>
          </rPr>
          <t>包含长期股权投资+可供出售金融资产（老准则）+持有至到期投资（老准则）+债权投资（新准则）+其他债权投资+其他权益工具投资+其他非流动金融资产等</t>
        </r>
      </text>
    </comment>
    <comment ref="B129" authorId="0" shapeId="0">
      <text>
        <r>
          <rPr>
            <b/>
            <sz val="9"/>
            <color indexed="81"/>
            <rFont val="宋体"/>
            <family val="3"/>
            <charset val="134"/>
          </rPr>
          <t>包含非核心长期投资+可供出售金融资产+持有至到期投资+债权投资+其他债权投资+其他权益工具投资+其他非流动金融资产等</t>
        </r>
      </text>
    </comment>
    <comment ref="B141" authorId="0" shapeId="0">
      <text>
        <r>
          <rPr>
            <b/>
            <sz val="9"/>
            <color indexed="81"/>
            <rFont val="宋体"/>
            <family val="3"/>
            <charset val="134"/>
          </rPr>
          <t>短期借款＋一年内到期的长期负债</t>
        </r>
      </text>
    </comment>
    <comment ref="B144" authorId="0" shapeId="0">
      <text>
        <r>
          <rPr>
            <b/>
            <sz val="9"/>
            <color indexed="81"/>
            <rFont val="宋体"/>
            <family val="3"/>
            <charset val="134"/>
          </rPr>
          <t>=长期应付款+预计负债+其他非流动负债+递延所得税负债+长期负债等</t>
        </r>
      </text>
    </comment>
    <comment ref="B152" authorId="0" shapeId="0">
      <text>
        <r>
          <rPr>
            <b/>
            <sz val="9"/>
            <color indexed="81"/>
            <rFont val="宋体"/>
            <family val="3"/>
            <charset val="134"/>
          </rPr>
          <t>=其他权益工具+其他综合收益+专项储备等</t>
        </r>
      </text>
    </comment>
    <comment ref="B157" authorId="0" shapeId="0">
      <text>
        <r>
          <rPr>
            <b/>
            <sz val="9"/>
            <color indexed="81"/>
            <rFont val="宋体"/>
            <family val="3"/>
            <charset val="134"/>
          </rPr>
          <t>=交易性金融资产-交易性金融负债+衍生金融资产-衍生金融负债</t>
        </r>
      </text>
    </comment>
  </commentList>
</comments>
</file>

<file path=xl/comments2.xml><?xml version="1.0" encoding="utf-8"?>
<comments xmlns="http://schemas.openxmlformats.org/spreadsheetml/2006/main">
  <authors>
    <author>郭德培</author>
    <author>Windows 用户</author>
  </authors>
  <commentList>
    <comment ref="B47" authorId="0" shapeId="0">
      <text>
        <r>
          <rPr>
            <b/>
            <sz val="9"/>
            <color indexed="81"/>
            <rFont val="宋体"/>
            <family val="3"/>
            <charset val="134"/>
          </rPr>
          <t>包括利息收入、已赚保费、手续费及佣金收入</t>
        </r>
        <r>
          <rPr>
            <sz val="9"/>
            <color indexed="81"/>
            <rFont val="宋体"/>
            <family val="3"/>
            <charset val="134"/>
          </rPr>
          <t xml:space="preserve">
</t>
        </r>
      </text>
    </comment>
    <comment ref="B53" authorId="0" shapeId="0">
      <text>
        <r>
          <rPr>
            <b/>
            <sz val="9"/>
            <color indexed="81"/>
            <rFont val="宋体"/>
            <family val="3"/>
            <charset val="134"/>
          </rPr>
          <t>包括利息支出、手续费及佣金支出、退保金、赔付支出净额、提取保险合同准备金净额、保单红利支出、分保费用等</t>
        </r>
        <r>
          <rPr>
            <sz val="9"/>
            <color indexed="81"/>
            <rFont val="宋体"/>
            <family val="3"/>
            <charset val="134"/>
          </rPr>
          <t xml:space="preserve">
</t>
        </r>
      </text>
    </comment>
    <comment ref="B71" authorId="0" shapeId="0">
      <text>
        <r>
          <rPr>
            <b/>
            <sz val="9"/>
            <color indexed="81"/>
            <rFont val="宋体"/>
            <family val="3"/>
            <charset val="134"/>
          </rPr>
          <t>利息收入考虑了货币资金的期初及期末余额，此处增加比例乘数是为了更加精准的预测利息收入</t>
        </r>
      </text>
    </comment>
    <comment ref="B86" authorId="1" shapeId="0">
      <text>
        <r>
          <rPr>
            <b/>
            <sz val="9"/>
            <color indexed="81"/>
            <rFont val="宋体"/>
            <family val="3"/>
            <charset val="134"/>
          </rPr>
          <t>从重要性角度考虑暂未设置其他减值损失项目，研究员如有其他需求可填写并加入到资产减值损失当中，且资产负债表中相关项目变化请从现金流量表链接中剔除，否则将会造成资产负债表不平</t>
        </r>
      </text>
    </comment>
    <comment ref="B94" authorId="1" shapeId="0">
      <text>
        <r>
          <rPr>
            <b/>
            <sz val="9"/>
            <color indexed="81"/>
            <rFont val="宋体"/>
            <family val="3"/>
            <charset val="134"/>
          </rPr>
          <t>从重要性角度考虑暂未设置其他减值损失项目，研究员如有其他需求可填写并加入到信用减值损失当中，且资产负债表中相关项目变化请从现金流量表链接中剔除，否则将会造成资产负债表不平</t>
        </r>
      </text>
    </comment>
  </commentList>
</comments>
</file>

<file path=xl/comments3.xml><?xml version="1.0" encoding="utf-8"?>
<comments xmlns="http://schemas.openxmlformats.org/spreadsheetml/2006/main">
  <authors>
    <author>郭德培</author>
  </authors>
  <commentList>
    <comment ref="B136" authorId="0" shapeId="0">
      <text>
        <r>
          <rPr>
            <b/>
            <sz val="9"/>
            <color indexed="81"/>
            <rFont val="宋体"/>
            <family val="3"/>
            <charset val="134"/>
          </rPr>
          <t>＝其他流动资产＋一年期的非流动资产
观察具体构成，由分析师判断如何预测。
可各取所需。分小项目预测。</t>
        </r>
      </text>
    </comment>
    <comment ref="B138" authorId="0" shapeId="0">
      <text>
        <r>
          <rPr>
            <b/>
            <sz val="9"/>
            <color indexed="81"/>
            <rFont val="宋体"/>
            <family val="3"/>
            <charset val="134"/>
          </rPr>
          <t>包括划分为持有待售的资产+买入返售金融资产+待摊费用+其他金融类流动资产等
观察具体构成，由分析师判断如何预测。
可各取所需。分小项目预测。</t>
        </r>
      </text>
    </comment>
    <comment ref="B164" authorId="0" shapeId="0">
      <text>
        <r>
          <rPr>
            <b/>
            <sz val="9"/>
            <color indexed="81"/>
            <rFont val="宋体"/>
            <family val="3"/>
            <charset val="134"/>
          </rPr>
          <t>投资性房地产此处默认为成本计量模式，若该公司为公允价值计量模式，则请直接预测账面原值，并将CAPEX中的投资性房地产折旧相应变成零</t>
        </r>
      </text>
    </comment>
    <comment ref="B169" authorId="0" shapeId="0">
      <text>
        <r>
          <rPr>
            <b/>
            <sz val="9"/>
            <color indexed="81"/>
            <rFont val="宋体"/>
            <family val="3"/>
            <charset val="134"/>
          </rPr>
          <t>=固定资产+固定资产清理+生物性生物资产+油气资产
观察具体构成，由分析师判断如何预测。可各取所需。分小项目预测。</t>
        </r>
        <r>
          <rPr>
            <sz val="9"/>
            <color indexed="81"/>
            <rFont val="宋体"/>
            <family val="3"/>
            <charset val="134"/>
          </rPr>
          <t xml:space="preserve">
</t>
        </r>
      </text>
    </comment>
    <comment ref="B188" authorId="0" shapeId="0">
      <text>
        <r>
          <rPr>
            <b/>
            <sz val="9"/>
            <color indexed="81"/>
            <rFont val="宋体"/>
            <family val="3"/>
            <charset val="134"/>
          </rPr>
          <t>=在建工程+工程物资
观察具体构成，由分析师判断如何预测。
可各取所需。分小项目预测。</t>
        </r>
        <r>
          <rPr>
            <sz val="9"/>
            <color indexed="81"/>
            <rFont val="宋体"/>
            <family val="3"/>
            <charset val="134"/>
          </rPr>
          <t xml:space="preserve">
</t>
        </r>
      </text>
    </comment>
    <comment ref="B213" authorId="0" shapeId="0">
      <text>
        <r>
          <rPr>
            <b/>
            <sz val="9"/>
            <color indexed="81"/>
            <rFont val="宋体"/>
            <family val="3"/>
            <charset val="134"/>
          </rPr>
          <t>包括发放贷款及垫款等
观察具体构成，由分析师判断如何预测。
可各取所需。分小项目预测。</t>
        </r>
      </text>
    </comment>
    <comment ref="B231" authorId="0" shapeId="0">
      <text>
        <r>
          <rPr>
            <b/>
            <sz val="9"/>
            <color indexed="81"/>
            <rFont val="宋体"/>
            <family val="3"/>
            <charset val="134"/>
          </rPr>
          <t>=其他流动负债+递延收益-流动负债
观察具体构成，由分析师判断如何预测。
可各取所需。分小项目预测。</t>
        </r>
      </text>
    </comment>
    <comment ref="B233" authorId="0" shapeId="0">
      <text>
        <r>
          <rPr>
            <b/>
            <sz val="9"/>
            <color indexed="81"/>
            <rFont val="宋体"/>
            <family val="3"/>
            <charset val="134"/>
          </rPr>
          <t>包括划分为持有待售的负债+预提费用+应付短期债券+其他金融类流动负债
观察具体构成，由分析师判断如何预测。
可各取所需。分小项目预测。</t>
        </r>
      </text>
    </comment>
    <comment ref="B252" authorId="0" shapeId="0">
      <text>
        <r>
          <rPr>
            <b/>
            <sz val="9"/>
            <color indexed="81"/>
            <rFont val="宋体"/>
            <family val="3"/>
            <charset val="134"/>
          </rPr>
          <t>=长期应付款+专项应付款+预计负债+其他非流动负债+递延收益-非流动负债
观察具体构成，由分析师判断如何预测。
可各取所需。分小项目预测。</t>
        </r>
      </text>
    </comment>
    <comment ref="B256" authorId="0" shapeId="0">
      <text>
        <r>
          <rPr>
            <b/>
            <sz val="9"/>
            <color indexed="81"/>
            <rFont val="宋体"/>
            <family val="3"/>
            <charset val="134"/>
          </rPr>
          <t>包括长期应付职工薪酬等
观察具体构成，由分析师判断如何预测。
可各取所需。分小项目预测。</t>
        </r>
      </text>
    </comment>
    <comment ref="N293" authorId="0" shapeId="0">
      <text>
        <r>
          <rPr>
            <b/>
            <sz val="9"/>
            <color indexed="81"/>
            <rFont val="宋体"/>
            <family val="3"/>
            <charset val="134"/>
          </rPr>
          <t>变化值与利润表其他综合收益的差额应在投资收益当中予以考虑</t>
        </r>
      </text>
    </comment>
  </commentList>
</comments>
</file>

<file path=xl/comments4.xml><?xml version="1.0" encoding="utf-8"?>
<comments xmlns="http://schemas.openxmlformats.org/spreadsheetml/2006/main">
  <authors>
    <author>郭德培</author>
  </authors>
  <commentList>
    <comment ref="E5" authorId="0" shapeId="0">
      <text>
        <r>
          <rPr>
            <b/>
            <sz val="9"/>
            <color indexed="81"/>
            <rFont val="宋体"/>
            <family val="3"/>
            <charset val="134"/>
          </rPr>
          <t>分析师需要对半显性阶段最后一年的ROIC和EBIT margin做出预测</t>
        </r>
      </text>
    </comment>
    <comment ref="D40" authorId="0" shapeId="0">
      <text>
        <r>
          <rPr>
            <b/>
            <sz val="9"/>
            <color indexed="81"/>
            <rFont val="宋体"/>
            <family val="3"/>
            <charset val="134"/>
          </rPr>
          <t>链接至本表单关键假设表中“少数股权PB”</t>
        </r>
      </text>
    </comment>
  </commentList>
</comments>
</file>

<file path=xl/comments5.xml><?xml version="1.0" encoding="utf-8"?>
<comments xmlns="http://schemas.openxmlformats.org/spreadsheetml/2006/main">
  <authors>
    <author>郭德培</author>
  </authors>
  <commentList>
    <comment ref="H4" authorId="0" shapeId="0">
      <text>
        <r>
          <rPr>
            <b/>
            <sz val="9"/>
            <color indexed="81"/>
            <rFont val="宋体"/>
            <family val="3"/>
            <charset val="134"/>
          </rPr>
          <t>这里默认值是“5”，分析师可根据需要根据分红预测时间，进行修改</t>
        </r>
      </text>
    </comment>
    <comment ref="E5" authorId="0" shapeId="0">
      <text>
        <r>
          <rPr>
            <b/>
            <sz val="9"/>
            <color indexed="81"/>
            <rFont val="宋体"/>
            <family val="3"/>
            <charset val="134"/>
          </rPr>
          <t>分析师需要对半显性阶段最后一年的净利润增长率和ROE做出预测</t>
        </r>
      </text>
    </comment>
  </commentList>
</comments>
</file>

<file path=xl/sharedStrings.xml><?xml version="1.0" encoding="utf-8"?>
<sst xmlns="http://schemas.openxmlformats.org/spreadsheetml/2006/main" count="2309" uniqueCount="1602">
  <si>
    <t>使用本模型前请务必阅读</t>
  </si>
  <si>
    <r>
      <t xml:space="preserve">    </t>
    </r>
    <r>
      <rPr>
        <b/>
        <sz val="11"/>
        <rFont val="宋体"/>
        <family val="3"/>
        <charset val="134"/>
      </rPr>
      <t>一、功能模块：本模型共包括五大功能</t>
    </r>
  </si>
  <si>
    <t>本页下方的法律声明。</t>
  </si>
  <si>
    <r>
      <t>1</t>
    </r>
    <r>
      <rPr>
        <sz val="11"/>
        <rFont val="宋体"/>
        <family val="3"/>
        <charset val="134"/>
      </rPr>
      <t>、</t>
    </r>
  </si>
  <si>
    <t>数据获取：凡黄色底格均为自动抓取历史数据，请勿更改。</t>
  </si>
  <si>
    <r>
      <t>2</t>
    </r>
    <r>
      <rPr>
        <sz val="11"/>
        <rFont val="宋体"/>
        <family val="3"/>
        <charset val="134"/>
      </rPr>
      <t>、</t>
    </r>
  </si>
  <si>
    <t>盈利预测：利润表、资产负债、现金流量表的预测指引，可根据需要建立新的工作表详细预测。</t>
  </si>
  <si>
    <r>
      <t>3</t>
    </r>
    <r>
      <rPr>
        <sz val="11"/>
        <rFont val="宋体"/>
        <family val="3"/>
        <charset val="134"/>
      </rPr>
      <t>、</t>
    </r>
  </si>
  <si>
    <t>财务分析：提供季报分析、关键财务指标分析及资金成本计算。</t>
  </si>
  <si>
    <r>
      <t>4</t>
    </r>
    <r>
      <rPr>
        <sz val="11"/>
        <rFont val="宋体"/>
        <family val="3"/>
        <charset val="134"/>
      </rPr>
      <t>、</t>
    </r>
  </si>
  <si>
    <r>
      <t>5</t>
    </r>
    <r>
      <rPr>
        <sz val="11"/>
        <rFont val="宋体"/>
        <family val="3"/>
        <charset val="134"/>
      </rPr>
      <t>、</t>
    </r>
  </si>
  <si>
    <t>统一输出：包括三大报表、财务指标、关键假设的汇总摘要。供Word报告输出，并为将来上传数据到研究平台准备。</t>
  </si>
  <si>
    <r>
      <t>1</t>
    </r>
    <r>
      <rPr>
        <sz val="10"/>
        <rFont val="宋体"/>
        <family val="3"/>
        <charset val="134"/>
      </rPr>
      <t>、</t>
    </r>
  </si>
  <si>
    <t>模型说明</t>
  </si>
  <si>
    <r>
      <t xml:space="preserve">    </t>
    </r>
    <r>
      <rPr>
        <b/>
        <sz val="11"/>
        <rFont val="宋体"/>
        <family val="3"/>
        <charset val="134"/>
      </rPr>
      <t>二、使用步骤：</t>
    </r>
  </si>
  <si>
    <r>
      <t>2</t>
    </r>
    <r>
      <rPr>
        <sz val="10"/>
        <rFont val="宋体"/>
        <family val="3"/>
        <charset val="134"/>
      </rPr>
      <t>、</t>
    </r>
  </si>
  <si>
    <t>公司说明</t>
  </si>
  <si>
    <t>首先在“公司说明”中输入公司代码和评估日期，导出数据。</t>
  </si>
  <si>
    <t>预测汇总</t>
  </si>
  <si>
    <r>
      <t xml:space="preserve">     2</t>
    </r>
    <r>
      <rPr>
        <sz val="11"/>
        <rFont val="宋体"/>
        <family val="3"/>
        <charset val="134"/>
      </rPr>
      <t>、</t>
    </r>
  </si>
  <si>
    <r>
      <t>在工具</t>
    </r>
    <r>
      <rPr>
        <sz val="11"/>
        <rFont val="Times New Roman"/>
        <family val="1"/>
      </rPr>
      <t>-</t>
    </r>
    <r>
      <rPr>
        <sz val="11"/>
        <rFont val="宋体"/>
        <family val="3"/>
        <charset val="134"/>
      </rPr>
      <t>选项</t>
    </r>
    <r>
      <rPr>
        <sz val="11"/>
        <rFont val="Times New Roman"/>
        <family val="1"/>
      </rPr>
      <t>-</t>
    </r>
    <r>
      <rPr>
        <sz val="11"/>
        <rFont val="宋体"/>
        <family val="3"/>
        <charset val="134"/>
      </rPr>
      <t>重复计算中，选择“除模拟运算表外，自动计算”和“反复操作”。</t>
    </r>
  </si>
  <si>
    <t>脱机可加快速度。导出数据后即可脱机，需刷新数据时再重新联机。脱机、重新联机前后注意保存。</t>
  </si>
  <si>
    <t>利润表</t>
  </si>
  <si>
    <t>先预测再估值，因为所有估值工具都要用到财务预测。预测三大报表，至少三年。</t>
  </si>
  <si>
    <t>CAPEX</t>
  </si>
  <si>
    <r>
      <t>最后，注意在“模型说明”中写上</t>
    </r>
    <r>
      <rPr>
        <sz val="11"/>
        <rFont val="Times New Roman"/>
        <family val="1"/>
      </rPr>
      <t>Documentation</t>
    </r>
  </si>
  <si>
    <t>资产负债</t>
  </si>
  <si>
    <t>现金流量</t>
  </si>
  <si>
    <r>
      <t xml:space="preserve">    </t>
    </r>
    <r>
      <rPr>
        <b/>
        <sz val="11"/>
        <rFont val="宋体"/>
        <family val="3"/>
        <charset val="134"/>
      </rPr>
      <t>三、注意问题：</t>
    </r>
  </si>
  <si>
    <t>本模板暂时不适合于金融公司</t>
  </si>
  <si>
    <t>财务分析</t>
  </si>
  <si>
    <r>
      <t>2</t>
    </r>
    <r>
      <rPr>
        <sz val="11"/>
        <rFont val="宋体"/>
        <family val="3"/>
        <charset val="134"/>
      </rPr>
      <t>、</t>
    </r>
    <r>
      <rPr>
        <sz val="11"/>
        <rFont val="Times New Roman"/>
        <family val="1"/>
      </rPr>
      <t xml:space="preserve"> </t>
    </r>
  </si>
  <si>
    <t>不要删除已有工作表或修改已有工作表名称，否则系统将出现错误！需要另外预测或估值的话，请建立新的工作表。</t>
  </si>
  <si>
    <t>为方便模型共享，请勿新增行、列。需新增内容请增加工作表，然后以链接方式填列。</t>
  </si>
  <si>
    <t>DDM</t>
  </si>
  <si>
    <r>
      <t xml:space="preserve">    </t>
    </r>
    <r>
      <rPr>
        <b/>
        <sz val="11"/>
        <rFont val="宋体"/>
        <family val="3"/>
        <charset val="134"/>
      </rPr>
      <t>四、联系人</t>
    </r>
  </si>
  <si>
    <t>资金成本</t>
  </si>
  <si>
    <r>
      <t>警告</t>
    </r>
    <r>
      <rPr>
        <b/>
        <sz val="10"/>
        <color indexed="10"/>
        <rFont val="Times New Roman"/>
        <family val="1"/>
      </rPr>
      <t>:</t>
    </r>
    <r>
      <rPr>
        <b/>
        <sz val="10"/>
        <color indexed="10"/>
        <rFont val="宋体"/>
        <family val="3"/>
        <charset val="134"/>
      </rPr>
      <t>上述为系统</t>
    </r>
    <r>
      <rPr>
        <b/>
        <sz val="10"/>
        <color indexed="10"/>
        <rFont val="Times New Roman"/>
        <family val="1"/>
      </rPr>
      <t>SHEET</t>
    </r>
  </si>
  <si>
    <t>请勿删除或改名，否则模型工作不正常</t>
  </si>
  <si>
    <t>Documentation</t>
  </si>
  <si>
    <t>分析师</t>
  </si>
  <si>
    <t>研究员名字</t>
  </si>
  <si>
    <t>更新日期</t>
  </si>
  <si>
    <t>联系电话</t>
  </si>
  <si>
    <t>版权说明：</t>
  </si>
  <si>
    <t>建模要点</t>
  </si>
  <si>
    <t>核心要点：</t>
  </si>
  <si>
    <t>准确地列明驱动要素</t>
  </si>
  <si>
    <t>收入与成本的预测应拆细</t>
  </si>
  <si>
    <t>营运资本、资本支出、融资活动的预测要明确</t>
  </si>
  <si>
    <t>形式要点：</t>
  </si>
  <si>
    <t xml:space="preserve">有明确的输入、输出与计算区域
</t>
  </si>
  <si>
    <t xml:space="preserve">界面友好，可阅读
</t>
  </si>
  <si>
    <t>信息应当标准化</t>
  </si>
  <si>
    <t xml:space="preserve">保证可扩展性
</t>
  </si>
  <si>
    <t xml:space="preserve">做好情景分析与灵敏性分析
</t>
  </si>
  <si>
    <t>编写必要的模型摘要与说明</t>
  </si>
  <si>
    <t xml:space="preserve">标注必要的版本号
</t>
  </si>
  <si>
    <t>图的格式要统一</t>
  </si>
  <si>
    <t xml:space="preserve">常用运算的模块化：易懂、可掉换、多人开发，协作使用、模块的工具化
</t>
  </si>
  <si>
    <t>数据要点：</t>
  </si>
  <si>
    <t xml:space="preserve">遵守单元格的颜色定义
</t>
  </si>
  <si>
    <t xml:space="preserve">在公式中尽量引用单元格，不要使用硬代码
</t>
  </si>
  <si>
    <t>数据形式要一致（数据性质，小数位，百分比，负数的表示）</t>
  </si>
  <si>
    <t>对输入的数据有时须做有效性校验</t>
  </si>
  <si>
    <t>对单元格标上必要的注解</t>
  </si>
  <si>
    <t>法律声明</t>
  </si>
  <si>
    <t>A</t>
  </si>
  <si>
    <t>公司简称</t>
  </si>
  <si>
    <t>公司代码</t>
  </si>
  <si>
    <t>dellpro</t>
  </si>
  <si>
    <t>昨日收盘价</t>
  </si>
  <si>
    <t>基准评估价</t>
  </si>
  <si>
    <t>更新投资建议</t>
  </si>
  <si>
    <t>基准评估日期</t>
  </si>
  <si>
    <t>分析师姓名</t>
  </si>
  <si>
    <t>评估日收盘价</t>
  </si>
  <si>
    <r>
      <t>盈利预测</t>
    </r>
    <r>
      <rPr>
        <sz val="12"/>
        <color indexed="9"/>
        <rFont val="Times New Roman"/>
        <family val="1"/>
      </rPr>
      <t>(</t>
    </r>
    <r>
      <rPr>
        <sz val="12"/>
        <color indexed="9"/>
        <rFont val="黑体"/>
        <family val="3"/>
        <charset val="134"/>
      </rPr>
      <t>报告首页数据</t>
    </r>
    <r>
      <rPr>
        <sz val="12"/>
        <color indexed="9"/>
        <rFont val="Times New Roman"/>
        <family val="1"/>
      </rPr>
      <t>)</t>
    </r>
  </si>
  <si>
    <t>营业收入</t>
  </si>
  <si>
    <t>增长率</t>
  </si>
  <si>
    <t>归属于母公司所有者净利润</t>
  </si>
  <si>
    <t>每股收益</t>
  </si>
  <si>
    <t>毛利率</t>
  </si>
  <si>
    <t>净资产收益率</t>
  </si>
  <si>
    <t>市盈率</t>
  </si>
  <si>
    <t>EV/EBITDA</t>
  </si>
  <si>
    <t>-</t>
  </si>
  <si>
    <t>财务摘要</t>
  </si>
  <si>
    <t>合并损益表</t>
  </si>
  <si>
    <t>百万元</t>
  </si>
  <si>
    <t>A产品</t>
  </si>
  <si>
    <t>B产品</t>
  </si>
  <si>
    <t>C产品</t>
  </si>
  <si>
    <t>D产品</t>
  </si>
  <si>
    <t>营业总成本</t>
  </si>
  <si>
    <t xml:space="preserve">营业成本 </t>
  </si>
  <si>
    <t>销售费用</t>
  </si>
  <si>
    <t xml:space="preserve">管理费用 </t>
  </si>
  <si>
    <t xml:space="preserve">财务费用 </t>
  </si>
  <si>
    <t>资产减值损失</t>
  </si>
  <si>
    <t xml:space="preserve">投资收益 </t>
  </si>
  <si>
    <t xml:space="preserve">营业利润 </t>
  </si>
  <si>
    <t>营业外收支</t>
  </si>
  <si>
    <t xml:space="preserve">利润总额 </t>
  </si>
  <si>
    <t xml:space="preserve">所得税 </t>
  </si>
  <si>
    <t xml:space="preserve">净利润 </t>
  </si>
  <si>
    <t>归属于母公司所有者的净利润</t>
  </si>
  <si>
    <t>合并现金流量表</t>
  </si>
  <si>
    <t>财务费用</t>
  </si>
  <si>
    <t>非经营损失</t>
  </si>
  <si>
    <t>营运资本变动</t>
  </si>
  <si>
    <t>其它</t>
  </si>
  <si>
    <t>经营活动现金流</t>
  </si>
  <si>
    <t>资本开支与经营活动现金流</t>
  </si>
  <si>
    <t>资本开支</t>
  </si>
  <si>
    <t>其它投资现金流</t>
  </si>
  <si>
    <t>投资活动现金流</t>
  </si>
  <si>
    <t>吸收投资</t>
  </si>
  <si>
    <t>负债净变化</t>
  </si>
  <si>
    <t>支付股利、利息</t>
  </si>
  <si>
    <t>其它融资现金流</t>
  </si>
  <si>
    <t>融资活动现金流</t>
  </si>
  <si>
    <t xml:space="preserve">净现金流 </t>
  </si>
  <si>
    <t>企业自由现金流</t>
  </si>
  <si>
    <t>输出：第一页与第二页分隔线</t>
  </si>
  <si>
    <t>合并资产负债表</t>
  </si>
  <si>
    <r>
      <t>经营利润率</t>
    </r>
    <r>
      <rPr>
        <sz val="10"/>
        <color indexed="18"/>
        <rFont val="Times New Roman"/>
        <family val="1"/>
      </rPr>
      <t>(%)</t>
    </r>
  </si>
  <si>
    <t>流动资产</t>
  </si>
  <si>
    <t>现金及等价物</t>
  </si>
  <si>
    <t>应收款项</t>
  </si>
  <si>
    <t>存货净额</t>
  </si>
  <si>
    <t>其他流动资产</t>
  </si>
  <si>
    <t>长期投资</t>
  </si>
  <si>
    <t>固定资产</t>
  </si>
  <si>
    <t>无形资产及其他资产</t>
  </si>
  <si>
    <t xml:space="preserve">资产总计 </t>
  </si>
  <si>
    <t>流动负债</t>
  </si>
  <si>
    <t xml:space="preserve">短期借款 </t>
  </si>
  <si>
    <t xml:space="preserve">应付款项 </t>
  </si>
  <si>
    <t xml:space="preserve">其它流动负债 </t>
  </si>
  <si>
    <r>
      <t>投资回报率趋势</t>
    </r>
    <r>
      <rPr>
        <sz val="10"/>
        <color indexed="18"/>
        <rFont val="Times New Roman"/>
        <family val="1"/>
      </rPr>
      <t>(%)</t>
    </r>
  </si>
  <si>
    <t>非流动负债</t>
  </si>
  <si>
    <t xml:space="preserve">负债合计 </t>
  </si>
  <si>
    <t xml:space="preserve">股本 </t>
  </si>
  <si>
    <t>资本公积</t>
  </si>
  <si>
    <t>盈余公积</t>
  </si>
  <si>
    <t>未分配利润</t>
  </si>
  <si>
    <t xml:space="preserve">少数股东权益 </t>
  </si>
  <si>
    <t>股东权益</t>
  </si>
  <si>
    <t>负债和股东权益合计</t>
  </si>
  <si>
    <t>重要财务指标</t>
  </si>
  <si>
    <r>
      <t>收入与利润增长趋势</t>
    </r>
    <r>
      <rPr>
        <sz val="9"/>
        <rFont val="Times New Roman"/>
        <family val="1"/>
      </rPr>
      <t>(%)</t>
    </r>
  </si>
  <si>
    <t>每股指标(元)</t>
  </si>
  <si>
    <t>每股经营现金流</t>
  </si>
  <si>
    <t>每股红利</t>
  </si>
  <si>
    <t>每股净资产</t>
  </si>
  <si>
    <t>关键运营指标(%)</t>
  </si>
  <si>
    <t>ROIC</t>
  </si>
  <si>
    <t>ROE</t>
  </si>
  <si>
    <t>EBITDA Margin</t>
  </si>
  <si>
    <t>EBIT  Margin</t>
  </si>
  <si>
    <r>
      <t>相对估值</t>
    </r>
    <r>
      <rPr>
        <sz val="10"/>
        <color indexed="18"/>
        <rFont val="Times New Roman"/>
        <family val="1"/>
      </rPr>
      <t>(</t>
    </r>
    <r>
      <rPr>
        <sz val="10"/>
        <color indexed="18"/>
        <rFont val="黑体"/>
        <family val="3"/>
        <charset val="134"/>
      </rPr>
      <t>倍</t>
    </r>
    <r>
      <rPr>
        <sz val="10"/>
        <color indexed="18"/>
        <rFont val="Times New Roman"/>
        <family val="1"/>
      </rPr>
      <t>)</t>
    </r>
  </si>
  <si>
    <t>资产负债率</t>
  </si>
  <si>
    <t>净资产周转率</t>
  </si>
  <si>
    <t xml:space="preserve">总资产周转率 </t>
  </si>
  <si>
    <t>有效税率</t>
  </si>
  <si>
    <t>股息率</t>
  </si>
  <si>
    <t>估值指标(倍)</t>
  </si>
  <si>
    <t>P/E</t>
  </si>
  <si>
    <t>P/B</t>
  </si>
  <si>
    <t>EV/Sale</t>
  </si>
  <si>
    <t>输出：第二页完</t>
  </si>
  <si>
    <t>(N6+1)*M5</t>
  </si>
  <si>
    <t>N5/M5-1</t>
  </si>
  <si>
    <t>N5</t>
  </si>
  <si>
    <t>(1-N8)*N5</t>
  </si>
  <si>
    <t>1-N7/N5</t>
  </si>
  <si>
    <t>N7</t>
  </si>
  <si>
    <t>N5*N10</t>
  </si>
  <si>
    <t>N9/N5</t>
  </si>
  <si>
    <t>N9</t>
  </si>
  <si>
    <t>N5*N12</t>
  </si>
  <si>
    <t>N11/N5</t>
  </si>
  <si>
    <t>N11</t>
  </si>
  <si>
    <t>N14*N5</t>
  </si>
  <si>
    <t>N13/N5</t>
  </si>
  <si>
    <t>N13</t>
  </si>
  <si>
    <t>管理费用率</t>
  </si>
  <si>
    <t>存款利率</t>
  </si>
  <si>
    <t>N15</t>
  </si>
  <si>
    <t>借款利率（债务成本）</t>
  </si>
  <si>
    <t>N16</t>
  </si>
  <si>
    <t>利息资本化</t>
  </si>
  <si>
    <t>N17</t>
  </si>
  <si>
    <t>利息支出</t>
  </si>
  <si>
    <t>其他</t>
  </si>
  <si>
    <t>N19</t>
  </si>
  <si>
    <t>公允价值变动收益</t>
  </si>
  <si>
    <t>N20</t>
  </si>
  <si>
    <t>非核心投资收益</t>
  </si>
  <si>
    <t>N21</t>
  </si>
  <si>
    <t>核心投资收益</t>
  </si>
  <si>
    <t>N22</t>
  </si>
  <si>
    <t>营业外收入</t>
  </si>
  <si>
    <t>N23</t>
  </si>
  <si>
    <t>营业外支出</t>
  </si>
  <si>
    <t>N24</t>
  </si>
  <si>
    <r>
      <t>IF((</t>
    </r>
    <r>
      <rPr>
        <b/>
        <sz val="10"/>
        <rFont val="宋体"/>
        <family val="3"/>
        <charset val="134"/>
      </rPr>
      <t>利润表</t>
    </r>
    <r>
      <rPr>
        <b/>
        <sz val="10"/>
        <rFont val="Times New Roman"/>
        <family val="1"/>
      </rPr>
      <t>!N73-</t>
    </r>
    <r>
      <rPr>
        <b/>
        <sz val="10"/>
        <rFont val="宋体"/>
        <family val="3"/>
        <charset val="134"/>
      </rPr>
      <t>利润表</t>
    </r>
    <r>
      <rPr>
        <b/>
        <sz val="10"/>
        <rFont val="Times New Roman"/>
        <family val="1"/>
      </rPr>
      <t>!N60)&gt;0,(</t>
    </r>
    <r>
      <rPr>
        <b/>
        <sz val="10"/>
        <rFont val="宋体"/>
        <family val="3"/>
        <charset val="134"/>
      </rPr>
      <t>利润表</t>
    </r>
    <r>
      <rPr>
        <b/>
        <sz val="10"/>
        <rFont val="Times New Roman"/>
        <family val="1"/>
      </rPr>
      <t>!N73-</t>
    </r>
    <r>
      <rPr>
        <b/>
        <sz val="10"/>
        <rFont val="宋体"/>
        <family val="3"/>
        <charset val="134"/>
      </rPr>
      <t>利润表</t>
    </r>
    <r>
      <rPr>
        <b/>
        <sz val="10"/>
        <rFont val="Times New Roman"/>
        <family val="1"/>
      </rPr>
      <t>!N60)*N26,0)</t>
    </r>
  </si>
  <si>
    <t>N25</t>
  </si>
  <si>
    <t>少数股东损益</t>
  </si>
  <si>
    <t>利润表!N78*N28</t>
  </si>
  <si>
    <t>N27/利润表!N78</t>
  </si>
  <si>
    <t>N27</t>
  </si>
  <si>
    <t>资产负债表</t>
  </si>
  <si>
    <t>交易性金融资产</t>
  </si>
  <si>
    <t>M41+N42</t>
  </si>
  <si>
    <t>N41-M41</t>
  </si>
  <si>
    <t>N41</t>
  </si>
  <si>
    <t>应收账款账面价值</t>
  </si>
  <si>
    <t>应收账款账面余额</t>
  </si>
  <si>
    <t>利润表!N29/N45</t>
  </si>
  <si>
    <t>利润表!N29/N44</t>
  </si>
  <si>
    <t>N44</t>
  </si>
  <si>
    <t>应收款周转率</t>
  </si>
  <si>
    <t>N44*N47</t>
  </si>
  <si>
    <t>N46/N44</t>
  </si>
  <si>
    <t>N46</t>
  </si>
  <si>
    <t>坏帐准备计提率</t>
  </si>
  <si>
    <t>其他应收款账面价值</t>
  </si>
  <si>
    <t>其他应收款账面余额</t>
  </si>
  <si>
    <t>N49</t>
  </si>
  <si>
    <t>坏账准备</t>
  </si>
  <si>
    <t>N50</t>
  </si>
  <si>
    <t>其它经营性应收款项</t>
  </si>
  <si>
    <t>N51</t>
  </si>
  <si>
    <t>应收股利</t>
  </si>
  <si>
    <t>存货账面余额</t>
  </si>
  <si>
    <t>存货周转率</t>
  </si>
  <si>
    <t>存货跌价准备</t>
  </si>
  <si>
    <t>可供出售金融资产</t>
  </si>
  <si>
    <t>N58</t>
  </si>
  <si>
    <t>持有至到期投资</t>
  </si>
  <si>
    <t>N59</t>
  </si>
  <si>
    <t>长期应收款</t>
  </si>
  <si>
    <t>N60</t>
  </si>
  <si>
    <t>长期股权投资净值本期新增</t>
  </si>
  <si>
    <t>N61</t>
  </si>
  <si>
    <t>长期股权投资净值本期收回</t>
  </si>
  <si>
    <t>N62</t>
  </si>
  <si>
    <t>N63</t>
  </si>
  <si>
    <t>核心投资</t>
  </si>
  <si>
    <t>N65</t>
  </si>
  <si>
    <t>N66</t>
  </si>
  <si>
    <t>投资性房地产减值准备</t>
  </si>
  <si>
    <t>N67</t>
  </si>
  <si>
    <t>固定资产累计减值准备</t>
  </si>
  <si>
    <t>N68</t>
  </si>
  <si>
    <t>本期处置固定资产账面余额</t>
  </si>
  <si>
    <t>N71</t>
  </si>
  <si>
    <t>本期转出累计折旧</t>
  </si>
  <si>
    <t>N72</t>
  </si>
  <si>
    <t>本期新增无形资产</t>
  </si>
  <si>
    <t>N76</t>
  </si>
  <si>
    <t>本期减少无形资产</t>
  </si>
  <si>
    <t>N77</t>
  </si>
  <si>
    <t>本期摊销额</t>
  </si>
  <si>
    <t>(资产负债!N173+资产负债!N169)/2*N79</t>
  </si>
  <si>
    <t>(资产负债!N173+资产负债!N169)/2*N78</t>
  </si>
  <si>
    <t>N78</t>
  </si>
  <si>
    <t>摊销率</t>
  </si>
  <si>
    <t>商誉账面余额</t>
  </si>
  <si>
    <t>N80</t>
  </si>
  <si>
    <t>累计商誉减值</t>
  </si>
  <si>
    <t>N81</t>
  </si>
  <si>
    <t>开发支出本期新增</t>
  </si>
  <si>
    <t>N82</t>
  </si>
  <si>
    <t>开发支出本期减少</t>
  </si>
  <si>
    <t>N83</t>
  </si>
  <si>
    <t>长期待摊费用</t>
  </si>
  <si>
    <t>N84</t>
  </si>
  <si>
    <t>递延所得税资产</t>
  </si>
  <si>
    <t>N85</t>
  </si>
  <si>
    <t>其他非流动资产</t>
  </si>
  <si>
    <t>N86</t>
  </si>
  <si>
    <t>N100</t>
  </si>
  <si>
    <t>交易性金融负债</t>
  </si>
  <si>
    <t>N101</t>
  </si>
  <si>
    <t>经营性应付款项</t>
  </si>
  <si>
    <t>利润表!N33/N103</t>
  </si>
  <si>
    <t>利润表!N33/N102</t>
  </si>
  <si>
    <t>N102</t>
  </si>
  <si>
    <t>应付款项周转率</t>
  </si>
  <si>
    <t>应付股利</t>
  </si>
  <si>
    <t>其他应付款</t>
  </si>
  <si>
    <t>其他流动负债</t>
  </si>
  <si>
    <t>长期借款本期新贷</t>
  </si>
  <si>
    <t>N108</t>
  </si>
  <si>
    <t>长期借款本期偿还</t>
  </si>
  <si>
    <t>N109</t>
  </si>
  <si>
    <t>转出的一年内到期长期借款</t>
  </si>
  <si>
    <t>N110</t>
  </si>
  <si>
    <t>应付债券本期新增</t>
  </si>
  <si>
    <t>N111</t>
  </si>
  <si>
    <t>应付债券转股减少</t>
  </si>
  <si>
    <t>N112</t>
  </si>
  <si>
    <t>应付债券偿付减少</t>
  </si>
  <si>
    <t>N113</t>
  </si>
  <si>
    <t>其他非流动负债</t>
  </si>
  <si>
    <t>N114</t>
  </si>
  <si>
    <t>递延所得税负债</t>
  </si>
  <si>
    <t>N115</t>
  </si>
  <si>
    <t>发行股数</t>
  </si>
  <si>
    <t>N128</t>
  </si>
  <si>
    <t>发行价</t>
  </si>
  <si>
    <t>N129</t>
  </si>
  <si>
    <t>可转债转股增加</t>
  </si>
  <si>
    <t>N130</t>
  </si>
  <si>
    <t>公允价值变动净转入</t>
  </si>
  <si>
    <t>N131</t>
  </si>
  <si>
    <t>资本公积其他新增</t>
  </si>
  <si>
    <t>N132</t>
  </si>
  <si>
    <t>资本公积转增股本</t>
  </si>
  <si>
    <t>N133</t>
  </si>
  <si>
    <t>资本公积其他减少</t>
  </si>
  <si>
    <t>N134</t>
  </si>
  <si>
    <t>N135</t>
  </si>
  <si>
    <t>库存股</t>
  </si>
  <si>
    <t>N136</t>
  </si>
  <si>
    <t>盈余公积本期减少</t>
  </si>
  <si>
    <t>N137</t>
  </si>
  <si>
    <t>未分配利润提取公积</t>
  </si>
  <si>
    <t>资产负债!N280*N139</t>
  </si>
  <si>
    <t>N138/资产负债!N280</t>
  </si>
  <si>
    <t>N138</t>
  </si>
  <si>
    <t>提取公积比例</t>
  </si>
  <si>
    <t>少数股东权益购并新增</t>
  </si>
  <si>
    <t>N141</t>
  </si>
  <si>
    <t>现金流量表</t>
  </si>
  <si>
    <t>N153</t>
  </si>
  <si>
    <t>最低现金余额</t>
  </si>
  <si>
    <t>N159</t>
  </si>
  <si>
    <t>最低短期借款余额</t>
  </si>
  <si>
    <t>N160</t>
  </si>
  <si>
    <t>配置项</t>
  </si>
  <si>
    <t>配置内容</t>
  </si>
  <si>
    <t>暂存</t>
  </si>
  <si>
    <t>History</t>
  </si>
  <si>
    <t>Forcast</t>
  </si>
  <si>
    <t>Start</t>
  </si>
  <si>
    <t>A7</t>
  </si>
  <si>
    <t>Count</t>
  </si>
  <si>
    <t>No</t>
  </si>
  <si>
    <t>数据名称</t>
  </si>
  <si>
    <t>源表</t>
  </si>
  <si>
    <t>源单元格</t>
  </si>
  <si>
    <t>目标表</t>
  </si>
  <si>
    <t>目标单元格</t>
  </si>
  <si>
    <t>附加数量</t>
  </si>
  <si>
    <t>长度基数</t>
  </si>
  <si>
    <t>长度增加</t>
  </si>
  <si>
    <t>D29</t>
  </si>
  <si>
    <t>D5</t>
  </si>
  <si>
    <t>F</t>
  </si>
  <si>
    <t>N29</t>
  </si>
  <si>
    <t>营业成本</t>
  </si>
  <si>
    <t>D33</t>
  </si>
  <si>
    <t>D7</t>
  </si>
  <si>
    <t>营业税金及附加</t>
  </si>
  <si>
    <t>D36</t>
  </si>
  <si>
    <t>D9</t>
  </si>
  <si>
    <t>D39</t>
  </si>
  <si>
    <t>D11</t>
  </si>
  <si>
    <t>管理费用</t>
  </si>
  <si>
    <t>D42</t>
  </si>
  <si>
    <t>D13</t>
  </si>
  <si>
    <t>D47</t>
  </si>
  <si>
    <t>D15</t>
  </si>
  <si>
    <t>D51</t>
  </si>
  <si>
    <t>D16</t>
  </si>
  <si>
    <t>D52</t>
  </si>
  <si>
    <t>D17</t>
  </si>
  <si>
    <t>D53</t>
  </si>
  <si>
    <t>D18</t>
  </si>
  <si>
    <t>D54</t>
  </si>
  <si>
    <t>D19</t>
  </si>
  <si>
    <t>D58</t>
  </si>
  <si>
    <t>D20</t>
  </si>
  <si>
    <t>D62</t>
  </si>
  <si>
    <t>D21</t>
  </si>
  <si>
    <t>D63</t>
  </si>
  <si>
    <t>D22</t>
  </si>
  <si>
    <t>D68</t>
  </si>
  <si>
    <t>D23</t>
  </si>
  <si>
    <t>D69</t>
  </si>
  <si>
    <t>D24</t>
  </si>
  <si>
    <t>所得税</t>
  </si>
  <si>
    <t>D75</t>
  </si>
  <si>
    <t>D25</t>
  </si>
  <si>
    <t>D80</t>
  </si>
  <si>
    <t>D27</t>
  </si>
  <si>
    <t>D92</t>
  </si>
  <si>
    <t>D41</t>
  </si>
  <si>
    <t>D96</t>
  </si>
  <si>
    <t>D44</t>
  </si>
  <si>
    <t>D98</t>
  </si>
  <si>
    <t>D46</t>
  </si>
  <si>
    <t>D104</t>
  </si>
  <si>
    <t>D49</t>
  </si>
  <si>
    <t>其他应收款账面余额坏账准备</t>
  </si>
  <si>
    <t>D105</t>
  </si>
  <si>
    <t>D50</t>
  </si>
  <si>
    <t>D107</t>
  </si>
  <si>
    <t>D109</t>
  </si>
  <si>
    <t>D112</t>
  </si>
  <si>
    <t>D114</t>
  </si>
  <si>
    <t>D118</t>
  </si>
  <si>
    <t>D123</t>
  </si>
  <si>
    <t>D124</t>
  </si>
  <si>
    <t>D59</t>
  </si>
  <si>
    <t>D125</t>
  </si>
  <si>
    <t>D60</t>
  </si>
  <si>
    <t>D129</t>
  </si>
  <si>
    <t>D61</t>
  </si>
  <si>
    <t>D130</t>
  </si>
  <si>
    <t>长期投资减值准备</t>
  </si>
  <si>
    <t>D132</t>
  </si>
  <si>
    <t>D137</t>
  </si>
  <si>
    <t>D65</t>
  </si>
  <si>
    <t>D141</t>
  </si>
  <si>
    <t>D67</t>
  </si>
  <si>
    <t>D146</t>
  </si>
  <si>
    <t>D157</t>
  </si>
  <si>
    <t>D71</t>
  </si>
  <si>
    <t>D158</t>
  </si>
  <si>
    <t>D72</t>
  </si>
  <si>
    <t>D174</t>
  </si>
  <si>
    <t>D76</t>
  </si>
  <si>
    <t>D175</t>
  </si>
  <si>
    <t>D77</t>
  </si>
  <si>
    <t>D176</t>
  </si>
  <si>
    <t>D78</t>
  </si>
  <si>
    <t>D179</t>
  </si>
  <si>
    <t>D180</t>
  </si>
  <si>
    <t>D81</t>
  </si>
  <si>
    <t>D182</t>
  </si>
  <si>
    <t>D82</t>
  </si>
  <si>
    <t>D183</t>
  </si>
  <si>
    <t>D83</t>
  </si>
  <si>
    <t>D185</t>
  </si>
  <si>
    <t>D84</t>
  </si>
  <si>
    <t>D186</t>
  </si>
  <si>
    <t>D85</t>
  </si>
  <si>
    <t>D187</t>
  </si>
  <si>
    <t>D86</t>
  </si>
  <si>
    <t>D204</t>
  </si>
  <si>
    <t>D101</t>
  </si>
  <si>
    <t>D206</t>
  </si>
  <si>
    <t>D102</t>
  </si>
  <si>
    <t>D209</t>
  </si>
  <si>
    <t>D211</t>
  </si>
  <si>
    <t>D212</t>
  </si>
  <si>
    <t>D220</t>
  </si>
  <si>
    <t>D108</t>
  </si>
  <si>
    <t>D221</t>
  </si>
  <si>
    <t>D222</t>
  </si>
  <si>
    <t>D110</t>
  </si>
  <si>
    <t>D227</t>
  </si>
  <si>
    <t>D111</t>
  </si>
  <si>
    <t>D229</t>
  </si>
  <si>
    <t>D230</t>
  </si>
  <si>
    <t>D113</t>
  </si>
  <si>
    <t>D233</t>
  </si>
  <si>
    <t>D235</t>
  </si>
  <si>
    <t>D115</t>
  </si>
  <si>
    <t>D248</t>
  </si>
  <si>
    <t>D128</t>
  </si>
  <si>
    <t>D249</t>
  </si>
  <si>
    <t>D253</t>
  </si>
  <si>
    <t>D261</t>
  </si>
  <si>
    <t>D131</t>
  </si>
  <si>
    <t>D263</t>
  </si>
  <si>
    <t>D265</t>
  </si>
  <si>
    <t>D133</t>
  </si>
  <si>
    <t>D266</t>
  </si>
  <si>
    <t>D134</t>
  </si>
  <si>
    <t>D270</t>
  </si>
  <si>
    <t>D136</t>
  </si>
  <si>
    <t>D275</t>
  </si>
  <si>
    <t>D281</t>
  </si>
  <si>
    <t>D138</t>
  </si>
  <si>
    <t>D294</t>
  </si>
  <si>
    <t>预测金额</t>
  </si>
  <si>
    <t>预测比率</t>
  </si>
  <si>
    <t>全0</t>
  </si>
  <si>
    <t>利润表明细</t>
  </si>
  <si>
    <t>(N30+1)*M29</t>
  </si>
  <si>
    <t>N29/M29-1</t>
  </si>
  <si>
    <t>净利润率</t>
  </si>
  <si>
    <t>利润表分析</t>
  </si>
  <si>
    <t>一、新增固定资产预测（原值）</t>
  </si>
  <si>
    <t>固定资产新增</t>
  </si>
  <si>
    <t>项目1</t>
  </si>
  <si>
    <t>项目2</t>
  </si>
  <si>
    <t>项目3</t>
  </si>
  <si>
    <t>项目4</t>
  </si>
  <si>
    <t>项目5</t>
  </si>
  <si>
    <t>项目6</t>
  </si>
  <si>
    <t>项目7</t>
  </si>
  <si>
    <t>项目8</t>
  </si>
  <si>
    <t>项目9</t>
  </si>
  <si>
    <t>项目10</t>
  </si>
  <si>
    <t>项目11</t>
  </si>
  <si>
    <t>项目12</t>
  </si>
  <si>
    <t>项目13</t>
  </si>
  <si>
    <t>项目14</t>
  </si>
  <si>
    <t>项目15</t>
  </si>
  <si>
    <t>固定资产新增小计</t>
  </si>
  <si>
    <t>注：固定资产新增包含建设投资项目的“在建工程转固”和外购新增项目的“当年购买新增”</t>
  </si>
  <si>
    <t>1、建设投资项目</t>
  </si>
  <si>
    <t>在建工程新增小计</t>
  </si>
  <si>
    <t>在建工程转固小计</t>
  </si>
  <si>
    <t>2、外购新增项目</t>
  </si>
  <si>
    <t>外购新增项目小计</t>
  </si>
  <si>
    <t>二、计提折旧预测</t>
  </si>
  <si>
    <t>a、直线法折旧</t>
  </si>
  <si>
    <r>
      <t>b</t>
    </r>
    <r>
      <rPr>
        <sz val="9"/>
        <rFont val="宋体"/>
        <family val="3"/>
        <charset val="134"/>
      </rPr>
      <t>、折旧年限</t>
    </r>
    <r>
      <rPr>
        <sz val="9"/>
        <rFont val="Arial"/>
        <family val="2"/>
      </rPr>
      <t>(</t>
    </r>
    <r>
      <rPr>
        <sz val="9"/>
        <rFont val="宋体"/>
        <family val="3"/>
        <charset val="134"/>
      </rPr>
      <t>年</t>
    </r>
    <r>
      <rPr>
        <sz val="9"/>
        <rFont val="Arial"/>
        <family val="2"/>
      </rPr>
      <t>)--</t>
    </r>
    <r>
      <rPr>
        <sz val="9"/>
        <rFont val="宋体"/>
        <family val="3"/>
        <charset val="134"/>
      </rPr>
      <t>原有固定资产</t>
    </r>
  </si>
  <si>
    <r>
      <t>折旧年限</t>
    </r>
    <r>
      <rPr>
        <sz val="9"/>
        <rFont val="Arial"/>
        <family val="2"/>
      </rPr>
      <t>(</t>
    </r>
    <r>
      <rPr>
        <sz val="9"/>
        <rFont val="宋体"/>
        <family val="3"/>
        <charset val="134"/>
      </rPr>
      <t>年</t>
    </r>
    <r>
      <rPr>
        <sz val="9"/>
        <rFont val="Arial"/>
        <family val="2"/>
      </rPr>
      <t>)--</t>
    </r>
    <r>
      <rPr>
        <sz val="9"/>
        <rFont val="宋体"/>
        <family val="3"/>
        <charset val="134"/>
      </rPr>
      <t>新增固定资产</t>
    </r>
  </si>
  <si>
    <t>d、各年固定资产投资额和建设期</t>
  </si>
  <si>
    <t>e、每年折旧与净值计算表</t>
  </si>
  <si>
    <t>当期计提折旧</t>
  </si>
  <si>
    <t>货币资金</t>
  </si>
  <si>
    <t>经营性应收款项</t>
  </si>
  <si>
    <t>存货</t>
  </si>
  <si>
    <t>投资性房地产</t>
  </si>
  <si>
    <t>在建工程</t>
  </si>
  <si>
    <t>无形资产类</t>
  </si>
  <si>
    <t>开发支出</t>
  </si>
  <si>
    <t>非流动资产合计：</t>
  </si>
  <si>
    <t>其中：短期借款</t>
  </si>
  <si>
    <t>流动负债合计：</t>
  </si>
  <si>
    <t>应付债券</t>
  </si>
  <si>
    <t>其中：长期应付款</t>
  </si>
  <si>
    <t>减：库存股</t>
  </si>
  <si>
    <t>少数股东权益</t>
  </si>
  <si>
    <t>误差</t>
  </si>
  <si>
    <t>自动额外抓取</t>
  </si>
  <si>
    <t>坏账准备(自动抓取)</t>
  </si>
  <si>
    <t>存货跌价准备(自动抓取)</t>
  </si>
  <si>
    <t>长期投资减值准备(自动抓取)</t>
  </si>
  <si>
    <t>累计减值准备(自动抓取)</t>
  </si>
  <si>
    <t>长期股权投资期初账面余额</t>
  </si>
  <si>
    <t>无形资产期初账面余额</t>
  </si>
  <si>
    <t>短期借款期初值</t>
  </si>
  <si>
    <t>长期借款期初值</t>
  </si>
  <si>
    <t>应付债券期初值</t>
  </si>
  <si>
    <t>期初股本</t>
  </si>
  <si>
    <t>期初资本公积</t>
  </si>
  <si>
    <t>期初盈余公积</t>
  </si>
  <si>
    <t>期初未分配利润</t>
  </si>
  <si>
    <t>资产明细</t>
  </si>
  <si>
    <t>本期净增加</t>
  </si>
  <si>
    <t>存货净值</t>
  </si>
  <si>
    <t>流动资产合计</t>
  </si>
  <si>
    <t>长期股权投资净值</t>
  </si>
  <si>
    <t>期初账面余额</t>
  </si>
  <si>
    <t>本期新增</t>
  </si>
  <si>
    <t>本期收回</t>
  </si>
  <si>
    <t>期末账面余额</t>
  </si>
  <si>
    <t>减值准备</t>
  </si>
  <si>
    <t>固定资产原值</t>
  </si>
  <si>
    <t>累计减值准备</t>
  </si>
  <si>
    <t>固定资产周转率</t>
  </si>
  <si>
    <t>本期新增固定资产账面原值</t>
  </si>
  <si>
    <t>购买或其他增加</t>
  </si>
  <si>
    <t>在建工程转入</t>
  </si>
  <si>
    <t>本期处置固定资产账面原值</t>
  </si>
  <si>
    <t>本期转出的固定资产净值</t>
  </si>
  <si>
    <t>固定资产折旧率</t>
  </si>
  <si>
    <t>N161</t>
  </si>
  <si>
    <t>本期计提折旧</t>
  </si>
  <si>
    <t>N165</t>
  </si>
  <si>
    <t>本期转出</t>
  </si>
  <si>
    <t>N166</t>
  </si>
  <si>
    <t>无形资产原值</t>
  </si>
  <si>
    <t>累计摊销额</t>
  </si>
  <si>
    <t>累计无形资产减值</t>
  </si>
  <si>
    <t>无形资产期末净值</t>
  </si>
  <si>
    <t>其中：期初账面余额</t>
  </si>
  <si>
    <t>商誉净值</t>
  </si>
  <si>
    <t>本期减少</t>
  </si>
  <si>
    <t>资产总计</t>
  </si>
  <si>
    <t>负债明细</t>
  </si>
  <si>
    <t>短期借款</t>
  </si>
  <si>
    <t>期初</t>
  </si>
  <si>
    <t>本期新贷</t>
  </si>
  <si>
    <t>转入的一年内到期非流动负债</t>
  </si>
  <si>
    <t>本期偿还</t>
  </si>
  <si>
    <t>期末</t>
  </si>
  <si>
    <t>长期借款</t>
  </si>
  <si>
    <t>转股减少</t>
  </si>
  <si>
    <t>偿付减少</t>
  </si>
  <si>
    <t>非流动负债合计：</t>
  </si>
  <si>
    <t>负债总计</t>
  </si>
  <si>
    <t>股东权益明细</t>
  </si>
  <si>
    <t>股本</t>
  </si>
  <si>
    <t>新股发行</t>
  </si>
  <si>
    <t>募集资金</t>
  </si>
  <si>
    <t>派送股利增加</t>
  </si>
  <si>
    <t>资本公积转增增加</t>
  </si>
  <si>
    <t>期末股本</t>
  </si>
  <si>
    <t>加：本期新增</t>
  </si>
  <si>
    <t>其中：新股发行溢价</t>
  </si>
  <si>
    <t>债转股增加</t>
  </si>
  <si>
    <t>递延所得税净影响</t>
  </si>
  <si>
    <t>其他新增</t>
  </si>
  <si>
    <t>减：本期减少</t>
  </si>
  <si>
    <t>转增股本</t>
  </si>
  <si>
    <t>其他减少</t>
  </si>
  <si>
    <t>期末资本公积</t>
  </si>
  <si>
    <t>本期提取</t>
  </si>
  <si>
    <t>净利润</t>
  </si>
  <si>
    <t>提取公积</t>
  </si>
  <si>
    <t>分配股利</t>
  </si>
  <si>
    <t>分配现金股利</t>
  </si>
  <si>
    <t>现金分红比例</t>
  </si>
  <si>
    <t>分配股票股利</t>
  </si>
  <si>
    <t>十送股数</t>
  </si>
  <si>
    <t>购并新增</t>
  </si>
  <si>
    <t>股东权益总计</t>
  </si>
  <si>
    <t>资产负债表分析</t>
  </si>
  <si>
    <t>加：计提的资产减值准备</t>
  </si>
  <si>
    <t>固定资产折旧</t>
  </si>
  <si>
    <t>长期待摊费用摊销</t>
  </si>
  <si>
    <t>公允价值变动损失（收益以“—”号列示）</t>
  </si>
  <si>
    <t>投资损失（收益以“—”号列示）</t>
  </si>
  <si>
    <t>递延所得税资产减少（增加以“—”列示）</t>
  </si>
  <si>
    <t>递延所得税负债增加（减少以“—”列示）</t>
  </si>
  <si>
    <t>经营性应付项目的增加（减少以“—”列示）</t>
  </si>
  <si>
    <t>取得投资收益收到的现金</t>
  </si>
  <si>
    <t>处置固定资产、无形资产和其他长期资产收回现金净额</t>
  </si>
  <si>
    <t>投资活动现金流入小计</t>
  </si>
  <si>
    <t>购置固定资产、无形资产和其他长期资产所支付的现金</t>
  </si>
  <si>
    <t>投资所支付的现金</t>
  </si>
  <si>
    <t>投资活动现金流出小计</t>
  </si>
  <si>
    <t>取得借款收到的现金</t>
  </si>
  <si>
    <t>收到其它与筹资活动有关的现金</t>
  </si>
  <si>
    <t>筹资活动现金流入小计</t>
  </si>
  <si>
    <t>分配股利、利润或偿付利息支付的现金</t>
  </si>
  <si>
    <t>支付的其它与筹资活动有关的现金</t>
  </si>
  <si>
    <t>筹资活动现金流出小计</t>
  </si>
  <si>
    <t>每股现金流量</t>
  </si>
  <si>
    <t>资产负债表与现金流量表货币资金余额的差值</t>
  </si>
  <si>
    <t>短期借款预测表</t>
  </si>
  <si>
    <t>期初现金余额</t>
  </si>
  <si>
    <t>当期现金流量</t>
  </si>
  <si>
    <t>经营活动产生的现金流量</t>
  </si>
  <si>
    <t>投资活动产生的现金流量</t>
  </si>
  <si>
    <t>计入短期借款前融资活动产生的现金流量</t>
  </si>
  <si>
    <t>短期借款期初余额</t>
  </si>
  <si>
    <t>短期借款期末余额</t>
  </si>
  <si>
    <t>期末现金余额</t>
  </si>
  <si>
    <t>现金流量表分析</t>
  </si>
  <si>
    <t>季度数据</t>
  </si>
  <si>
    <t>单位：百万元</t>
  </si>
  <si>
    <t>营业总收入</t>
  </si>
  <si>
    <t>扩展：预测主要收入项</t>
  </si>
  <si>
    <t>扩展：预测主要成本项</t>
  </si>
  <si>
    <r>
      <t xml:space="preserve">    </t>
    </r>
    <r>
      <rPr>
        <sz val="10"/>
        <rFont val="宋体"/>
        <family val="3"/>
        <charset val="134"/>
      </rPr>
      <t>营业成本</t>
    </r>
  </si>
  <si>
    <t xml:space="preserve">  营业税金及附加</t>
  </si>
  <si>
    <r>
      <t xml:space="preserve">    </t>
    </r>
    <r>
      <rPr>
        <sz val="10"/>
        <rFont val="宋体"/>
        <family val="3"/>
        <charset val="134"/>
      </rPr>
      <t>销售费用</t>
    </r>
  </si>
  <si>
    <r>
      <t xml:space="preserve">    </t>
    </r>
    <r>
      <rPr>
        <sz val="10"/>
        <rFont val="宋体"/>
        <family val="3"/>
        <charset val="134"/>
      </rPr>
      <t>管理费用</t>
    </r>
  </si>
  <si>
    <r>
      <t xml:space="preserve">    </t>
    </r>
    <r>
      <rPr>
        <sz val="10"/>
        <rFont val="宋体"/>
        <family val="3"/>
        <charset val="134"/>
      </rPr>
      <t>财务费用</t>
    </r>
  </si>
  <si>
    <r>
      <t xml:space="preserve">    </t>
    </r>
    <r>
      <rPr>
        <sz val="10"/>
        <rFont val="宋体"/>
        <family val="3"/>
        <charset val="134"/>
      </rPr>
      <t>资产减值损失</t>
    </r>
  </si>
  <si>
    <t>其他经营收益</t>
  </si>
  <si>
    <r>
      <t xml:space="preserve">    </t>
    </r>
    <r>
      <rPr>
        <sz val="10"/>
        <rFont val="宋体"/>
        <family val="3"/>
        <charset val="134"/>
      </rPr>
      <t>公允价值变动净收益</t>
    </r>
  </si>
  <si>
    <r>
      <t xml:space="preserve">    </t>
    </r>
    <r>
      <rPr>
        <sz val="10"/>
        <rFont val="宋体"/>
        <family val="3"/>
        <charset val="134"/>
      </rPr>
      <t>投资净收益</t>
    </r>
  </si>
  <si>
    <t>营业利润</t>
  </si>
  <si>
    <r>
      <t xml:space="preserve">    </t>
    </r>
    <r>
      <rPr>
        <sz val="10"/>
        <rFont val="宋体"/>
        <family val="3"/>
        <charset val="134"/>
      </rPr>
      <t>加：营业外收入</t>
    </r>
  </si>
  <si>
    <r>
      <t xml:space="preserve">    </t>
    </r>
    <r>
      <rPr>
        <sz val="10"/>
        <rFont val="宋体"/>
        <family val="3"/>
        <charset val="134"/>
      </rPr>
      <t>减：营业外支出</t>
    </r>
  </si>
  <si>
    <t>利润总额</t>
  </si>
  <si>
    <r>
      <t xml:space="preserve">     </t>
    </r>
    <r>
      <rPr>
        <sz val="10"/>
        <rFont val="宋体"/>
        <family val="3"/>
        <charset val="134"/>
      </rPr>
      <t>减：所得税</t>
    </r>
  </si>
  <si>
    <r>
      <t xml:space="preserve">     </t>
    </r>
    <r>
      <rPr>
        <sz val="10"/>
        <rFont val="宋体"/>
        <family val="3"/>
        <charset val="134"/>
      </rPr>
      <t>减：少数股东损益</t>
    </r>
  </si>
  <si>
    <t>每股收益(EPS)</t>
  </si>
  <si>
    <t>财务指标</t>
  </si>
  <si>
    <t>营业收入增速-同比</t>
  </si>
  <si>
    <t>营业收入增速-环比</t>
  </si>
  <si>
    <t>净利润增速-同比</t>
  </si>
  <si>
    <t>净利润增速-环比</t>
  </si>
  <si>
    <t>期间费用率</t>
  </si>
  <si>
    <t>其中：销售费用率</t>
  </si>
  <si>
    <t>财务费用率</t>
  </si>
  <si>
    <t>所得税率</t>
  </si>
  <si>
    <t>收入单季占比</t>
  </si>
  <si>
    <t>净利润单季占比</t>
  </si>
  <si>
    <t>季度数据（抓取）</t>
  </si>
  <si>
    <t>扩展：预测主要成本和收入项</t>
  </si>
  <si>
    <t>股东权益合计(含少数股东权益)</t>
  </si>
  <si>
    <t>季度数据分析</t>
  </si>
  <si>
    <t>财务指标分析</t>
  </si>
  <si>
    <t>每股指标</t>
  </si>
  <si>
    <t>企业总价值</t>
  </si>
  <si>
    <t>核心企业价值</t>
  </si>
  <si>
    <t>EV/IC</t>
  </si>
  <si>
    <t>EV/EBIT</t>
  </si>
  <si>
    <t>EV/Sales</t>
  </si>
  <si>
    <t>股票市值</t>
  </si>
  <si>
    <t>PB</t>
  </si>
  <si>
    <t>PE</t>
  </si>
  <si>
    <t>P/FCFE</t>
  </si>
  <si>
    <t>ROA</t>
  </si>
  <si>
    <t>收入增长率</t>
  </si>
  <si>
    <t>净利润增长率</t>
  </si>
  <si>
    <t>NOPLAT</t>
  </si>
  <si>
    <t>WACC</t>
  </si>
  <si>
    <t>ROIC/WACC</t>
  </si>
  <si>
    <t>ROE/Ke</t>
  </si>
  <si>
    <t>全部投入资本</t>
  </si>
  <si>
    <t>double check</t>
  </si>
  <si>
    <t>收入</t>
  </si>
  <si>
    <t>EBIT</t>
  </si>
  <si>
    <t>EBITDA</t>
  </si>
  <si>
    <r>
      <t>NOPLAT</t>
    </r>
    <r>
      <rPr>
        <b/>
        <sz val="10"/>
        <rFont val="宋体"/>
        <family val="3"/>
        <charset val="134"/>
      </rPr>
      <t>计算</t>
    </r>
  </si>
  <si>
    <t>FCFF估值关键假设</t>
  </si>
  <si>
    <t>估值阶段</t>
  </si>
  <si>
    <t>年数</t>
  </si>
  <si>
    <t>EBIT Margin</t>
  </si>
  <si>
    <t>—</t>
  </si>
  <si>
    <t xml:space="preserve"> 3</t>
  </si>
  <si>
    <t>趋于稳态</t>
  </si>
  <si>
    <t>溢价项</t>
  </si>
  <si>
    <t>递减</t>
  </si>
  <si>
    <t>FCFF估值过程</t>
  </si>
  <si>
    <t>历史阶段</t>
  </si>
  <si>
    <t>减：现金税</t>
  </si>
  <si>
    <t>折现值</t>
  </si>
  <si>
    <t>FCFF估值结果</t>
  </si>
  <si>
    <t>百万元，元，百万股</t>
  </si>
  <si>
    <t>价值</t>
  </si>
  <si>
    <t>比例</t>
  </si>
  <si>
    <t>终值</t>
  </si>
  <si>
    <t>加：非核心长期投资</t>
  </si>
  <si>
    <t>减：付息债务</t>
  </si>
  <si>
    <t>股权价值</t>
  </si>
  <si>
    <t>总股本</t>
  </si>
  <si>
    <t>每股价值</t>
  </si>
  <si>
    <t>最新每股价值</t>
  </si>
  <si>
    <t>EBIT margin</t>
  </si>
  <si>
    <t>期末投入资本</t>
  </si>
  <si>
    <t>收入增长率YoY变化</t>
  </si>
  <si>
    <t>EBIT margin YoY变化</t>
  </si>
  <si>
    <r>
      <t>ROIC    YoY</t>
    </r>
    <r>
      <rPr>
        <i/>
        <sz val="10"/>
        <rFont val="宋体"/>
        <family val="3"/>
        <charset val="134"/>
      </rPr>
      <t>变化</t>
    </r>
  </si>
  <si>
    <t>敏感性分析</t>
  </si>
  <si>
    <t>永续增长率</t>
  </si>
  <si>
    <t>年份</t>
  </si>
  <si>
    <t>各阶段现值</t>
  </si>
  <si>
    <r>
      <t>DDM</t>
    </r>
    <r>
      <rPr>
        <sz val="12"/>
        <color indexed="9"/>
        <rFont val="黑体"/>
        <family val="3"/>
        <charset val="134"/>
      </rPr>
      <t>估值关键假设</t>
    </r>
  </si>
  <si>
    <r>
      <t>DDM</t>
    </r>
    <r>
      <rPr>
        <sz val="12"/>
        <color indexed="9"/>
        <rFont val="黑体"/>
        <family val="3"/>
        <charset val="134"/>
      </rPr>
      <t>估值</t>
    </r>
  </si>
  <si>
    <t>百万元，元</t>
  </si>
  <si>
    <t>永续阶段</t>
  </si>
  <si>
    <t>百万股</t>
  </si>
  <si>
    <t>现金分红率</t>
  </si>
  <si>
    <t>现金分红</t>
  </si>
  <si>
    <t>敏感性分析一</t>
  </si>
  <si>
    <t>Ke</t>
  </si>
  <si>
    <t>加权资本成本</t>
  </si>
  <si>
    <t>无风险利率</t>
  </si>
  <si>
    <t>申银万国证券研究所</t>
  </si>
  <si>
    <t>无风险利率(自动抓取)</t>
  </si>
  <si>
    <t>无风险利率(手工输入)</t>
  </si>
  <si>
    <t>股票市场溢价</t>
  </si>
  <si>
    <t>股票市场溢价(自动抓取)</t>
  </si>
  <si>
    <t>股票市场溢价(手工输入)</t>
  </si>
  <si>
    <t>Beta :</t>
  </si>
  <si>
    <r>
      <t>Beta(</t>
    </r>
    <r>
      <rPr>
        <sz val="10"/>
        <color indexed="8"/>
        <rFont val="宋体"/>
        <family val="3"/>
        <charset val="134"/>
      </rPr>
      <t>自动抓取</t>
    </r>
    <r>
      <rPr>
        <sz val="10"/>
        <color indexed="8"/>
        <rFont val="Times New Roman"/>
        <family val="1"/>
      </rPr>
      <t>)</t>
    </r>
  </si>
  <si>
    <r>
      <t>Beta(</t>
    </r>
    <r>
      <rPr>
        <sz val="10"/>
        <color indexed="8"/>
        <rFont val="宋体"/>
        <family val="3"/>
        <charset val="134"/>
      </rPr>
      <t>手工输入</t>
    </r>
    <r>
      <rPr>
        <sz val="10"/>
        <color indexed="8"/>
        <rFont val="Times New Roman"/>
        <family val="1"/>
      </rPr>
      <t>)</t>
    </r>
  </si>
  <si>
    <r>
      <t>股权成本</t>
    </r>
    <r>
      <rPr>
        <b/>
        <sz val="10"/>
        <color indexed="8"/>
        <rFont val="Times New Roman"/>
        <family val="1"/>
      </rPr>
      <t>(Ke)</t>
    </r>
  </si>
  <si>
    <r>
      <t>CAPM</t>
    </r>
    <r>
      <rPr>
        <sz val="10"/>
        <rFont val="宋体"/>
        <family val="3"/>
        <charset val="134"/>
      </rPr>
      <t>公式</t>
    </r>
  </si>
  <si>
    <r>
      <t>名义债务成本</t>
    </r>
    <r>
      <rPr>
        <sz val="10"/>
        <color indexed="8"/>
        <rFont val="Times New Roman"/>
        <family val="1"/>
      </rPr>
      <t>(Kd)</t>
    </r>
  </si>
  <si>
    <t>根据历史平均水平预测</t>
  </si>
  <si>
    <t>分析师判断的长期资本结构</t>
  </si>
  <si>
    <r>
      <t>有效税率</t>
    </r>
    <r>
      <rPr>
        <sz val="10"/>
        <color indexed="8"/>
        <rFont val="Times New Roman"/>
        <family val="1"/>
      </rPr>
      <t xml:space="preserve"> </t>
    </r>
  </si>
  <si>
    <t>结合当前税率判断的长期值</t>
  </si>
  <si>
    <t>加权平均</t>
  </si>
  <si>
    <t>辅助判断</t>
  </si>
  <si>
    <r>
      <t>资产</t>
    </r>
    <r>
      <rPr>
        <b/>
        <sz val="12"/>
        <color indexed="9"/>
        <rFont val="Times New Roman"/>
        <family val="1"/>
      </rPr>
      <t>Beta</t>
    </r>
    <r>
      <rPr>
        <b/>
        <sz val="12"/>
        <color indexed="9"/>
        <rFont val="宋体"/>
        <family val="3"/>
        <charset val="134"/>
      </rPr>
      <t>法</t>
    </r>
    <r>
      <rPr>
        <b/>
        <sz val="12"/>
        <color indexed="9"/>
        <rFont val="Times New Roman"/>
        <family val="1"/>
      </rPr>
      <t xml:space="preserve"> </t>
    </r>
  </si>
  <si>
    <r>
      <t>第一步：计算行业平均资产</t>
    </r>
    <r>
      <rPr>
        <b/>
        <sz val="10"/>
        <rFont val="Times New Roman"/>
        <family val="1"/>
      </rPr>
      <t>Beta</t>
    </r>
  </si>
  <si>
    <r>
      <t>可观察</t>
    </r>
    <r>
      <rPr>
        <b/>
        <sz val="10"/>
        <rFont val="Times New Roman"/>
        <family val="1"/>
      </rPr>
      <t xml:space="preserve"> Beta</t>
    </r>
  </si>
  <si>
    <r>
      <t>有效税率</t>
    </r>
    <r>
      <rPr>
        <b/>
        <sz val="10"/>
        <rFont val="Times New Roman"/>
        <family val="1"/>
      </rPr>
      <t>t</t>
    </r>
  </si>
  <si>
    <r>
      <t>资产</t>
    </r>
    <r>
      <rPr>
        <b/>
        <sz val="10"/>
        <rFont val="Times New Roman"/>
        <family val="1"/>
      </rPr>
      <t>Beta</t>
    </r>
  </si>
  <si>
    <t>算术</t>
  </si>
  <si>
    <t>平均</t>
  </si>
  <si>
    <r>
      <t>第二步，计算目标公司的有杠杆</t>
    </r>
    <r>
      <rPr>
        <b/>
        <sz val="10"/>
        <rFont val="Times New Roman"/>
        <family val="1"/>
      </rPr>
      <t>Beta</t>
    </r>
  </si>
  <si>
    <t>目标资产负债率</t>
  </si>
  <si>
    <r>
      <t>有杠杆</t>
    </r>
    <r>
      <rPr>
        <b/>
        <sz val="10"/>
        <rFont val="Times New Roman"/>
        <family val="1"/>
      </rPr>
      <t>Beta</t>
    </r>
  </si>
  <si>
    <t>付息债务</t>
  </si>
  <si>
    <r>
      <t>付息债务</t>
    </r>
    <r>
      <rPr>
        <sz val="10"/>
        <rFont val="Times New Roman"/>
        <family val="1"/>
      </rPr>
      <t>/</t>
    </r>
    <r>
      <rPr>
        <sz val="10"/>
        <rFont val="宋体"/>
        <family val="3"/>
        <charset val="134"/>
      </rPr>
      <t>股票市值</t>
    </r>
  </si>
  <si>
    <t>名义债务成本</t>
  </si>
  <si>
    <r>
      <t>付息债务</t>
    </r>
    <r>
      <rPr>
        <sz val="10"/>
        <rFont val="Times New Roman"/>
        <family val="1"/>
      </rPr>
      <t>/</t>
    </r>
    <r>
      <rPr>
        <sz val="10"/>
        <rFont val="宋体"/>
        <family val="3"/>
        <charset val="134"/>
      </rPr>
      <t>全部投入资本</t>
    </r>
  </si>
  <si>
    <r>
      <t>付息债务</t>
    </r>
    <r>
      <rPr>
        <sz val="10"/>
        <rFont val="Times New Roman"/>
        <family val="1"/>
      </rPr>
      <t>/</t>
    </r>
    <r>
      <rPr>
        <sz val="10"/>
        <rFont val="宋体"/>
        <family val="3"/>
        <charset val="134"/>
      </rPr>
      <t>净资产</t>
    </r>
  </si>
  <si>
    <t>D159</t>
  </si>
  <si>
    <t>D160</t>
  </si>
  <si>
    <t>应收利息</t>
    <phoneticPr fontId="64" type="noConversion"/>
  </si>
  <si>
    <t>D52</t>
    <phoneticPr fontId="64" type="noConversion"/>
  </si>
  <si>
    <t>D56</t>
    <phoneticPr fontId="64" type="noConversion"/>
  </si>
  <si>
    <t>D57</t>
    <phoneticPr fontId="64" type="noConversion"/>
  </si>
  <si>
    <t>D58</t>
    <phoneticPr fontId="64" type="noConversion"/>
  </si>
  <si>
    <t>D90</t>
    <phoneticPr fontId="64" type="noConversion"/>
  </si>
  <si>
    <t>D197</t>
    <phoneticPr fontId="64" type="noConversion"/>
  </si>
  <si>
    <t>应付利息</t>
    <phoneticPr fontId="64" type="noConversion"/>
  </si>
  <si>
    <t>D208</t>
    <phoneticPr fontId="64" type="noConversion"/>
  </si>
  <si>
    <t>D104</t>
    <phoneticPr fontId="64" type="noConversion"/>
  </si>
  <si>
    <t>D105</t>
    <phoneticPr fontId="64" type="noConversion"/>
  </si>
  <si>
    <t>D106</t>
    <phoneticPr fontId="64" type="noConversion"/>
  </si>
  <si>
    <t>D107</t>
    <phoneticPr fontId="64" type="noConversion"/>
  </si>
  <si>
    <t>前一期比率</t>
    <phoneticPr fontId="64" type="noConversion"/>
  </si>
  <si>
    <t>前一期金额</t>
    <phoneticPr fontId="64" type="noConversion"/>
  </si>
  <si>
    <t>三期平均比率</t>
    <phoneticPr fontId="64" type="noConversion"/>
  </si>
  <si>
    <t>三期平均金额</t>
    <phoneticPr fontId="64" type="noConversion"/>
  </si>
  <si>
    <r>
      <t>预测起始年份</t>
    </r>
    <r>
      <rPr>
        <sz val="7.5"/>
        <color indexed="18"/>
        <rFont val="宋体"/>
        <family val="3"/>
        <charset val="134"/>
      </rPr>
      <t xml:space="preserve"> </t>
    </r>
  </si>
  <si>
    <r>
      <t>IF((</t>
    </r>
    <r>
      <rPr>
        <b/>
        <sz val="10"/>
        <rFont val="宋体"/>
        <family val="3"/>
        <charset val="134"/>
      </rPr>
      <t>利润表</t>
    </r>
    <r>
      <rPr>
        <b/>
        <sz val="10"/>
        <rFont val="Times New Roman"/>
        <family val="1"/>
      </rPr>
      <t>!N73-</t>
    </r>
    <r>
      <rPr>
        <b/>
        <sz val="10"/>
        <rFont val="宋体"/>
        <family val="3"/>
        <charset val="134"/>
      </rPr>
      <t>利润表</t>
    </r>
    <r>
      <rPr>
        <b/>
        <sz val="10"/>
        <rFont val="Times New Roman"/>
        <family val="1"/>
      </rPr>
      <t>!N60)&gt;0,N25/(</t>
    </r>
    <r>
      <rPr>
        <b/>
        <sz val="10"/>
        <rFont val="宋体"/>
        <family val="3"/>
        <charset val="134"/>
      </rPr>
      <t>利润表</t>
    </r>
    <r>
      <rPr>
        <b/>
        <sz val="10"/>
        <rFont val="Times New Roman"/>
        <family val="1"/>
      </rPr>
      <t>!N73-</t>
    </r>
    <r>
      <rPr>
        <b/>
        <sz val="10"/>
        <rFont val="宋体"/>
        <family val="3"/>
        <charset val="134"/>
      </rPr>
      <t>利润表</t>
    </r>
    <r>
      <rPr>
        <b/>
        <sz val="10"/>
        <rFont val="Times New Roman"/>
        <family val="1"/>
      </rPr>
      <t>!N60),0)</t>
    </r>
    <phoneticPr fontId="64" type="noConversion"/>
  </si>
  <si>
    <r>
      <rPr>
        <sz val="10"/>
        <rFont val="宋体"/>
        <family val="3"/>
        <charset val="134"/>
      </rPr>
      <t>历史数据，直接从数据库导出的基础数据</t>
    </r>
  </si>
  <si>
    <r>
      <rPr>
        <sz val="10"/>
        <rFont val="宋体"/>
        <family val="3"/>
        <charset val="134"/>
      </rPr>
      <t>历史数据，由基础数据计算或直接链接的数据</t>
    </r>
  </si>
  <si>
    <r>
      <rPr>
        <sz val="10"/>
        <rFont val="宋体"/>
        <family val="3"/>
        <charset val="134"/>
      </rPr>
      <t>历史数据，需要研究员查阅报表手工输入的数据</t>
    </r>
  </si>
  <si>
    <r>
      <rPr>
        <sz val="10"/>
        <rFont val="宋体"/>
        <family val="3"/>
        <charset val="134"/>
      </rPr>
      <t>预测数据，由金融工程部等部门提供</t>
    </r>
  </si>
  <si>
    <r>
      <rPr>
        <sz val="10"/>
        <rFont val="宋体"/>
        <family val="3"/>
        <charset val="134"/>
      </rPr>
      <t>预测数据，由研究员判断后给出的数据</t>
    </r>
  </si>
  <si>
    <r>
      <t>SYWG</t>
    </r>
    <r>
      <rPr>
        <sz val="10"/>
        <color indexed="8"/>
        <rFont val="宋体"/>
        <family val="3"/>
        <charset val="134"/>
      </rPr>
      <t>行业分类</t>
    </r>
    <phoneticPr fontId="64" type="noConversion"/>
  </si>
  <si>
    <r>
      <t>最新总股数</t>
    </r>
    <r>
      <rPr>
        <sz val="10"/>
        <rFont val="Times New Roman"/>
        <family val="1"/>
      </rPr>
      <t>(</t>
    </r>
    <r>
      <rPr>
        <sz val="10"/>
        <rFont val="宋体"/>
        <family val="3"/>
        <charset val="134"/>
      </rPr>
      <t>百万</t>
    </r>
    <r>
      <rPr>
        <sz val="10"/>
        <rFont val="Times New Roman"/>
        <family val="1"/>
      </rPr>
      <t>)</t>
    </r>
    <phoneticPr fontId="21" type="noConversion"/>
  </si>
  <si>
    <r>
      <t>最新流通股</t>
    </r>
    <r>
      <rPr>
        <sz val="10"/>
        <rFont val="Times New Roman"/>
        <family val="1"/>
      </rPr>
      <t>(</t>
    </r>
    <r>
      <rPr>
        <sz val="10"/>
        <rFont val="宋体"/>
        <family val="3"/>
        <charset val="134"/>
      </rPr>
      <t>百万</t>
    </r>
    <r>
      <rPr>
        <sz val="10"/>
        <rFont val="Times New Roman"/>
        <family val="1"/>
      </rPr>
      <t>)</t>
    </r>
    <phoneticPr fontId="64" type="noConversion"/>
  </si>
  <si>
    <r>
      <t>52</t>
    </r>
    <r>
      <rPr>
        <sz val="10"/>
        <rFont val="宋体"/>
        <family val="3"/>
        <charset val="134"/>
      </rPr>
      <t>周最低</t>
    </r>
    <r>
      <rPr>
        <b/>
        <sz val="10"/>
        <rFont val="Times New Roman"/>
        <family val="1"/>
      </rPr>
      <t>/</t>
    </r>
    <r>
      <rPr>
        <sz val="10"/>
        <rFont val="宋体"/>
        <family val="3"/>
        <charset val="134"/>
      </rPr>
      <t>最高价</t>
    </r>
    <phoneticPr fontId="64" type="noConversion"/>
  </si>
  <si>
    <r>
      <t>SYWG</t>
    </r>
    <r>
      <rPr>
        <sz val="10"/>
        <color indexed="8"/>
        <rFont val="宋体"/>
        <family val="3"/>
        <charset val="134"/>
      </rPr>
      <t>行业代码</t>
    </r>
    <phoneticPr fontId="64" type="noConversion"/>
  </si>
  <si>
    <r>
      <t>总市值</t>
    </r>
    <r>
      <rPr>
        <sz val="10"/>
        <rFont val="Times New Roman"/>
        <family val="1"/>
      </rPr>
      <t>(</t>
    </r>
    <r>
      <rPr>
        <sz val="10"/>
        <rFont val="宋体"/>
        <family val="3"/>
        <charset val="134"/>
      </rPr>
      <t>百万元</t>
    </r>
    <r>
      <rPr>
        <sz val="10"/>
        <rFont val="Times New Roman"/>
        <family val="1"/>
      </rPr>
      <t>)</t>
    </r>
    <phoneticPr fontId="64" type="noConversion"/>
  </si>
  <si>
    <r>
      <t>流通市值</t>
    </r>
    <r>
      <rPr>
        <sz val="10"/>
        <rFont val="Times New Roman"/>
        <family val="1"/>
      </rPr>
      <t>(</t>
    </r>
    <r>
      <rPr>
        <sz val="10"/>
        <rFont val="宋体"/>
        <family val="3"/>
        <charset val="134"/>
      </rPr>
      <t>百万元</t>
    </r>
    <r>
      <rPr>
        <sz val="10"/>
        <rFont val="Times New Roman"/>
        <family val="1"/>
      </rPr>
      <t>)</t>
    </r>
    <phoneticPr fontId="64" type="noConversion"/>
  </si>
  <si>
    <r>
      <t>股票面值（元</t>
    </r>
    <r>
      <rPr>
        <sz val="10"/>
        <rFont val="Times New Roman"/>
        <family val="1"/>
      </rPr>
      <t>/</t>
    </r>
    <r>
      <rPr>
        <sz val="10"/>
        <rFont val="宋体"/>
        <family val="3"/>
        <charset val="134"/>
      </rPr>
      <t>股）</t>
    </r>
    <phoneticPr fontId="64" type="noConversion"/>
  </si>
  <si>
    <r>
      <t xml:space="preserve">ROIC </t>
    </r>
    <r>
      <rPr>
        <b/>
        <sz val="10"/>
        <rFont val="宋体"/>
        <family val="3"/>
        <charset val="134"/>
      </rPr>
      <t>分析</t>
    </r>
    <phoneticPr fontId="21" type="noConversion"/>
  </si>
  <si>
    <r>
      <t xml:space="preserve">ROE </t>
    </r>
    <r>
      <rPr>
        <b/>
        <sz val="10"/>
        <rFont val="宋体"/>
        <family val="3"/>
        <charset val="134"/>
      </rPr>
      <t>分析</t>
    </r>
    <phoneticPr fontId="21" type="noConversion"/>
  </si>
  <si>
    <r>
      <rPr>
        <sz val="10"/>
        <rFont val="宋体"/>
        <family val="3"/>
        <charset val="134"/>
      </rPr>
      <t>每股收益</t>
    </r>
  </si>
  <si>
    <r>
      <rPr>
        <sz val="10"/>
        <rFont val="宋体"/>
        <family val="3"/>
        <charset val="134"/>
      </rPr>
      <t>每股经营现金流</t>
    </r>
  </si>
  <si>
    <r>
      <rPr>
        <sz val="10"/>
        <rFont val="宋体"/>
        <family val="3"/>
        <charset val="134"/>
      </rPr>
      <t>每股红利</t>
    </r>
  </si>
  <si>
    <r>
      <rPr>
        <sz val="10"/>
        <rFont val="宋体"/>
        <family val="3"/>
        <charset val="134"/>
      </rPr>
      <t>每股净资产</t>
    </r>
  </si>
  <si>
    <r>
      <rPr>
        <b/>
        <sz val="10"/>
        <rFont val="宋体"/>
        <family val="3"/>
        <charset val="134"/>
      </rPr>
      <t>市场估值指标</t>
    </r>
    <phoneticPr fontId="21" type="noConversion"/>
  </si>
  <si>
    <r>
      <rPr>
        <sz val="10"/>
        <rFont val="宋体"/>
        <family val="3"/>
        <charset val="134"/>
      </rPr>
      <t>核心</t>
    </r>
    <r>
      <rPr>
        <sz val="10"/>
        <rFont val="Arial"/>
        <family val="2"/>
      </rPr>
      <t>EV/IC</t>
    </r>
  </si>
  <si>
    <r>
      <rPr>
        <sz val="10"/>
        <rFont val="宋体"/>
        <family val="3"/>
        <charset val="134"/>
      </rPr>
      <t>核心</t>
    </r>
    <r>
      <rPr>
        <sz val="10"/>
        <rFont val="Arial"/>
        <family val="2"/>
      </rPr>
      <t>EV/EBITDA</t>
    </r>
  </si>
  <si>
    <r>
      <rPr>
        <sz val="10"/>
        <rFont val="宋体"/>
        <family val="3"/>
        <charset val="134"/>
      </rPr>
      <t>核心</t>
    </r>
    <r>
      <rPr>
        <sz val="10"/>
        <rFont val="Arial"/>
        <family val="2"/>
      </rPr>
      <t>EV/EBIT</t>
    </r>
  </si>
  <si>
    <r>
      <rPr>
        <sz val="10"/>
        <rFont val="宋体"/>
        <family val="3"/>
        <charset val="134"/>
      </rPr>
      <t>核心</t>
    </r>
    <r>
      <rPr>
        <sz val="10"/>
        <rFont val="Arial"/>
        <family val="2"/>
      </rPr>
      <t>EV/Sales</t>
    </r>
  </si>
  <si>
    <r>
      <rPr>
        <sz val="10"/>
        <rFont val="宋体"/>
        <family val="3"/>
        <charset val="134"/>
      </rPr>
      <t>相对经济利润</t>
    </r>
    <r>
      <rPr>
        <sz val="10"/>
        <rFont val="Arial"/>
        <family val="2"/>
      </rPr>
      <t>(REP)</t>
    </r>
  </si>
  <si>
    <r>
      <rPr>
        <b/>
        <sz val="10"/>
        <rFont val="宋体"/>
        <family val="3"/>
        <charset val="134"/>
      </rPr>
      <t>股票市值</t>
    </r>
    <phoneticPr fontId="21" type="noConversion"/>
  </si>
  <si>
    <r>
      <rPr>
        <b/>
        <sz val="10"/>
        <rFont val="宋体"/>
        <family val="3"/>
        <charset val="134"/>
      </rPr>
      <t>盈利能力</t>
    </r>
    <phoneticPr fontId="21" type="noConversion"/>
  </si>
  <si>
    <r>
      <rPr>
        <sz val="10"/>
        <rFont val="宋体"/>
        <family val="3"/>
        <charset val="134"/>
      </rPr>
      <t>毛利率</t>
    </r>
  </si>
  <si>
    <r>
      <t xml:space="preserve">EBIT </t>
    </r>
    <r>
      <rPr>
        <sz val="10"/>
        <rFont val="宋体"/>
        <family val="3"/>
        <charset val="134"/>
      </rPr>
      <t>率</t>
    </r>
  </si>
  <si>
    <r>
      <t>EBITDA</t>
    </r>
    <r>
      <rPr>
        <sz val="10"/>
        <rFont val="宋体"/>
        <family val="3"/>
        <charset val="134"/>
      </rPr>
      <t>率</t>
    </r>
  </si>
  <si>
    <r>
      <rPr>
        <sz val="10"/>
        <rFont val="宋体"/>
        <family val="3"/>
        <charset val="134"/>
      </rPr>
      <t>净利润率</t>
    </r>
  </si>
  <si>
    <r>
      <rPr>
        <b/>
        <sz val="10"/>
        <rFont val="宋体"/>
        <family val="3"/>
        <charset val="134"/>
      </rPr>
      <t>成长性</t>
    </r>
    <phoneticPr fontId="21" type="noConversion"/>
  </si>
  <si>
    <r>
      <rPr>
        <sz val="10"/>
        <rFont val="宋体"/>
        <family val="3"/>
        <charset val="134"/>
      </rPr>
      <t>收入增长率</t>
    </r>
  </si>
  <si>
    <r>
      <t>EBIT</t>
    </r>
    <r>
      <rPr>
        <sz val="10"/>
        <rFont val="宋体"/>
        <family val="3"/>
        <charset val="134"/>
      </rPr>
      <t>增长率</t>
    </r>
  </si>
  <si>
    <r>
      <t>EBITDA</t>
    </r>
    <r>
      <rPr>
        <sz val="10"/>
        <rFont val="宋体"/>
        <family val="3"/>
        <charset val="134"/>
      </rPr>
      <t>增长率</t>
    </r>
  </si>
  <si>
    <r>
      <rPr>
        <b/>
        <sz val="10"/>
        <rFont val="宋体"/>
        <family val="3"/>
        <charset val="134"/>
      </rPr>
      <t>信用分析</t>
    </r>
    <phoneticPr fontId="21" type="noConversion"/>
  </si>
  <si>
    <r>
      <rPr>
        <sz val="10"/>
        <rFont val="宋体"/>
        <family val="3"/>
        <charset val="134"/>
      </rPr>
      <t>流动比率</t>
    </r>
  </si>
  <si>
    <r>
      <rPr>
        <sz val="10"/>
        <rFont val="宋体"/>
        <family val="3"/>
        <charset val="134"/>
      </rPr>
      <t>速动比率</t>
    </r>
  </si>
  <si>
    <r>
      <rPr>
        <sz val="10"/>
        <rFont val="宋体"/>
        <family val="3"/>
        <charset val="134"/>
      </rPr>
      <t>资产负债率</t>
    </r>
  </si>
  <si>
    <r>
      <rPr>
        <sz val="10"/>
        <rFont val="宋体"/>
        <family val="3"/>
        <charset val="134"/>
      </rPr>
      <t>利息覆盖倍数</t>
    </r>
  </si>
  <si>
    <r>
      <rPr>
        <b/>
        <sz val="10"/>
        <rFont val="宋体"/>
        <family val="3"/>
        <charset val="134"/>
      </rPr>
      <t>经营效率</t>
    </r>
    <phoneticPr fontId="21" type="noConversion"/>
  </si>
  <si>
    <r>
      <rPr>
        <sz val="10"/>
        <rFont val="宋体"/>
        <family val="3"/>
        <charset val="134"/>
      </rPr>
      <t>应收账款周转率</t>
    </r>
  </si>
  <si>
    <r>
      <rPr>
        <sz val="10"/>
        <rFont val="宋体"/>
        <family val="3"/>
        <charset val="134"/>
      </rPr>
      <t>存货周转率</t>
    </r>
  </si>
  <si>
    <r>
      <rPr>
        <sz val="10"/>
        <rFont val="宋体"/>
        <family val="3"/>
        <charset val="134"/>
      </rPr>
      <t>应付账款周转率</t>
    </r>
  </si>
  <si>
    <r>
      <rPr>
        <sz val="10"/>
        <rFont val="宋体"/>
        <family val="3"/>
        <charset val="134"/>
      </rPr>
      <t>固定资产周转率</t>
    </r>
  </si>
  <si>
    <r>
      <rPr>
        <sz val="10"/>
        <rFont val="宋体"/>
        <family val="3"/>
        <charset val="134"/>
      </rPr>
      <t>净资产周转率</t>
    </r>
  </si>
  <si>
    <r>
      <rPr>
        <sz val="10"/>
        <rFont val="宋体"/>
        <family val="3"/>
        <charset val="134"/>
      </rPr>
      <t>总资产周转率</t>
    </r>
  </si>
  <si>
    <r>
      <rPr>
        <sz val="12"/>
        <color indexed="9"/>
        <rFont val="黑体"/>
        <family val="3"/>
        <charset val="134"/>
      </rPr>
      <t>价值创造分析</t>
    </r>
  </si>
  <si>
    <r>
      <rPr>
        <b/>
        <sz val="10"/>
        <rFont val="宋体"/>
        <family val="3"/>
        <charset val="134"/>
      </rPr>
      <t>经济利润分析</t>
    </r>
    <phoneticPr fontId="21" type="noConversion"/>
  </si>
  <si>
    <r>
      <rPr>
        <sz val="10"/>
        <rFont val="宋体"/>
        <family val="3"/>
        <charset val="134"/>
      </rPr>
      <t>期末核心投入资本</t>
    </r>
  </si>
  <si>
    <r>
      <rPr>
        <sz val="10"/>
        <rFont val="宋体"/>
        <family val="3"/>
        <charset val="134"/>
      </rPr>
      <t>平均核心投入资本</t>
    </r>
  </si>
  <si>
    <r>
      <rPr>
        <sz val="10"/>
        <rFont val="宋体"/>
        <family val="3"/>
        <charset val="134"/>
      </rPr>
      <t>经济利润</t>
    </r>
  </si>
  <si>
    <r>
      <rPr>
        <sz val="10"/>
        <rFont val="宋体"/>
        <family val="3"/>
        <charset val="134"/>
      </rPr>
      <t>投入资本周转率</t>
    </r>
  </si>
  <si>
    <r>
      <rPr>
        <sz val="10"/>
        <rFont val="宋体"/>
        <family val="3"/>
        <charset val="134"/>
      </rPr>
      <t>投入资本增长率</t>
    </r>
  </si>
  <si>
    <r>
      <t xml:space="preserve">NOPLAT </t>
    </r>
    <r>
      <rPr>
        <sz val="10"/>
        <rFont val="宋体"/>
        <family val="3"/>
        <charset val="134"/>
      </rPr>
      <t>利润率</t>
    </r>
  </si>
  <si>
    <r>
      <t>EBIT</t>
    </r>
    <r>
      <rPr>
        <sz val="10"/>
        <rFont val="宋体"/>
        <family val="3"/>
        <charset val="134"/>
      </rPr>
      <t>率</t>
    </r>
  </si>
  <si>
    <r>
      <rPr>
        <sz val="10"/>
        <rFont val="宋体"/>
        <family val="3"/>
        <charset val="134"/>
      </rPr>
      <t>有效税率</t>
    </r>
  </si>
  <si>
    <r>
      <rPr>
        <sz val="10"/>
        <rFont val="宋体"/>
        <family val="3"/>
        <charset val="134"/>
      </rPr>
      <t>净资产</t>
    </r>
  </si>
  <si>
    <r>
      <rPr>
        <sz val="10"/>
        <rFont val="宋体"/>
        <family val="3"/>
        <charset val="134"/>
      </rPr>
      <t>净利润</t>
    </r>
  </si>
  <si>
    <r>
      <rPr>
        <sz val="10"/>
        <rFont val="宋体"/>
        <family val="3"/>
        <charset val="134"/>
      </rPr>
      <t>权益乘数</t>
    </r>
  </si>
  <si>
    <r>
      <rPr>
        <sz val="12"/>
        <color indexed="9"/>
        <rFont val="黑体"/>
        <family val="3"/>
        <charset val="134"/>
      </rPr>
      <t>调整资产负债表</t>
    </r>
    <r>
      <rPr>
        <sz val="12"/>
        <color indexed="9"/>
        <rFont val="Arial"/>
        <family val="2"/>
      </rPr>
      <t>(</t>
    </r>
    <r>
      <rPr>
        <sz val="12"/>
        <color indexed="9"/>
        <rFont val="黑体"/>
        <family val="3"/>
        <charset val="134"/>
      </rPr>
      <t>投入资本分析</t>
    </r>
    <r>
      <rPr>
        <sz val="12"/>
        <color indexed="9"/>
        <rFont val="Arial"/>
        <family val="2"/>
      </rPr>
      <t>)</t>
    </r>
  </si>
  <si>
    <r>
      <rPr>
        <b/>
        <sz val="10"/>
        <rFont val="宋体"/>
        <family val="3"/>
        <charset val="134"/>
      </rPr>
      <t>投入资本</t>
    </r>
    <r>
      <rPr>
        <b/>
        <sz val="10"/>
        <rFont val="Arial"/>
        <family val="2"/>
      </rPr>
      <t>---</t>
    </r>
    <r>
      <rPr>
        <b/>
        <sz val="10"/>
        <rFont val="宋体"/>
        <family val="3"/>
        <charset val="134"/>
      </rPr>
      <t>资产</t>
    </r>
    <phoneticPr fontId="21" type="noConversion"/>
  </si>
  <si>
    <r>
      <rPr>
        <sz val="10"/>
        <rFont val="宋体"/>
        <family val="3"/>
        <charset val="134"/>
      </rPr>
      <t>非现金流动资产</t>
    </r>
  </si>
  <si>
    <r>
      <rPr>
        <sz val="10"/>
        <rFont val="宋体"/>
        <family val="3"/>
        <charset val="134"/>
      </rPr>
      <t>经营性应收款项</t>
    </r>
  </si>
  <si>
    <r>
      <rPr>
        <sz val="10"/>
        <rFont val="宋体"/>
        <family val="3"/>
        <charset val="134"/>
      </rPr>
      <t>应收股利</t>
    </r>
  </si>
  <si>
    <r>
      <rPr>
        <sz val="10"/>
        <rFont val="宋体"/>
        <family val="3"/>
        <charset val="134"/>
      </rPr>
      <t>存货净额</t>
    </r>
  </si>
  <si>
    <r>
      <rPr>
        <sz val="10"/>
        <rFont val="宋体"/>
        <family val="3"/>
        <charset val="134"/>
      </rPr>
      <t>其他流动资产</t>
    </r>
  </si>
  <si>
    <r>
      <rPr>
        <sz val="10"/>
        <rFont val="宋体"/>
        <family val="3"/>
        <charset val="134"/>
      </rPr>
      <t>无息流动负债</t>
    </r>
  </si>
  <si>
    <r>
      <rPr>
        <sz val="10"/>
        <rFont val="宋体"/>
        <family val="3"/>
        <charset val="134"/>
      </rPr>
      <t>经营性应付款项</t>
    </r>
    <r>
      <rPr>
        <sz val="10"/>
        <rFont val="Arial"/>
        <family val="2"/>
      </rPr>
      <t xml:space="preserve"> </t>
    </r>
  </si>
  <si>
    <r>
      <rPr>
        <sz val="10"/>
        <rFont val="宋体"/>
        <family val="3"/>
        <charset val="134"/>
      </rPr>
      <t>应付股利</t>
    </r>
  </si>
  <si>
    <r>
      <rPr>
        <sz val="10"/>
        <rFont val="宋体"/>
        <family val="3"/>
        <charset val="134"/>
      </rPr>
      <t>非现金营运资本</t>
    </r>
  </si>
  <si>
    <r>
      <rPr>
        <sz val="10"/>
        <rFont val="宋体"/>
        <family val="3"/>
        <charset val="134"/>
      </rPr>
      <t>长期资本</t>
    </r>
  </si>
  <si>
    <r>
      <rPr>
        <sz val="10"/>
        <rFont val="宋体"/>
        <family val="3"/>
        <charset val="134"/>
      </rPr>
      <t>固定资产合计</t>
    </r>
  </si>
  <si>
    <r>
      <rPr>
        <sz val="10"/>
        <rFont val="宋体"/>
        <family val="3"/>
        <charset val="134"/>
      </rPr>
      <t>无形资产及其他长期资产</t>
    </r>
  </si>
  <si>
    <t>长期投资合计</t>
    <phoneticPr fontId="21" type="noConversion"/>
  </si>
  <si>
    <r>
      <rPr>
        <sz val="10"/>
        <rFont val="宋体"/>
        <family val="3"/>
        <charset val="134"/>
      </rPr>
      <t>其中：核心长期投资</t>
    </r>
  </si>
  <si>
    <r>
      <rPr>
        <sz val="10"/>
        <rFont val="宋体"/>
        <family val="3"/>
        <charset val="134"/>
      </rPr>
      <t>非核心长期投资</t>
    </r>
  </si>
  <si>
    <r>
      <rPr>
        <sz val="10"/>
        <rFont val="宋体"/>
        <family val="3"/>
        <charset val="134"/>
      </rPr>
      <t>全部投入资本</t>
    </r>
  </si>
  <si>
    <r>
      <rPr>
        <sz val="10"/>
        <rFont val="宋体"/>
        <family val="3"/>
        <charset val="134"/>
      </rPr>
      <t>减：非核心长期投资</t>
    </r>
  </si>
  <si>
    <r>
      <rPr>
        <sz val="10"/>
        <rFont val="宋体"/>
        <family val="3"/>
        <charset val="134"/>
      </rPr>
      <t>核心投入资本</t>
    </r>
  </si>
  <si>
    <r>
      <rPr>
        <b/>
        <sz val="10"/>
        <rFont val="宋体"/>
        <family val="3"/>
        <charset val="134"/>
      </rPr>
      <t>投入资本</t>
    </r>
    <r>
      <rPr>
        <b/>
        <sz val="10"/>
        <rFont val="Arial"/>
        <family val="2"/>
      </rPr>
      <t>----</t>
    </r>
    <r>
      <rPr>
        <b/>
        <sz val="10"/>
        <rFont val="宋体"/>
        <family val="3"/>
        <charset val="134"/>
      </rPr>
      <t>融资</t>
    </r>
    <phoneticPr fontId="21" type="noConversion"/>
  </si>
  <si>
    <r>
      <rPr>
        <sz val="10"/>
        <rFont val="宋体"/>
        <family val="3"/>
        <charset val="134"/>
      </rPr>
      <t>债务融资</t>
    </r>
  </si>
  <si>
    <r>
      <rPr>
        <sz val="10"/>
        <rFont val="宋体"/>
        <family val="3"/>
        <charset val="134"/>
      </rPr>
      <t>短期借款</t>
    </r>
    <r>
      <rPr>
        <sz val="10"/>
        <rFont val="Arial"/>
        <family val="2"/>
      </rPr>
      <t xml:space="preserve"> </t>
    </r>
  </si>
  <si>
    <r>
      <rPr>
        <sz val="10"/>
        <rFont val="宋体"/>
        <family val="3"/>
        <charset val="134"/>
      </rPr>
      <t>长期借款</t>
    </r>
    <r>
      <rPr>
        <sz val="10"/>
        <rFont val="Arial"/>
        <family val="2"/>
      </rPr>
      <t xml:space="preserve"> </t>
    </r>
  </si>
  <si>
    <r>
      <rPr>
        <sz val="10"/>
        <rFont val="宋体"/>
        <family val="3"/>
        <charset val="134"/>
      </rPr>
      <t>应付债券</t>
    </r>
  </si>
  <si>
    <r>
      <rPr>
        <sz val="10"/>
        <rFont val="宋体"/>
        <family val="3"/>
        <charset val="134"/>
      </rPr>
      <t>股权融资</t>
    </r>
  </si>
  <si>
    <r>
      <rPr>
        <sz val="10"/>
        <rFont val="宋体"/>
        <family val="3"/>
        <charset val="134"/>
      </rPr>
      <t>少数股东权益</t>
    </r>
    <r>
      <rPr>
        <sz val="10"/>
        <rFont val="Arial"/>
        <family val="2"/>
      </rPr>
      <t xml:space="preserve"> </t>
    </r>
  </si>
  <si>
    <r>
      <rPr>
        <sz val="10"/>
        <rFont val="宋体"/>
        <family val="3"/>
        <charset val="134"/>
      </rPr>
      <t>股本</t>
    </r>
    <r>
      <rPr>
        <sz val="10"/>
        <rFont val="Arial"/>
        <family val="2"/>
      </rPr>
      <t xml:space="preserve"> </t>
    </r>
  </si>
  <si>
    <r>
      <rPr>
        <sz val="10"/>
        <rFont val="宋体"/>
        <family val="3"/>
        <charset val="134"/>
      </rPr>
      <t>资本公积</t>
    </r>
  </si>
  <si>
    <r>
      <rPr>
        <sz val="10"/>
        <rFont val="宋体"/>
        <family val="3"/>
        <charset val="134"/>
      </rPr>
      <t>盈余公积</t>
    </r>
  </si>
  <si>
    <r>
      <rPr>
        <sz val="10"/>
        <rFont val="宋体"/>
        <family val="3"/>
        <charset val="134"/>
      </rPr>
      <t>未分配利润</t>
    </r>
  </si>
  <si>
    <r>
      <rPr>
        <sz val="10"/>
        <rFont val="宋体"/>
        <family val="3"/>
        <charset val="134"/>
      </rPr>
      <t>全部融资</t>
    </r>
  </si>
  <si>
    <r>
      <rPr>
        <sz val="10"/>
        <rFont val="宋体"/>
        <family val="3"/>
        <charset val="134"/>
      </rPr>
      <t>减：货币资金</t>
    </r>
  </si>
  <si>
    <t>交易性金融工具净值</t>
    <phoneticPr fontId="21" type="noConversion"/>
  </si>
  <si>
    <r>
      <t>CAPEX</t>
    </r>
    <r>
      <rPr>
        <b/>
        <sz val="10"/>
        <rFont val="宋体"/>
        <family val="3"/>
        <charset val="134"/>
      </rPr>
      <t>分析</t>
    </r>
    <phoneticPr fontId="21" type="noConversion"/>
  </si>
  <si>
    <r>
      <rPr>
        <sz val="10"/>
        <rFont val="宋体"/>
        <family val="3"/>
        <charset val="134"/>
      </rPr>
      <t>固定资产净投资</t>
    </r>
  </si>
  <si>
    <r>
      <rPr>
        <sz val="10"/>
        <rFont val="宋体"/>
        <family val="3"/>
        <charset val="134"/>
      </rPr>
      <t>长期投资净投资</t>
    </r>
  </si>
  <si>
    <r>
      <rPr>
        <sz val="10"/>
        <rFont val="宋体"/>
        <family val="3"/>
        <charset val="134"/>
      </rPr>
      <t>核心长期投资净投资</t>
    </r>
  </si>
  <si>
    <r>
      <rPr>
        <sz val="10"/>
        <rFont val="宋体"/>
        <family val="3"/>
        <charset val="134"/>
      </rPr>
      <t>非核心长期投资净投资</t>
    </r>
  </si>
  <si>
    <r>
      <rPr>
        <sz val="10"/>
        <rFont val="宋体"/>
        <family val="3"/>
        <charset val="134"/>
      </rPr>
      <t>净投资</t>
    </r>
  </si>
  <si>
    <r>
      <rPr>
        <sz val="10"/>
        <rFont val="宋体"/>
        <family val="3"/>
        <charset val="134"/>
      </rPr>
      <t>营运资本投资</t>
    </r>
  </si>
  <si>
    <r>
      <rPr>
        <sz val="10"/>
        <rFont val="宋体"/>
        <family val="3"/>
        <charset val="134"/>
      </rPr>
      <t>减：非核心长期投资净投资</t>
    </r>
  </si>
  <si>
    <r>
      <rPr>
        <sz val="10"/>
        <rFont val="宋体"/>
        <family val="3"/>
        <charset val="134"/>
      </rPr>
      <t>核心净投资</t>
    </r>
  </si>
  <si>
    <r>
      <rPr>
        <sz val="10"/>
        <rFont val="宋体"/>
        <family val="3"/>
        <charset val="134"/>
      </rPr>
      <t>加：折旧摊销</t>
    </r>
  </si>
  <si>
    <r>
      <rPr>
        <sz val="10"/>
        <rFont val="宋体"/>
        <family val="3"/>
        <charset val="134"/>
      </rPr>
      <t>核心总投资</t>
    </r>
  </si>
  <si>
    <r>
      <rPr>
        <sz val="10"/>
        <rFont val="宋体"/>
        <family val="3"/>
        <charset val="134"/>
      </rPr>
      <t>净投资率</t>
    </r>
  </si>
  <si>
    <r>
      <rPr>
        <sz val="10"/>
        <rFont val="宋体"/>
        <family val="3"/>
        <charset val="134"/>
      </rPr>
      <t>总投资率</t>
    </r>
  </si>
  <si>
    <r>
      <rPr>
        <sz val="12"/>
        <color indexed="9"/>
        <rFont val="黑体"/>
        <family val="3"/>
        <charset val="134"/>
      </rPr>
      <t>调整利润表</t>
    </r>
    <r>
      <rPr>
        <sz val="12"/>
        <color indexed="9"/>
        <rFont val="Arial"/>
        <family val="2"/>
      </rPr>
      <t>(NOPLAT</t>
    </r>
    <r>
      <rPr>
        <sz val="12"/>
        <color indexed="9"/>
        <rFont val="黑体"/>
        <family val="3"/>
        <charset val="134"/>
      </rPr>
      <t>分析</t>
    </r>
    <r>
      <rPr>
        <sz val="12"/>
        <color indexed="9"/>
        <rFont val="Arial"/>
        <family val="2"/>
      </rPr>
      <t>)</t>
    </r>
  </si>
  <si>
    <r>
      <rPr>
        <sz val="10"/>
        <rFont val="宋体"/>
        <family val="3"/>
        <charset val="134"/>
      </rPr>
      <t>营业成本</t>
    </r>
  </si>
  <si>
    <r>
      <rPr>
        <sz val="10"/>
        <rFont val="宋体"/>
        <family val="3"/>
        <charset val="134"/>
      </rPr>
      <t>销售费用</t>
    </r>
  </si>
  <si>
    <r>
      <rPr>
        <sz val="10"/>
        <rFont val="宋体"/>
        <family val="3"/>
        <charset val="134"/>
      </rPr>
      <t>管理费用</t>
    </r>
  </si>
  <si>
    <r>
      <rPr>
        <sz val="10"/>
        <rFont val="宋体"/>
        <family val="3"/>
        <charset val="134"/>
      </rPr>
      <t>资产减值损失</t>
    </r>
  </si>
  <si>
    <r>
      <rPr>
        <sz val="10"/>
        <rFont val="宋体"/>
        <family val="3"/>
        <charset val="134"/>
      </rPr>
      <t>利息支出</t>
    </r>
    <r>
      <rPr>
        <sz val="10"/>
        <rFont val="Arial"/>
        <family val="2"/>
      </rPr>
      <t>(</t>
    </r>
    <r>
      <rPr>
        <sz val="10"/>
        <rFont val="宋体"/>
        <family val="3"/>
        <charset val="134"/>
      </rPr>
      <t>财务费用</t>
    </r>
    <r>
      <rPr>
        <sz val="10"/>
        <rFont val="Arial"/>
        <family val="2"/>
      </rPr>
      <t>)</t>
    </r>
  </si>
  <si>
    <r>
      <rPr>
        <sz val="10"/>
        <rFont val="宋体"/>
        <family val="3"/>
        <charset val="134"/>
      </rPr>
      <t>折旧摊销</t>
    </r>
  </si>
  <si>
    <r>
      <rPr>
        <sz val="10"/>
        <rFont val="宋体"/>
        <family val="3"/>
        <charset val="134"/>
      </rPr>
      <t>公允价值变动损益</t>
    </r>
  </si>
  <si>
    <r>
      <rPr>
        <sz val="10"/>
        <rFont val="宋体"/>
        <family val="3"/>
        <charset val="134"/>
      </rPr>
      <t>投资收益及其他</t>
    </r>
  </si>
  <si>
    <r>
      <rPr>
        <sz val="10"/>
        <rFont val="宋体"/>
        <family val="3"/>
        <charset val="134"/>
      </rPr>
      <t>税前利润</t>
    </r>
  </si>
  <si>
    <r>
      <rPr>
        <sz val="10"/>
        <rFont val="宋体"/>
        <family val="3"/>
        <charset val="134"/>
      </rPr>
      <t>所得税</t>
    </r>
  </si>
  <si>
    <r>
      <rPr>
        <sz val="10"/>
        <rFont val="宋体"/>
        <family val="3"/>
        <charset val="134"/>
      </rPr>
      <t>少数股东损益</t>
    </r>
  </si>
  <si>
    <r>
      <rPr>
        <sz val="10"/>
        <rFont val="宋体"/>
        <family val="3"/>
        <charset val="134"/>
      </rPr>
      <t>递延所得税项目净变动</t>
    </r>
  </si>
  <si>
    <r>
      <t>EBIT</t>
    </r>
    <r>
      <rPr>
        <sz val="10"/>
        <rFont val="宋体"/>
        <family val="3"/>
        <charset val="134"/>
      </rPr>
      <t>赋税</t>
    </r>
    <phoneticPr fontId="21" type="noConversion"/>
  </si>
  <si>
    <t>N52</t>
    <phoneticPr fontId="21" type="noConversion"/>
  </si>
  <si>
    <t>N53</t>
    <phoneticPr fontId="21" type="noConversion"/>
  </si>
  <si>
    <t>利润表!N33/N55</t>
    <phoneticPr fontId="21" type="noConversion"/>
  </si>
  <si>
    <t>利润表!N33/N54</t>
    <phoneticPr fontId="21" type="noConversion"/>
  </si>
  <si>
    <t>N54</t>
    <phoneticPr fontId="21" type="noConversion"/>
  </si>
  <si>
    <t>N56</t>
    <phoneticPr fontId="21" type="noConversion"/>
  </si>
  <si>
    <t>N57</t>
    <phoneticPr fontId="21" type="noConversion"/>
  </si>
  <si>
    <t>N104</t>
    <phoneticPr fontId="21" type="noConversion"/>
  </si>
  <si>
    <t>N105</t>
    <phoneticPr fontId="21" type="noConversion"/>
  </si>
  <si>
    <t>N106</t>
    <phoneticPr fontId="21" type="noConversion"/>
  </si>
  <si>
    <t>N107</t>
    <phoneticPr fontId="21" type="noConversion"/>
  </si>
  <si>
    <r>
      <rPr>
        <sz val="10"/>
        <rFont val="宋体"/>
        <family val="3"/>
        <charset val="134"/>
      </rPr>
      <t>营业收入</t>
    </r>
  </si>
  <si>
    <r>
      <rPr>
        <sz val="10"/>
        <rFont val="宋体"/>
        <family val="3"/>
        <charset val="134"/>
      </rPr>
      <t>收入</t>
    </r>
    <r>
      <rPr>
        <sz val="10"/>
        <rFont val="Arial"/>
        <family val="2"/>
      </rPr>
      <t>YoY</t>
    </r>
  </si>
  <si>
    <t>营业成本</t>
    <phoneticPr fontId="21" type="noConversion"/>
  </si>
  <si>
    <r>
      <rPr>
        <sz val="10"/>
        <rFont val="宋体"/>
        <family val="3"/>
        <charset val="134"/>
      </rPr>
      <t>营业毛利率</t>
    </r>
  </si>
  <si>
    <t>营业税金及附加</t>
    <phoneticPr fontId="21" type="noConversion"/>
  </si>
  <si>
    <r>
      <rPr>
        <sz val="10"/>
        <rFont val="宋体"/>
        <family val="3"/>
        <charset val="134"/>
      </rPr>
      <t>主营业务税金及附加比率</t>
    </r>
  </si>
  <si>
    <t>销售费用</t>
    <phoneticPr fontId="21" type="noConversion"/>
  </si>
  <si>
    <r>
      <rPr>
        <sz val="10"/>
        <rFont val="宋体"/>
        <family val="3"/>
        <charset val="134"/>
      </rPr>
      <t>营业费用率</t>
    </r>
  </si>
  <si>
    <t>管理费用</t>
    <phoneticPr fontId="21" type="noConversion"/>
  </si>
  <si>
    <r>
      <rPr>
        <sz val="10"/>
        <rFont val="宋体"/>
        <family val="3"/>
        <charset val="134"/>
      </rPr>
      <t>管理费用率</t>
    </r>
  </si>
  <si>
    <r>
      <rPr>
        <sz val="10"/>
        <rFont val="宋体"/>
        <family val="3"/>
        <charset val="134"/>
      </rPr>
      <t>存款利率</t>
    </r>
  </si>
  <si>
    <r>
      <rPr>
        <sz val="10"/>
        <rFont val="宋体"/>
        <family val="3"/>
        <charset val="134"/>
      </rPr>
      <t>借款利率（债务成本）</t>
    </r>
  </si>
  <si>
    <r>
      <rPr>
        <sz val="10"/>
        <rFont val="宋体"/>
        <family val="3"/>
        <charset val="134"/>
      </rPr>
      <t>利息资本化</t>
    </r>
  </si>
  <si>
    <r>
      <rPr>
        <sz val="10"/>
        <rFont val="宋体"/>
        <family val="3"/>
        <charset val="134"/>
      </rPr>
      <t>利息支出</t>
    </r>
  </si>
  <si>
    <r>
      <rPr>
        <sz val="10"/>
        <rFont val="宋体"/>
        <family val="3"/>
        <charset val="134"/>
      </rPr>
      <t>其他</t>
    </r>
  </si>
  <si>
    <r>
      <rPr>
        <sz val="10"/>
        <rFont val="宋体"/>
        <family val="3"/>
        <charset val="134"/>
      </rPr>
      <t>公允价值变动收益</t>
    </r>
  </si>
  <si>
    <r>
      <rPr>
        <sz val="10"/>
        <rFont val="宋体"/>
        <family val="3"/>
        <charset val="134"/>
      </rPr>
      <t>非核心投资收益</t>
    </r>
  </si>
  <si>
    <r>
      <rPr>
        <sz val="10"/>
        <rFont val="宋体"/>
        <family val="3"/>
        <charset val="134"/>
      </rPr>
      <t>核心投资收益</t>
    </r>
  </si>
  <si>
    <r>
      <rPr>
        <sz val="10"/>
        <rFont val="宋体"/>
        <family val="3"/>
        <charset val="134"/>
      </rPr>
      <t>营业外收入</t>
    </r>
  </si>
  <si>
    <r>
      <rPr>
        <sz val="10"/>
        <rFont val="宋体"/>
        <family val="3"/>
        <charset val="134"/>
      </rPr>
      <t>营业外支出</t>
    </r>
  </si>
  <si>
    <r>
      <t xml:space="preserve"> </t>
    </r>
    <r>
      <rPr>
        <sz val="10"/>
        <rFont val="宋体"/>
        <family val="3"/>
        <charset val="134"/>
      </rPr>
      <t>所得税</t>
    </r>
    <phoneticPr fontId="21" type="noConversion"/>
  </si>
  <si>
    <r>
      <rPr>
        <sz val="10"/>
        <rFont val="宋体"/>
        <family val="3"/>
        <charset val="134"/>
      </rPr>
      <t>所得税率</t>
    </r>
    <r>
      <rPr>
        <sz val="10"/>
        <rFont val="Arial"/>
        <family val="2"/>
      </rPr>
      <t>(</t>
    </r>
    <r>
      <rPr>
        <sz val="10"/>
        <rFont val="宋体"/>
        <family val="3"/>
        <charset val="134"/>
      </rPr>
      <t>实际税率</t>
    </r>
    <r>
      <rPr>
        <sz val="10"/>
        <rFont val="Arial"/>
        <family val="2"/>
      </rPr>
      <t>)</t>
    </r>
  </si>
  <si>
    <r>
      <rPr>
        <sz val="10"/>
        <rFont val="宋体"/>
        <family val="3"/>
        <charset val="134"/>
      </rPr>
      <t>少数股东损益占比</t>
    </r>
  </si>
  <si>
    <r>
      <t>资产负债表</t>
    </r>
    <r>
      <rPr>
        <sz val="10"/>
        <color indexed="9"/>
        <rFont val="黑体"/>
        <family val="3"/>
        <charset val="134"/>
      </rPr>
      <t/>
    </r>
  </si>
  <si>
    <r>
      <rPr>
        <sz val="10"/>
        <rFont val="宋体"/>
        <family val="3"/>
        <charset val="134"/>
      </rPr>
      <t>交易性金融资产</t>
    </r>
  </si>
  <si>
    <r>
      <rPr>
        <sz val="10"/>
        <rFont val="宋体"/>
        <family val="3"/>
        <charset val="134"/>
      </rPr>
      <t>应收账款账面价值</t>
    </r>
  </si>
  <si>
    <r>
      <rPr>
        <sz val="10"/>
        <rFont val="宋体"/>
        <family val="3"/>
        <charset val="134"/>
      </rPr>
      <t>应收账款账面余额</t>
    </r>
  </si>
  <si>
    <r>
      <rPr>
        <sz val="10"/>
        <rFont val="宋体"/>
        <family val="3"/>
        <charset val="134"/>
      </rPr>
      <t>应收款周转率</t>
    </r>
  </si>
  <si>
    <r>
      <rPr>
        <sz val="10"/>
        <rFont val="宋体"/>
        <family val="3"/>
        <charset val="134"/>
      </rPr>
      <t>坏账准备</t>
    </r>
    <r>
      <rPr>
        <sz val="10"/>
        <rFont val="Arial"/>
        <family val="2"/>
      </rPr>
      <t>(</t>
    </r>
    <r>
      <rPr>
        <sz val="10"/>
        <rFont val="宋体"/>
        <family val="3"/>
        <charset val="134"/>
      </rPr>
      <t>手工录入</t>
    </r>
    <r>
      <rPr>
        <sz val="10"/>
        <rFont val="Arial"/>
        <family val="2"/>
      </rPr>
      <t>)</t>
    </r>
  </si>
  <si>
    <r>
      <rPr>
        <sz val="10"/>
        <rFont val="宋体"/>
        <family val="3"/>
        <charset val="134"/>
      </rPr>
      <t>坏账准备计提率</t>
    </r>
    <phoneticPr fontId="21" type="noConversion"/>
  </si>
  <si>
    <r>
      <rPr>
        <sz val="10"/>
        <rFont val="宋体"/>
        <family val="3"/>
        <charset val="134"/>
      </rPr>
      <t>其他应收款账面价值</t>
    </r>
  </si>
  <si>
    <r>
      <rPr>
        <sz val="10"/>
        <rFont val="宋体"/>
        <family val="3"/>
        <charset val="134"/>
      </rPr>
      <t>其他应收款账面余额</t>
    </r>
  </si>
  <si>
    <r>
      <rPr>
        <sz val="10"/>
        <rFont val="宋体"/>
        <family val="3"/>
        <charset val="134"/>
      </rPr>
      <t>坏账准备</t>
    </r>
  </si>
  <si>
    <r>
      <rPr>
        <sz val="10"/>
        <rFont val="宋体"/>
        <family val="3"/>
        <charset val="134"/>
      </rPr>
      <t>其它经营性应收款项</t>
    </r>
  </si>
  <si>
    <r>
      <rPr>
        <sz val="10"/>
        <rFont val="宋体"/>
        <family val="3"/>
        <charset val="134"/>
      </rPr>
      <t>应收利息</t>
    </r>
    <phoneticPr fontId="21" type="noConversion"/>
  </si>
  <si>
    <r>
      <rPr>
        <sz val="10"/>
        <rFont val="宋体"/>
        <family val="3"/>
        <charset val="134"/>
      </rPr>
      <t>存货账面余额</t>
    </r>
  </si>
  <si>
    <r>
      <rPr>
        <sz val="10"/>
        <rFont val="宋体"/>
        <family val="3"/>
        <charset val="134"/>
      </rPr>
      <t>存货跌价准备</t>
    </r>
  </si>
  <si>
    <r>
      <rPr>
        <sz val="10"/>
        <rFont val="宋体"/>
        <family val="3"/>
        <charset val="134"/>
      </rPr>
      <t>可供出售金融资产</t>
    </r>
  </si>
  <si>
    <r>
      <rPr>
        <sz val="10"/>
        <rFont val="宋体"/>
        <family val="3"/>
        <charset val="134"/>
      </rPr>
      <t>持有至到期投资</t>
    </r>
  </si>
  <si>
    <r>
      <rPr>
        <sz val="10"/>
        <rFont val="宋体"/>
        <family val="3"/>
        <charset val="134"/>
      </rPr>
      <t>长期应收款</t>
    </r>
  </si>
  <si>
    <r>
      <rPr>
        <sz val="10"/>
        <rFont val="宋体"/>
        <family val="3"/>
        <charset val="134"/>
      </rPr>
      <t>长期股权投资净值本期新增</t>
    </r>
  </si>
  <si>
    <r>
      <rPr>
        <sz val="10"/>
        <rFont val="宋体"/>
        <family val="3"/>
        <charset val="134"/>
      </rPr>
      <t>长期股权投资净值本期收回</t>
    </r>
  </si>
  <si>
    <r>
      <rPr>
        <sz val="10"/>
        <rFont val="宋体"/>
        <family val="3"/>
        <charset val="134"/>
      </rPr>
      <t>累计股权投资减值准备</t>
    </r>
  </si>
  <si>
    <r>
      <rPr>
        <sz val="10"/>
        <rFont val="宋体"/>
        <family val="3"/>
        <charset val="134"/>
      </rPr>
      <t>核心投资</t>
    </r>
  </si>
  <si>
    <r>
      <rPr>
        <sz val="10"/>
        <rFont val="宋体"/>
        <family val="3"/>
        <charset val="134"/>
      </rPr>
      <t>投资性房地产账面余额</t>
    </r>
  </si>
  <si>
    <r>
      <rPr>
        <sz val="10"/>
        <rFont val="宋体"/>
        <family val="3"/>
        <charset val="134"/>
      </rPr>
      <t>投资性房地产减值准备</t>
    </r>
  </si>
  <si>
    <r>
      <rPr>
        <sz val="10"/>
        <rFont val="宋体"/>
        <family val="3"/>
        <charset val="134"/>
      </rPr>
      <t>固定资产累计减值准备</t>
    </r>
  </si>
  <si>
    <r>
      <rPr>
        <sz val="10"/>
        <rFont val="宋体"/>
        <family val="3"/>
        <charset val="134"/>
      </rPr>
      <t>本期处置固定资产账面余额</t>
    </r>
  </si>
  <si>
    <r>
      <rPr>
        <sz val="10"/>
        <rFont val="宋体"/>
        <family val="3"/>
        <charset val="134"/>
      </rPr>
      <t>本期转出累计折旧</t>
    </r>
  </si>
  <si>
    <r>
      <rPr>
        <sz val="10"/>
        <rFont val="宋体"/>
        <family val="3"/>
        <charset val="134"/>
      </rPr>
      <t>本期新增无形资产</t>
    </r>
  </si>
  <si>
    <r>
      <rPr>
        <sz val="10"/>
        <rFont val="宋体"/>
        <family val="3"/>
        <charset val="134"/>
      </rPr>
      <t>本期减少无形资产</t>
    </r>
  </si>
  <si>
    <r>
      <rPr>
        <sz val="10"/>
        <rFont val="宋体"/>
        <family val="3"/>
        <charset val="134"/>
      </rPr>
      <t>本期摊销额</t>
    </r>
  </si>
  <si>
    <r>
      <rPr>
        <sz val="10"/>
        <rFont val="宋体"/>
        <family val="3"/>
        <charset val="134"/>
      </rPr>
      <t>摊销率</t>
    </r>
  </si>
  <si>
    <r>
      <rPr>
        <sz val="10"/>
        <rFont val="宋体"/>
        <family val="3"/>
        <charset val="134"/>
      </rPr>
      <t>商誉账面余额</t>
    </r>
  </si>
  <si>
    <r>
      <rPr>
        <sz val="10"/>
        <rFont val="宋体"/>
        <family val="3"/>
        <charset val="134"/>
      </rPr>
      <t>累计商誉减值</t>
    </r>
  </si>
  <si>
    <r>
      <rPr>
        <sz val="10"/>
        <rFont val="宋体"/>
        <family val="3"/>
        <charset val="134"/>
      </rPr>
      <t>开发支出本期新增</t>
    </r>
  </si>
  <si>
    <r>
      <rPr>
        <sz val="10"/>
        <rFont val="宋体"/>
        <family val="3"/>
        <charset val="134"/>
      </rPr>
      <t>开发支出本期减少</t>
    </r>
  </si>
  <si>
    <r>
      <rPr>
        <sz val="10"/>
        <rFont val="宋体"/>
        <family val="3"/>
        <charset val="134"/>
      </rPr>
      <t>长期待摊费用</t>
    </r>
  </si>
  <si>
    <r>
      <rPr>
        <sz val="10"/>
        <rFont val="宋体"/>
        <family val="3"/>
        <charset val="134"/>
      </rPr>
      <t>递延所得税资产</t>
    </r>
  </si>
  <si>
    <r>
      <rPr>
        <sz val="10"/>
        <rFont val="宋体"/>
        <family val="3"/>
        <charset val="134"/>
      </rPr>
      <t>其他非流动资产</t>
    </r>
  </si>
  <si>
    <r>
      <rPr>
        <sz val="10"/>
        <rFont val="宋体"/>
        <family val="3"/>
        <charset val="134"/>
      </rPr>
      <t>短期借款本期偿还</t>
    </r>
  </si>
  <si>
    <r>
      <rPr>
        <sz val="10"/>
        <rFont val="宋体"/>
        <family val="3"/>
        <charset val="134"/>
      </rPr>
      <t>交易性金融负债</t>
    </r>
  </si>
  <si>
    <r>
      <rPr>
        <sz val="10"/>
        <rFont val="宋体"/>
        <family val="3"/>
        <charset val="134"/>
      </rPr>
      <t>经营性应付款项</t>
    </r>
  </si>
  <si>
    <r>
      <rPr>
        <sz val="10"/>
        <rFont val="宋体"/>
        <family val="3"/>
        <charset val="134"/>
      </rPr>
      <t>应付款项周转率</t>
    </r>
  </si>
  <si>
    <r>
      <rPr>
        <sz val="10"/>
        <rFont val="宋体"/>
        <family val="3"/>
        <charset val="134"/>
      </rPr>
      <t>应付利息</t>
    </r>
    <phoneticPr fontId="21" type="noConversion"/>
  </si>
  <si>
    <r>
      <rPr>
        <sz val="10"/>
        <rFont val="宋体"/>
        <family val="3"/>
        <charset val="134"/>
      </rPr>
      <t>其他应付款</t>
    </r>
  </si>
  <si>
    <r>
      <rPr>
        <sz val="10"/>
        <rFont val="宋体"/>
        <family val="3"/>
        <charset val="134"/>
      </rPr>
      <t>其他流动负债</t>
    </r>
  </si>
  <si>
    <r>
      <rPr>
        <sz val="10"/>
        <rFont val="宋体"/>
        <family val="3"/>
        <charset val="134"/>
      </rPr>
      <t>长期借款本期新贷</t>
    </r>
  </si>
  <si>
    <r>
      <rPr>
        <sz val="10"/>
        <rFont val="宋体"/>
        <family val="3"/>
        <charset val="134"/>
      </rPr>
      <t>长期借款本期偿还</t>
    </r>
  </si>
  <si>
    <r>
      <rPr>
        <sz val="10"/>
        <rFont val="宋体"/>
        <family val="3"/>
        <charset val="134"/>
      </rPr>
      <t>转出的一年内到期长期借款</t>
    </r>
  </si>
  <si>
    <r>
      <rPr>
        <sz val="10"/>
        <rFont val="宋体"/>
        <family val="3"/>
        <charset val="134"/>
      </rPr>
      <t>应付债券本期新增</t>
    </r>
  </si>
  <si>
    <r>
      <rPr>
        <sz val="10"/>
        <rFont val="宋体"/>
        <family val="3"/>
        <charset val="134"/>
      </rPr>
      <t>应付债券转股减少</t>
    </r>
  </si>
  <si>
    <r>
      <rPr>
        <sz val="10"/>
        <rFont val="宋体"/>
        <family val="3"/>
        <charset val="134"/>
      </rPr>
      <t>应付债券偿付减少</t>
    </r>
  </si>
  <si>
    <r>
      <rPr>
        <sz val="10"/>
        <rFont val="宋体"/>
        <family val="3"/>
        <charset val="134"/>
      </rPr>
      <t>其他非流动负债</t>
    </r>
  </si>
  <si>
    <r>
      <rPr>
        <sz val="10"/>
        <rFont val="宋体"/>
        <family val="3"/>
        <charset val="134"/>
      </rPr>
      <t>递延所得税负债</t>
    </r>
  </si>
  <si>
    <r>
      <rPr>
        <sz val="10"/>
        <rFont val="宋体"/>
        <family val="3"/>
        <charset val="134"/>
      </rPr>
      <t>发行股数</t>
    </r>
  </si>
  <si>
    <r>
      <rPr>
        <sz val="10"/>
        <rFont val="宋体"/>
        <family val="3"/>
        <charset val="134"/>
      </rPr>
      <t>发行价</t>
    </r>
  </si>
  <si>
    <r>
      <rPr>
        <sz val="10"/>
        <rFont val="宋体"/>
        <family val="3"/>
        <charset val="134"/>
      </rPr>
      <t>可转债转股增加</t>
    </r>
  </si>
  <si>
    <r>
      <rPr>
        <sz val="10"/>
        <rFont val="宋体"/>
        <family val="3"/>
        <charset val="134"/>
      </rPr>
      <t>公允价值变动净转入</t>
    </r>
  </si>
  <si>
    <r>
      <rPr>
        <sz val="10"/>
        <rFont val="宋体"/>
        <family val="3"/>
        <charset val="134"/>
      </rPr>
      <t>资本公积其他新增</t>
    </r>
  </si>
  <si>
    <r>
      <rPr>
        <sz val="10"/>
        <rFont val="宋体"/>
        <family val="3"/>
        <charset val="134"/>
      </rPr>
      <t>资本公积转增股本</t>
    </r>
  </si>
  <si>
    <r>
      <rPr>
        <sz val="10"/>
        <rFont val="宋体"/>
        <family val="3"/>
        <charset val="134"/>
      </rPr>
      <t>资本公积其他减少</t>
    </r>
  </si>
  <si>
    <r>
      <rPr>
        <sz val="10"/>
        <rFont val="宋体"/>
        <family val="3"/>
        <charset val="134"/>
      </rPr>
      <t>公允价值变动递延税率</t>
    </r>
  </si>
  <si>
    <r>
      <rPr>
        <sz val="10"/>
        <rFont val="宋体"/>
        <family val="3"/>
        <charset val="134"/>
      </rPr>
      <t>库存股</t>
    </r>
  </si>
  <si>
    <r>
      <rPr>
        <sz val="10"/>
        <rFont val="宋体"/>
        <family val="3"/>
        <charset val="134"/>
      </rPr>
      <t>盈余公积本期减少</t>
    </r>
  </si>
  <si>
    <r>
      <rPr>
        <sz val="10"/>
        <rFont val="宋体"/>
        <family val="3"/>
        <charset val="134"/>
      </rPr>
      <t>未分配利润提取公积</t>
    </r>
  </si>
  <si>
    <r>
      <rPr>
        <sz val="10"/>
        <rFont val="宋体"/>
        <family val="3"/>
        <charset val="134"/>
      </rPr>
      <t>提取公积比例</t>
    </r>
  </si>
  <si>
    <r>
      <rPr>
        <sz val="10"/>
        <rFont val="宋体"/>
        <family val="3"/>
        <charset val="134"/>
      </rPr>
      <t>少数股东权益购并新增</t>
    </r>
  </si>
  <si>
    <t>短期借款预测</t>
    <phoneticPr fontId="21" type="noConversion"/>
  </si>
  <si>
    <r>
      <rPr>
        <sz val="10"/>
        <rFont val="宋体"/>
        <family val="3"/>
        <charset val="134"/>
      </rPr>
      <t>最低现金余额</t>
    </r>
  </si>
  <si>
    <r>
      <rPr>
        <sz val="10"/>
        <rFont val="宋体"/>
        <family val="3"/>
        <charset val="134"/>
      </rPr>
      <t>最低短期借款余额</t>
    </r>
  </si>
  <si>
    <t>归属于母公司所有者的净利润</t>
    <phoneticPr fontId="21" type="noConversion"/>
  </si>
  <si>
    <t>投资收益</t>
    <phoneticPr fontId="21" type="noConversion"/>
  </si>
  <si>
    <t>加：营业外收入</t>
    <phoneticPr fontId="21" type="noConversion"/>
  </si>
  <si>
    <t>减：营业外支出</t>
    <phoneticPr fontId="21" type="noConversion"/>
  </si>
  <si>
    <t>减：所得税</t>
    <phoneticPr fontId="21" type="noConversion"/>
  </si>
  <si>
    <t>销售费用</t>
    <phoneticPr fontId="21" type="noConversion"/>
  </si>
  <si>
    <t>管理费用</t>
    <phoneticPr fontId="21" type="noConversion"/>
  </si>
  <si>
    <t>财务费用</t>
    <phoneticPr fontId="21" type="noConversion"/>
  </si>
  <si>
    <t>所得税</t>
    <phoneticPr fontId="21" type="noConversion"/>
  </si>
  <si>
    <t>固定资产和投资性房地产分析</t>
    <phoneticPr fontId="21" type="noConversion"/>
  </si>
  <si>
    <t>固定资产新增</t>
    <phoneticPr fontId="21" type="noConversion"/>
  </si>
  <si>
    <t>在建工程新增</t>
    <phoneticPr fontId="21" type="noConversion"/>
  </si>
  <si>
    <t>在建工程转固</t>
    <phoneticPr fontId="21" type="noConversion"/>
  </si>
  <si>
    <t>固定资产新购</t>
    <phoneticPr fontId="21" type="noConversion"/>
  </si>
  <si>
    <t>一、新增投资性房地产预测（原值）</t>
    <phoneticPr fontId="21" type="noConversion"/>
  </si>
  <si>
    <t>投资性房地产新增</t>
    <phoneticPr fontId="21" type="noConversion"/>
  </si>
  <si>
    <t>投资性房地产新增小计</t>
    <phoneticPr fontId="21" type="noConversion"/>
  </si>
  <si>
    <t>二、出售投资性房地产预测（原值）</t>
    <phoneticPr fontId="21" type="noConversion"/>
  </si>
  <si>
    <t>投资性房地产出售</t>
    <phoneticPr fontId="21" type="noConversion"/>
  </si>
  <si>
    <t>出售投资性房地产小计</t>
    <phoneticPr fontId="21" type="noConversion"/>
  </si>
  <si>
    <t>三、计提折旧预测</t>
    <phoneticPr fontId="21" type="noConversion"/>
  </si>
  <si>
    <r>
      <t>b</t>
    </r>
    <r>
      <rPr>
        <sz val="9"/>
        <rFont val="宋体"/>
        <family val="3"/>
        <charset val="134"/>
      </rPr>
      <t>、折旧年限</t>
    </r>
    <r>
      <rPr>
        <sz val="9"/>
        <rFont val="Arial"/>
        <family val="2"/>
      </rPr>
      <t>(</t>
    </r>
    <r>
      <rPr>
        <sz val="9"/>
        <rFont val="宋体"/>
        <family val="3"/>
        <charset val="134"/>
      </rPr>
      <t>年</t>
    </r>
    <r>
      <rPr>
        <sz val="9"/>
        <rFont val="Arial"/>
        <family val="2"/>
      </rPr>
      <t>)--</t>
    </r>
    <r>
      <rPr>
        <sz val="9"/>
        <rFont val="宋体"/>
        <family val="3"/>
        <charset val="134"/>
      </rPr>
      <t>原有投资性房地产</t>
    </r>
    <phoneticPr fontId="21" type="noConversion"/>
  </si>
  <si>
    <r>
      <t>折旧年限</t>
    </r>
    <r>
      <rPr>
        <sz val="9"/>
        <rFont val="Arial"/>
        <family val="2"/>
      </rPr>
      <t>(</t>
    </r>
    <r>
      <rPr>
        <sz val="9"/>
        <rFont val="宋体"/>
        <family val="3"/>
        <charset val="134"/>
      </rPr>
      <t>年</t>
    </r>
    <r>
      <rPr>
        <sz val="9"/>
        <rFont val="Arial"/>
        <family val="2"/>
      </rPr>
      <t>)--</t>
    </r>
    <r>
      <rPr>
        <sz val="9"/>
        <rFont val="宋体"/>
        <family val="3"/>
        <charset val="134"/>
      </rPr>
      <t>新增投资性房地产</t>
    </r>
    <phoneticPr fontId="21" type="noConversion"/>
  </si>
  <si>
    <t>投资性房地产净增</t>
    <phoneticPr fontId="21" type="noConversion"/>
  </si>
  <si>
    <t>累计计提折旧</t>
    <phoneticPr fontId="21" type="noConversion"/>
  </si>
  <si>
    <t xml:space="preserve">    其他应收款</t>
    <phoneticPr fontId="21" type="noConversion"/>
  </si>
  <si>
    <t>商誉</t>
    <phoneticPr fontId="21" type="noConversion"/>
  </si>
  <si>
    <t>开发支出</t>
    <phoneticPr fontId="21" type="noConversion"/>
  </si>
  <si>
    <t>非流动资产合计：</t>
    <phoneticPr fontId="21" type="noConversion"/>
  </si>
  <si>
    <t>一年内到期的非流动负债</t>
    <phoneticPr fontId="21" type="noConversion"/>
  </si>
  <si>
    <t>预收款项</t>
    <phoneticPr fontId="21" type="noConversion"/>
  </si>
  <si>
    <t>应付职工薪酬</t>
    <phoneticPr fontId="21" type="noConversion"/>
  </si>
  <si>
    <t>应交税费</t>
    <phoneticPr fontId="21" type="noConversion"/>
  </si>
  <si>
    <t>流动负债合计：</t>
    <phoneticPr fontId="21" type="noConversion"/>
  </si>
  <si>
    <t>预计负债</t>
    <phoneticPr fontId="21" type="noConversion"/>
  </si>
  <si>
    <t>其它非流动负债</t>
    <phoneticPr fontId="21" type="noConversion"/>
  </si>
  <si>
    <t>归属于母公司所有者权益合计</t>
    <phoneticPr fontId="21" type="noConversion"/>
  </si>
  <si>
    <t>最低现金余额</t>
    <phoneticPr fontId="21" type="noConversion"/>
  </si>
  <si>
    <t>账面原值</t>
    <phoneticPr fontId="21" type="noConversion"/>
  </si>
  <si>
    <t>最低短期借款余额</t>
    <phoneticPr fontId="21" type="noConversion"/>
  </si>
  <si>
    <t>少数股东权益价值</t>
    <phoneticPr fontId="21" type="noConversion"/>
  </si>
  <si>
    <t>显性阶段</t>
    <phoneticPr fontId="64" type="noConversion"/>
  </si>
  <si>
    <t>半显性阶段</t>
    <phoneticPr fontId="64" type="noConversion"/>
  </si>
  <si>
    <t>递减过渡阶段</t>
    <phoneticPr fontId="64" type="noConversion"/>
  </si>
  <si>
    <t>永续</t>
    <phoneticPr fontId="64" type="noConversion"/>
  </si>
  <si>
    <t>货币资金</t>
    <phoneticPr fontId="21" type="noConversion"/>
  </si>
  <si>
    <t>少数股东权益</t>
    <phoneticPr fontId="21" type="noConversion"/>
  </si>
  <si>
    <t>显性</t>
    <phoneticPr fontId="64" type="noConversion"/>
  </si>
  <si>
    <t>半显性</t>
    <phoneticPr fontId="64" type="noConversion"/>
  </si>
  <si>
    <t>2014 年</t>
    <phoneticPr fontId="21" type="noConversion"/>
  </si>
  <si>
    <t>序号</t>
  </si>
  <si>
    <t>被参控公司</t>
  </si>
  <si>
    <t>参控关系</t>
  </si>
  <si>
    <t>直接持股比例</t>
  </si>
  <si>
    <t>表决权比例</t>
  </si>
  <si>
    <t>被参控公司注册资本</t>
  </si>
  <si>
    <t>投资额</t>
  </si>
  <si>
    <t>主营业务</t>
  </si>
  <si>
    <t>是否合并报表</t>
  </si>
  <si>
    <t>对应合并利润</t>
    <phoneticPr fontId="21" type="noConversion"/>
  </si>
  <si>
    <t>(+/-%)</t>
  </si>
  <si>
    <r>
      <rPr>
        <sz val="10"/>
        <rFont val="宋体"/>
        <family val="3"/>
        <charset val="134"/>
      </rPr>
      <t>广州公司</t>
    </r>
    <phoneticPr fontId="21" type="noConversion"/>
  </si>
  <si>
    <r>
      <rPr>
        <sz val="10"/>
        <rFont val="宋体"/>
        <family val="3"/>
        <charset val="134"/>
      </rPr>
      <t>子公司</t>
    </r>
  </si>
  <si>
    <r>
      <rPr>
        <sz val="10"/>
        <rFont val="宋体"/>
        <family val="3"/>
        <charset val="134"/>
      </rPr>
      <t>药</t>
    </r>
    <phoneticPr fontId="21" type="noConversion"/>
  </si>
  <si>
    <r>
      <rPr>
        <sz val="10"/>
        <rFont val="宋体"/>
        <family val="3"/>
        <charset val="134"/>
      </rPr>
      <t>是</t>
    </r>
  </si>
  <si>
    <r>
      <rPr>
        <sz val="10"/>
        <rFont val="宋体"/>
        <family val="3"/>
        <charset val="134"/>
      </rPr>
      <t>广州公司</t>
    </r>
    <phoneticPr fontId="21" type="noConversion"/>
  </si>
  <si>
    <r>
      <rPr>
        <sz val="10"/>
        <rFont val="宋体"/>
        <family val="3"/>
        <charset val="134"/>
      </rPr>
      <t>药</t>
    </r>
    <phoneticPr fontId="21" type="noConversion"/>
  </si>
  <si>
    <r>
      <rPr>
        <sz val="10"/>
        <rFont val="宋体"/>
        <family val="3"/>
        <charset val="134"/>
      </rPr>
      <t>广州公司</t>
    </r>
    <phoneticPr fontId="21" type="noConversion"/>
  </si>
  <si>
    <r>
      <rPr>
        <sz val="10"/>
        <rFont val="宋体"/>
        <family val="3"/>
        <charset val="134"/>
      </rPr>
      <t>药</t>
    </r>
    <phoneticPr fontId="21" type="noConversion"/>
  </si>
  <si>
    <r>
      <rPr>
        <sz val="10"/>
        <rFont val="宋体"/>
        <family val="3"/>
        <charset val="134"/>
      </rPr>
      <t>广州公司</t>
    </r>
    <phoneticPr fontId="21" type="noConversion"/>
  </si>
  <si>
    <r>
      <rPr>
        <sz val="10"/>
        <rFont val="宋体"/>
        <family val="3"/>
        <charset val="134"/>
      </rPr>
      <t>药</t>
    </r>
    <phoneticPr fontId="21" type="noConversion"/>
  </si>
  <si>
    <r>
      <rPr>
        <sz val="10"/>
        <rFont val="宋体"/>
        <family val="3"/>
        <charset val="134"/>
      </rPr>
      <t>药</t>
    </r>
    <phoneticPr fontId="21" type="noConversion"/>
  </si>
  <si>
    <r>
      <rPr>
        <sz val="10"/>
        <rFont val="宋体"/>
        <family val="3"/>
        <charset val="134"/>
      </rPr>
      <t>广州公司</t>
    </r>
    <phoneticPr fontId="21" type="noConversion"/>
  </si>
  <si>
    <r>
      <rPr>
        <sz val="10"/>
        <rFont val="宋体"/>
        <family val="3"/>
        <charset val="134"/>
      </rPr>
      <t>广州公司</t>
    </r>
    <phoneticPr fontId="21" type="noConversion"/>
  </si>
  <si>
    <r>
      <rPr>
        <sz val="10"/>
        <rFont val="宋体"/>
        <family val="3"/>
        <charset val="134"/>
      </rPr>
      <t>药</t>
    </r>
    <phoneticPr fontId="21" type="noConversion"/>
  </si>
  <si>
    <r>
      <rPr>
        <sz val="10"/>
        <rFont val="宋体"/>
        <family val="3"/>
        <charset val="134"/>
      </rPr>
      <t>广州公司</t>
    </r>
    <phoneticPr fontId="21" type="noConversion"/>
  </si>
  <si>
    <t>对应合并收入</t>
    <phoneticPr fontId="21" type="noConversion"/>
  </si>
  <si>
    <t>未并入合并报表原因</t>
    <phoneticPr fontId="21" type="noConversion"/>
  </si>
  <si>
    <r>
      <rPr>
        <sz val="10"/>
        <rFont val="宋体"/>
        <family val="3"/>
        <charset val="134"/>
      </rPr>
      <t>公司整体</t>
    </r>
    <phoneticPr fontId="21" type="noConversion"/>
  </si>
  <si>
    <r>
      <rPr>
        <sz val="10"/>
        <rFont val="宋体"/>
        <family val="3"/>
        <charset val="134"/>
      </rPr>
      <t>占比</t>
    </r>
    <phoneticPr fontId="21" type="noConversion"/>
  </si>
  <si>
    <r>
      <rPr>
        <sz val="10"/>
        <rFont val="宋体"/>
        <family val="3"/>
        <charset val="134"/>
      </rPr>
      <t>合计</t>
    </r>
    <phoneticPr fontId="21" type="noConversion"/>
  </si>
  <si>
    <r>
      <rPr>
        <sz val="10"/>
        <rFont val="宋体"/>
        <family val="3"/>
        <charset val="134"/>
      </rPr>
      <t>差额</t>
    </r>
    <phoneticPr fontId="21" type="noConversion"/>
  </si>
  <si>
    <t>一、营业总收入</t>
    <phoneticPr fontId="64" type="noConversion"/>
  </si>
  <si>
    <t xml:space="preserve">    其中：营业收入</t>
    <phoneticPr fontId="64" type="noConversion"/>
  </si>
  <si>
    <t xml:space="preserve">    其他类金融业务收入</t>
    <phoneticPr fontId="64" type="noConversion"/>
  </si>
  <si>
    <t>其他类金融业务成本</t>
    <phoneticPr fontId="64" type="noConversion"/>
  </si>
  <si>
    <t>六、其他综合收益的税后净额</t>
    <phoneticPr fontId="64" type="noConversion"/>
  </si>
  <si>
    <t>其中：营业收入</t>
    <phoneticPr fontId="64" type="noConversion"/>
  </si>
  <si>
    <t>收入YOY</t>
    <phoneticPr fontId="64" type="noConversion"/>
  </si>
  <si>
    <t>其他类金融业务收入</t>
    <phoneticPr fontId="64" type="noConversion"/>
  </si>
  <si>
    <t>其他类金融业务成本率</t>
    <phoneticPr fontId="64" type="noConversion"/>
  </si>
  <si>
    <t>长期股权投资减值准备</t>
    <phoneticPr fontId="64" type="noConversion"/>
  </si>
  <si>
    <t>固定资产减值准备</t>
    <phoneticPr fontId="64" type="noConversion"/>
  </si>
  <si>
    <t>商誉减值准备</t>
    <phoneticPr fontId="64" type="noConversion"/>
  </si>
  <si>
    <t>无形资产减值准备</t>
    <phoneticPr fontId="64" type="noConversion"/>
  </si>
  <si>
    <t>归属母公司所有者的其他综合收益的税后净额</t>
    <phoneticPr fontId="64" type="noConversion"/>
  </si>
  <si>
    <t>其他权益工具</t>
    <phoneticPr fontId="64" type="noConversion"/>
  </si>
  <si>
    <t>其他综合收益</t>
    <phoneticPr fontId="64" type="noConversion"/>
  </si>
  <si>
    <t>其他权益工具</t>
    <phoneticPr fontId="64" type="noConversion"/>
  </si>
  <si>
    <t>变动值与利润表中其他综合收益的比例乘数</t>
    <phoneticPr fontId="64" type="noConversion"/>
  </si>
  <si>
    <t>基准日期</t>
    <phoneticPr fontId="64" type="noConversion"/>
  </si>
  <si>
    <t>投资收益</t>
  </si>
  <si>
    <t>运营状况分析</t>
    <phoneticPr fontId="21" type="noConversion"/>
  </si>
  <si>
    <t>营业利润和经营活动现金流分析</t>
    <phoneticPr fontId="21" type="noConversion"/>
  </si>
  <si>
    <t>经营活动产生现金流</t>
  </si>
  <si>
    <t>其他/营业利润</t>
    <phoneticPr fontId="21" type="noConversion"/>
  </si>
  <si>
    <t>折旧与摊销/营业利润</t>
    <phoneticPr fontId="21" type="noConversion"/>
  </si>
  <si>
    <t>经营活动产生现金流/营业利润</t>
    <phoneticPr fontId="21" type="noConversion"/>
  </si>
  <si>
    <t>运营资本变动/营业利润</t>
    <phoneticPr fontId="21" type="noConversion"/>
  </si>
  <si>
    <t>(收益损失+财务费用)/营业利润</t>
    <phoneticPr fontId="21" type="noConversion"/>
  </si>
  <si>
    <t>营业收入和销售商品、提供劳务收到现金分析</t>
    <phoneticPr fontId="21" type="noConversion"/>
  </si>
  <si>
    <t>销售商品、提供劳务收到的现金</t>
  </si>
  <si>
    <t>营业收入/销售商品、提供劳务收到的现金</t>
  </si>
  <si>
    <t>ROE分解</t>
    <phoneticPr fontId="21" type="noConversion"/>
  </si>
  <si>
    <t>指标</t>
    <phoneticPr fontId="21" type="noConversion"/>
  </si>
  <si>
    <t>对应公式</t>
    <phoneticPr fontId="21" type="noConversion"/>
  </si>
  <si>
    <t>财务政策</t>
    <phoneticPr fontId="21" type="noConversion"/>
  </si>
  <si>
    <t>权益乘数</t>
    <phoneticPr fontId="21" type="noConversion"/>
  </si>
  <si>
    <t>资产/所有者权益</t>
    <phoneticPr fontId="21" type="noConversion"/>
  </si>
  <si>
    <t>资产负债率</t>
    <phoneticPr fontId="21" type="noConversion"/>
  </si>
  <si>
    <t>负债/资产</t>
    <phoneticPr fontId="21" type="noConversion"/>
  </si>
  <si>
    <t>经营效率</t>
    <phoneticPr fontId="21" type="noConversion"/>
  </si>
  <si>
    <t>销售净利率</t>
    <phoneticPr fontId="21" type="noConversion"/>
  </si>
  <si>
    <t>营运能力</t>
    <phoneticPr fontId="21" type="noConversion"/>
  </si>
  <si>
    <t>资产周转率</t>
    <phoneticPr fontId="21" type="noConversion"/>
  </si>
  <si>
    <t>2*营业收入/（期初资产+期末资产）</t>
    <phoneticPr fontId="21" type="noConversion"/>
  </si>
  <si>
    <t>存货周转率</t>
    <phoneticPr fontId="21" type="noConversion"/>
  </si>
  <si>
    <t>2*营业成本/（期初存货+期末存货）</t>
    <phoneticPr fontId="21" type="noConversion"/>
  </si>
  <si>
    <t>应收账款周转率</t>
    <phoneticPr fontId="21" type="noConversion"/>
  </si>
  <si>
    <t>2*营业收入/（期初应收账款+期末应收账款）</t>
    <phoneticPr fontId="21" type="noConversion"/>
  </si>
  <si>
    <t>运营能力</t>
    <phoneticPr fontId="21" type="noConversion"/>
  </si>
  <si>
    <t>ROE</t>
    <phoneticPr fontId="21" type="noConversion"/>
  </si>
  <si>
    <t>存货周转率</t>
    <phoneticPr fontId="21" type="noConversion"/>
  </si>
  <si>
    <t>可比公司6</t>
  </si>
  <si>
    <t>可比公司7</t>
  </si>
  <si>
    <t>可比公司8</t>
  </si>
  <si>
    <t>可比公司9</t>
  </si>
  <si>
    <t>可比公司10</t>
  </si>
  <si>
    <t>可比公司11</t>
  </si>
  <si>
    <t>可比公司12</t>
  </si>
  <si>
    <t>可比公司13</t>
  </si>
  <si>
    <t>可比公司14</t>
  </si>
  <si>
    <t>可比公司15</t>
  </si>
  <si>
    <t>可比公司16</t>
  </si>
  <si>
    <t>可比公司17</t>
  </si>
  <si>
    <t>可比公司18</t>
  </si>
  <si>
    <t>可比公司19</t>
  </si>
  <si>
    <t>证券代码</t>
    <phoneticPr fontId="21" type="noConversion"/>
  </si>
  <si>
    <t>证券简称</t>
    <phoneticPr fontId="21" type="noConversion"/>
  </si>
  <si>
    <t>EPS</t>
    <phoneticPr fontId="21" type="noConversion"/>
  </si>
  <si>
    <t>PE</t>
    <phoneticPr fontId="21" type="noConversion"/>
  </si>
  <si>
    <t>PB</t>
    <phoneticPr fontId="21" type="noConversion"/>
  </si>
  <si>
    <t>均值</t>
    <phoneticPr fontId="21" type="noConversion"/>
  </si>
  <si>
    <t>其他收益</t>
    <phoneticPr fontId="21" type="noConversion"/>
  </si>
  <si>
    <t>股票简称</t>
    <phoneticPr fontId="21" type="noConversion"/>
  </si>
  <si>
    <t>股票代码</t>
    <phoneticPr fontId="21" type="noConversion"/>
  </si>
  <si>
    <t>年可比公司ROE分解</t>
    <phoneticPr fontId="21" type="noConversion"/>
  </si>
  <si>
    <t>归母净利润/归属于母公司所有者权益</t>
  </si>
  <si>
    <t>权益乘数</t>
  </si>
  <si>
    <t>资产处置收益</t>
    <phoneticPr fontId="64" type="noConversion"/>
  </si>
  <si>
    <t>持续经营净利润</t>
    <phoneticPr fontId="64" type="noConversion"/>
  </si>
  <si>
    <t>终止经营净利润</t>
    <phoneticPr fontId="64" type="noConversion"/>
  </si>
  <si>
    <t>税金及附加</t>
    <phoneticPr fontId="64" type="noConversion"/>
  </si>
  <si>
    <t>当期发行在外总股数</t>
    <phoneticPr fontId="21" type="noConversion"/>
  </si>
  <si>
    <t>税金及附加</t>
    <phoneticPr fontId="21" type="noConversion"/>
  </si>
  <si>
    <t>资产处置收益</t>
    <phoneticPr fontId="64" type="noConversion"/>
  </si>
  <si>
    <t>持续经营净利润</t>
    <phoneticPr fontId="64" type="noConversion"/>
  </si>
  <si>
    <t>持续经营净利润占净利润比重</t>
    <phoneticPr fontId="64" type="noConversion"/>
  </si>
  <si>
    <t>终止经营净利润</t>
    <phoneticPr fontId="64" type="noConversion"/>
  </si>
  <si>
    <t>公允价值变动</t>
    <phoneticPr fontId="64" type="noConversion"/>
  </si>
  <si>
    <t>收到其他与投资活动有关的现金</t>
    <phoneticPr fontId="64" type="noConversion"/>
  </si>
  <si>
    <t>取得子公司及其他营业单位支付的现金净额</t>
    <phoneticPr fontId="64" type="noConversion"/>
  </si>
  <si>
    <t>支付其他与投资活动有关的现金</t>
    <phoneticPr fontId="64" type="noConversion"/>
  </si>
  <si>
    <t>发行债券收到的现金</t>
    <phoneticPr fontId="64" type="noConversion"/>
  </si>
  <si>
    <t>营业总收入增长率</t>
    <phoneticPr fontId="21" type="noConversion"/>
  </si>
  <si>
    <t>其他流动资产等</t>
    <phoneticPr fontId="21" type="noConversion"/>
  </si>
  <si>
    <r>
      <rPr>
        <sz val="10"/>
        <rFont val="宋体"/>
        <family val="3"/>
        <charset val="134"/>
      </rPr>
      <t>其它流动负债等</t>
    </r>
    <r>
      <rPr>
        <sz val="10"/>
        <rFont val="Arial"/>
        <family val="2"/>
      </rPr>
      <t xml:space="preserve"> </t>
    </r>
    <phoneticPr fontId="21" type="noConversion"/>
  </si>
  <si>
    <t>其他长期借款等</t>
    <phoneticPr fontId="21" type="noConversion"/>
  </si>
  <si>
    <t>其他权益工具等</t>
    <phoneticPr fontId="21" type="noConversion"/>
  </si>
  <si>
    <t>税金及附加</t>
    <phoneticPr fontId="21" type="noConversion"/>
  </si>
  <si>
    <t>营业总收入</t>
    <phoneticPr fontId="21" type="noConversion"/>
  </si>
  <si>
    <t>资产处置收益</t>
    <phoneticPr fontId="21" type="noConversion"/>
  </si>
  <si>
    <t>注：半显性阶段对最后一年ROIC和EBIT margin进行预测，在此期间平滑变动。</t>
    <phoneticPr fontId="64" type="noConversion"/>
  </si>
  <si>
    <t>ROE</t>
    <phoneticPr fontId="64" type="noConversion"/>
  </si>
  <si>
    <t>—</t>
    <phoneticPr fontId="64" type="noConversion"/>
  </si>
  <si>
    <t>递减过渡阶段</t>
    <phoneticPr fontId="64" type="noConversion"/>
  </si>
  <si>
    <t>趋于稳态</t>
    <phoneticPr fontId="64" type="noConversion"/>
  </si>
  <si>
    <t>趋于稳态</t>
    <phoneticPr fontId="64" type="noConversion"/>
  </si>
  <si>
    <t>股权成本</t>
    <phoneticPr fontId="64" type="noConversion"/>
  </si>
  <si>
    <r>
      <rPr>
        <sz val="10"/>
        <rFont val="宋体"/>
        <family val="3"/>
        <charset val="134"/>
      </rPr>
      <t>注释：</t>
    </r>
    <r>
      <rPr>
        <sz val="10"/>
        <rFont val="Arial"/>
        <family val="2"/>
      </rPr>
      <t>1</t>
    </r>
    <r>
      <rPr>
        <sz val="10"/>
        <rFont val="宋体"/>
        <family val="3"/>
        <charset val="134"/>
      </rPr>
      <t>、半显性阶段净利润增长率维持不变、</t>
    </r>
    <r>
      <rPr>
        <sz val="10"/>
        <rFont val="Arial"/>
        <family val="2"/>
      </rPr>
      <t>ROE</t>
    </r>
    <r>
      <rPr>
        <sz val="10"/>
        <rFont val="宋体"/>
        <family val="3"/>
        <charset val="134"/>
      </rPr>
      <t>是针对该阶段最后一年做出的预测，在此期间，</t>
    </r>
    <r>
      <rPr>
        <sz val="10"/>
        <rFont val="Arial"/>
        <family val="2"/>
      </rPr>
      <t>ROE</t>
    </r>
    <r>
      <rPr>
        <sz val="10"/>
        <rFont val="宋体"/>
        <family val="3"/>
        <charset val="134"/>
      </rPr>
      <t>平滑变动</t>
    </r>
    <phoneticPr fontId="64" type="noConversion"/>
  </si>
  <si>
    <t>基准日</t>
    <phoneticPr fontId="64" type="noConversion"/>
  </si>
  <si>
    <t>预测分红时间（月份）</t>
    <phoneticPr fontId="64" type="noConversion"/>
  </si>
  <si>
    <t>递减过渡</t>
    <phoneticPr fontId="64" type="noConversion"/>
  </si>
  <si>
    <t>增长率</t>
    <phoneticPr fontId="21" type="noConversion"/>
  </si>
  <si>
    <r>
      <t xml:space="preserve">   </t>
    </r>
    <r>
      <rPr>
        <sz val="10"/>
        <color indexed="8"/>
        <rFont val="宋体"/>
        <family val="3"/>
        <charset val="134"/>
      </rPr>
      <t>增长率变化率</t>
    </r>
    <phoneticPr fontId="21" type="noConversion"/>
  </si>
  <si>
    <r>
      <t xml:space="preserve">   ROE</t>
    </r>
    <r>
      <rPr>
        <sz val="10"/>
        <color indexed="8"/>
        <rFont val="宋体"/>
        <family val="3"/>
        <charset val="134"/>
      </rPr>
      <t>变化率</t>
    </r>
    <phoneticPr fontId="21" type="noConversion"/>
  </si>
  <si>
    <t>中性</t>
  </si>
  <si>
    <t>单位：</t>
    <phoneticPr fontId="21" type="noConversion"/>
  </si>
  <si>
    <t xml:space="preserve"> </t>
    <phoneticPr fontId="21" type="noConversion"/>
  </si>
  <si>
    <t xml:space="preserve"> </t>
    <phoneticPr fontId="21" type="noConversion"/>
  </si>
  <si>
    <t>单位：</t>
    <phoneticPr fontId="21" type="noConversion"/>
  </si>
  <si>
    <t>显性半显性递减过渡价值</t>
    <phoneticPr fontId="64" type="noConversion"/>
  </si>
  <si>
    <t>归母净利润/营业总收入</t>
    <phoneticPr fontId="21" type="noConversion"/>
  </si>
  <si>
    <t>EBIT/营业总收入</t>
    <phoneticPr fontId="21" type="noConversion"/>
  </si>
  <si>
    <t>营业收入毛利率</t>
    <phoneticPr fontId="21" type="noConversion"/>
  </si>
  <si>
    <t>营业总收入毛利率</t>
    <phoneticPr fontId="21" type="noConversion"/>
  </si>
  <si>
    <t>1-营业成本/营业收入</t>
    <phoneticPr fontId="21" type="noConversion"/>
  </si>
  <si>
    <t>1-营业总成本/营业总收入</t>
    <phoneticPr fontId="21" type="noConversion"/>
  </si>
  <si>
    <t>营业总收入毛利率</t>
    <phoneticPr fontId="21" type="noConversion"/>
  </si>
  <si>
    <t>可比公司20</t>
  </si>
  <si>
    <t>归属于少数股东的其他综合收益的税后净额</t>
    <phoneticPr fontId="64" type="noConversion"/>
  </si>
  <si>
    <t>少数股东综合收益税后净额占比</t>
    <phoneticPr fontId="64" type="noConversion"/>
  </si>
  <si>
    <t>默认公式</t>
    <phoneticPr fontId="64" type="noConversion"/>
  </si>
  <si>
    <t>七、综合收益总额</t>
    <phoneticPr fontId="64" type="noConversion"/>
  </si>
  <si>
    <t>归属于母公司所有者的综合收益总额</t>
    <phoneticPr fontId="64" type="noConversion"/>
  </si>
  <si>
    <t>八、基本每股收益</t>
    <phoneticPr fontId="64" type="noConversion"/>
  </si>
  <si>
    <t>七、综合收益总额</t>
    <phoneticPr fontId="64" type="noConversion"/>
  </si>
  <si>
    <t>归属于少数股东的综合收益总额</t>
    <phoneticPr fontId="64" type="noConversion"/>
  </si>
  <si>
    <t>少数股东综合收益占比</t>
    <phoneticPr fontId="64" type="noConversion"/>
  </si>
  <si>
    <t>归属于母公司所有者的综合收益总额</t>
    <phoneticPr fontId="64" type="noConversion"/>
  </si>
  <si>
    <t>股本</t>
    <phoneticPr fontId="64" type="noConversion"/>
  </si>
  <si>
    <t>模型必备SHEET名称表</t>
    <phoneticPr fontId="21" type="noConversion"/>
  </si>
  <si>
    <t>余斌</t>
    <phoneticPr fontId="21" type="noConversion"/>
  </si>
  <si>
    <t>周子露</t>
    <phoneticPr fontId="21" type="noConversion"/>
  </si>
  <si>
    <t>021-23297547</t>
    <phoneticPr fontId="21" type="noConversion"/>
  </si>
  <si>
    <t>程颖</t>
    <phoneticPr fontId="21" type="noConversion"/>
  </si>
  <si>
    <t>021-23297577</t>
    <phoneticPr fontId="21" type="noConversion"/>
  </si>
  <si>
    <t>本模型版权归上海申银万国证券研究所有限公司所有。</t>
  </si>
  <si>
    <t>未获得上海申银万国证券研究所事先书面授权，任何人不得对本模型进行任何形式的发布、复制。</t>
  </si>
  <si>
    <t>本模型中的信息均来源于已公开的资料，我公司对这些信息的准确性、及时性及完整性不作任何保证，</t>
  </si>
  <si>
    <t>单元格颜色说明</t>
    <phoneticPr fontId="21" type="noConversion"/>
  </si>
  <si>
    <r>
      <rPr>
        <sz val="10"/>
        <rFont val="宋体"/>
        <family val="3"/>
        <charset val="134"/>
      </rPr>
      <t>预测数据，由计算公式链接自动生成</t>
    </r>
    <phoneticPr fontId="21" type="noConversion"/>
  </si>
  <si>
    <t>本模型仅供上海申银万国证券研究所有限公司（以下简称“本公司”）员工及授权的客户使用。本公司不会因接收人收到本模型而视其为授权客户。</t>
  </si>
  <si>
    <t>本模型由本公司独立、专业、谨慎、负责地研究、开发和维护，本模型使用的数据来源于本公司数据库和其他本公司认为可靠的已公开信息，以及本公司相关分析师的主观假设、预测和判断，本公司不保证本模型使用的各类数据的合理性、准确性或完整性。</t>
  </si>
  <si>
    <t>本模型是本公司相关分析师基于现有的公开信息与数据，通过专业研究进行的分析、预测和判断，本公司对于分析师在本模型中采用的假设条件、分析推理及结论判断的合理性、准确性或完整性不做任何形式的保证。</t>
  </si>
  <si>
    <t>客户应当充分认识到模型的建设是一个渐进的过程，本模型仅反映分析师在模型完成当日的判断，本模型所载信息、方法、结论可能随时发生变化。</t>
  </si>
  <si>
    <t>客户应当充分认识到本模型仅是分析师的研究工作底稿，不曾经过本公司的质量审核，因此，无论本模型是否含有研究结论，均不可视本模型为研究成果的发布；本公司研究成果的发布，是以http://www.swsresearch.com网站上刊载的完整研究报告为准。此外，本公司并不保证所有类似的研究报告均拥有类似的模型。</t>
  </si>
  <si>
    <t>本模型只提供给授权客户作参考之用，并非作为或被视为出售或购买证券或其他投资标的的邀请或向人作出邀请。</t>
  </si>
  <si>
    <t>客户应当考虑到本公司可能存在可能影响本模型客观性的利益冲突，不应视本模型为作出投资决策的惟一因素。本模型不构成客户私人咨询建议。本公司未确保本模型充分考虑到个别客户特殊的投资目标、财务状况或需要。本公司建议客户应考虑本模型的任何信息是否符合其特定状况，以及（若有必要）咨询独立投资顾问。</t>
  </si>
  <si>
    <t>在任何情况下，本模型中的信息或所表述的意见并不构成对任何人的投资建议。在任何情况下，本公司不对任何人因使用本模型中的任何内容所引致的任何损失负任何责任。</t>
  </si>
  <si>
    <t>若本模型的接收人非本公司的授权客户，应立即予以删除，不得以任何形式使用、复制或再次分发给任何其他人。</t>
  </si>
  <si>
    <t>本公司为本模型的专利权人并受《中华人民共和国专利法》保护，本公司对本模型保留一切权利，除非另有书面显示。未经本公司事先书面授权，本模型的任何部分均不得以任何方式制作任何形式的拷贝、复印件或复制品，或再次分发给任何其他人，或以任何侵犯本公司专利权的其他方式使用。所有本模型中使用的商标、服务标记及标记均为本公司的商标、服务标记及标记。</t>
  </si>
  <si>
    <t>601088</t>
    <phoneticPr fontId="21" type="noConversion"/>
  </si>
  <si>
    <t>600188</t>
    <phoneticPr fontId="21" type="noConversion"/>
  </si>
  <si>
    <t>601001</t>
    <phoneticPr fontId="21" type="noConversion"/>
  </si>
  <si>
    <t>中国神华</t>
  </si>
  <si>
    <t>兖州煤业</t>
  </si>
  <si>
    <t>大同煤业</t>
  </si>
  <si>
    <t>601898</t>
    <phoneticPr fontId="21" type="noConversion"/>
  </si>
  <si>
    <t>中煤能源</t>
  </si>
  <si>
    <t>格力电器</t>
  </si>
  <si>
    <t>000651</t>
    <phoneticPr fontId="21" type="noConversion"/>
  </si>
  <si>
    <t>其他收益</t>
    <phoneticPr fontId="64" type="noConversion"/>
  </si>
  <si>
    <t>其他权益工具</t>
    <phoneticPr fontId="64" type="noConversion"/>
  </si>
  <si>
    <t>其他综合收益</t>
    <phoneticPr fontId="64" type="noConversion"/>
  </si>
  <si>
    <r>
      <rPr>
        <sz val="10"/>
        <rFont val="宋体"/>
        <family val="3"/>
        <charset val="134"/>
      </rPr>
      <t>估值分析：除了复杂</t>
    </r>
    <r>
      <rPr>
        <sz val="10"/>
        <rFont val="Arial"/>
        <family val="2"/>
      </rPr>
      <t>FCFF</t>
    </r>
    <r>
      <rPr>
        <sz val="10"/>
        <rFont val="宋体"/>
        <family val="3"/>
        <charset val="134"/>
      </rPr>
      <t>、</t>
    </r>
    <r>
      <rPr>
        <sz val="10"/>
        <rFont val="Arial"/>
        <family val="2"/>
      </rPr>
      <t>DDM</t>
    </r>
    <r>
      <rPr>
        <sz val="10"/>
        <rFont val="宋体"/>
        <family val="3"/>
        <charset val="134"/>
      </rPr>
      <t>和相对估值外，还提供了各种自动计算的</t>
    </r>
    <r>
      <rPr>
        <sz val="10"/>
        <rFont val="Arial"/>
        <family val="2"/>
      </rPr>
      <t>DCF</t>
    </r>
    <r>
      <rPr>
        <sz val="10"/>
        <rFont val="宋体"/>
        <family val="3"/>
        <charset val="134"/>
      </rPr>
      <t>估值工具。</t>
    </r>
    <phoneticPr fontId="21" type="noConversion"/>
  </si>
  <si>
    <t>财务摘要</t>
    <phoneticPr fontId="21" type="noConversion"/>
  </si>
  <si>
    <t>收入拆分</t>
    <phoneticPr fontId="21" type="noConversion"/>
  </si>
  <si>
    <t>可比公司分析</t>
    <phoneticPr fontId="21" type="noConversion"/>
  </si>
  <si>
    <r>
      <t>3、</t>
    </r>
    <r>
      <rPr>
        <sz val="10"/>
        <rFont val="宋体"/>
        <family val="3"/>
        <charset val="134"/>
      </rPr>
      <t/>
    </r>
  </si>
  <si>
    <r>
      <t>4、</t>
    </r>
    <r>
      <rPr>
        <sz val="10"/>
        <rFont val="宋体"/>
        <family val="3"/>
        <charset val="134"/>
      </rPr>
      <t/>
    </r>
  </si>
  <si>
    <r>
      <t>5、</t>
    </r>
    <r>
      <rPr>
        <sz val="10"/>
        <rFont val="宋体"/>
        <family val="3"/>
        <charset val="134"/>
      </rPr>
      <t/>
    </r>
  </si>
  <si>
    <r>
      <t>6、</t>
    </r>
    <r>
      <rPr>
        <sz val="10"/>
        <rFont val="宋体"/>
        <family val="3"/>
        <charset val="134"/>
      </rPr>
      <t/>
    </r>
  </si>
  <si>
    <r>
      <t>7、</t>
    </r>
    <r>
      <rPr>
        <sz val="10"/>
        <rFont val="宋体"/>
        <family val="3"/>
        <charset val="134"/>
      </rPr>
      <t/>
    </r>
  </si>
  <si>
    <r>
      <t>8、</t>
    </r>
    <r>
      <rPr>
        <sz val="10"/>
        <rFont val="宋体"/>
        <family val="3"/>
        <charset val="134"/>
      </rPr>
      <t/>
    </r>
  </si>
  <si>
    <r>
      <t>9、</t>
    </r>
    <r>
      <rPr>
        <sz val="10"/>
        <rFont val="宋体"/>
        <family val="3"/>
        <charset val="134"/>
      </rPr>
      <t/>
    </r>
  </si>
  <si>
    <r>
      <t>10、</t>
    </r>
    <r>
      <rPr>
        <sz val="10"/>
        <rFont val="宋体"/>
        <family val="3"/>
        <charset val="134"/>
      </rPr>
      <t/>
    </r>
  </si>
  <si>
    <r>
      <t>11、</t>
    </r>
    <r>
      <rPr>
        <sz val="10"/>
        <rFont val="宋体"/>
        <family val="3"/>
        <charset val="134"/>
      </rPr>
      <t/>
    </r>
  </si>
  <si>
    <r>
      <t>12、</t>
    </r>
    <r>
      <rPr>
        <sz val="10"/>
        <rFont val="宋体"/>
        <family val="3"/>
        <charset val="134"/>
      </rPr>
      <t/>
    </r>
  </si>
  <si>
    <r>
      <t>13、</t>
    </r>
    <r>
      <rPr>
        <sz val="10"/>
        <rFont val="宋体"/>
        <family val="3"/>
        <charset val="134"/>
      </rPr>
      <t/>
    </r>
  </si>
  <si>
    <t>复杂FCFF</t>
    <phoneticPr fontId="21" type="noConversion"/>
  </si>
  <si>
    <t>其他类金融业务成本</t>
    <phoneticPr fontId="21" type="noConversion"/>
  </si>
  <si>
    <t>收入分拆表</t>
    <phoneticPr fontId="21" type="noConversion"/>
  </si>
  <si>
    <r>
      <rPr>
        <b/>
        <sz val="12"/>
        <color indexed="9"/>
        <rFont val="黑体"/>
        <family val="3"/>
        <charset val="134"/>
      </rPr>
      <t>分业务收入分拆表2</t>
    </r>
    <phoneticPr fontId="21" type="noConversion"/>
  </si>
  <si>
    <r>
      <rPr>
        <b/>
        <sz val="12"/>
        <color indexed="9"/>
        <rFont val="黑体"/>
        <family val="3"/>
        <charset val="134"/>
      </rPr>
      <t>分业务收入分拆表1</t>
    </r>
    <phoneticPr fontId="21" type="noConversion"/>
  </si>
  <si>
    <t>一、杜邦分析：ROE分解</t>
    <phoneticPr fontId="21" type="noConversion"/>
  </si>
  <si>
    <t>三、可比公司估值法</t>
    <phoneticPr fontId="21" type="noConversion"/>
  </si>
  <si>
    <t>二、历史数据：可比公司</t>
    <phoneticPr fontId="21" type="noConversion"/>
  </si>
  <si>
    <t>财务指标分析（图）</t>
    <phoneticPr fontId="21" type="noConversion"/>
  </si>
  <si>
    <t>毛利率</t>
    <phoneticPr fontId="21" type="noConversion"/>
  </si>
  <si>
    <t>占销售收入比重</t>
  </si>
  <si>
    <t>毛利率</t>
    <phoneticPr fontId="21" type="noConversion"/>
  </si>
  <si>
    <t>营业收入</t>
    <phoneticPr fontId="21" type="noConversion"/>
  </si>
  <si>
    <t>营业成本</t>
    <phoneticPr fontId="21" type="noConversion"/>
  </si>
  <si>
    <t>一、营业收入</t>
    <phoneticPr fontId="21" type="noConversion"/>
  </si>
  <si>
    <t>营业成本</t>
    <phoneticPr fontId="21" type="noConversion"/>
  </si>
  <si>
    <t>毛利率</t>
    <phoneticPr fontId="21" type="noConversion"/>
  </si>
  <si>
    <t>营业收入</t>
    <phoneticPr fontId="21" type="noConversion"/>
  </si>
  <si>
    <t>营业收入</t>
    <phoneticPr fontId="21" type="noConversion"/>
  </si>
  <si>
    <t>开工率</t>
    <phoneticPr fontId="21" type="noConversion"/>
  </si>
  <si>
    <t>产能</t>
    <phoneticPr fontId="21" type="noConversion"/>
  </si>
  <si>
    <t>价格</t>
    <phoneticPr fontId="21" type="noConversion"/>
  </si>
  <si>
    <t>销售收入</t>
    <phoneticPr fontId="21" type="noConversion"/>
  </si>
  <si>
    <t>同比增长</t>
  </si>
  <si>
    <t>行业规模</t>
  </si>
  <si>
    <t>市场份额</t>
  </si>
  <si>
    <t>二、营业总成本</t>
  </si>
  <si>
    <t>其中：营业成本</t>
  </si>
  <si>
    <t>三、营业利润</t>
  </si>
  <si>
    <t>四、利润总额</t>
  </si>
  <si>
    <t>五、净利润</t>
  </si>
  <si>
    <t>全面摊薄每股收益</t>
  </si>
  <si>
    <t xml:space="preserve">财务费用 </t>
    <phoneticPr fontId="21" type="noConversion"/>
  </si>
  <si>
    <t>营业毛利率</t>
  </si>
  <si>
    <t>利息收入</t>
  </si>
  <si>
    <t>平均短期借款</t>
  </si>
  <si>
    <t>平均长期借款和应付债券</t>
  </si>
  <si>
    <t>营业利润率</t>
  </si>
  <si>
    <t>所得税率(实际税率)</t>
  </si>
  <si>
    <t>少数股东损益占比</t>
  </si>
  <si>
    <t>总收入YoY</t>
    <phoneticPr fontId="64" type="noConversion"/>
  </si>
  <si>
    <t>归属于母公司所有者的净利润</t>
    <phoneticPr fontId="21" type="noConversion"/>
  </si>
  <si>
    <t>现金比例乘数（%）</t>
    <phoneticPr fontId="64" type="noConversion"/>
  </si>
  <si>
    <t>其中： 无形资产</t>
  </si>
  <si>
    <r>
      <t>长期股权投资</t>
    </r>
    <r>
      <rPr>
        <b/>
        <sz val="10"/>
        <rFont val="宋体"/>
        <family val="3"/>
        <charset val="134"/>
      </rPr>
      <t xml:space="preserve"> </t>
    </r>
  </si>
  <si>
    <r>
      <t>短期借款</t>
    </r>
    <r>
      <rPr>
        <b/>
        <sz val="10"/>
        <rFont val="宋体"/>
        <family val="3"/>
        <charset val="134"/>
      </rPr>
      <t xml:space="preserve"> </t>
    </r>
  </si>
  <si>
    <r>
      <t>经营性应付款项</t>
    </r>
    <r>
      <rPr>
        <b/>
        <sz val="10"/>
        <rFont val="宋体"/>
        <family val="3"/>
        <charset val="134"/>
      </rPr>
      <t xml:space="preserve"> </t>
    </r>
  </si>
  <si>
    <r>
      <t>长期借款</t>
    </r>
    <r>
      <rPr>
        <b/>
        <sz val="10"/>
        <rFont val="宋体"/>
        <family val="3"/>
        <charset val="134"/>
      </rPr>
      <t xml:space="preserve"> </t>
    </r>
  </si>
  <si>
    <r>
      <t>非流动负债合计</t>
    </r>
    <r>
      <rPr>
        <b/>
        <sz val="12"/>
        <rFont val="宋体"/>
        <family val="3"/>
        <charset val="134"/>
      </rPr>
      <t xml:space="preserve"> </t>
    </r>
    <phoneticPr fontId="21" type="noConversion"/>
  </si>
  <si>
    <r>
      <t>股本</t>
    </r>
    <r>
      <rPr>
        <b/>
        <sz val="10"/>
        <rFont val="宋体"/>
        <family val="3"/>
        <charset val="134"/>
      </rPr>
      <t xml:space="preserve"> </t>
    </r>
  </si>
  <si>
    <r>
      <t>股东权益合计</t>
    </r>
    <r>
      <rPr>
        <b/>
        <sz val="14"/>
        <rFont val="宋体"/>
        <family val="3"/>
        <charset val="134"/>
      </rPr>
      <t xml:space="preserve"> </t>
    </r>
  </si>
  <si>
    <r>
      <t>负债和股东权益总计</t>
    </r>
    <r>
      <rPr>
        <b/>
        <sz val="14"/>
        <rFont val="宋体"/>
        <family val="3"/>
        <charset val="134"/>
      </rPr>
      <t xml:space="preserve"> </t>
    </r>
    <phoneticPr fontId="21" type="noConversion"/>
  </si>
  <si>
    <r>
      <t>流动资产合计</t>
    </r>
    <r>
      <rPr>
        <b/>
        <sz val="12"/>
        <rFont val="宋体"/>
        <family val="3"/>
        <charset val="134"/>
      </rPr>
      <t xml:space="preserve"> ：</t>
    </r>
    <phoneticPr fontId="21" type="noConversion"/>
  </si>
  <si>
    <r>
      <t>资产总计</t>
    </r>
    <r>
      <rPr>
        <b/>
        <sz val="14"/>
        <rFont val="宋体"/>
        <family val="3"/>
        <charset val="134"/>
      </rPr>
      <t xml:space="preserve"> </t>
    </r>
    <phoneticPr fontId="21" type="noConversion"/>
  </si>
  <si>
    <r>
      <t>负债合计</t>
    </r>
    <r>
      <rPr>
        <b/>
        <sz val="14"/>
        <rFont val="宋体"/>
        <family val="3"/>
        <charset val="134"/>
      </rPr>
      <t xml:space="preserve"> </t>
    </r>
    <phoneticPr fontId="21" type="noConversion"/>
  </si>
  <si>
    <t xml:space="preserve">累计折旧 </t>
  </si>
  <si>
    <t>归属于母公司所有者权益合计</t>
    <phoneticPr fontId="64" type="noConversion"/>
  </si>
  <si>
    <t xml:space="preserve">无形资产摊销 </t>
  </si>
  <si>
    <t>财务费用 （收益以“—”号列示）</t>
  </si>
  <si>
    <t>存货的减少 （增加以“—”列示）</t>
  </si>
  <si>
    <t>经营性应收项目的减少（增加以“—”列示）</t>
  </si>
  <si>
    <t xml:space="preserve">其它 </t>
  </si>
  <si>
    <t xml:space="preserve">收回投资所收到的现金 </t>
  </si>
  <si>
    <t xml:space="preserve">吸收投资收到的现金 </t>
  </si>
  <si>
    <t xml:space="preserve">偿还债务支付的现金 </t>
  </si>
  <si>
    <t xml:space="preserve">现金及现金等价物净增加额 </t>
  </si>
  <si>
    <t xml:space="preserve">货币资金的期初余额 </t>
  </si>
  <si>
    <t xml:space="preserve">货币资金的期末余额 </t>
  </si>
  <si>
    <t>处置固定资产、无形资产和其他长期资产的损失（收益以“－”号填列）</t>
    <phoneticPr fontId="64" type="noConversion"/>
  </si>
  <si>
    <r>
      <t>净利润</t>
    </r>
    <r>
      <rPr>
        <b/>
        <sz val="10"/>
        <rFont val="宋体"/>
        <family val="3"/>
        <charset val="134"/>
      </rPr>
      <t xml:space="preserve"> </t>
    </r>
  </si>
  <si>
    <t xml:space="preserve">筹资活动产生的现金流量净额 </t>
    <phoneticPr fontId="21" type="noConversion"/>
  </si>
  <si>
    <t xml:space="preserve">经营活动产生的现金流量净额 </t>
    <phoneticPr fontId="21" type="noConversion"/>
  </si>
  <si>
    <t xml:space="preserve">投资活动产生的现金流量净额 </t>
    <phoneticPr fontId="21" type="noConversion"/>
  </si>
  <si>
    <t>短期借款的增加/(减少)</t>
  </si>
  <si>
    <r>
      <t>现金剩余</t>
    </r>
    <r>
      <rPr>
        <b/>
        <sz val="10"/>
        <rFont val="宋体"/>
        <family val="3"/>
        <charset val="134"/>
      </rPr>
      <t>/</t>
    </r>
    <r>
      <rPr>
        <sz val="10"/>
        <rFont val="宋体"/>
        <family val="3"/>
        <charset val="134"/>
      </rPr>
      <t>(缺口）</t>
    </r>
    <phoneticPr fontId="64" type="noConversion"/>
  </si>
  <si>
    <t>021-23297437</t>
    <phoneticPr fontId="21" type="noConversion"/>
  </si>
  <si>
    <t>少数股权PB</t>
    <phoneticPr fontId="64" type="noConversion"/>
  </si>
  <si>
    <t>少数股权PB</t>
    <phoneticPr fontId="21" type="noConversion"/>
  </si>
  <si>
    <t>格力电器</t>
    <phoneticPr fontId="21" type="noConversion"/>
  </si>
  <si>
    <t>中国神华</t>
    <phoneticPr fontId="21" type="noConversion"/>
  </si>
  <si>
    <t>兖州煤业</t>
    <phoneticPr fontId="21" type="noConversion"/>
  </si>
  <si>
    <t>中煤能源</t>
    <phoneticPr fontId="21" type="noConversion"/>
  </si>
  <si>
    <t>大同煤业</t>
    <phoneticPr fontId="21" type="noConversion"/>
  </si>
  <si>
    <t>EV（企业总价值）</t>
    <phoneticPr fontId="21" type="noConversion"/>
  </si>
  <si>
    <t>核心EV（核心企业价值）</t>
    <phoneticPr fontId="21" type="noConversion"/>
  </si>
  <si>
    <t xml:space="preserve">累计折旧 </t>
    <phoneticPr fontId="21" type="noConversion"/>
  </si>
  <si>
    <t>研发费用</t>
    <phoneticPr fontId="64" type="noConversion"/>
  </si>
  <si>
    <t>加：其他收益</t>
    <phoneticPr fontId="64" type="noConversion"/>
  </si>
  <si>
    <t>净敞口套期收益</t>
    <phoneticPr fontId="64" type="noConversion"/>
  </si>
  <si>
    <t>公允价值变动收益</t>
    <phoneticPr fontId="21" type="noConversion"/>
  </si>
  <si>
    <t>税金及附加占营业总收入比重（%）</t>
    <phoneticPr fontId="64" type="noConversion"/>
  </si>
  <si>
    <t>销售费用占营业总收入比重（%）</t>
    <phoneticPr fontId="64" type="noConversion"/>
  </si>
  <si>
    <t>管理费用占营业总收入比重（%）</t>
    <phoneticPr fontId="64" type="noConversion"/>
  </si>
  <si>
    <t>研发费用</t>
    <phoneticPr fontId="21" type="noConversion"/>
  </si>
  <si>
    <t>研发费用占营业总收入比重（%）</t>
    <phoneticPr fontId="21" type="noConversion"/>
  </si>
  <si>
    <t>其中：存货跌价准备</t>
    <phoneticPr fontId="64" type="noConversion"/>
  </si>
  <si>
    <t>投资性房地产减值准备</t>
    <phoneticPr fontId="64" type="noConversion"/>
  </si>
  <si>
    <t>其中：应收账款</t>
    <phoneticPr fontId="21" type="noConversion"/>
  </si>
  <si>
    <t>其他应收款</t>
    <phoneticPr fontId="21" type="noConversion"/>
  </si>
  <si>
    <t>合同资产</t>
    <phoneticPr fontId="21" type="noConversion"/>
  </si>
  <si>
    <t>债权投资</t>
    <phoneticPr fontId="21" type="noConversion"/>
  </si>
  <si>
    <t>其他债权投资</t>
    <phoneticPr fontId="21" type="noConversion"/>
  </si>
  <si>
    <t>加：其他收益</t>
    <phoneticPr fontId="64" type="noConversion"/>
  </si>
  <si>
    <t>联营企业和合营企业的投资收益</t>
    <phoneticPr fontId="21" type="noConversion"/>
  </si>
  <si>
    <t>其他投资收益</t>
    <phoneticPr fontId="21" type="noConversion"/>
  </si>
  <si>
    <t>净敞口套期收益</t>
    <phoneticPr fontId="21" type="noConversion"/>
  </si>
  <si>
    <t>公允价值变动收益</t>
    <phoneticPr fontId="64" type="noConversion"/>
  </si>
  <si>
    <t>衍生金融资产</t>
    <phoneticPr fontId="21" type="noConversion"/>
  </si>
  <si>
    <t>合同资产</t>
    <phoneticPr fontId="21" type="noConversion"/>
  </si>
  <si>
    <t>持有待售资产及其他</t>
    <phoneticPr fontId="21" type="noConversion"/>
  </si>
  <si>
    <t>债权投资</t>
    <phoneticPr fontId="21" type="noConversion"/>
  </si>
  <si>
    <t>其他债权投资</t>
    <phoneticPr fontId="21" type="noConversion"/>
  </si>
  <si>
    <t>其他权益工具投资</t>
    <phoneticPr fontId="21" type="noConversion"/>
  </si>
  <si>
    <t>其他非流动金融资产</t>
    <phoneticPr fontId="21" type="noConversion"/>
  </si>
  <si>
    <t>其中：应付票据及应付账款</t>
    <phoneticPr fontId="21" type="noConversion"/>
  </si>
  <si>
    <t>持有待售负债及其他</t>
    <phoneticPr fontId="21" type="noConversion"/>
  </si>
  <si>
    <t>专项储备及其他</t>
    <phoneticPr fontId="21" type="noConversion"/>
  </si>
  <si>
    <t>最低现金余额占营业总收入比重（%）</t>
    <phoneticPr fontId="21" type="noConversion"/>
  </si>
  <si>
    <t>衍生金融资产</t>
    <phoneticPr fontId="21" type="noConversion"/>
  </si>
  <si>
    <t>公允价值变动</t>
    <phoneticPr fontId="21" type="noConversion"/>
  </si>
  <si>
    <t>预付账款</t>
    <phoneticPr fontId="21" type="noConversion"/>
  </si>
  <si>
    <t>合同资产</t>
    <phoneticPr fontId="21" type="noConversion"/>
  </si>
  <si>
    <t>合同资产账面余额</t>
    <phoneticPr fontId="21" type="noConversion"/>
  </si>
  <si>
    <t>合同资产周转率</t>
    <phoneticPr fontId="21" type="noConversion"/>
  </si>
  <si>
    <t>合同资产减值准备</t>
    <phoneticPr fontId="21" type="noConversion"/>
  </si>
  <si>
    <t>持有待售资产及其他</t>
    <phoneticPr fontId="21" type="noConversion"/>
  </si>
  <si>
    <t>债权投资</t>
    <phoneticPr fontId="21" type="noConversion"/>
  </si>
  <si>
    <t>债权投资账面余额</t>
    <phoneticPr fontId="21" type="noConversion"/>
  </si>
  <si>
    <t>减值准备</t>
    <phoneticPr fontId="21" type="noConversion"/>
  </si>
  <si>
    <t>其他债权投资</t>
    <phoneticPr fontId="21" type="noConversion"/>
  </si>
  <si>
    <t>其他债权投资账面余额</t>
    <phoneticPr fontId="21" type="noConversion"/>
  </si>
  <si>
    <t>其他权益工具投资</t>
    <phoneticPr fontId="21" type="noConversion"/>
  </si>
  <si>
    <t>其他非流动金融资产</t>
    <phoneticPr fontId="21" type="noConversion"/>
  </si>
  <si>
    <t>固定资产账面价值</t>
    <phoneticPr fontId="21" type="noConversion"/>
  </si>
  <si>
    <t>持有待售负债及其他</t>
    <phoneticPr fontId="21" type="noConversion"/>
  </si>
  <si>
    <t>专项储备及其他</t>
    <phoneticPr fontId="21" type="noConversion"/>
  </si>
  <si>
    <t>合同资产周转率</t>
    <phoneticPr fontId="21" type="noConversion"/>
  </si>
  <si>
    <t xml:space="preserve">           应收账款</t>
    <phoneticPr fontId="21" type="noConversion"/>
  </si>
  <si>
    <t xml:space="preserve">    预付款项</t>
    <phoneticPr fontId="21" type="noConversion"/>
  </si>
  <si>
    <t>无形资产及其他长期资产净投资</t>
    <phoneticPr fontId="21" type="noConversion"/>
  </si>
  <si>
    <t>研发费用</t>
    <phoneticPr fontId="21" type="noConversion"/>
  </si>
  <si>
    <t>信用减值损失</t>
    <phoneticPr fontId="21" type="noConversion"/>
  </si>
  <si>
    <t xml:space="preserve"> 5</t>
  </si>
  <si>
    <t>信用减值损失</t>
    <phoneticPr fontId="64" type="noConversion"/>
  </si>
  <si>
    <t>净敞口套期收益</t>
    <phoneticPr fontId="64" type="noConversion"/>
  </si>
  <si>
    <t>合同资产</t>
    <phoneticPr fontId="64" type="noConversion"/>
  </si>
  <si>
    <t>资料来源：Wind，申万宏源研究</t>
    <phoneticPr fontId="64" type="noConversion"/>
  </si>
  <si>
    <t>资料来源：Wind，申万宏源研究</t>
    <phoneticPr fontId="64" type="noConversion"/>
  </si>
  <si>
    <t>营业收入</t>
    <phoneticPr fontId="64" type="noConversion"/>
  </si>
  <si>
    <r>
      <rPr>
        <sz val="10"/>
        <rFont val="宋体"/>
        <family val="3"/>
        <charset val="134"/>
      </rPr>
      <t xml:space="preserve">营业总收入 </t>
    </r>
    <phoneticPr fontId="64" type="noConversion"/>
  </si>
  <si>
    <t xml:space="preserve">税金及附加 </t>
    <phoneticPr fontId="64" type="noConversion"/>
  </si>
  <si>
    <t xml:space="preserve">研发费用 </t>
    <phoneticPr fontId="64" type="noConversion"/>
  </si>
  <si>
    <r>
      <t>少数股东损益</t>
    </r>
    <r>
      <rPr>
        <sz val="10"/>
        <rFont val="宋体"/>
        <family val="3"/>
        <charset val="134"/>
      </rPr>
      <t xml:space="preserve"> </t>
    </r>
  </si>
  <si>
    <t>加：折旧摊销减值</t>
    <phoneticPr fontId="64" type="noConversion"/>
  </si>
  <si>
    <t>汇兑收益及其他</t>
    <phoneticPr fontId="64" type="noConversion"/>
  </si>
  <si>
    <t>其他</t>
    <phoneticPr fontId="64" type="noConversion"/>
  </si>
  <si>
    <t>汇兑收益及其他</t>
    <phoneticPr fontId="64" type="noConversion"/>
  </si>
  <si>
    <t>合同负债</t>
    <phoneticPr fontId="64" type="noConversion"/>
  </si>
  <si>
    <t>合同负债</t>
    <phoneticPr fontId="64" type="noConversion"/>
  </si>
  <si>
    <t>处置子公司及其他营业单位收回现金净额</t>
    <phoneticPr fontId="64" type="noConversion"/>
  </si>
  <si>
    <t>归母净利润增长率</t>
    <phoneticPr fontId="21" type="noConversion"/>
  </si>
  <si>
    <t>汇兑收益及其他</t>
    <phoneticPr fontId="21" type="noConversion"/>
  </si>
  <si>
    <t>营业总收入同比增长</t>
    <phoneticPr fontId="64" type="noConversion"/>
  </si>
  <si>
    <t>归母净利润同比增长</t>
    <phoneticPr fontId="64" type="noConversion"/>
  </si>
  <si>
    <t>E产品</t>
    <phoneticPr fontId="64" type="noConversion"/>
  </si>
  <si>
    <t>E产品</t>
    <phoneticPr fontId="64" type="noConversion"/>
  </si>
  <si>
    <t>公允价值变动收益</t>
    <phoneticPr fontId="64" type="noConversion"/>
  </si>
  <si>
    <t>Financial Summary</t>
    <phoneticPr fontId="21" type="noConversion"/>
  </si>
  <si>
    <t>Consolidated income statement</t>
    <phoneticPr fontId="21" type="noConversion"/>
  </si>
  <si>
    <t>Rmbm</t>
    <phoneticPr fontId="21" type="noConversion"/>
  </si>
  <si>
    <t>Total revenue</t>
    <phoneticPr fontId="21" type="noConversion"/>
  </si>
  <si>
    <t>Revenue from principle operations</t>
    <phoneticPr fontId="21" type="noConversion"/>
  </si>
  <si>
    <t>Product A</t>
    <phoneticPr fontId="21" type="noConversion"/>
  </si>
  <si>
    <t>Product B</t>
    <phoneticPr fontId="21" type="noConversion"/>
  </si>
  <si>
    <t>Product C</t>
    <phoneticPr fontId="21" type="noConversion"/>
  </si>
  <si>
    <t>Product D</t>
    <phoneticPr fontId="21" type="noConversion"/>
  </si>
  <si>
    <t>Total operating cost</t>
    <phoneticPr fontId="21" type="noConversion"/>
  </si>
  <si>
    <t>Cost of sales</t>
    <phoneticPr fontId="21" type="noConversion"/>
  </si>
  <si>
    <t>Product D</t>
    <phoneticPr fontId="21" type="noConversion"/>
  </si>
  <si>
    <t>Business tax &amp; surcharges</t>
    <phoneticPr fontId="21" type="noConversion"/>
  </si>
  <si>
    <t>Selling expense</t>
    <phoneticPr fontId="21" type="noConversion"/>
  </si>
  <si>
    <t>Administrative expense</t>
    <phoneticPr fontId="21" type="noConversion"/>
  </si>
  <si>
    <t>R&amp;D expense</t>
    <phoneticPr fontId="21" type="noConversion"/>
  </si>
  <si>
    <t>Finance cost</t>
    <phoneticPr fontId="21" type="noConversion"/>
  </si>
  <si>
    <t>Impairment of assets</t>
    <phoneticPr fontId="21" type="noConversion"/>
  </si>
  <si>
    <t>Impairment of credit</t>
    <phoneticPr fontId="21" type="noConversion"/>
  </si>
  <si>
    <t>Other income</t>
    <phoneticPr fontId="21" type="noConversion"/>
  </si>
  <si>
    <t>Investment income</t>
    <phoneticPr fontId="21" type="noConversion"/>
  </si>
  <si>
    <t>Gains on net exposure hedges</t>
    <phoneticPr fontId="21" type="noConversion"/>
  </si>
  <si>
    <t>Income from changes in fair value</t>
    <phoneticPr fontId="21" type="noConversion"/>
  </si>
  <si>
    <t>Income from disposal of assets</t>
    <phoneticPr fontId="21" type="noConversion"/>
  </si>
  <si>
    <t>Operating profit</t>
    <phoneticPr fontId="21" type="noConversion"/>
  </si>
  <si>
    <t>Non-operating income and expenses</t>
    <phoneticPr fontId="21" type="noConversion"/>
  </si>
  <si>
    <t>Profit before tax</t>
    <phoneticPr fontId="21" type="noConversion"/>
  </si>
  <si>
    <t>Income tax expense</t>
    <phoneticPr fontId="21" type="noConversion"/>
  </si>
  <si>
    <t>Net profit</t>
    <phoneticPr fontId="21" type="noConversion"/>
  </si>
  <si>
    <t>Minority interest</t>
  </si>
  <si>
    <t>Net profit attributable to common shareholders</t>
    <phoneticPr fontId="21" type="noConversion"/>
  </si>
  <si>
    <t>Source: Wind, SWS Research</t>
    <phoneticPr fontId="21" type="noConversion"/>
  </si>
  <si>
    <t>Consolidated cash flow statement</t>
    <phoneticPr fontId="21" type="noConversion"/>
  </si>
  <si>
    <t>Capex and operating cash flow</t>
    <phoneticPr fontId="21" type="noConversion"/>
  </si>
  <si>
    <t>Plus: Depreciation &amp; amortization</t>
    <phoneticPr fontId="21" type="noConversion"/>
  </si>
  <si>
    <t>Non-operating loss</t>
    <phoneticPr fontId="21" type="noConversion"/>
  </si>
  <si>
    <t>Changes in working capital</t>
    <phoneticPr fontId="21" type="noConversion"/>
  </si>
  <si>
    <t>Other</t>
    <phoneticPr fontId="21" type="noConversion"/>
  </si>
  <si>
    <t>Cash flow from operating activities</t>
    <phoneticPr fontId="21" type="noConversion"/>
  </si>
  <si>
    <t>Capex</t>
    <phoneticPr fontId="21" type="noConversion"/>
  </si>
  <si>
    <t>Cash paid related to other operating activities</t>
    <phoneticPr fontId="21" type="noConversion"/>
  </si>
  <si>
    <t>Cash flow from investing activities</t>
    <phoneticPr fontId="21" type="noConversion"/>
  </si>
  <si>
    <t>Proceeds from share issuance</t>
    <phoneticPr fontId="21" type="noConversion"/>
  </si>
  <si>
    <t>Change in debts</t>
    <phoneticPr fontId="21" type="noConversion"/>
  </si>
  <si>
    <t>Dividends paid</t>
    <phoneticPr fontId="21" type="noConversion"/>
  </si>
  <si>
    <t>Cash flow from financing activities</t>
    <phoneticPr fontId="21" type="noConversion"/>
  </si>
  <si>
    <t>Net cash flow</t>
    <phoneticPr fontId="21" type="noConversion"/>
  </si>
  <si>
    <r>
      <rPr>
        <b/>
        <sz val="10"/>
        <color indexed="10"/>
        <rFont val="Arial"/>
        <family val="2"/>
      </rPr>
      <t>输出：第一页与第二页分隔线</t>
    </r>
  </si>
  <si>
    <t>Consolidated balance sheet</t>
    <phoneticPr fontId="21" type="noConversion"/>
  </si>
  <si>
    <t>Operating profit margin (%)</t>
    <phoneticPr fontId="21" type="noConversion"/>
  </si>
  <si>
    <t>Current assets</t>
    <phoneticPr fontId="21" type="noConversion"/>
  </si>
  <si>
    <t>Cash and cash equivalents</t>
    <phoneticPr fontId="21" type="noConversion"/>
  </si>
  <si>
    <t>Operational receivables</t>
    <phoneticPr fontId="21" type="noConversion"/>
  </si>
  <si>
    <t>Inventories</t>
    <phoneticPr fontId="21" type="noConversion"/>
  </si>
  <si>
    <t>Contract assets</t>
    <phoneticPr fontId="21" type="noConversion"/>
  </si>
  <si>
    <t>Other current assets</t>
    <phoneticPr fontId="21" type="noConversion"/>
  </si>
  <si>
    <t>Long-term investment</t>
    <phoneticPr fontId="21" type="noConversion"/>
  </si>
  <si>
    <t>Fixed assets</t>
    <phoneticPr fontId="21" type="noConversion"/>
  </si>
  <si>
    <t>Intangibles &amp; other assets</t>
    <phoneticPr fontId="21" type="noConversion"/>
  </si>
  <si>
    <t>Total assets</t>
    <phoneticPr fontId="21" type="noConversion"/>
  </si>
  <si>
    <t>Current liabilities</t>
    <phoneticPr fontId="21" type="noConversion"/>
  </si>
  <si>
    <t>Short-term debts</t>
    <phoneticPr fontId="21" type="noConversion"/>
  </si>
  <si>
    <t>Operational payables</t>
    <phoneticPr fontId="21" type="noConversion"/>
  </si>
  <si>
    <t>Other current liabilities</t>
    <phoneticPr fontId="21" type="noConversion"/>
  </si>
  <si>
    <t>Investment return (%)</t>
    <phoneticPr fontId="21" type="noConversion"/>
  </si>
  <si>
    <t>Non-current liabilities</t>
    <phoneticPr fontId="21" type="noConversion"/>
  </si>
  <si>
    <t>Total liabilities</t>
    <phoneticPr fontId="21" type="noConversion"/>
  </si>
  <si>
    <t>Share capital</t>
    <phoneticPr fontId="21" type="noConversion"/>
  </si>
  <si>
    <t>Other equity instruments</t>
    <phoneticPr fontId="21" type="noConversion"/>
  </si>
  <si>
    <t>Capital reserve</t>
    <phoneticPr fontId="21" type="noConversion"/>
  </si>
  <si>
    <t>Other comprehensive income</t>
    <phoneticPr fontId="21" type="noConversion"/>
  </si>
  <si>
    <t>Surplus reserve</t>
    <phoneticPr fontId="21" type="noConversion"/>
  </si>
  <si>
    <t>Retained earnings</t>
    <phoneticPr fontId="21" type="noConversion"/>
  </si>
  <si>
    <t>Shareholders' equity</t>
    <phoneticPr fontId="21" type="noConversion"/>
  </si>
  <si>
    <t>Total liabilities and equity</t>
    <phoneticPr fontId="21" type="noConversion"/>
  </si>
  <si>
    <t>Key performance indicators</t>
    <phoneticPr fontId="21" type="noConversion"/>
  </si>
  <si>
    <t>Revenue and net profit growth (YoY%)</t>
    <phoneticPr fontId="21" type="noConversion"/>
  </si>
  <si>
    <t>Per-share indicators (Rmb)</t>
  </si>
  <si>
    <t>Operating cash flow per share</t>
    <phoneticPr fontId="21" type="noConversion"/>
  </si>
  <si>
    <t>Dividend per share</t>
    <phoneticPr fontId="21" type="noConversion"/>
  </si>
  <si>
    <t>Book value per share</t>
    <phoneticPr fontId="21" type="noConversion"/>
  </si>
  <si>
    <t>Operating indicators (%)</t>
    <phoneticPr fontId="21" type="noConversion"/>
  </si>
  <si>
    <t>Gross margin</t>
    <phoneticPr fontId="21" type="noConversion"/>
  </si>
  <si>
    <t>EBITDA margin</t>
    <phoneticPr fontId="21" type="noConversion"/>
  </si>
  <si>
    <t>EBIT margin</t>
    <phoneticPr fontId="21" type="noConversion"/>
  </si>
  <si>
    <t>Revenue growth (YoY)</t>
    <phoneticPr fontId="21" type="noConversion"/>
  </si>
  <si>
    <t>Net profit growth (YoY)</t>
    <phoneticPr fontId="21" type="noConversion"/>
  </si>
  <si>
    <t>Relative valuation (x)</t>
    <phoneticPr fontId="21" type="noConversion"/>
  </si>
  <si>
    <t>Debt-to-asset ratio</t>
    <phoneticPr fontId="21" type="noConversion"/>
  </si>
  <si>
    <t>Net asset turnover</t>
    <phoneticPr fontId="21" type="noConversion"/>
  </si>
  <si>
    <t>Asset turnover</t>
    <phoneticPr fontId="21" type="noConversion"/>
  </si>
  <si>
    <t>Effective tax rate</t>
    <phoneticPr fontId="21" type="noConversion"/>
  </si>
  <si>
    <t>Dividend yield</t>
    <phoneticPr fontId="21" type="noConversion"/>
  </si>
  <si>
    <t>Valuation indicators (x)</t>
    <phoneticPr fontId="21" type="noConversion"/>
  </si>
  <si>
    <t>EV/Sales</t>
    <phoneticPr fontId="21" type="noConversion"/>
  </si>
  <si>
    <t>EV/EBITDA</t>
    <phoneticPr fontId="21" type="noConversion"/>
  </si>
  <si>
    <r>
      <rPr>
        <b/>
        <sz val="10"/>
        <color indexed="10"/>
        <rFont val="Arial"/>
        <family val="2"/>
      </rPr>
      <t>输出：第二页完</t>
    </r>
  </si>
  <si>
    <t>Product E</t>
    <phoneticPr fontId="21" type="noConversion"/>
  </si>
  <si>
    <t>Product E</t>
    <phoneticPr fontId="21" type="noConversion"/>
  </si>
  <si>
    <t>申银万国财务预测与估值模型(5.0.4版本)使用说明</t>
    <phoneticPr fontId="21" type="noConversion"/>
  </si>
  <si>
    <t>信用减值损失（损失以“-”填列）</t>
    <phoneticPr fontId="64" type="noConversion"/>
  </si>
  <si>
    <t>资产减值损失（损失以“-”填列）</t>
    <phoneticPr fontId="21" type="noConversion"/>
  </si>
  <si>
    <t>信用减值损失（损失以“-”填列）</t>
    <phoneticPr fontId="64" type="noConversion"/>
  </si>
  <si>
    <t xml:space="preserve"> 其中： 应收票据、应收账款及应收款项融资</t>
    <phoneticPr fontId="21" type="noConversion"/>
  </si>
  <si>
    <t xml:space="preserve">           应收票据及应收款项融资</t>
    <phoneticPr fontId="21" type="noConversion"/>
  </si>
  <si>
    <t>使用权资产及其他</t>
    <phoneticPr fontId="21" type="noConversion"/>
  </si>
  <si>
    <t>租赁负债及其他</t>
    <phoneticPr fontId="21" type="noConversion"/>
  </si>
  <si>
    <t>应收票据、应收账款及应收款项融资</t>
    <phoneticPr fontId="64" type="noConversion"/>
  </si>
  <si>
    <t>应收票据及应收款项融资</t>
    <phoneticPr fontId="21" type="noConversion"/>
  </si>
  <si>
    <t>使用权资产及其他</t>
    <phoneticPr fontId="64" type="noConversion"/>
  </si>
  <si>
    <t>租赁负债及其他</t>
    <phoneticPr fontId="64" type="noConversion"/>
  </si>
  <si>
    <t>603806</t>
    <phoneticPr fontId="21" type="noConversion"/>
  </si>
  <si>
    <t>=</t>
    <phoneticPr fontId="64" type="noConversion"/>
  </si>
  <si>
    <t>福斯特</t>
  </si>
  <si>
    <t>电气设备/电源设备/光伏设备</t>
  </si>
  <si>
    <t>任慕华</t>
  </si>
  <si>
    <t>n.a.</t>
  </si>
  <si>
    <t>=</t>
    <phoneticPr fontId="64" type="noConversion"/>
  </si>
  <si>
    <t>=</t>
    <phoneticPr fontId="64" type="noConversion"/>
  </si>
  <si>
    <t>=</t>
    <phoneticPr fontId="64" type="noConversion"/>
  </si>
  <si>
    <t>=</t>
    <phoneticPr fontId="64" type="noConversion"/>
  </si>
  <si>
    <t>32.16/54.46</t>
  </si>
</sst>
</file>

<file path=xl/styles.xml><?xml version="1.0" encoding="utf-8"?>
<styleSheet xmlns="http://schemas.openxmlformats.org/spreadsheetml/2006/main" xmlns:mc="http://schemas.openxmlformats.org/markup-compatibility/2006" xmlns:x14ac="http://schemas.microsoft.com/office/spreadsheetml/2009/9/ac" mc:Ignorable="x14ac">
  <numFmts count="29">
    <numFmt numFmtId="176" formatCode="_-* #,##0.00_-;\-* #,##0.00_-;_-* &quot;-&quot;??_-;_-@_-"/>
    <numFmt numFmtId="177" formatCode="0.0_);[Red]\(0.0\)"/>
    <numFmt numFmtId="178" formatCode="_(* #,##0.0_);_(* \(#,##0.0\);_(* &quot;-&quot;??_);_(@_)"/>
    <numFmt numFmtId="179" formatCode="0_ "/>
    <numFmt numFmtId="180" formatCode="0.0%"/>
    <numFmt numFmtId="181" formatCode="0.00_);[Red]\(0.00\)"/>
    <numFmt numFmtId="182" formatCode="0.0_ "/>
    <numFmt numFmtId="183" formatCode="0.00_ "/>
    <numFmt numFmtId="184" formatCode="0_);[Red]\(0\)"/>
    <numFmt numFmtId="185" formatCode="#,##0_ "/>
    <numFmt numFmtId="186" formatCode="#,##0.00;\(#,##0.00\)"/>
    <numFmt numFmtId="187" formatCode="#,##0;\(#,##0\)"/>
    <numFmt numFmtId="188" formatCode="_-* #,##0.00_-;[Red]\(#,##0.00\);_-* &quot;-&quot;_-;_-@_-"/>
    <numFmt numFmtId="189" formatCode="_-* #,##0_-;[Red]\(#,##0\);_-* &quot;-&quot;_-;_-@_-"/>
    <numFmt numFmtId="190" formatCode="000000"/>
    <numFmt numFmtId="191" formatCode="#,##0.0_);[Red]\(#,##0.0\)"/>
    <numFmt numFmtId="192" formatCode="#,##0.00_ "/>
    <numFmt numFmtId="193" formatCode="0.0"/>
    <numFmt numFmtId="194" formatCode="#,##0.00_ ;[Red]\-#,##0.00\ "/>
    <numFmt numFmtId="195" formatCode="###,###,##0"/>
    <numFmt numFmtId="196" formatCode="#,##0_ ;[Red]\-#,##0\ "/>
    <numFmt numFmtId="197" formatCode="yyyy/mm/dd"/>
    <numFmt numFmtId="198" formatCode="#,##0.0"/>
    <numFmt numFmtId="199" formatCode="#,##0.0;\(#,##0.0\)"/>
    <numFmt numFmtId="200" formatCode="###,##0_ "/>
    <numFmt numFmtId="201" formatCode="###,##0.00_ "/>
    <numFmt numFmtId="202" formatCode="0.000_ "/>
    <numFmt numFmtId="203" formatCode="0.000_);[Red]\(0.000\)"/>
    <numFmt numFmtId="204" formatCode="0.0000_ "/>
  </numFmts>
  <fonts count="141">
    <font>
      <sz val="12"/>
      <name val="宋体"/>
      <charset val="134"/>
    </font>
    <font>
      <b/>
      <sz val="11"/>
      <name val="宋体"/>
      <family val="3"/>
      <charset val="134"/>
    </font>
    <font>
      <sz val="11"/>
      <name val="宋体"/>
      <family val="3"/>
      <charset val="134"/>
    </font>
    <font>
      <b/>
      <sz val="10"/>
      <name val="Times New Roman"/>
      <family val="1"/>
    </font>
    <font>
      <b/>
      <sz val="10"/>
      <name val="宋体"/>
      <family val="3"/>
      <charset val="134"/>
    </font>
    <font>
      <sz val="10"/>
      <name val="宋体"/>
      <family val="3"/>
      <charset val="134"/>
    </font>
    <font>
      <sz val="11"/>
      <name val="Times New Roman"/>
      <family val="1"/>
    </font>
    <font>
      <sz val="10"/>
      <name val="Arial"/>
      <family val="2"/>
    </font>
    <font>
      <b/>
      <sz val="10"/>
      <color indexed="10"/>
      <name val="Times New Roman"/>
      <family val="1"/>
    </font>
    <font>
      <b/>
      <sz val="10"/>
      <color indexed="10"/>
      <name val="宋体"/>
      <family val="3"/>
      <charset val="134"/>
    </font>
    <font>
      <b/>
      <sz val="10"/>
      <color indexed="8"/>
      <name val="宋体"/>
      <family val="3"/>
      <charset val="134"/>
    </font>
    <font>
      <sz val="12"/>
      <color indexed="9"/>
      <name val="Times New Roman"/>
      <family val="1"/>
    </font>
    <font>
      <sz val="12"/>
      <color indexed="9"/>
      <name val="黑体"/>
      <family val="3"/>
      <charset val="134"/>
    </font>
    <font>
      <sz val="9"/>
      <name val="黑体"/>
      <family val="3"/>
      <charset val="134"/>
    </font>
    <font>
      <sz val="10"/>
      <color indexed="18"/>
      <name val="Times New Roman"/>
      <family val="1"/>
    </font>
    <font>
      <sz val="9"/>
      <name val="Times New Roman"/>
      <family val="1"/>
    </font>
    <font>
      <sz val="10"/>
      <color indexed="18"/>
      <name val="黑体"/>
      <family val="3"/>
      <charset val="134"/>
    </font>
    <font>
      <i/>
      <sz val="10"/>
      <name val="Times New Roman"/>
      <family val="1"/>
    </font>
    <font>
      <i/>
      <sz val="10"/>
      <name val="宋体"/>
      <family val="3"/>
      <charset val="134"/>
    </font>
    <font>
      <sz val="10"/>
      <color indexed="8"/>
      <name val="宋体"/>
      <family val="3"/>
      <charset val="134"/>
    </font>
    <font>
      <sz val="10"/>
      <color indexed="8"/>
      <name val="Times New Roman"/>
      <family val="1"/>
    </font>
    <font>
      <sz val="9"/>
      <name val="宋体"/>
      <family val="3"/>
      <charset val="134"/>
    </font>
    <font>
      <sz val="9"/>
      <name val="Arial"/>
      <family val="2"/>
    </font>
    <font>
      <b/>
      <sz val="12"/>
      <name val="宋体"/>
      <family val="3"/>
      <charset val="134"/>
    </font>
    <font>
      <sz val="10"/>
      <name val="Times New Roman"/>
      <family val="1"/>
    </font>
    <font>
      <b/>
      <sz val="12"/>
      <color indexed="9"/>
      <name val="黑体"/>
      <family val="3"/>
      <charset val="134"/>
    </font>
    <font>
      <b/>
      <sz val="10"/>
      <color indexed="8"/>
      <name val="Times New Roman"/>
      <family val="1"/>
    </font>
    <font>
      <b/>
      <sz val="12"/>
      <color indexed="9"/>
      <name val="Times New Roman"/>
      <family val="1"/>
    </font>
    <font>
      <b/>
      <sz val="12"/>
      <color indexed="9"/>
      <name val="宋体"/>
      <family val="3"/>
      <charset val="134"/>
    </font>
    <font>
      <sz val="12"/>
      <name val="Times New Roman"/>
      <family val="1"/>
    </font>
    <font>
      <sz val="10"/>
      <name val="Helv"/>
      <family val="2"/>
    </font>
    <font>
      <sz val="10"/>
      <name val="MS Sans Serif"/>
      <family val="2"/>
    </font>
    <font>
      <u/>
      <sz val="12"/>
      <color indexed="12"/>
      <name val="宋体"/>
      <family val="3"/>
      <charset val="134"/>
    </font>
    <font>
      <sz val="10"/>
      <color indexed="9"/>
      <name val="Times New Roman"/>
      <family val="1"/>
    </font>
    <font>
      <sz val="9"/>
      <color indexed="9"/>
      <name val="Times New Roman"/>
      <family val="1"/>
    </font>
    <font>
      <sz val="9"/>
      <color indexed="12"/>
      <name val="Times New Roman"/>
      <family val="1"/>
    </font>
    <font>
      <sz val="12"/>
      <color indexed="9"/>
      <name val="宋体"/>
      <family val="3"/>
      <charset val="134"/>
    </font>
    <font>
      <sz val="10.5"/>
      <name val="宋体"/>
      <family val="3"/>
      <charset val="134"/>
    </font>
    <font>
      <b/>
      <sz val="10.5"/>
      <name val="黑体"/>
      <family val="3"/>
      <charset val="134"/>
    </font>
    <font>
      <sz val="16"/>
      <name val="宋体"/>
      <family val="3"/>
      <charset val="134"/>
    </font>
    <font>
      <b/>
      <sz val="16"/>
      <color indexed="18"/>
      <name val="黑体"/>
      <family val="3"/>
      <charset val="134"/>
    </font>
    <font>
      <sz val="9"/>
      <color indexed="12"/>
      <name val="宋体"/>
      <family val="3"/>
      <charset val="134"/>
    </font>
    <font>
      <b/>
      <sz val="9"/>
      <name val="Times New Roman"/>
      <family val="1"/>
    </font>
    <font>
      <sz val="10"/>
      <color indexed="10"/>
      <name val="Times New Roman"/>
      <family val="1"/>
    </font>
    <font>
      <i/>
      <sz val="12"/>
      <name val="Times New Roman"/>
      <family val="1"/>
    </font>
    <font>
      <sz val="12"/>
      <color indexed="12"/>
      <name val="Times New Roman"/>
      <family val="1"/>
    </font>
    <font>
      <b/>
      <sz val="12"/>
      <color indexed="12"/>
      <name val="Times New Roman"/>
      <family val="1"/>
    </font>
    <font>
      <sz val="10"/>
      <color indexed="12"/>
      <name val="Times New Roman"/>
      <family val="1"/>
    </font>
    <font>
      <sz val="12"/>
      <color indexed="12"/>
      <name val="黑体"/>
      <family val="3"/>
      <charset val="134"/>
    </font>
    <font>
      <sz val="9"/>
      <color indexed="10"/>
      <name val="Times New Roman"/>
      <family val="1"/>
    </font>
    <font>
      <sz val="12"/>
      <color indexed="10"/>
      <name val="黑体"/>
      <family val="3"/>
      <charset val="134"/>
    </font>
    <font>
      <b/>
      <sz val="10"/>
      <color indexed="12"/>
      <name val="Times New Roman"/>
      <family val="1"/>
    </font>
    <font>
      <sz val="12"/>
      <color indexed="10"/>
      <name val="Times New Roman"/>
      <family val="1"/>
    </font>
    <font>
      <sz val="10"/>
      <color indexed="44"/>
      <name val="宋体"/>
      <family val="3"/>
      <charset val="134"/>
    </font>
    <font>
      <b/>
      <u/>
      <sz val="10"/>
      <name val="宋体"/>
      <family val="3"/>
      <charset val="134"/>
    </font>
    <font>
      <sz val="12"/>
      <color indexed="10"/>
      <name val="宋体"/>
      <family val="3"/>
      <charset val="134"/>
    </font>
    <font>
      <b/>
      <sz val="12"/>
      <color indexed="10"/>
      <name val="宋体"/>
      <family val="3"/>
      <charset val="134"/>
    </font>
    <font>
      <sz val="8"/>
      <name val="Arial"/>
      <family val="2"/>
    </font>
    <font>
      <sz val="8"/>
      <color indexed="8"/>
      <name val="Arial"/>
      <family val="2"/>
    </font>
    <font>
      <sz val="9"/>
      <color indexed="8"/>
      <name val="Arial"/>
      <family val="2"/>
    </font>
    <font>
      <sz val="12"/>
      <color indexed="46"/>
      <name val="黑体"/>
      <family val="3"/>
      <charset val="134"/>
    </font>
    <font>
      <b/>
      <sz val="10"/>
      <color indexed="8"/>
      <name val="Arial"/>
      <family val="2"/>
    </font>
    <font>
      <b/>
      <sz val="10"/>
      <name val="Arial"/>
      <family val="2"/>
    </font>
    <font>
      <sz val="10"/>
      <color indexed="22"/>
      <name val="宋体"/>
      <family val="3"/>
      <charset val="134"/>
    </font>
    <font>
      <sz val="9"/>
      <name val="宋体"/>
      <family val="3"/>
      <charset val="134"/>
    </font>
    <font>
      <sz val="12"/>
      <name val="宋体"/>
      <family val="3"/>
      <charset val="134"/>
    </font>
    <font>
      <sz val="7.5"/>
      <color indexed="18"/>
      <name val="宋体"/>
      <family val="3"/>
      <charset val="134"/>
    </font>
    <font>
      <b/>
      <sz val="12"/>
      <name val="黑体"/>
      <family val="3"/>
      <charset val="134"/>
    </font>
    <font>
      <sz val="12"/>
      <name val="黑体"/>
      <family val="3"/>
      <charset val="134"/>
    </font>
    <font>
      <sz val="10"/>
      <color indexed="9"/>
      <name val="Arial"/>
      <family val="2"/>
    </font>
    <font>
      <sz val="10"/>
      <color indexed="8"/>
      <name val="Arial"/>
      <family val="2"/>
    </font>
    <font>
      <sz val="10"/>
      <name val="黑体"/>
      <family val="3"/>
      <charset val="134"/>
    </font>
    <font>
      <sz val="12"/>
      <color indexed="32"/>
      <name val="黑体"/>
      <family val="3"/>
      <charset val="134"/>
    </font>
    <font>
      <b/>
      <sz val="10"/>
      <color indexed="9"/>
      <name val="Arial"/>
      <family val="2"/>
    </font>
    <font>
      <b/>
      <sz val="10"/>
      <color indexed="9"/>
      <name val="黑体"/>
      <family val="3"/>
      <charset val="134"/>
    </font>
    <font>
      <sz val="10"/>
      <color indexed="10"/>
      <name val="Arial"/>
      <family val="2"/>
    </font>
    <font>
      <sz val="10"/>
      <color indexed="18"/>
      <name val="Arial"/>
      <family val="2"/>
    </font>
    <font>
      <b/>
      <sz val="10"/>
      <color indexed="32"/>
      <name val="Arial"/>
      <family val="2"/>
    </font>
    <font>
      <b/>
      <sz val="10"/>
      <color indexed="10"/>
      <name val="Arial"/>
      <family val="2"/>
    </font>
    <font>
      <i/>
      <sz val="10"/>
      <name val="Arial"/>
      <family val="2"/>
    </font>
    <font>
      <sz val="12"/>
      <color indexed="9"/>
      <name val="Arial"/>
      <family val="2"/>
    </font>
    <font>
      <sz val="10"/>
      <color indexed="12"/>
      <name val="Arial"/>
      <family val="2"/>
    </font>
    <font>
      <sz val="12"/>
      <color indexed="12"/>
      <name val="Arial"/>
      <family val="2"/>
    </font>
    <font>
      <sz val="12"/>
      <name val="Arial"/>
      <family val="2"/>
    </font>
    <font>
      <i/>
      <sz val="10"/>
      <color indexed="9"/>
      <name val="Arial"/>
      <family val="2"/>
    </font>
    <font>
      <sz val="10"/>
      <color indexed="9"/>
      <name val="黑体"/>
      <family val="3"/>
      <charset val="134"/>
    </font>
    <font>
      <u/>
      <sz val="10"/>
      <color indexed="9"/>
      <name val="Arial"/>
      <family val="2"/>
    </font>
    <font>
      <sz val="14"/>
      <name val="Arial"/>
      <family val="2"/>
    </font>
    <font>
      <sz val="12"/>
      <color indexed="46"/>
      <name val="Arial"/>
      <family val="2"/>
    </font>
    <font>
      <i/>
      <sz val="12"/>
      <name val="Arial"/>
      <family val="2"/>
    </font>
    <font>
      <i/>
      <sz val="10"/>
      <color indexed="8"/>
      <name val="Arial"/>
      <family val="2"/>
    </font>
    <font>
      <sz val="9"/>
      <name val="微软雅黑"/>
      <family val="2"/>
      <charset val="134"/>
    </font>
    <font>
      <sz val="12"/>
      <name val="微软雅黑"/>
      <family val="2"/>
      <charset val="134"/>
    </font>
    <font>
      <sz val="9"/>
      <color theme="2" tint="-0.499984740745262"/>
      <name val="宋体"/>
      <family val="3"/>
      <charset val="134"/>
    </font>
    <font>
      <sz val="10"/>
      <color rgb="FFFF0000"/>
      <name val="Arial"/>
      <family val="2"/>
    </font>
    <font>
      <b/>
      <sz val="12"/>
      <color theme="0"/>
      <name val="黑体"/>
      <family val="3"/>
      <charset val="134"/>
    </font>
    <font>
      <sz val="10"/>
      <color theme="2" tint="-0.499984740745262"/>
      <name val="Arial"/>
      <family val="2"/>
    </font>
    <font>
      <sz val="12"/>
      <color theme="2" tint="-0.499984740745262"/>
      <name val="黑体"/>
      <family val="3"/>
      <charset val="134"/>
    </font>
    <font>
      <sz val="10"/>
      <color theme="0"/>
      <name val="Arial"/>
      <family val="2"/>
    </font>
    <font>
      <sz val="9"/>
      <color rgb="FF404040"/>
      <name val="楷体"/>
      <family val="3"/>
      <charset val="134"/>
    </font>
    <font>
      <sz val="9"/>
      <name val="楷体"/>
      <family val="3"/>
      <charset val="134"/>
    </font>
    <font>
      <b/>
      <sz val="9"/>
      <color indexed="56"/>
      <name val="楷体"/>
      <family val="3"/>
      <charset val="134"/>
    </font>
    <font>
      <sz val="10"/>
      <name val="宋体"/>
      <family val="3"/>
      <charset val="134"/>
      <scheme val="major"/>
    </font>
    <font>
      <sz val="10"/>
      <color rgb="FF404040"/>
      <name val="宋体"/>
      <family val="3"/>
      <charset val="134"/>
      <scheme val="major"/>
    </font>
    <font>
      <sz val="9"/>
      <color rgb="FF404040"/>
      <name val="宋体"/>
      <family val="3"/>
      <charset val="134"/>
    </font>
    <font>
      <b/>
      <sz val="9"/>
      <color indexed="81"/>
      <name val="宋体"/>
      <family val="3"/>
      <charset val="134"/>
    </font>
    <font>
      <sz val="10"/>
      <color theme="0"/>
      <name val="Times New Roman"/>
      <family val="1"/>
    </font>
    <font>
      <sz val="12"/>
      <color theme="0"/>
      <name val="黑体"/>
      <family val="3"/>
      <charset val="134"/>
    </font>
    <font>
      <sz val="9"/>
      <color indexed="81"/>
      <name val="宋体"/>
      <family val="3"/>
      <charset val="134"/>
    </font>
    <font>
      <b/>
      <sz val="9"/>
      <name val="宋体"/>
      <family val="3"/>
      <charset val="134"/>
    </font>
    <font>
      <sz val="9"/>
      <color rgb="FF404040"/>
      <name val="宋体"/>
      <family val="3"/>
      <charset val="134"/>
      <scheme val="minor"/>
    </font>
    <font>
      <sz val="9"/>
      <name val="宋体"/>
      <family val="3"/>
      <charset val="134"/>
      <scheme val="minor"/>
    </font>
    <font>
      <b/>
      <sz val="10"/>
      <name val="宋体"/>
      <family val="3"/>
      <charset val="134"/>
      <scheme val="major"/>
    </font>
    <font>
      <sz val="10"/>
      <color rgb="FF404040"/>
      <name val="宋体"/>
      <family val="3"/>
      <charset val="134"/>
    </font>
    <font>
      <b/>
      <sz val="10"/>
      <color rgb="FF404040"/>
      <name val="宋体"/>
      <family val="3"/>
      <charset val="134"/>
    </font>
    <font>
      <b/>
      <sz val="14"/>
      <name val="宋体"/>
      <family val="3"/>
      <charset val="134"/>
    </font>
    <font>
      <sz val="14"/>
      <name val="宋体"/>
      <family val="3"/>
      <charset val="134"/>
    </font>
    <font>
      <sz val="10"/>
      <color indexed="10"/>
      <name val="宋体"/>
      <family val="3"/>
      <charset val="134"/>
    </font>
    <font>
      <sz val="9"/>
      <color indexed="8"/>
      <name val="宋体"/>
      <family val="3"/>
      <charset val="134"/>
    </font>
    <font>
      <sz val="10"/>
      <name val="宋体"/>
      <family val="3"/>
      <charset val="134"/>
      <scheme val="minor"/>
    </font>
    <font>
      <sz val="12"/>
      <name val="宋体"/>
      <family val="3"/>
      <charset val="134"/>
      <scheme val="minor"/>
    </font>
    <font>
      <b/>
      <sz val="10"/>
      <name val="宋体"/>
      <family val="3"/>
      <charset val="134"/>
      <scheme val="minor"/>
    </font>
    <font>
      <sz val="12"/>
      <color indexed="9"/>
      <name val="宋体"/>
      <family val="3"/>
      <charset val="134"/>
      <scheme val="minor"/>
    </font>
    <font>
      <sz val="9"/>
      <color indexed="10"/>
      <name val="Calibri"/>
      <family val="2"/>
    </font>
    <font>
      <sz val="9"/>
      <name val="Calibri"/>
      <family val="2"/>
    </font>
    <font>
      <sz val="16"/>
      <name val="Calibri"/>
      <family val="2"/>
    </font>
    <font>
      <b/>
      <sz val="16"/>
      <color indexed="18"/>
      <name val="Calibri"/>
      <family val="2"/>
    </font>
    <font>
      <sz val="9"/>
      <color indexed="9"/>
      <name val="Calibri"/>
      <family val="2"/>
    </font>
    <font>
      <sz val="9"/>
      <color indexed="12"/>
      <name val="Calibri"/>
      <family val="2"/>
    </font>
    <font>
      <sz val="12"/>
      <color indexed="32"/>
      <name val="Calibri"/>
      <family val="2"/>
    </font>
    <font>
      <b/>
      <sz val="10"/>
      <color rgb="FFFFFFFF"/>
      <name val="Calibri"/>
      <family val="2"/>
    </font>
    <font>
      <b/>
      <sz val="10"/>
      <color indexed="9"/>
      <name val="Calibri"/>
      <family val="2"/>
    </font>
    <font>
      <sz val="10"/>
      <name val="Calibri"/>
      <family val="2"/>
    </font>
    <font>
      <sz val="10"/>
      <color indexed="18"/>
      <name val="Calibri"/>
      <family val="2"/>
    </font>
    <font>
      <sz val="10.5"/>
      <name val="Calibri"/>
      <family val="2"/>
    </font>
    <font>
      <sz val="10"/>
      <color indexed="8"/>
      <name val="Calibri"/>
      <family val="2"/>
    </font>
    <font>
      <b/>
      <sz val="10"/>
      <color rgb="FF000080"/>
      <name val="Calibri"/>
      <family val="2"/>
    </font>
    <font>
      <b/>
      <sz val="10"/>
      <color indexed="32"/>
      <name val="Calibri"/>
      <family val="2"/>
    </font>
    <font>
      <b/>
      <sz val="10"/>
      <color indexed="10"/>
      <name val="Calibri"/>
      <family val="2"/>
    </font>
    <font>
      <b/>
      <sz val="9"/>
      <name val="Calibri"/>
      <family val="2"/>
    </font>
    <font>
      <b/>
      <sz val="10"/>
      <name val="Calibri"/>
      <family val="2"/>
    </font>
  </fonts>
  <fills count="28">
    <fill>
      <patternFill patternType="none"/>
    </fill>
    <fill>
      <patternFill patternType="gray125"/>
    </fill>
    <fill>
      <patternFill patternType="solid">
        <fgColor indexed="9"/>
        <bgColor indexed="64"/>
      </patternFill>
    </fill>
    <fill>
      <patternFill patternType="solid">
        <fgColor indexed="26"/>
        <bgColor indexed="64"/>
      </patternFill>
    </fill>
    <fill>
      <patternFill patternType="solid">
        <fgColor indexed="42"/>
        <bgColor indexed="64"/>
      </patternFill>
    </fill>
    <fill>
      <patternFill patternType="solid">
        <fgColor indexed="47"/>
        <bgColor indexed="64"/>
      </patternFill>
    </fill>
    <fill>
      <patternFill patternType="solid">
        <fgColor indexed="31"/>
        <bgColor indexed="64"/>
      </patternFill>
    </fill>
    <fill>
      <patternFill patternType="solid">
        <fgColor indexed="12"/>
        <bgColor indexed="64"/>
      </patternFill>
    </fill>
    <fill>
      <patternFill patternType="solid">
        <fgColor indexed="52"/>
        <bgColor indexed="64"/>
      </patternFill>
    </fill>
    <fill>
      <patternFill patternType="solid">
        <fgColor indexed="62"/>
        <bgColor indexed="64"/>
      </patternFill>
    </fill>
    <fill>
      <patternFill patternType="solid">
        <fgColor indexed="10"/>
        <bgColor indexed="64"/>
      </patternFill>
    </fill>
    <fill>
      <patternFill patternType="solid">
        <fgColor indexed="43"/>
        <bgColor indexed="64"/>
      </patternFill>
    </fill>
    <fill>
      <patternFill patternType="solid">
        <fgColor indexed="55"/>
        <bgColor indexed="64"/>
      </patternFill>
    </fill>
    <fill>
      <patternFill patternType="solid">
        <fgColor indexed="27"/>
        <bgColor indexed="64"/>
      </patternFill>
    </fill>
    <fill>
      <patternFill patternType="solid">
        <fgColor indexed="22"/>
        <bgColor indexed="64"/>
      </patternFill>
    </fill>
    <fill>
      <patternFill patternType="solid">
        <fgColor indexed="65"/>
        <bgColor indexed="64"/>
      </patternFill>
    </fill>
    <fill>
      <patternFill patternType="solid">
        <fgColor indexed="41"/>
        <bgColor indexed="64"/>
      </patternFill>
    </fill>
    <fill>
      <patternFill patternType="solid">
        <fgColor indexed="48"/>
        <bgColor indexed="64"/>
      </patternFill>
    </fill>
    <fill>
      <patternFill patternType="solid">
        <fgColor theme="3" tint="0.79998168889431442"/>
        <bgColor indexed="64"/>
      </patternFill>
    </fill>
    <fill>
      <patternFill patternType="solid">
        <fgColor rgb="FF0000FF"/>
        <bgColor indexed="64"/>
      </patternFill>
    </fill>
    <fill>
      <patternFill patternType="solid">
        <fgColor theme="6" tint="0.79998168889431442"/>
        <bgColor indexed="64"/>
      </patternFill>
    </fill>
    <fill>
      <patternFill patternType="solid">
        <fgColor rgb="FFCCFFCC"/>
        <bgColor indexed="64"/>
      </patternFill>
    </fill>
    <fill>
      <patternFill patternType="solid">
        <fgColor theme="0" tint="-4.9989318521683403E-2"/>
        <bgColor indexed="64"/>
      </patternFill>
    </fill>
    <fill>
      <patternFill patternType="solid">
        <fgColor rgb="FFFFCC99"/>
        <bgColor indexed="64"/>
      </patternFill>
    </fill>
    <fill>
      <patternFill patternType="solid">
        <fgColor rgb="FFCCCCFF"/>
        <bgColor indexed="64"/>
      </patternFill>
    </fill>
    <fill>
      <patternFill patternType="solid">
        <fgColor rgb="FFFFFFCC"/>
        <bgColor indexed="64"/>
      </patternFill>
    </fill>
    <fill>
      <patternFill patternType="solid">
        <fgColor rgb="FFFFFFFF"/>
        <bgColor indexed="64"/>
      </patternFill>
    </fill>
    <fill>
      <patternFill patternType="solid">
        <fgColor rgb="FF3333FF"/>
        <bgColor indexed="64"/>
      </patternFill>
    </fill>
  </fills>
  <borders count="201">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medium">
        <color indexed="64"/>
      </left>
      <right/>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style="medium">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top/>
      <bottom style="medium">
        <color indexed="64"/>
      </bottom>
      <diagonal/>
    </border>
    <border>
      <left/>
      <right style="medium">
        <color indexed="64"/>
      </right>
      <top style="medium">
        <color indexed="64"/>
      </top>
      <bottom/>
      <diagonal/>
    </border>
    <border>
      <left/>
      <right/>
      <top/>
      <bottom style="medium">
        <color indexed="18"/>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medium">
        <color indexed="64"/>
      </left>
      <right style="hair">
        <color indexed="64"/>
      </right>
      <top style="thin">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medium">
        <color indexed="64"/>
      </right>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medium">
        <color indexed="64"/>
      </right>
      <top style="hair">
        <color indexed="64"/>
      </top>
      <bottom style="hair">
        <color indexed="64"/>
      </bottom>
      <diagonal/>
    </border>
    <border>
      <left style="hair">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n">
        <color indexed="64"/>
      </left>
      <right style="hair">
        <color indexed="64"/>
      </right>
      <top style="hair">
        <color indexed="64"/>
      </top>
      <bottom style="medium">
        <color indexed="64"/>
      </bottom>
      <diagonal/>
    </border>
    <border>
      <left style="medium">
        <color indexed="64"/>
      </left>
      <right/>
      <top style="medium">
        <color indexed="64"/>
      </top>
      <bottom style="hair">
        <color indexed="64"/>
      </bottom>
      <diagonal/>
    </border>
    <border>
      <left style="medium">
        <color indexed="64"/>
      </left>
      <right style="thin">
        <color indexed="64"/>
      </right>
      <top style="thin">
        <color indexed="64"/>
      </top>
      <bottom/>
      <diagonal/>
    </border>
    <border>
      <left/>
      <right/>
      <top style="medium">
        <color indexed="64"/>
      </top>
      <bottom style="medium">
        <color indexed="64"/>
      </bottom>
      <diagonal/>
    </border>
    <border>
      <left style="thin">
        <color indexed="64"/>
      </left>
      <right style="hair">
        <color indexed="64"/>
      </right>
      <top style="thin">
        <color indexed="64"/>
      </top>
      <bottom style="hair">
        <color indexed="64"/>
      </bottom>
      <diagonal/>
    </border>
    <border>
      <left style="medium">
        <color indexed="64"/>
      </left>
      <right/>
      <top style="hair">
        <color indexed="64"/>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thin">
        <color indexed="64"/>
      </left>
      <right style="hair">
        <color indexed="64"/>
      </right>
      <top style="thin">
        <color indexed="64"/>
      </top>
      <bottom style="thin">
        <color indexed="64"/>
      </bottom>
      <diagonal/>
    </border>
    <border>
      <left style="thin">
        <color indexed="64"/>
      </left>
      <right style="thin">
        <color indexed="64"/>
      </right>
      <top/>
      <bottom/>
      <diagonal/>
    </border>
    <border>
      <left style="hair">
        <color indexed="64"/>
      </left>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style="thin">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hair">
        <color indexed="64"/>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thin">
        <color indexed="64"/>
      </right>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thin">
        <color indexed="64"/>
      </left>
      <right style="thin">
        <color indexed="64"/>
      </right>
      <top style="thin">
        <color indexed="64"/>
      </top>
      <bottom/>
      <diagonal/>
    </border>
    <border>
      <left/>
      <right style="hair">
        <color indexed="64"/>
      </right>
      <top/>
      <bottom/>
      <diagonal/>
    </border>
    <border>
      <left style="hair">
        <color indexed="64"/>
      </left>
      <right/>
      <top/>
      <bottom/>
      <diagonal/>
    </border>
    <border>
      <left/>
      <right style="hair">
        <color indexed="64"/>
      </right>
      <top/>
      <bottom style="thin">
        <color indexed="64"/>
      </bottom>
      <diagonal/>
    </border>
    <border>
      <left style="hair">
        <color indexed="64"/>
      </left>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top/>
      <bottom style="hair">
        <color indexed="64"/>
      </bottom>
      <diagonal/>
    </border>
    <border>
      <left style="hair">
        <color indexed="64"/>
      </left>
      <right style="medium">
        <color indexed="64"/>
      </right>
      <top style="thin">
        <color indexed="64"/>
      </top>
      <bottom style="hair">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right/>
      <top style="medium">
        <color indexed="18"/>
      </top>
      <bottom/>
      <diagonal/>
    </border>
    <border>
      <left/>
      <right/>
      <top style="medium">
        <color indexed="32"/>
      </top>
      <bottom style="thin">
        <color indexed="32"/>
      </bottom>
      <diagonal/>
    </border>
    <border>
      <left/>
      <right/>
      <top/>
      <bottom style="medium">
        <color indexed="32"/>
      </bottom>
      <diagonal/>
    </border>
    <border>
      <left/>
      <right/>
      <top style="thin">
        <color indexed="64"/>
      </top>
      <bottom style="double">
        <color indexed="64"/>
      </bottom>
      <diagonal/>
    </border>
    <border>
      <left style="thin">
        <color indexed="64"/>
      </left>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thin">
        <color indexed="64"/>
      </right>
      <top/>
      <bottom style="thin">
        <color indexed="64"/>
      </bottom>
      <diagonal/>
    </border>
    <border>
      <left style="thin">
        <color indexed="64"/>
      </left>
      <right style="hair">
        <color indexed="64"/>
      </right>
      <top/>
      <bottom style="hair">
        <color indexed="64"/>
      </bottom>
      <diagonal/>
    </border>
    <border>
      <left style="medium">
        <color indexed="64"/>
      </left>
      <right/>
      <top style="thin">
        <color indexed="64"/>
      </top>
      <bottom style="hair">
        <color indexed="64"/>
      </bottom>
      <diagonal/>
    </border>
    <border>
      <left/>
      <right/>
      <top/>
      <bottom style="hair">
        <color indexed="64"/>
      </bottom>
      <diagonal/>
    </border>
    <border>
      <left/>
      <right style="hair">
        <color indexed="64"/>
      </right>
      <top/>
      <bottom style="hair">
        <color indexed="64"/>
      </bottom>
      <diagonal/>
    </border>
    <border>
      <left/>
      <right style="medium">
        <color indexed="64"/>
      </right>
      <top style="hair">
        <color indexed="64"/>
      </top>
      <bottom/>
      <diagonal/>
    </border>
    <border>
      <left/>
      <right style="medium">
        <color indexed="64"/>
      </right>
      <top/>
      <bottom style="hair">
        <color indexed="64"/>
      </bottom>
      <diagonal/>
    </border>
    <border>
      <left/>
      <right/>
      <top style="hair">
        <color indexed="64"/>
      </top>
      <bottom style="hair">
        <color indexed="64"/>
      </bottom>
      <diagonal/>
    </border>
    <border>
      <left style="medium">
        <color indexed="64"/>
      </left>
      <right/>
      <top style="hair">
        <color indexed="64"/>
      </top>
      <bottom/>
      <diagonal/>
    </border>
    <border>
      <left/>
      <right/>
      <top style="hair">
        <color indexed="64"/>
      </top>
      <bottom/>
      <diagonal/>
    </border>
    <border>
      <left/>
      <right style="hair">
        <color indexed="64"/>
      </right>
      <top/>
      <bottom style="medium">
        <color indexed="64"/>
      </bottom>
      <diagonal/>
    </border>
    <border>
      <left/>
      <right style="hair">
        <color indexed="64"/>
      </right>
      <top style="hair">
        <color indexed="64"/>
      </top>
      <bottom style="medium">
        <color indexed="64"/>
      </bottom>
      <diagonal/>
    </border>
    <border>
      <left/>
      <right/>
      <top style="thin">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thin">
        <color indexed="64"/>
      </left>
      <right style="medium">
        <color indexed="64"/>
      </right>
      <top/>
      <bottom style="thin">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diagonal/>
    </border>
    <border>
      <left style="medium">
        <color indexed="64"/>
      </left>
      <right/>
      <top style="thin">
        <color indexed="64"/>
      </top>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right style="medium">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hair">
        <color indexed="64"/>
      </right>
      <top style="medium">
        <color indexed="64"/>
      </top>
      <bottom style="hair">
        <color indexed="64"/>
      </bottom>
      <diagonal/>
    </border>
    <border>
      <left/>
      <right/>
      <top style="medium">
        <color indexed="32"/>
      </top>
      <bottom/>
      <diagonal/>
    </border>
    <border>
      <left style="thin">
        <color indexed="64"/>
      </left>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bottom style="medium">
        <color indexed="56"/>
      </bottom>
      <diagonal/>
    </border>
    <border>
      <left/>
      <right/>
      <top style="medium">
        <color indexed="56"/>
      </top>
      <bottom/>
      <diagonal/>
    </border>
    <border>
      <left style="thin">
        <color indexed="64"/>
      </left>
      <right style="medium">
        <color indexed="64"/>
      </right>
      <top style="thin">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right style="hair">
        <color indexed="64"/>
      </right>
      <top style="hair">
        <color indexed="64"/>
      </top>
      <bottom/>
      <diagonal/>
    </border>
    <border>
      <left style="thin">
        <color indexed="64"/>
      </left>
      <right style="thin">
        <color indexed="64"/>
      </right>
      <top/>
      <bottom style="hair">
        <color indexed="64"/>
      </bottom>
      <diagonal/>
    </border>
    <border>
      <left style="hair">
        <color indexed="64"/>
      </left>
      <right style="thin">
        <color indexed="64"/>
      </right>
      <top/>
      <bottom style="hair">
        <color indexed="64"/>
      </bottom>
      <diagonal/>
    </border>
    <border>
      <left style="medium">
        <color indexed="64"/>
      </left>
      <right style="hair">
        <color indexed="64"/>
      </right>
      <top style="hair">
        <color indexed="64"/>
      </top>
      <bottom style="medium">
        <color indexed="56"/>
      </bottom>
      <diagonal/>
    </border>
    <border>
      <left style="hair">
        <color indexed="64"/>
      </left>
      <right style="hair">
        <color indexed="64"/>
      </right>
      <top style="hair">
        <color indexed="64"/>
      </top>
      <bottom style="medium">
        <color indexed="56"/>
      </bottom>
      <diagonal/>
    </border>
    <border>
      <left style="hair">
        <color indexed="64"/>
      </left>
      <right style="medium">
        <color indexed="64"/>
      </right>
      <top style="hair">
        <color indexed="64"/>
      </top>
      <bottom style="medium">
        <color indexed="56"/>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style="hair">
        <color indexed="64"/>
      </right>
      <top style="hair">
        <color indexed="64"/>
      </top>
      <bottom style="medium">
        <color indexed="56"/>
      </bottom>
      <diagonal/>
    </border>
    <border>
      <left style="hair">
        <color indexed="64"/>
      </left>
      <right style="thin">
        <color indexed="64"/>
      </right>
      <top style="hair">
        <color indexed="64"/>
      </top>
      <bottom style="medium">
        <color indexed="56"/>
      </bottom>
      <diagonal/>
    </border>
    <border>
      <left/>
      <right style="medium">
        <color indexed="64"/>
      </right>
      <top style="thin">
        <color indexed="64"/>
      </top>
      <bottom style="hair">
        <color indexed="64"/>
      </bottom>
      <diagonal/>
    </border>
    <border>
      <left/>
      <right style="hair">
        <color indexed="56"/>
      </right>
      <top style="hair">
        <color indexed="56"/>
      </top>
      <bottom style="hair">
        <color indexed="56"/>
      </bottom>
      <diagonal/>
    </border>
    <border>
      <left style="hair">
        <color indexed="56"/>
      </left>
      <right style="hair">
        <color indexed="56"/>
      </right>
      <top style="hair">
        <color indexed="56"/>
      </top>
      <bottom style="hair">
        <color indexed="56"/>
      </bottom>
      <diagonal/>
    </border>
    <border>
      <left style="hair">
        <color indexed="56"/>
      </left>
      <right/>
      <top style="hair">
        <color indexed="56"/>
      </top>
      <bottom style="hair">
        <color indexed="56"/>
      </bottom>
      <diagonal/>
    </border>
    <border>
      <left/>
      <right style="hair">
        <color indexed="56"/>
      </right>
      <top style="hair">
        <color indexed="56"/>
      </top>
      <bottom style="medium">
        <color indexed="56"/>
      </bottom>
      <diagonal/>
    </border>
    <border>
      <left style="hair">
        <color indexed="56"/>
      </left>
      <right style="hair">
        <color indexed="56"/>
      </right>
      <top style="hair">
        <color indexed="56"/>
      </top>
      <bottom style="medium">
        <color indexed="56"/>
      </bottom>
      <diagonal/>
    </border>
    <border>
      <left style="hair">
        <color indexed="56"/>
      </left>
      <right/>
      <top style="hair">
        <color indexed="56"/>
      </top>
      <bottom style="medium">
        <color indexed="56"/>
      </bottom>
      <diagonal/>
    </border>
    <border>
      <left/>
      <right style="hair">
        <color indexed="56"/>
      </right>
      <top/>
      <bottom style="hair">
        <color indexed="56"/>
      </bottom>
      <diagonal/>
    </border>
    <border>
      <left style="hair">
        <color indexed="56"/>
      </left>
      <right style="hair">
        <color indexed="56"/>
      </right>
      <top/>
      <bottom style="hair">
        <color indexed="56"/>
      </bottom>
      <diagonal/>
    </border>
    <border>
      <left style="hair">
        <color indexed="56"/>
      </left>
      <right/>
      <top/>
      <bottom style="hair">
        <color indexed="56"/>
      </bottom>
      <diagonal/>
    </border>
    <border>
      <left/>
      <right style="hair">
        <color indexed="56"/>
      </right>
      <top style="thin">
        <color indexed="56"/>
      </top>
      <bottom style="thin">
        <color indexed="56"/>
      </bottom>
      <diagonal/>
    </border>
    <border>
      <left style="hair">
        <color indexed="56"/>
      </left>
      <right style="hair">
        <color indexed="56"/>
      </right>
      <top style="thin">
        <color indexed="56"/>
      </top>
      <bottom style="thin">
        <color indexed="56"/>
      </bottom>
      <diagonal/>
    </border>
    <border>
      <left style="hair">
        <color indexed="56"/>
      </left>
      <right/>
      <top style="thin">
        <color indexed="56"/>
      </top>
      <bottom style="thin">
        <color indexed="56"/>
      </bottom>
      <diagonal/>
    </border>
    <border>
      <left style="medium">
        <color indexed="64"/>
      </left>
      <right/>
      <top style="thin">
        <color indexed="64"/>
      </top>
      <bottom style="thin">
        <color indexed="56"/>
      </bottom>
      <diagonal/>
    </border>
    <border>
      <left/>
      <right/>
      <top style="thin">
        <color indexed="64"/>
      </top>
      <bottom style="thin">
        <color indexed="56"/>
      </bottom>
      <diagonal/>
    </border>
    <border>
      <left/>
      <right style="medium">
        <color indexed="64"/>
      </right>
      <top style="thin">
        <color indexed="64"/>
      </top>
      <bottom style="thin">
        <color indexed="56"/>
      </bottom>
      <diagonal/>
    </border>
    <border>
      <left style="medium">
        <color indexed="64"/>
      </left>
      <right style="hair">
        <color indexed="56"/>
      </right>
      <top style="thin">
        <color indexed="56"/>
      </top>
      <bottom style="thin">
        <color indexed="56"/>
      </bottom>
      <diagonal/>
    </border>
    <border>
      <left style="medium">
        <color indexed="64"/>
      </left>
      <right style="hair">
        <color indexed="56"/>
      </right>
      <top/>
      <bottom style="hair">
        <color indexed="56"/>
      </bottom>
      <diagonal/>
    </border>
    <border>
      <left style="medium">
        <color indexed="64"/>
      </left>
      <right style="hair">
        <color indexed="56"/>
      </right>
      <top style="hair">
        <color indexed="56"/>
      </top>
      <bottom style="hair">
        <color indexed="56"/>
      </bottom>
      <diagonal/>
    </border>
    <border>
      <left style="medium">
        <color indexed="64"/>
      </left>
      <right style="hair">
        <color indexed="56"/>
      </right>
      <top style="hair">
        <color indexed="56"/>
      </top>
      <bottom style="medium">
        <color indexed="56"/>
      </bottom>
      <diagonal/>
    </border>
    <border>
      <left/>
      <right style="thin">
        <color indexed="64"/>
      </right>
      <top style="thin">
        <color indexed="64"/>
      </top>
      <bottom style="thin">
        <color indexed="56"/>
      </bottom>
      <diagonal/>
    </border>
    <border>
      <left style="hair">
        <color indexed="56"/>
      </left>
      <right style="thin">
        <color indexed="64"/>
      </right>
      <top style="thin">
        <color indexed="56"/>
      </top>
      <bottom style="thin">
        <color indexed="56"/>
      </bottom>
      <diagonal/>
    </border>
    <border>
      <left style="hair">
        <color indexed="56"/>
      </left>
      <right style="thin">
        <color indexed="64"/>
      </right>
      <top/>
      <bottom style="hair">
        <color indexed="56"/>
      </bottom>
      <diagonal/>
    </border>
    <border>
      <left style="hair">
        <color indexed="56"/>
      </left>
      <right style="thin">
        <color indexed="64"/>
      </right>
      <top style="hair">
        <color indexed="56"/>
      </top>
      <bottom style="hair">
        <color indexed="56"/>
      </bottom>
      <diagonal/>
    </border>
    <border>
      <left style="hair">
        <color indexed="56"/>
      </left>
      <right style="thin">
        <color indexed="64"/>
      </right>
      <top style="hair">
        <color indexed="56"/>
      </top>
      <bottom style="medium">
        <color indexed="56"/>
      </bottom>
      <diagonal/>
    </border>
    <border>
      <left style="thin">
        <color indexed="64"/>
      </left>
      <right/>
      <top style="thin">
        <color indexed="64"/>
      </top>
      <bottom style="thin">
        <color indexed="56"/>
      </bottom>
      <diagonal/>
    </border>
    <border>
      <left style="thin">
        <color indexed="64"/>
      </left>
      <right style="hair">
        <color indexed="56"/>
      </right>
      <top style="thin">
        <color indexed="56"/>
      </top>
      <bottom style="thin">
        <color indexed="56"/>
      </bottom>
      <diagonal/>
    </border>
    <border>
      <left style="thin">
        <color indexed="64"/>
      </left>
      <right style="hair">
        <color indexed="56"/>
      </right>
      <top/>
      <bottom style="hair">
        <color indexed="56"/>
      </bottom>
      <diagonal/>
    </border>
    <border>
      <left style="thin">
        <color indexed="64"/>
      </left>
      <right style="hair">
        <color indexed="56"/>
      </right>
      <top style="hair">
        <color indexed="56"/>
      </top>
      <bottom style="hair">
        <color indexed="56"/>
      </bottom>
      <diagonal/>
    </border>
    <border>
      <left style="thin">
        <color indexed="64"/>
      </left>
      <right style="hair">
        <color indexed="56"/>
      </right>
      <top style="hair">
        <color indexed="56"/>
      </top>
      <bottom style="medium">
        <color indexed="56"/>
      </bottom>
      <diagonal/>
    </border>
    <border>
      <left/>
      <right style="medium">
        <color indexed="64"/>
      </right>
      <top style="thin">
        <color indexed="56"/>
      </top>
      <bottom style="thin">
        <color indexed="56"/>
      </bottom>
      <diagonal/>
    </border>
    <border>
      <left/>
      <right style="medium">
        <color indexed="64"/>
      </right>
      <top/>
      <bottom style="hair">
        <color indexed="56"/>
      </bottom>
      <diagonal/>
    </border>
    <border>
      <left/>
      <right style="medium">
        <color indexed="64"/>
      </right>
      <top style="hair">
        <color indexed="56"/>
      </top>
      <bottom style="hair">
        <color indexed="56"/>
      </bottom>
      <diagonal/>
    </border>
    <border>
      <left/>
      <right style="medium">
        <color indexed="64"/>
      </right>
      <top style="hair">
        <color indexed="56"/>
      </top>
      <bottom style="medium">
        <color indexed="56"/>
      </bottom>
      <diagonal/>
    </border>
    <border>
      <left style="medium">
        <color indexed="64"/>
      </left>
      <right style="hair">
        <color indexed="64"/>
      </right>
      <top style="hair">
        <color indexed="64"/>
      </top>
      <bottom/>
      <diagonal/>
    </border>
    <border>
      <left style="medium">
        <color indexed="64"/>
      </left>
      <right style="hair">
        <color indexed="64"/>
      </right>
      <top style="hair">
        <color indexed="64"/>
      </top>
      <bottom style="thin">
        <color indexed="64"/>
      </bottom>
      <diagonal/>
    </border>
    <border>
      <left style="medium">
        <color indexed="64"/>
      </left>
      <right style="hair">
        <color indexed="64"/>
      </right>
      <top/>
      <bottom style="medium">
        <color indexed="56"/>
      </bottom>
      <diagonal/>
    </border>
    <border>
      <left style="hair">
        <color indexed="64"/>
      </left>
      <right style="hair">
        <color indexed="64"/>
      </right>
      <top/>
      <bottom style="medium">
        <color indexed="56"/>
      </bottom>
      <diagonal/>
    </border>
    <border>
      <left style="hair">
        <color indexed="64"/>
      </left>
      <right style="thin">
        <color indexed="64"/>
      </right>
      <top/>
      <bottom style="medium">
        <color indexed="56"/>
      </bottom>
      <diagonal/>
    </border>
    <border>
      <left/>
      <right/>
      <top style="hair">
        <color indexed="64"/>
      </top>
      <bottom style="thin">
        <color indexed="64"/>
      </bottom>
      <diagonal/>
    </border>
    <border>
      <left style="thin">
        <color indexed="64"/>
      </left>
      <right style="hair">
        <color indexed="64"/>
      </right>
      <top/>
      <bottom style="medium">
        <color indexed="56"/>
      </bottom>
      <diagonal/>
    </border>
    <border>
      <left/>
      <right style="medium">
        <color indexed="64"/>
      </right>
      <top style="hair">
        <color indexed="64"/>
      </top>
      <bottom style="thin">
        <color indexed="64"/>
      </bottom>
      <diagonal/>
    </border>
    <border>
      <left/>
      <right style="medium">
        <color indexed="64"/>
      </right>
      <top/>
      <bottom style="medium">
        <color indexed="56"/>
      </bottom>
      <diagonal/>
    </border>
    <border>
      <left style="hair">
        <color indexed="64"/>
      </left>
      <right/>
      <top style="medium">
        <color indexed="64"/>
      </top>
      <bottom style="hair">
        <color indexed="64"/>
      </bottom>
      <diagonal/>
    </border>
    <border>
      <left style="hair">
        <color indexed="64"/>
      </left>
      <right/>
      <top/>
      <bottom style="medium">
        <color indexed="64"/>
      </bottom>
      <diagonal/>
    </border>
  </borders>
  <cellStyleXfs count="15">
    <xf numFmtId="0" fontId="0" fillId="0" borderId="0"/>
    <xf numFmtId="0" fontId="29" fillId="0" borderId="0"/>
    <xf numFmtId="0" fontId="30" fillId="0" borderId="0"/>
    <xf numFmtId="0" fontId="29" fillId="0" borderId="0"/>
    <xf numFmtId="0" fontId="65" fillId="0" borderId="0" applyFont="0" applyFill="0" applyBorder="0" applyAlignment="0" applyProtection="0"/>
    <xf numFmtId="40" fontId="65" fillId="0" borderId="0" applyFont="0" applyFill="0" applyBorder="0" applyAlignment="0" applyProtection="0"/>
    <xf numFmtId="0" fontId="7" fillId="2" borderId="0"/>
    <xf numFmtId="0" fontId="31" fillId="0" borderId="0"/>
    <xf numFmtId="9" fontId="65" fillId="0" borderId="0" applyFont="0" applyFill="0" applyBorder="0" applyAlignment="0" applyProtection="0"/>
    <xf numFmtId="0" fontId="65" fillId="0" borderId="0"/>
    <xf numFmtId="0" fontId="65" fillId="0" borderId="0"/>
    <xf numFmtId="0" fontId="65" fillId="0" borderId="0">
      <alignment vertical="center"/>
    </xf>
    <xf numFmtId="0" fontId="32" fillId="0" borderId="0" applyNumberFormat="0" applyFill="0" applyBorder="0" applyAlignment="0" applyProtection="0">
      <alignment vertical="top"/>
      <protection locked="0"/>
    </xf>
    <xf numFmtId="176" fontId="65" fillId="0" borderId="0" applyFont="0" applyFill="0" applyBorder="0" applyAlignment="0" applyProtection="0"/>
    <xf numFmtId="176" fontId="65" fillId="0" borderId="0" applyFont="0" applyFill="0" applyBorder="0" applyAlignment="0" applyProtection="0"/>
  </cellStyleXfs>
  <cellXfs count="2576">
    <xf numFmtId="0" fontId="0" fillId="0" borderId="0" xfId="0"/>
    <xf numFmtId="177" fontId="33" fillId="2" borderId="0" xfId="0" applyNumberFormat="1" applyFont="1" applyFill="1" applyBorder="1"/>
    <xf numFmtId="177" fontId="33" fillId="0" borderId="0" xfId="0" applyNumberFormat="1" applyFont="1" applyFill="1" applyBorder="1" applyProtection="1">
      <protection hidden="1"/>
    </xf>
    <xf numFmtId="177" fontId="24" fillId="0" borderId="0" xfId="0" applyNumberFormat="1" applyFont="1" applyFill="1" applyBorder="1"/>
    <xf numFmtId="0" fontId="29" fillId="0" borderId="0" xfId="0" applyFont="1"/>
    <xf numFmtId="0" fontId="29" fillId="0" borderId="0" xfId="0" applyFont="1" applyFill="1"/>
    <xf numFmtId="0" fontId="29" fillId="0" borderId="0" xfId="0" applyFont="1" applyAlignment="1">
      <alignment horizontal="right"/>
    </xf>
    <xf numFmtId="0" fontId="24" fillId="0" borderId="0" xfId="10" applyFont="1"/>
    <xf numFmtId="0" fontId="24" fillId="0" borderId="0" xfId="10" applyFont="1" applyBorder="1"/>
    <xf numFmtId="0" fontId="24" fillId="0" borderId="0" xfId="0" applyFont="1"/>
    <xf numFmtId="0" fontId="24" fillId="0" borderId="0" xfId="0" applyFont="1" applyFill="1"/>
    <xf numFmtId="0" fontId="29" fillId="0" borderId="0" xfId="0" applyFont="1" applyFill="1" applyBorder="1" applyAlignment="1" applyProtection="1">
      <alignment vertical="center"/>
      <protection hidden="1"/>
    </xf>
    <xf numFmtId="0" fontId="24" fillId="2" borderId="0" xfId="0" applyFont="1" applyFill="1"/>
    <xf numFmtId="0" fontId="29" fillId="0" borderId="0" xfId="0" applyFont="1" applyFill="1" applyProtection="1">
      <protection hidden="1"/>
    </xf>
    <xf numFmtId="0" fontId="29" fillId="0" borderId="0" xfId="0" applyFont="1" applyProtection="1">
      <protection hidden="1"/>
    </xf>
    <xf numFmtId="0" fontId="11" fillId="0" borderId="0" xfId="0" applyFont="1" applyProtection="1">
      <protection hidden="1"/>
    </xf>
    <xf numFmtId="0" fontId="29" fillId="0" borderId="0" xfId="0" applyFont="1" applyBorder="1" applyProtection="1">
      <protection hidden="1"/>
    </xf>
    <xf numFmtId="0" fontId="3" fillId="0" borderId="0" xfId="0" applyFont="1" applyFill="1" applyBorder="1" applyProtection="1">
      <protection hidden="1"/>
    </xf>
    <xf numFmtId="0" fontId="29" fillId="0" borderId="0" xfId="0" applyFont="1" applyFill="1" applyBorder="1" applyAlignment="1" applyProtection="1">
      <alignment horizontal="right"/>
      <protection hidden="1"/>
    </xf>
    <xf numFmtId="0" fontId="29" fillId="0" borderId="0" xfId="0" applyFont="1" applyFill="1" applyBorder="1" applyProtection="1">
      <protection hidden="1"/>
    </xf>
    <xf numFmtId="0" fontId="29" fillId="0" borderId="0" xfId="0" applyFont="1" applyAlignment="1" applyProtection="1">
      <alignment horizontal="right"/>
      <protection hidden="1"/>
    </xf>
    <xf numFmtId="9" fontId="24" fillId="0" borderId="1" xfId="8" applyFont="1" applyFill="1" applyBorder="1" applyAlignment="1" applyProtection="1">
      <alignment horizontal="right"/>
      <protection hidden="1"/>
    </xf>
    <xf numFmtId="0" fontId="12" fillId="0" borderId="2" xfId="0" applyFont="1" applyFill="1" applyBorder="1" applyProtection="1">
      <protection hidden="1"/>
    </xf>
    <xf numFmtId="0" fontId="5" fillId="0" borderId="2" xfId="0" applyFont="1" applyBorder="1" applyProtection="1">
      <protection hidden="1"/>
    </xf>
    <xf numFmtId="0" fontId="12" fillId="0" borderId="3" xfId="0" applyFont="1" applyFill="1" applyBorder="1" applyProtection="1">
      <protection hidden="1"/>
    </xf>
    <xf numFmtId="0" fontId="4" fillId="0" borderId="2" xfId="0" applyFont="1" applyBorder="1" applyProtection="1">
      <protection hidden="1"/>
    </xf>
    <xf numFmtId="0" fontId="4" fillId="0" borderId="4" xfId="0" applyFont="1" applyBorder="1" applyAlignment="1" applyProtection="1">
      <alignment horizontal="center"/>
      <protection hidden="1"/>
    </xf>
    <xf numFmtId="0" fontId="12" fillId="0" borderId="5" xfId="0" applyFont="1" applyFill="1" applyBorder="1" applyProtection="1">
      <protection hidden="1"/>
    </xf>
    <xf numFmtId="0" fontId="24" fillId="0" borderId="6" xfId="0" applyFont="1" applyBorder="1" applyProtection="1">
      <protection hidden="1"/>
    </xf>
    <xf numFmtId="0" fontId="24" fillId="0" borderId="4" xfId="0" applyFont="1" applyBorder="1" applyProtection="1">
      <protection hidden="1"/>
    </xf>
    <xf numFmtId="0" fontId="3" fillId="0" borderId="4" xfId="0" applyFont="1" applyBorder="1" applyAlignment="1" applyProtection="1">
      <alignment horizontal="center"/>
      <protection hidden="1"/>
    </xf>
    <xf numFmtId="10" fontId="33" fillId="0" borderId="4" xfId="0" applyNumberFormat="1" applyFont="1" applyBorder="1" applyProtection="1">
      <protection hidden="1"/>
    </xf>
    <xf numFmtId="0" fontId="29" fillId="0" borderId="7" xfId="0" applyFont="1" applyBorder="1" applyProtection="1">
      <protection hidden="1"/>
    </xf>
    <xf numFmtId="0" fontId="5" fillId="0" borderId="8" xfId="0" applyFont="1" applyFill="1" applyBorder="1" applyAlignment="1" applyProtection="1">
      <alignment horizontal="right" vertical="center" wrapText="1"/>
      <protection hidden="1"/>
    </xf>
    <xf numFmtId="0" fontId="29" fillId="0" borderId="9" xfId="0" applyFont="1" applyFill="1" applyBorder="1" applyProtection="1">
      <protection hidden="1"/>
    </xf>
    <xf numFmtId="0" fontId="29" fillId="0" borderId="10" xfId="0" applyFont="1" applyFill="1" applyBorder="1" applyAlignment="1" applyProtection="1">
      <alignment horizontal="right"/>
      <protection hidden="1"/>
    </xf>
    <xf numFmtId="0" fontId="29" fillId="0" borderId="4" xfId="0" applyFont="1" applyFill="1" applyBorder="1" applyProtection="1">
      <protection hidden="1"/>
    </xf>
    <xf numFmtId="0" fontId="29" fillId="0" borderId="7" xfId="0" applyFont="1" applyFill="1" applyBorder="1" applyProtection="1">
      <protection hidden="1"/>
    </xf>
    <xf numFmtId="0" fontId="29" fillId="0" borderId="11" xfId="0" applyFont="1" applyFill="1" applyBorder="1" applyAlignment="1" applyProtection="1">
      <alignment horizontal="right"/>
      <protection hidden="1"/>
    </xf>
    <xf numFmtId="0" fontId="0" fillId="0" borderId="0" xfId="0" applyProtection="1">
      <protection locked="0"/>
    </xf>
    <xf numFmtId="0" fontId="0" fillId="0" borderId="0" xfId="0" applyProtection="1">
      <protection hidden="1"/>
    </xf>
    <xf numFmtId="0" fontId="0" fillId="3" borderId="9" xfId="0" applyFill="1" applyBorder="1" applyProtection="1">
      <protection hidden="1"/>
    </xf>
    <xf numFmtId="0" fontId="0" fillId="3" borderId="10" xfId="0" applyFill="1" applyBorder="1" applyProtection="1">
      <protection hidden="1"/>
    </xf>
    <xf numFmtId="0" fontId="0" fillId="3" borderId="12" xfId="0" applyFill="1" applyBorder="1" applyProtection="1">
      <protection hidden="1"/>
    </xf>
    <xf numFmtId="0" fontId="36" fillId="0" borderId="0" xfId="0" applyFont="1" applyProtection="1">
      <protection hidden="1"/>
    </xf>
    <xf numFmtId="177" fontId="33" fillId="2" borderId="0" xfId="0" applyNumberFormat="1" applyFont="1" applyFill="1" applyBorder="1" applyProtection="1">
      <protection locked="0"/>
    </xf>
    <xf numFmtId="177" fontId="24" fillId="0" borderId="0" xfId="0" applyNumberFormat="1" applyFont="1" applyFill="1" applyBorder="1" applyProtection="1">
      <protection locked="0"/>
    </xf>
    <xf numFmtId="177" fontId="33" fillId="2" borderId="0" xfId="0" applyNumberFormat="1" applyFont="1" applyFill="1" applyBorder="1" applyProtection="1">
      <protection hidden="1"/>
    </xf>
    <xf numFmtId="177" fontId="24" fillId="0" borderId="0" xfId="0" applyNumberFormat="1" applyFont="1" applyFill="1" applyBorder="1" applyProtection="1">
      <protection hidden="1"/>
    </xf>
    <xf numFmtId="14" fontId="24" fillId="0" borderId="0" xfId="0" applyNumberFormat="1" applyFont="1" applyFill="1" applyBorder="1" applyProtection="1">
      <protection hidden="1"/>
    </xf>
    <xf numFmtId="0" fontId="33" fillId="0" borderId="0" xfId="0" applyNumberFormat="1" applyFont="1" applyFill="1" applyBorder="1" applyProtection="1">
      <protection hidden="1"/>
    </xf>
    <xf numFmtId="0" fontId="13" fillId="0" borderId="0" xfId="0" applyFont="1" applyBorder="1" applyAlignment="1" applyProtection="1">
      <alignment horizontal="justify" wrapText="1"/>
      <protection hidden="1"/>
    </xf>
    <xf numFmtId="0" fontId="13" fillId="0" borderId="0" xfId="0" applyFont="1" applyBorder="1" applyAlignment="1" applyProtection="1">
      <alignment horizontal="right" wrapText="1"/>
      <protection hidden="1"/>
    </xf>
    <xf numFmtId="177" fontId="11" fillId="0" borderId="0" xfId="0" applyNumberFormat="1" applyFont="1" applyFill="1" applyBorder="1" applyProtection="1">
      <protection hidden="1"/>
    </xf>
    <xf numFmtId="177" fontId="33" fillId="2" borderId="0" xfId="0" applyNumberFormat="1" applyFont="1" applyFill="1" applyBorder="1" applyAlignment="1" applyProtection="1">
      <alignment horizontal="left"/>
      <protection hidden="1"/>
    </xf>
    <xf numFmtId="179" fontId="24" fillId="0" borderId="0" xfId="0" applyNumberFormat="1" applyFont="1" applyFill="1" applyBorder="1" applyAlignment="1" applyProtection="1">
      <alignment horizontal="center" wrapText="1"/>
      <protection hidden="1"/>
    </xf>
    <xf numFmtId="183" fontId="24" fillId="0" borderId="0" xfId="0" applyNumberFormat="1" applyFont="1" applyFill="1" applyBorder="1" applyAlignment="1" applyProtection="1">
      <alignment horizontal="center" wrapText="1"/>
      <protection hidden="1"/>
    </xf>
    <xf numFmtId="182" fontId="24" fillId="0" borderId="0" xfId="0" applyNumberFormat="1" applyFont="1" applyFill="1" applyBorder="1" applyAlignment="1" applyProtection="1">
      <alignment horizontal="center" wrapText="1"/>
      <protection hidden="1"/>
    </xf>
    <xf numFmtId="0" fontId="3" fillId="0" borderId="0" xfId="0" applyFont="1" applyFill="1" applyBorder="1" applyAlignment="1" applyProtection="1">
      <alignment horizontal="center" vertical="top" wrapText="1"/>
      <protection hidden="1"/>
    </xf>
    <xf numFmtId="10" fontId="24" fillId="0" borderId="0" xfId="0" applyNumberFormat="1" applyFont="1" applyFill="1" applyBorder="1" applyAlignment="1" applyProtection="1">
      <alignment horizontal="center" wrapText="1"/>
      <protection hidden="1"/>
    </xf>
    <xf numFmtId="0" fontId="37" fillId="0" borderId="0" xfId="0" applyFont="1" applyBorder="1" applyProtection="1">
      <protection hidden="1"/>
    </xf>
    <xf numFmtId="0" fontId="38" fillId="0" borderId="0" xfId="0" applyFont="1" applyBorder="1" applyProtection="1">
      <protection hidden="1"/>
    </xf>
    <xf numFmtId="0" fontId="29" fillId="0" borderId="0" xfId="0" applyFont="1" applyProtection="1">
      <protection locked="0"/>
    </xf>
    <xf numFmtId="0" fontId="29" fillId="0" borderId="0" xfId="0" applyFont="1" applyAlignment="1" applyProtection="1">
      <alignment horizontal="right"/>
      <protection locked="0"/>
    </xf>
    <xf numFmtId="0" fontId="24" fillId="0" borderId="0" xfId="10" applyFont="1" applyProtection="1">
      <protection locked="0"/>
    </xf>
    <xf numFmtId="184" fontId="43" fillId="0" borderId="0" xfId="10" applyNumberFormat="1" applyFont="1" applyAlignment="1" applyProtection="1">
      <alignment horizontal="right"/>
      <protection locked="0"/>
    </xf>
    <xf numFmtId="0" fontId="24" fillId="0" borderId="0" xfId="10" applyFont="1" applyAlignment="1" applyProtection="1">
      <alignment horizontal="right"/>
      <protection locked="0"/>
    </xf>
    <xf numFmtId="0" fontId="24" fillId="0" borderId="0" xfId="10" applyFont="1" applyProtection="1">
      <protection hidden="1"/>
    </xf>
    <xf numFmtId="0" fontId="24" fillId="0" borderId="0" xfId="10" applyFont="1" applyFill="1" applyProtection="1">
      <protection hidden="1"/>
    </xf>
    <xf numFmtId="185" fontId="24" fillId="0" borderId="0" xfId="10" applyNumberFormat="1" applyFont="1" applyProtection="1">
      <protection hidden="1"/>
    </xf>
    <xf numFmtId="0" fontId="43" fillId="0" borderId="0" xfId="10" applyFont="1" applyFill="1" applyBorder="1" applyProtection="1">
      <protection hidden="1"/>
    </xf>
    <xf numFmtId="0" fontId="3" fillId="0" borderId="0" xfId="10" applyFont="1" applyFill="1" applyProtection="1">
      <protection hidden="1"/>
    </xf>
    <xf numFmtId="0" fontId="3" fillId="0" borderId="0" xfId="10" applyFont="1" applyFill="1" applyBorder="1" applyProtection="1">
      <protection hidden="1"/>
    </xf>
    <xf numFmtId="181" fontId="24" fillId="0" borderId="0" xfId="10" applyNumberFormat="1" applyFont="1" applyProtection="1">
      <protection hidden="1"/>
    </xf>
    <xf numFmtId="38" fontId="24" fillId="0" borderId="0" xfId="10" applyNumberFormat="1" applyFont="1" applyProtection="1">
      <protection hidden="1"/>
    </xf>
    <xf numFmtId="38" fontId="24" fillId="0" borderId="0" xfId="10" applyNumberFormat="1" applyFont="1" applyFill="1" applyProtection="1">
      <protection hidden="1"/>
    </xf>
    <xf numFmtId="38" fontId="24" fillId="0" borderId="0" xfId="10" applyNumberFormat="1" applyFont="1" applyFill="1" applyBorder="1" applyAlignment="1" applyProtection="1">
      <alignment horizontal="right"/>
      <protection hidden="1"/>
    </xf>
    <xf numFmtId="0" fontId="24" fillId="0" borderId="0" xfId="10" applyFont="1" applyBorder="1" applyProtection="1">
      <protection hidden="1"/>
    </xf>
    <xf numFmtId="0" fontId="24" fillId="0" borderId="0" xfId="10" applyFont="1" applyFill="1" applyBorder="1" applyProtection="1">
      <protection hidden="1"/>
    </xf>
    <xf numFmtId="0" fontId="24" fillId="0" borderId="0" xfId="0" applyFont="1" applyProtection="1">
      <protection hidden="1"/>
    </xf>
    <xf numFmtId="0" fontId="29" fillId="0" borderId="9" xfId="0" applyFont="1" applyBorder="1" applyProtection="1">
      <protection hidden="1"/>
    </xf>
    <xf numFmtId="0" fontId="29" fillId="0" borderId="10" xfId="0" applyFont="1" applyBorder="1" applyAlignment="1" applyProtection="1">
      <alignment horizontal="right"/>
      <protection hidden="1"/>
    </xf>
    <xf numFmtId="0" fontId="29" fillId="0" borderId="12" xfId="0" applyFont="1" applyBorder="1" applyAlignment="1" applyProtection="1">
      <alignment horizontal="right"/>
      <protection hidden="1"/>
    </xf>
    <xf numFmtId="0" fontId="29" fillId="0" borderId="4" xfId="0" applyFont="1" applyBorder="1" applyProtection="1">
      <protection hidden="1"/>
    </xf>
    <xf numFmtId="0" fontId="29" fillId="0" borderId="0" xfId="0" applyFont="1" applyBorder="1" applyAlignment="1" applyProtection="1">
      <alignment horizontal="right"/>
      <protection hidden="1"/>
    </xf>
    <xf numFmtId="0" fontId="29" fillId="0" borderId="14" xfId="0" applyFont="1" applyBorder="1" applyAlignment="1" applyProtection="1">
      <alignment horizontal="right"/>
      <protection hidden="1"/>
    </xf>
    <xf numFmtId="0" fontId="29" fillId="0" borderId="11" xfId="0" applyFont="1" applyBorder="1" applyAlignment="1" applyProtection="1">
      <alignment horizontal="right"/>
      <protection hidden="1"/>
    </xf>
    <xf numFmtId="0" fontId="29" fillId="0" borderId="15" xfId="0" applyFont="1" applyBorder="1" applyAlignment="1" applyProtection="1">
      <alignment horizontal="right"/>
      <protection hidden="1"/>
    </xf>
    <xf numFmtId="9" fontId="24" fillId="4" borderId="1" xfId="8" applyFont="1" applyFill="1" applyBorder="1" applyAlignment="1" applyProtection="1">
      <alignment horizontal="right"/>
      <protection hidden="1"/>
    </xf>
    <xf numFmtId="0" fontId="29" fillId="0" borderId="11" xfId="0" applyFont="1" applyBorder="1" applyProtection="1">
      <protection hidden="1"/>
    </xf>
    <xf numFmtId="0" fontId="24" fillId="0" borderId="0" xfId="0" applyFont="1" applyProtection="1">
      <protection locked="0"/>
    </xf>
    <xf numFmtId="0" fontId="24" fillId="0" borderId="0" xfId="0" applyFont="1" applyFill="1" applyProtection="1">
      <protection hidden="1"/>
    </xf>
    <xf numFmtId="0" fontId="24" fillId="0" borderId="0" xfId="0" applyFont="1" applyBorder="1" applyProtection="1">
      <protection hidden="1"/>
    </xf>
    <xf numFmtId="0" fontId="24" fillId="0" borderId="14" xfId="0" applyFont="1" applyBorder="1" applyProtection="1">
      <protection hidden="1"/>
    </xf>
    <xf numFmtId="0" fontId="3" fillId="0" borderId="1" xfId="0" applyFont="1" applyBorder="1" applyAlignment="1" applyProtection="1">
      <alignment horizontal="right"/>
      <protection hidden="1"/>
    </xf>
    <xf numFmtId="0" fontId="24" fillId="0" borderId="1" xfId="0" applyFont="1" applyBorder="1" applyProtection="1">
      <protection hidden="1"/>
    </xf>
    <xf numFmtId="0" fontId="24" fillId="0" borderId="1" xfId="0" applyFont="1" applyBorder="1" applyAlignment="1" applyProtection="1">
      <alignment horizontal="right"/>
      <protection hidden="1"/>
    </xf>
    <xf numFmtId="1" fontId="24" fillId="4" borderId="1" xfId="0" applyNumberFormat="1" applyFont="1" applyFill="1" applyBorder="1" applyAlignment="1" applyProtection="1">
      <alignment horizontal="right"/>
      <protection hidden="1"/>
    </xf>
    <xf numFmtId="10" fontId="24" fillId="0" borderId="1" xfId="0" applyNumberFormat="1" applyFont="1" applyFill="1" applyBorder="1" applyAlignment="1" applyProtection="1">
      <alignment horizontal="right"/>
      <protection hidden="1"/>
    </xf>
    <xf numFmtId="0" fontId="5" fillId="0" borderId="16" xfId="0" applyFont="1" applyFill="1" applyBorder="1" applyAlignment="1" applyProtection="1">
      <alignment horizontal="left" vertical="center" indent="1"/>
      <protection hidden="1"/>
    </xf>
    <xf numFmtId="10" fontId="24" fillId="0" borderId="1" xfId="0" applyNumberFormat="1" applyFont="1" applyBorder="1" applyAlignment="1" applyProtection="1">
      <alignment horizontal="right"/>
      <protection hidden="1"/>
    </xf>
    <xf numFmtId="0" fontId="19" fillId="0" borderId="16" xfId="0" applyFont="1" applyFill="1" applyBorder="1" applyAlignment="1" applyProtection="1">
      <alignment horizontal="left"/>
      <protection hidden="1"/>
    </xf>
    <xf numFmtId="0" fontId="20" fillId="0" borderId="16" xfId="0" applyFont="1" applyFill="1" applyBorder="1" applyAlignment="1" applyProtection="1">
      <alignment horizontal="left"/>
      <protection hidden="1"/>
    </xf>
    <xf numFmtId="0" fontId="10" fillId="0" borderId="16" xfId="0" applyFont="1" applyFill="1" applyBorder="1" applyAlignment="1" applyProtection="1">
      <alignment horizontal="left"/>
      <protection hidden="1"/>
    </xf>
    <xf numFmtId="0" fontId="26" fillId="0" borderId="17" xfId="0" applyFont="1" applyFill="1" applyBorder="1" applyProtection="1">
      <protection hidden="1"/>
    </xf>
    <xf numFmtId="0" fontId="5" fillId="0" borderId="1" xfId="0" applyFont="1" applyBorder="1" applyProtection="1">
      <protection hidden="1"/>
    </xf>
    <xf numFmtId="0" fontId="24" fillId="0" borderId="0" xfId="0" applyFont="1" applyFill="1" applyBorder="1" applyAlignment="1" applyProtection="1">
      <alignment vertical="center"/>
      <protection hidden="1"/>
    </xf>
    <xf numFmtId="182" fontId="20" fillId="0" borderId="0" xfId="0" applyNumberFormat="1" applyFont="1" applyFill="1" applyBorder="1" applyAlignment="1" applyProtection="1">
      <alignment horizontal="center" vertical="center" wrapText="1"/>
      <protection hidden="1"/>
    </xf>
    <xf numFmtId="1" fontId="24" fillId="0" borderId="0" xfId="7" applyNumberFormat="1" applyFont="1" applyFill="1" applyBorder="1" applyAlignment="1" applyProtection="1">
      <alignment vertical="center"/>
      <protection hidden="1"/>
    </xf>
    <xf numFmtId="0" fontId="29" fillId="0" borderId="0" xfId="0" applyFont="1" applyAlignment="1" applyProtection="1">
      <alignment vertical="center"/>
      <protection hidden="1"/>
    </xf>
    <xf numFmtId="0" fontId="5" fillId="2" borderId="16" xfId="0" applyFont="1" applyFill="1" applyBorder="1" applyAlignment="1" applyProtection="1">
      <alignment horizontal="left" vertical="center" wrapText="1"/>
      <protection hidden="1"/>
    </xf>
    <xf numFmtId="0" fontId="5" fillId="0" borderId="17" xfId="0" applyFont="1" applyFill="1" applyBorder="1" applyAlignment="1" applyProtection="1">
      <alignment horizontal="left" vertical="center" wrapText="1"/>
      <protection hidden="1"/>
    </xf>
    <xf numFmtId="0" fontId="29" fillId="0" borderId="0" xfId="0" applyFont="1" applyBorder="1" applyAlignment="1" applyProtection="1">
      <alignment vertical="center"/>
      <protection hidden="1"/>
    </xf>
    <xf numFmtId="0" fontId="29" fillId="0" borderId="0" xfId="0" applyFont="1" applyFill="1" applyAlignment="1" applyProtection="1">
      <alignment vertical="center"/>
      <protection hidden="1"/>
    </xf>
    <xf numFmtId="0" fontId="33" fillId="0" borderId="0" xfId="0" applyFont="1" applyProtection="1">
      <protection locked="0"/>
    </xf>
    <xf numFmtId="0" fontId="19" fillId="2" borderId="8" xfId="0" applyFont="1" applyFill="1" applyBorder="1" applyProtection="1">
      <protection hidden="1"/>
    </xf>
    <xf numFmtId="0" fontId="19" fillId="2" borderId="18" xfId="0" applyFont="1" applyFill="1" applyBorder="1" applyProtection="1">
      <protection hidden="1"/>
    </xf>
    <xf numFmtId="0" fontId="24" fillId="2" borderId="0" xfId="0" applyFont="1" applyFill="1" applyProtection="1">
      <protection hidden="1"/>
    </xf>
    <xf numFmtId="38" fontId="10" fillId="2" borderId="7" xfId="0" applyNumberFormat="1" applyFont="1" applyFill="1" applyBorder="1" applyProtection="1">
      <protection hidden="1"/>
    </xf>
    <xf numFmtId="0" fontId="24" fillId="2" borderId="11" xfId="0" applyFont="1" applyFill="1" applyBorder="1" applyAlignment="1" applyProtection="1">
      <alignment horizontal="right"/>
      <protection hidden="1"/>
    </xf>
    <xf numFmtId="0" fontId="24" fillId="2" borderId="21" xfId="0" applyFont="1" applyFill="1" applyBorder="1" applyAlignment="1" applyProtection="1">
      <alignment horizontal="right"/>
      <protection hidden="1"/>
    </xf>
    <xf numFmtId="0" fontId="4" fillId="0" borderId="4" xfId="0" applyFont="1" applyBorder="1" applyProtection="1">
      <protection hidden="1"/>
    </xf>
    <xf numFmtId="0" fontId="3" fillId="0" borderId="16" xfId="0" applyFont="1" applyBorder="1" applyAlignment="1" applyProtection="1">
      <alignment vertical="center"/>
      <protection hidden="1"/>
    </xf>
    <xf numFmtId="188" fontId="24" fillId="2" borderId="16" xfId="0" applyNumberFormat="1" applyFont="1" applyFill="1" applyBorder="1" applyAlignment="1" applyProtection="1">
      <alignment horizontal="left" vertical="center"/>
      <protection hidden="1"/>
    </xf>
    <xf numFmtId="189" fontId="24" fillId="2" borderId="17" xfId="0" applyNumberFormat="1" applyFont="1" applyFill="1" applyBorder="1" applyAlignment="1" applyProtection="1">
      <alignment horizontal="left" vertical="center"/>
      <protection hidden="1"/>
    </xf>
    <xf numFmtId="189" fontId="24" fillId="2" borderId="0" xfId="0" applyNumberFormat="1" applyFont="1" applyFill="1" applyBorder="1" applyAlignment="1" applyProtection="1">
      <alignment horizontal="right" vertical="center"/>
      <protection hidden="1"/>
    </xf>
    <xf numFmtId="0" fontId="11" fillId="2" borderId="0" xfId="0" applyFont="1" applyFill="1" applyBorder="1" applyProtection="1">
      <protection hidden="1"/>
    </xf>
    <xf numFmtId="9" fontId="24" fillId="0" borderId="1" xfId="8" applyFont="1" applyBorder="1" applyAlignment="1" applyProtection="1">
      <alignment horizontal="right"/>
      <protection hidden="1"/>
    </xf>
    <xf numFmtId="1" fontId="24" fillId="0" borderId="1" xfId="0" applyNumberFormat="1" applyFont="1" applyBorder="1" applyAlignment="1" applyProtection="1">
      <alignment horizontal="right"/>
      <protection hidden="1"/>
    </xf>
    <xf numFmtId="1" fontId="24" fillId="4" borderId="1" xfId="0" applyNumberFormat="1" applyFont="1" applyFill="1" applyBorder="1" applyProtection="1">
      <protection hidden="1"/>
    </xf>
    <xf numFmtId="1" fontId="24" fillId="0" borderId="1" xfId="0" applyNumberFormat="1" applyFont="1" applyBorder="1" applyProtection="1">
      <protection hidden="1"/>
    </xf>
    <xf numFmtId="9" fontId="24" fillId="4" borderId="1" xfId="8" applyFont="1" applyFill="1" applyBorder="1" applyProtection="1">
      <protection hidden="1"/>
    </xf>
    <xf numFmtId="9" fontId="24" fillId="0" borderId="1" xfId="8" applyFont="1" applyBorder="1" applyProtection="1">
      <protection hidden="1"/>
    </xf>
    <xf numFmtId="190" fontId="5" fillId="0" borderId="8" xfId="0" applyNumberFormat="1" applyFont="1" applyFill="1" applyBorder="1" applyAlignment="1" applyProtection="1">
      <alignment horizontal="center" vertical="center" wrapText="1"/>
      <protection hidden="1"/>
    </xf>
    <xf numFmtId="0" fontId="5" fillId="0" borderId="23" xfId="0" applyFont="1" applyBorder="1" applyAlignment="1" applyProtection="1">
      <alignment horizontal="center" vertical="center" wrapText="1"/>
      <protection hidden="1"/>
    </xf>
    <xf numFmtId="0" fontId="4" fillId="0" borderId="23" xfId="0" applyFont="1" applyBorder="1" applyAlignment="1" applyProtection="1">
      <alignment horizontal="right"/>
      <protection hidden="1"/>
    </xf>
    <xf numFmtId="0" fontId="3" fillId="0" borderId="23" xfId="0" applyFont="1" applyBorder="1" applyAlignment="1" applyProtection="1">
      <alignment horizontal="right"/>
      <protection hidden="1"/>
    </xf>
    <xf numFmtId="0" fontId="4" fillId="0" borderId="24" xfId="0" applyFont="1" applyBorder="1" applyAlignment="1" applyProtection="1">
      <alignment horizontal="right"/>
      <protection hidden="1"/>
    </xf>
    <xf numFmtId="49" fontId="24" fillId="5" borderId="8" xfId="0" applyNumberFormat="1" applyFont="1" applyFill="1" applyBorder="1" applyAlignment="1" applyProtection="1">
      <alignment horizontal="center" vertical="center" wrapText="1"/>
      <protection locked="0"/>
    </xf>
    <xf numFmtId="2" fontId="24" fillId="6" borderId="23" xfId="0" applyNumberFormat="1" applyFont="1" applyFill="1" applyBorder="1" applyProtection="1">
      <protection locked="0"/>
    </xf>
    <xf numFmtId="180" fontId="24" fillId="6" borderId="23" xfId="8" applyNumberFormat="1" applyFont="1" applyFill="1" applyBorder="1" applyProtection="1">
      <protection locked="0"/>
    </xf>
    <xf numFmtId="2" fontId="24" fillId="0" borderId="24" xfId="0" applyNumberFormat="1" applyFont="1" applyBorder="1" applyProtection="1">
      <protection hidden="1"/>
    </xf>
    <xf numFmtId="0" fontId="5" fillId="0" borderId="23" xfId="0" applyFont="1" applyFill="1" applyBorder="1" applyAlignment="1" applyProtection="1">
      <alignment horizontal="left" vertical="center" wrapText="1"/>
      <protection hidden="1"/>
    </xf>
    <xf numFmtId="0" fontId="24" fillId="0" borderId="23" xfId="0" applyFont="1" applyBorder="1" applyProtection="1">
      <protection hidden="1"/>
    </xf>
    <xf numFmtId="190" fontId="4" fillId="0" borderId="8" xfId="0" applyNumberFormat="1" applyFont="1" applyFill="1" applyBorder="1" applyAlignment="1" applyProtection="1">
      <alignment horizontal="center" vertical="center" wrapText="1"/>
      <protection hidden="1"/>
    </xf>
    <xf numFmtId="0" fontId="4" fillId="0" borderId="23" xfId="0" applyFont="1" applyBorder="1" applyAlignment="1" applyProtection="1">
      <alignment horizontal="center" vertical="center" wrapText="1"/>
      <protection hidden="1"/>
    </xf>
    <xf numFmtId="0" fontId="4" fillId="0" borderId="23" xfId="0" applyFont="1" applyBorder="1" applyAlignment="1" applyProtection="1">
      <alignment horizontal="center"/>
      <protection hidden="1"/>
    </xf>
    <xf numFmtId="0" fontId="4" fillId="0" borderId="24" xfId="0" applyFont="1" applyBorder="1" applyAlignment="1" applyProtection="1">
      <alignment horizontal="center"/>
      <protection hidden="1"/>
    </xf>
    <xf numFmtId="49" fontId="24" fillId="5" borderId="18" xfId="0" applyNumberFormat="1" applyFont="1" applyFill="1" applyBorder="1" applyAlignment="1" applyProtection="1">
      <alignment horizontal="center"/>
      <protection locked="0"/>
    </xf>
    <xf numFmtId="9" fontId="24" fillId="6" borderId="25" xfId="0" applyNumberFormat="1" applyFont="1" applyFill="1" applyBorder="1" applyAlignment="1" applyProtection="1">
      <alignment horizontal="center"/>
      <protection locked="0"/>
    </xf>
    <xf numFmtId="10" fontId="24" fillId="6" borderId="25" xfId="0" applyNumberFormat="1" applyFont="1" applyFill="1" applyBorder="1" applyAlignment="1" applyProtection="1">
      <alignment horizontal="center"/>
      <protection locked="0"/>
    </xf>
    <xf numFmtId="2" fontId="24" fillId="0" borderId="26" xfId="0" applyNumberFormat="1" applyFont="1" applyBorder="1" applyAlignment="1" applyProtection="1">
      <alignment horizontal="center"/>
      <protection hidden="1"/>
    </xf>
    <xf numFmtId="0" fontId="3" fillId="0" borderId="8" xfId="0" applyFont="1" applyBorder="1" applyProtection="1">
      <protection hidden="1"/>
    </xf>
    <xf numFmtId="0" fontId="3" fillId="0" borderId="24" xfId="0" applyFont="1" applyBorder="1" applyAlignment="1" applyProtection="1">
      <alignment horizontal="right"/>
      <protection hidden="1"/>
    </xf>
    <xf numFmtId="188" fontId="24" fillId="2" borderId="18" xfId="0" applyNumberFormat="1" applyFont="1" applyFill="1" applyBorder="1" applyAlignment="1" applyProtection="1">
      <alignment horizontal="left" vertical="center"/>
      <protection hidden="1"/>
    </xf>
    <xf numFmtId="188" fontId="24" fillId="2" borderId="25" xfId="0" applyNumberFormat="1" applyFont="1" applyFill="1" applyBorder="1" applyAlignment="1" applyProtection="1">
      <alignment horizontal="left" vertical="center"/>
      <protection hidden="1"/>
    </xf>
    <xf numFmtId="188" fontId="24" fillId="2" borderId="25" xfId="0" applyNumberFormat="1" applyFont="1" applyFill="1" applyBorder="1" applyAlignment="1" applyProtection="1">
      <alignment horizontal="right" vertical="center"/>
      <protection hidden="1"/>
    </xf>
    <xf numFmtId="188" fontId="24" fillId="2" borderId="26" xfId="0" applyNumberFormat="1" applyFont="1" applyFill="1" applyBorder="1" applyAlignment="1" applyProtection="1">
      <alignment horizontal="right" vertical="center"/>
      <protection hidden="1"/>
    </xf>
    <xf numFmtId="0" fontId="17" fillId="0" borderId="0" xfId="10" applyFont="1" applyProtection="1">
      <protection hidden="1"/>
    </xf>
    <xf numFmtId="38" fontId="17" fillId="0" borderId="0" xfId="10" applyNumberFormat="1" applyFont="1" applyProtection="1">
      <protection hidden="1"/>
    </xf>
    <xf numFmtId="183" fontId="17" fillId="0" borderId="0" xfId="10" applyNumberFormat="1" applyFont="1" applyProtection="1">
      <protection hidden="1"/>
    </xf>
    <xf numFmtId="0" fontId="17" fillId="0" borderId="0" xfId="0" applyFont="1" applyProtection="1">
      <protection hidden="1"/>
    </xf>
    <xf numFmtId="0" fontId="17" fillId="0" borderId="0" xfId="0" applyFont="1"/>
    <xf numFmtId="180" fontId="24" fillId="4" borderId="1" xfId="8" applyNumberFormat="1" applyFont="1" applyFill="1" applyBorder="1" applyAlignment="1" applyProtection="1">
      <alignment horizontal="right"/>
      <protection hidden="1"/>
    </xf>
    <xf numFmtId="180" fontId="24" fillId="0" borderId="1" xfId="8" applyNumberFormat="1" applyFont="1" applyFill="1" applyBorder="1" applyAlignment="1" applyProtection="1">
      <alignment horizontal="right"/>
      <protection hidden="1"/>
    </xf>
    <xf numFmtId="177" fontId="12" fillId="7" borderId="27" xfId="0" applyNumberFormat="1" applyFont="1" applyFill="1" applyBorder="1" applyProtection="1">
      <protection locked="0"/>
    </xf>
    <xf numFmtId="177" fontId="33" fillId="7" borderId="28" xfId="0" applyNumberFormat="1" applyFont="1" applyFill="1" applyBorder="1" applyProtection="1">
      <protection locked="0"/>
    </xf>
    <xf numFmtId="177" fontId="33" fillId="7" borderId="29" xfId="0" applyNumberFormat="1" applyFont="1" applyFill="1" applyBorder="1" applyProtection="1">
      <protection locked="0"/>
    </xf>
    <xf numFmtId="177" fontId="12" fillId="7" borderId="30" xfId="0" applyNumberFormat="1" applyFont="1" applyFill="1" applyBorder="1" applyProtection="1">
      <protection locked="0"/>
    </xf>
    <xf numFmtId="177" fontId="45" fillId="7" borderId="23" xfId="0" applyNumberFormat="1" applyFont="1" applyFill="1" applyBorder="1" applyProtection="1">
      <protection locked="0"/>
    </xf>
    <xf numFmtId="0" fontId="11" fillId="7" borderId="23" xfId="0" applyNumberFormat="1" applyFont="1" applyFill="1" applyBorder="1" applyProtection="1">
      <protection locked="0"/>
    </xf>
    <xf numFmtId="177" fontId="11" fillId="7" borderId="23" xfId="0" applyNumberFormat="1" applyFont="1" applyFill="1" applyBorder="1" applyProtection="1">
      <protection locked="0"/>
    </xf>
    <xf numFmtId="177" fontId="11" fillId="7" borderId="31" xfId="0" applyNumberFormat="1" applyFont="1" applyFill="1" applyBorder="1" applyProtection="1">
      <protection locked="0"/>
    </xf>
    <xf numFmtId="0" fontId="12" fillId="7" borderId="27" xfId="0" applyFont="1" applyFill="1" applyBorder="1" applyProtection="1">
      <protection locked="0"/>
    </xf>
    <xf numFmtId="0" fontId="45" fillId="7" borderId="28" xfId="0" applyFont="1" applyFill="1" applyBorder="1" applyAlignment="1" applyProtection="1">
      <alignment horizontal="right"/>
      <protection locked="0"/>
    </xf>
    <xf numFmtId="0" fontId="45" fillId="7" borderId="29" xfId="0" applyFont="1" applyFill="1" applyBorder="1" applyAlignment="1" applyProtection="1">
      <alignment horizontal="right"/>
      <protection locked="0"/>
    </xf>
    <xf numFmtId="0" fontId="11" fillId="7" borderId="28" xfId="0" applyFont="1" applyFill="1" applyBorder="1" applyProtection="1">
      <protection locked="0"/>
    </xf>
    <xf numFmtId="0" fontId="45" fillId="7" borderId="28" xfId="0" applyFont="1" applyFill="1" applyBorder="1" applyProtection="1">
      <protection locked="0"/>
    </xf>
    <xf numFmtId="0" fontId="11" fillId="7" borderId="29" xfId="0" applyFont="1" applyFill="1" applyBorder="1" applyProtection="1">
      <protection locked="0"/>
    </xf>
    <xf numFmtId="0" fontId="47" fillId="7" borderId="28" xfId="0" applyFont="1" applyFill="1" applyBorder="1" applyProtection="1">
      <protection locked="0"/>
    </xf>
    <xf numFmtId="0" fontId="12" fillId="7" borderId="9" xfId="0" applyFont="1" applyFill="1" applyBorder="1" applyProtection="1">
      <protection locked="0"/>
    </xf>
    <xf numFmtId="0" fontId="12" fillId="7" borderId="10" xfId="0" applyFont="1" applyFill="1" applyBorder="1" applyProtection="1">
      <protection locked="0"/>
    </xf>
    <xf numFmtId="0" fontId="12" fillId="7" borderId="12" xfId="0" applyFont="1" applyFill="1" applyBorder="1" applyProtection="1">
      <protection locked="0"/>
    </xf>
    <xf numFmtId="0" fontId="24" fillId="7" borderId="28" xfId="0" applyFont="1" applyFill="1" applyBorder="1" applyProtection="1">
      <protection locked="0"/>
    </xf>
    <xf numFmtId="0" fontId="24" fillId="7" borderId="29" xfId="0" applyFont="1" applyFill="1" applyBorder="1" applyProtection="1">
      <protection locked="0"/>
    </xf>
    <xf numFmtId="0" fontId="48" fillId="7" borderId="28" xfId="0" applyFont="1" applyFill="1" applyBorder="1" applyProtection="1">
      <protection locked="0"/>
    </xf>
    <xf numFmtId="0" fontId="12" fillId="7" borderId="27" xfId="0" applyFont="1" applyFill="1" applyBorder="1" applyAlignment="1" applyProtection="1">
      <alignment vertical="center"/>
      <protection locked="0"/>
    </xf>
    <xf numFmtId="0" fontId="11" fillId="7" borderId="27" xfId="0" applyFont="1" applyFill="1" applyBorder="1" applyProtection="1">
      <protection locked="0"/>
    </xf>
    <xf numFmtId="0" fontId="12" fillId="7" borderId="27" xfId="0" applyFont="1" applyFill="1" applyBorder="1" applyAlignment="1" applyProtection="1">
      <alignment horizontal="left"/>
      <protection locked="0"/>
    </xf>
    <xf numFmtId="0" fontId="11" fillId="7" borderId="28" xfId="0" applyFont="1" applyFill="1" applyBorder="1" applyAlignment="1" applyProtection="1">
      <alignment horizontal="left"/>
      <protection locked="0"/>
    </xf>
    <xf numFmtId="0" fontId="24" fillId="7" borderId="10" xfId="0" applyFont="1" applyFill="1" applyBorder="1" applyProtection="1">
      <protection locked="0"/>
    </xf>
    <xf numFmtId="0" fontId="24" fillId="7" borderId="12" xfId="0" applyFont="1" applyFill="1" applyBorder="1" applyProtection="1">
      <protection locked="0"/>
    </xf>
    <xf numFmtId="0" fontId="25" fillId="7" borderId="27" xfId="0" applyFont="1" applyFill="1" applyBorder="1" applyProtection="1">
      <protection locked="0"/>
    </xf>
    <xf numFmtId="2" fontId="24" fillId="2" borderId="25" xfId="0" applyNumberFormat="1" applyFont="1" applyFill="1" applyBorder="1" applyAlignment="1" applyProtection="1">
      <alignment horizontal="center"/>
      <protection hidden="1"/>
    </xf>
    <xf numFmtId="0" fontId="5" fillId="3" borderId="23" xfId="0" applyFont="1" applyFill="1" applyBorder="1" applyAlignment="1" applyProtection="1">
      <alignment horizontal="center" vertical="center" wrapText="1"/>
      <protection hidden="1"/>
    </xf>
    <xf numFmtId="0" fontId="5" fillId="3" borderId="25" xfId="0" applyFont="1" applyFill="1" applyBorder="1" applyAlignment="1" applyProtection="1">
      <alignment horizontal="center"/>
      <protection hidden="1"/>
    </xf>
    <xf numFmtId="0" fontId="24" fillId="2" borderId="0" xfId="10" applyFont="1" applyFill="1" applyProtection="1">
      <protection hidden="1"/>
    </xf>
    <xf numFmtId="181" fontId="17" fillId="2" borderId="0" xfId="10" applyNumberFormat="1" applyFont="1" applyFill="1" applyProtection="1">
      <protection hidden="1"/>
    </xf>
    <xf numFmtId="0" fontId="0" fillId="3" borderId="9" xfId="0" applyFont="1" applyFill="1" applyBorder="1" applyProtection="1">
      <protection hidden="1"/>
    </xf>
    <xf numFmtId="0" fontId="0" fillId="3" borderId="10" xfId="0" applyFont="1" applyFill="1" applyBorder="1" applyProtection="1">
      <protection hidden="1"/>
    </xf>
    <xf numFmtId="0" fontId="0" fillId="3" borderId="12" xfId="0" applyFont="1" applyFill="1" applyBorder="1" applyProtection="1">
      <protection hidden="1"/>
    </xf>
    <xf numFmtId="0" fontId="0" fillId="3" borderId="4" xfId="0" applyFont="1" applyFill="1" applyBorder="1" applyProtection="1">
      <protection hidden="1"/>
    </xf>
    <xf numFmtId="0" fontId="0" fillId="3" borderId="0" xfId="0" applyFont="1" applyFill="1" applyBorder="1" applyProtection="1">
      <protection hidden="1"/>
    </xf>
    <xf numFmtId="0" fontId="0" fillId="3" borderId="14" xfId="0" applyFont="1" applyFill="1" applyBorder="1" applyProtection="1">
      <protection hidden="1"/>
    </xf>
    <xf numFmtId="177" fontId="24" fillId="3" borderId="9" xfId="0" applyNumberFormat="1" applyFont="1" applyFill="1" applyBorder="1" applyProtection="1">
      <protection hidden="1"/>
    </xf>
    <xf numFmtId="177" fontId="24" fillId="3" borderId="10" xfId="0" applyNumberFormat="1" applyFont="1" applyFill="1" applyBorder="1" applyProtection="1">
      <protection hidden="1"/>
    </xf>
    <xf numFmtId="177" fontId="24" fillId="3" borderId="12" xfId="0" applyNumberFormat="1" applyFont="1" applyFill="1" applyBorder="1" applyProtection="1">
      <protection hidden="1"/>
    </xf>
    <xf numFmtId="177" fontId="24" fillId="3" borderId="4" xfId="0" applyNumberFormat="1" applyFont="1" applyFill="1" applyBorder="1" applyProtection="1">
      <protection hidden="1"/>
    </xf>
    <xf numFmtId="177" fontId="24" fillId="3" borderId="0" xfId="0" applyNumberFormat="1" applyFont="1" applyFill="1" applyBorder="1" applyProtection="1">
      <protection hidden="1"/>
    </xf>
    <xf numFmtId="177" fontId="24" fillId="3" borderId="14" xfId="0" applyNumberFormat="1" applyFont="1" applyFill="1" applyBorder="1" applyProtection="1">
      <protection hidden="1"/>
    </xf>
    <xf numFmtId="0" fontId="0" fillId="3" borderId="11" xfId="0" applyFill="1" applyBorder="1" applyProtection="1">
      <protection hidden="1"/>
    </xf>
    <xf numFmtId="181" fontId="17" fillId="0" borderId="0" xfId="10" applyNumberFormat="1" applyFont="1" applyFill="1" applyProtection="1">
      <protection hidden="1"/>
    </xf>
    <xf numFmtId="0" fontId="3" fillId="7" borderId="28" xfId="0" applyFont="1" applyFill="1" applyBorder="1" applyProtection="1">
      <protection locked="0"/>
    </xf>
    <xf numFmtId="177" fontId="33" fillId="0" borderId="0" xfId="0" applyNumberFormat="1" applyFont="1" applyFill="1" applyBorder="1" applyProtection="1">
      <protection locked="0"/>
    </xf>
    <xf numFmtId="184" fontId="33" fillId="0" borderId="0" xfId="0" applyNumberFormat="1" applyFont="1" applyFill="1" applyBorder="1" applyProtection="1">
      <protection locked="0"/>
    </xf>
    <xf numFmtId="0" fontId="19" fillId="0" borderId="8" xfId="0" applyFont="1" applyFill="1" applyBorder="1" applyProtection="1">
      <protection hidden="1"/>
    </xf>
    <xf numFmtId="177" fontId="52" fillId="0" borderId="0" xfId="0" applyNumberFormat="1" applyFont="1" applyFill="1" applyBorder="1" applyProtection="1">
      <protection hidden="1"/>
    </xf>
    <xf numFmtId="177" fontId="53" fillId="6" borderId="32" xfId="0" applyNumberFormat="1" applyFont="1" applyFill="1" applyBorder="1" applyAlignment="1" applyProtection="1">
      <alignment horizontal="center"/>
      <protection locked="0"/>
    </xf>
    <xf numFmtId="177" fontId="5" fillId="0" borderId="32" xfId="0" applyNumberFormat="1" applyFont="1" applyFill="1" applyBorder="1" applyProtection="1">
      <protection hidden="1"/>
    </xf>
    <xf numFmtId="177" fontId="11" fillId="4" borderId="33" xfId="0" applyNumberFormat="1" applyFont="1" applyFill="1" applyBorder="1" applyProtection="1">
      <protection hidden="1"/>
    </xf>
    <xf numFmtId="177" fontId="11" fillId="5" borderId="33" xfId="0" applyNumberFormat="1" applyFont="1" applyFill="1" applyBorder="1" applyProtection="1">
      <protection locked="0"/>
    </xf>
    <xf numFmtId="177" fontId="11" fillId="8" borderId="33" xfId="0" applyNumberFormat="1" applyFont="1" applyFill="1" applyBorder="1" applyProtection="1">
      <protection locked="0"/>
    </xf>
    <xf numFmtId="177" fontId="11" fillId="6" borderId="33" xfId="0" applyNumberFormat="1" applyFont="1" applyFill="1" applyBorder="1" applyProtection="1">
      <protection locked="0"/>
    </xf>
    <xf numFmtId="177" fontId="24" fillId="0" borderId="34" xfId="0" applyNumberFormat="1" applyFont="1" applyFill="1" applyBorder="1" applyProtection="1">
      <protection hidden="1"/>
    </xf>
    <xf numFmtId="177" fontId="11" fillId="3" borderId="35" xfId="0" applyNumberFormat="1" applyFont="1" applyFill="1" applyBorder="1" applyProtection="1">
      <protection hidden="1"/>
    </xf>
    <xf numFmtId="0" fontId="24" fillId="0" borderId="36" xfId="0" applyFont="1" applyBorder="1" applyProtection="1">
      <protection hidden="1"/>
    </xf>
    <xf numFmtId="0" fontId="5" fillId="0" borderId="37" xfId="0" applyFont="1" applyBorder="1" applyAlignment="1" applyProtection="1">
      <alignment horizontal="left"/>
      <protection hidden="1"/>
    </xf>
    <xf numFmtId="0" fontId="24" fillId="0" borderId="38" xfId="0" applyFont="1" applyBorder="1" applyProtection="1">
      <protection hidden="1"/>
    </xf>
    <xf numFmtId="0" fontId="5" fillId="0" borderId="32" xfId="0" applyFont="1" applyBorder="1" applyAlignment="1" applyProtection="1">
      <alignment horizontal="left"/>
      <protection hidden="1"/>
    </xf>
    <xf numFmtId="10" fontId="20" fillId="8" borderId="39" xfId="8" applyNumberFormat="1" applyFont="1" applyFill="1" applyBorder="1" applyAlignment="1" applyProtection="1">
      <alignment horizontal="left" vertical="center"/>
      <protection locked="0"/>
    </xf>
    <xf numFmtId="183" fontId="20" fillId="8" borderId="39" xfId="0" applyNumberFormat="1" applyFont="1" applyFill="1" applyBorder="1" applyAlignment="1" applyProtection="1">
      <alignment horizontal="left"/>
      <protection locked="0"/>
    </xf>
    <xf numFmtId="10" fontId="20" fillId="0" borderId="39" xfId="8" applyNumberFormat="1" applyFont="1" applyFill="1" applyBorder="1" applyAlignment="1" applyProtection="1">
      <alignment horizontal="left"/>
      <protection hidden="1"/>
    </xf>
    <xf numFmtId="10" fontId="20" fillId="6" borderId="39" xfId="8" applyNumberFormat="1" applyFont="1" applyFill="1" applyBorder="1" applyAlignment="1" applyProtection="1">
      <alignment horizontal="left"/>
      <protection locked="0"/>
    </xf>
    <xf numFmtId="9" fontId="20" fillId="6" borderId="39" xfId="13" applyNumberFormat="1" applyFont="1" applyFill="1" applyBorder="1" applyAlignment="1" applyProtection="1">
      <alignment horizontal="left" vertical="center"/>
      <protection locked="0"/>
    </xf>
    <xf numFmtId="10" fontId="20" fillId="6" borderId="39" xfId="0" applyNumberFormat="1" applyFont="1" applyFill="1" applyBorder="1" applyAlignment="1" applyProtection="1">
      <alignment horizontal="left"/>
      <protection locked="0"/>
    </xf>
    <xf numFmtId="0" fontId="5" fillId="0" borderId="40" xfId="0" applyFont="1" applyBorder="1" applyAlignment="1" applyProtection="1">
      <alignment horizontal="left"/>
      <protection hidden="1"/>
    </xf>
    <xf numFmtId="0" fontId="24" fillId="0" borderId="41" xfId="0" applyFont="1" applyBorder="1" applyProtection="1">
      <protection hidden="1"/>
    </xf>
    <xf numFmtId="0" fontId="24" fillId="0" borderId="40" xfId="0" applyFont="1" applyBorder="1" applyAlignment="1" applyProtection="1">
      <alignment horizontal="left"/>
      <protection hidden="1"/>
    </xf>
    <xf numFmtId="0" fontId="5" fillId="0" borderId="42" xfId="0" applyFont="1" applyBorder="1" applyAlignment="1" applyProtection="1">
      <alignment horizontal="left"/>
      <protection hidden="1"/>
    </xf>
    <xf numFmtId="0" fontId="24" fillId="0" borderId="43" xfId="0" applyFont="1" applyBorder="1" applyProtection="1">
      <protection hidden="1"/>
    </xf>
    <xf numFmtId="185" fontId="24" fillId="0" borderId="0" xfId="10" applyNumberFormat="1" applyFont="1" applyFill="1" applyProtection="1">
      <protection hidden="1"/>
    </xf>
    <xf numFmtId="181" fontId="24" fillId="0" borderId="0" xfId="10" applyNumberFormat="1" applyFont="1" applyFill="1" applyProtection="1">
      <protection hidden="1"/>
    </xf>
    <xf numFmtId="10" fontId="20" fillId="0" borderId="44" xfId="8" applyNumberFormat="1" applyFont="1" applyFill="1" applyBorder="1" applyAlignment="1" applyProtection="1">
      <alignment horizontal="left"/>
      <protection hidden="1"/>
    </xf>
    <xf numFmtId="0" fontId="43" fillId="0" borderId="14" xfId="10" applyFont="1" applyFill="1" applyBorder="1" applyProtection="1">
      <protection hidden="1"/>
    </xf>
    <xf numFmtId="0" fontId="13" fillId="0" borderId="0" xfId="0" applyFont="1" applyFill="1" applyBorder="1" applyAlignment="1" applyProtection="1">
      <protection hidden="1"/>
    </xf>
    <xf numFmtId="0" fontId="13" fillId="0" borderId="0" xfId="0" applyFont="1" applyFill="1" applyBorder="1" applyAlignment="1" applyProtection="1">
      <alignment horizontal="right" wrapText="1"/>
      <protection hidden="1"/>
    </xf>
    <xf numFmtId="0" fontId="29" fillId="0" borderId="11" xfId="0" applyFont="1" applyBorder="1" applyProtection="1">
      <protection locked="0"/>
    </xf>
    <xf numFmtId="0" fontId="29" fillId="0" borderId="0" xfId="0" applyFont="1" applyBorder="1" applyAlignment="1">
      <alignment horizontal="right"/>
    </xf>
    <xf numFmtId="0" fontId="29" fillId="0" borderId="0" xfId="0" applyFont="1" applyBorder="1"/>
    <xf numFmtId="38" fontId="24" fillId="0" borderId="0" xfId="10" applyNumberFormat="1" applyFont="1" applyBorder="1" applyAlignment="1" applyProtection="1">
      <alignment horizontal="right"/>
      <protection hidden="1"/>
    </xf>
    <xf numFmtId="38" fontId="24" fillId="0" borderId="10" xfId="10" applyNumberFormat="1" applyFont="1" applyBorder="1" applyAlignment="1" applyProtection="1">
      <alignment horizontal="right"/>
      <protection hidden="1"/>
    </xf>
    <xf numFmtId="38" fontId="24" fillId="0" borderId="12" xfId="10" applyNumberFormat="1" applyFont="1" applyBorder="1" applyAlignment="1" applyProtection="1">
      <alignment horizontal="right"/>
      <protection hidden="1"/>
    </xf>
    <xf numFmtId="38" fontId="24" fillId="0" borderId="14" xfId="10" applyNumberFormat="1" applyFont="1" applyBorder="1" applyAlignment="1" applyProtection="1">
      <alignment horizontal="right"/>
      <protection hidden="1"/>
    </xf>
    <xf numFmtId="38" fontId="24" fillId="0" borderId="11" xfId="10" applyNumberFormat="1" applyFont="1" applyBorder="1" applyAlignment="1" applyProtection="1">
      <alignment horizontal="right"/>
      <protection hidden="1"/>
    </xf>
    <xf numFmtId="38" fontId="24" fillId="0" borderId="15" xfId="10" applyNumberFormat="1" applyFont="1" applyBorder="1" applyAlignment="1" applyProtection="1">
      <alignment horizontal="right"/>
      <protection hidden="1"/>
    </xf>
    <xf numFmtId="38" fontId="24" fillId="0" borderId="0" xfId="10" applyNumberFormat="1" applyFont="1" applyAlignment="1" applyProtection="1">
      <alignment horizontal="right"/>
      <protection hidden="1"/>
    </xf>
    <xf numFmtId="38" fontId="24" fillId="0" borderId="0" xfId="10" applyNumberFormat="1" applyFont="1" applyAlignment="1">
      <alignment horizontal="right"/>
    </xf>
    <xf numFmtId="38" fontId="24" fillId="0" borderId="0" xfId="10" applyNumberFormat="1" applyFont="1" applyBorder="1"/>
    <xf numFmtId="0" fontId="24" fillId="2" borderId="0" xfId="0" applyFont="1" applyFill="1" applyAlignment="1"/>
    <xf numFmtId="0" fontId="4" fillId="2" borderId="0" xfId="0" applyFont="1" applyFill="1" applyBorder="1" applyAlignment="1">
      <alignment horizontal="center"/>
    </xf>
    <xf numFmtId="0" fontId="54" fillId="2" borderId="0" xfId="0" applyFont="1" applyFill="1" applyBorder="1" applyAlignment="1">
      <alignment horizontal="center"/>
    </xf>
    <xf numFmtId="0" fontId="24" fillId="0" borderId="0" xfId="10" applyFont="1" applyBorder="1" applyProtection="1">
      <protection locked="0"/>
    </xf>
    <xf numFmtId="0" fontId="24" fillId="0" borderId="11" xfId="10" applyFont="1" applyBorder="1" applyProtection="1">
      <protection hidden="1"/>
    </xf>
    <xf numFmtId="0" fontId="12" fillId="7" borderId="45" xfId="0" applyFont="1" applyFill="1" applyBorder="1" applyProtection="1">
      <protection locked="0"/>
    </xf>
    <xf numFmtId="185" fontId="12" fillId="7" borderId="45" xfId="10" applyNumberFormat="1" applyFont="1" applyFill="1" applyBorder="1" applyProtection="1">
      <protection locked="0"/>
    </xf>
    <xf numFmtId="177" fontId="9" fillId="3" borderId="4" xfId="0" applyNumberFormat="1" applyFont="1" applyFill="1" applyBorder="1" applyProtection="1">
      <protection hidden="1"/>
    </xf>
    <xf numFmtId="177" fontId="24" fillId="3" borderId="7" xfId="0" applyNumberFormat="1" applyFont="1" applyFill="1" applyBorder="1" applyProtection="1">
      <protection hidden="1"/>
    </xf>
    <xf numFmtId="177" fontId="24" fillId="3" borderId="11" xfId="0" applyNumberFormat="1" applyFont="1" applyFill="1" applyBorder="1" applyProtection="1">
      <protection hidden="1"/>
    </xf>
    <xf numFmtId="177" fontId="24" fillId="3" borderId="15" xfId="0" applyNumberFormat="1" applyFont="1" applyFill="1" applyBorder="1" applyProtection="1">
      <protection hidden="1"/>
    </xf>
    <xf numFmtId="183" fontId="51" fillId="7" borderId="28" xfId="0" applyNumberFormat="1" applyFont="1" applyFill="1" applyBorder="1" applyProtection="1">
      <protection locked="0"/>
    </xf>
    <xf numFmtId="0" fontId="55" fillId="0" borderId="0" xfId="0" applyFont="1"/>
    <xf numFmtId="0" fontId="5" fillId="0" borderId="16" xfId="0" applyFont="1" applyFill="1" applyBorder="1" applyAlignment="1" applyProtection="1">
      <alignment horizontal="left" vertical="center" wrapText="1"/>
      <protection hidden="1"/>
    </xf>
    <xf numFmtId="0" fontId="0" fillId="0" borderId="0" xfId="0" applyFill="1"/>
    <xf numFmtId="0" fontId="5" fillId="0" borderId="46" xfId="0" applyFont="1" applyFill="1" applyBorder="1" applyAlignment="1" applyProtection="1">
      <alignment horizontal="left" vertical="center" wrapText="1"/>
      <protection hidden="1"/>
    </xf>
    <xf numFmtId="0" fontId="47" fillId="7" borderId="47" xfId="0" applyFont="1" applyFill="1" applyBorder="1" applyAlignment="1" applyProtection="1">
      <alignment vertical="center"/>
      <protection locked="0"/>
    </xf>
    <xf numFmtId="177" fontId="24" fillId="3" borderId="4" xfId="0" applyNumberFormat="1" applyFont="1" applyFill="1" applyBorder="1" applyAlignment="1" applyProtection="1">
      <alignment horizontal="center"/>
      <protection hidden="1"/>
    </xf>
    <xf numFmtId="0" fontId="33" fillId="0" borderId="0" xfId="0" applyFont="1" applyProtection="1">
      <protection hidden="1"/>
    </xf>
    <xf numFmtId="0" fontId="56" fillId="3" borderId="4" xfId="0" applyFont="1" applyFill="1" applyBorder="1" applyProtection="1">
      <protection hidden="1"/>
    </xf>
    <xf numFmtId="0" fontId="0" fillId="3" borderId="7" xfId="0" applyFill="1" applyBorder="1" applyProtection="1">
      <protection hidden="1"/>
    </xf>
    <xf numFmtId="0" fontId="0" fillId="3" borderId="15" xfId="0" applyFill="1" applyBorder="1" applyProtection="1">
      <protection hidden="1"/>
    </xf>
    <xf numFmtId="10" fontId="20" fillId="2" borderId="48" xfId="0" applyNumberFormat="1" applyFont="1" applyFill="1" applyBorder="1" applyAlignment="1" applyProtection="1">
      <alignment horizontal="left"/>
      <protection hidden="1"/>
    </xf>
    <xf numFmtId="10" fontId="20" fillId="3" borderId="39" xfId="8" applyNumberFormat="1" applyFont="1" applyFill="1" applyBorder="1" applyAlignment="1" applyProtection="1">
      <alignment horizontal="left" vertical="center"/>
      <protection hidden="1"/>
    </xf>
    <xf numFmtId="10" fontId="20" fillId="2" borderId="39" xfId="0" applyNumberFormat="1" applyFont="1" applyFill="1" applyBorder="1" applyAlignment="1" applyProtection="1">
      <alignment horizontal="left"/>
      <protection hidden="1"/>
    </xf>
    <xf numFmtId="192" fontId="20" fillId="2" borderId="39" xfId="0" applyNumberFormat="1" applyFont="1" applyFill="1" applyBorder="1" applyAlignment="1" applyProtection="1">
      <alignment horizontal="left"/>
      <protection hidden="1"/>
    </xf>
    <xf numFmtId="183" fontId="20" fillId="3" borderId="39" xfId="0" applyNumberFormat="1" applyFont="1" applyFill="1" applyBorder="1" applyAlignment="1" applyProtection="1">
      <alignment horizontal="left"/>
      <protection hidden="1"/>
    </xf>
    <xf numFmtId="0" fontId="24" fillId="0" borderId="0" xfId="0" applyNumberFormat="1" applyFont="1" applyProtection="1">
      <protection hidden="1"/>
    </xf>
    <xf numFmtId="14" fontId="24" fillId="0" borderId="0" xfId="0" applyNumberFormat="1" applyFont="1" applyProtection="1">
      <protection hidden="1"/>
    </xf>
    <xf numFmtId="0" fontId="36" fillId="0" borderId="0" xfId="0" applyFont="1" applyProtection="1">
      <protection locked="0"/>
    </xf>
    <xf numFmtId="0" fontId="0" fillId="0" borderId="0" xfId="0" applyFill="1" applyProtection="1">
      <protection hidden="1"/>
    </xf>
    <xf numFmtId="0" fontId="55" fillId="0" borderId="0" xfId="0" applyFont="1" applyProtection="1">
      <protection hidden="1"/>
    </xf>
    <xf numFmtId="38" fontId="15" fillId="2" borderId="0" xfId="11" applyNumberFormat="1" applyFont="1" applyFill="1" applyAlignment="1">
      <alignment horizontal="center" vertical="center"/>
    </xf>
    <xf numFmtId="194" fontId="7" fillId="0" borderId="0" xfId="11" applyNumberFormat="1" applyFont="1" applyAlignment="1">
      <alignment horizontal="center" vertical="center"/>
    </xf>
    <xf numFmtId="194" fontId="5" fillId="0" borderId="0" xfId="11" applyNumberFormat="1" applyFont="1">
      <alignment vertical="center"/>
    </xf>
    <xf numFmtId="0" fontId="65" fillId="2" borderId="0" xfId="11" applyFill="1">
      <alignment vertical="center"/>
    </xf>
    <xf numFmtId="194" fontId="5" fillId="0" borderId="0" xfId="11" applyNumberFormat="1" applyFont="1" applyFill="1">
      <alignment vertical="center"/>
    </xf>
    <xf numFmtId="196" fontId="5" fillId="0" borderId="0" xfId="11" applyNumberFormat="1" applyFont="1">
      <alignment vertical="center"/>
    </xf>
    <xf numFmtId="0" fontId="60" fillId="7" borderId="28" xfId="0" applyFont="1" applyFill="1" applyBorder="1" applyProtection="1">
      <protection locked="0"/>
    </xf>
    <xf numFmtId="0" fontId="3" fillId="0" borderId="2" xfId="0" applyFont="1" applyBorder="1" applyAlignment="1" applyProtection="1">
      <alignment vertical="center"/>
      <protection hidden="1"/>
    </xf>
    <xf numFmtId="188" fontId="24" fillId="2" borderId="0" xfId="0" applyNumberFormat="1" applyFont="1" applyFill="1" applyBorder="1" applyAlignment="1" applyProtection="1">
      <alignment horizontal="left" vertical="center"/>
      <protection hidden="1"/>
    </xf>
    <xf numFmtId="189" fontId="24" fillId="2" borderId="11" xfId="0" applyNumberFormat="1" applyFont="1" applyFill="1" applyBorder="1" applyAlignment="1" applyProtection="1">
      <alignment horizontal="left" vertical="center"/>
      <protection hidden="1"/>
    </xf>
    <xf numFmtId="0" fontId="29" fillId="0" borderId="10" xfId="0" applyFont="1" applyBorder="1" applyProtection="1">
      <protection hidden="1"/>
    </xf>
    <xf numFmtId="185" fontId="4" fillId="0" borderId="49" xfId="10" applyNumberFormat="1" applyFont="1" applyBorder="1" applyProtection="1">
      <protection hidden="1"/>
    </xf>
    <xf numFmtId="0" fontId="0" fillId="0" borderId="0" xfId="0" applyAlignment="1">
      <alignment horizontal="right"/>
    </xf>
    <xf numFmtId="0" fontId="36" fillId="7" borderId="0" xfId="0" applyFont="1" applyFill="1"/>
    <xf numFmtId="194" fontId="5" fillId="0" borderId="0" xfId="11" applyNumberFormat="1" applyFont="1" applyProtection="1">
      <alignment vertical="center"/>
      <protection locked="0"/>
    </xf>
    <xf numFmtId="194" fontId="7" fillId="0" borderId="0" xfId="11" applyNumberFormat="1" applyFont="1" applyAlignment="1" applyProtection="1">
      <alignment horizontal="center" vertical="center"/>
      <protection locked="0"/>
    </xf>
    <xf numFmtId="194" fontId="5" fillId="0" borderId="0" xfId="11" applyNumberFormat="1" applyFont="1" applyProtection="1">
      <alignment vertical="center"/>
      <protection hidden="1"/>
    </xf>
    <xf numFmtId="194" fontId="7" fillId="7" borderId="0" xfId="11" applyNumberFormat="1" applyFont="1" applyFill="1" applyAlignment="1" applyProtection="1">
      <alignment horizontal="center" vertical="center"/>
      <protection locked="0"/>
    </xf>
    <xf numFmtId="194" fontId="5" fillId="0" borderId="0" xfId="11" applyNumberFormat="1" applyFont="1" applyFill="1" applyProtection="1">
      <alignment vertical="center"/>
      <protection hidden="1"/>
    </xf>
    <xf numFmtId="194" fontId="10" fillId="0" borderId="1" xfId="11" applyNumberFormat="1" applyFont="1" applyFill="1" applyBorder="1" applyAlignment="1" applyProtection="1">
      <alignment horizontal="right" vertical="center"/>
      <protection hidden="1"/>
    </xf>
    <xf numFmtId="197" fontId="61" fillId="0" borderId="50" xfId="11" applyNumberFormat="1" applyFont="1" applyFill="1" applyBorder="1" applyAlignment="1" applyProtection="1">
      <alignment horizontal="center" vertical="center"/>
      <protection hidden="1"/>
    </xf>
    <xf numFmtId="197" fontId="61" fillId="0" borderId="51" xfId="11" applyNumberFormat="1" applyFont="1" applyFill="1" applyBorder="1" applyAlignment="1" applyProtection="1">
      <alignment horizontal="center" vertical="center"/>
      <protection hidden="1"/>
    </xf>
    <xf numFmtId="197" fontId="61" fillId="0" borderId="52" xfId="11" applyNumberFormat="1" applyFont="1" applyFill="1" applyBorder="1" applyAlignment="1" applyProtection="1">
      <alignment horizontal="center" vertical="center"/>
      <protection hidden="1"/>
    </xf>
    <xf numFmtId="197" fontId="61" fillId="0" borderId="23" xfId="11" applyNumberFormat="1" applyFont="1" applyFill="1" applyBorder="1" applyAlignment="1" applyProtection="1">
      <alignment horizontal="center" vertical="center"/>
      <protection hidden="1"/>
    </xf>
    <xf numFmtId="196" fontId="5" fillId="0" borderId="0" xfId="11" applyNumberFormat="1" applyFont="1" applyProtection="1">
      <alignment vertical="center"/>
      <protection hidden="1"/>
    </xf>
    <xf numFmtId="196" fontId="4" fillId="0" borderId="53" xfId="11" applyNumberFormat="1" applyFont="1" applyBorder="1" applyProtection="1">
      <alignment vertical="center"/>
      <protection hidden="1"/>
    </xf>
    <xf numFmtId="40" fontId="7" fillId="0" borderId="54" xfId="11" applyNumberFormat="1" applyFont="1" applyBorder="1" applyAlignment="1" applyProtection="1">
      <alignment horizontal="center" vertical="center"/>
      <protection hidden="1"/>
    </xf>
    <xf numFmtId="40" fontId="7" fillId="0" borderId="55" xfId="11" applyNumberFormat="1" applyFont="1" applyBorder="1" applyAlignment="1" applyProtection="1">
      <alignment horizontal="center" vertical="center"/>
      <protection hidden="1"/>
    </xf>
    <xf numFmtId="40" fontId="7" fillId="0" borderId="56" xfId="11" applyNumberFormat="1" applyFont="1" applyBorder="1" applyAlignment="1" applyProtection="1">
      <alignment horizontal="center" vertical="center"/>
      <protection hidden="1"/>
    </xf>
    <xf numFmtId="40" fontId="7" fillId="0" borderId="57" xfId="11" applyNumberFormat="1" applyFont="1" applyBorder="1" applyAlignment="1" applyProtection="1">
      <alignment horizontal="center" vertical="center"/>
      <protection hidden="1"/>
    </xf>
    <xf numFmtId="196" fontId="62" fillId="6" borderId="58" xfId="11" applyNumberFormat="1" applyFont="1" applyFill="1" applyBorder="1" applyAlignment="1" applyProtection="1">
      <alignment horizontal="center" vertical="center"/>
      <protection locked="0"/>
    </xf>
    <xf numFmtId="196" fontId="62" fillId="6" borderId="51" xfId="11" applyNumberFormat="1" applyFont="1" applyFill="1" applyBorder="1" applyAlignment="1" applyProtection="1">
      <alignment horizontal="center" vertical="center"/>
      <protection locked="0"/>
    </xf>
    <xf numFmtId="196" fontId="62" fillId="6" borderId="52" xfId="11" applyNumberFormat="1" applyFont="1" applyFill="1" applyBorder="1" applyAlignment="1" applyProtection="1">
      <alignment horizontal="center" vertical="center"/>
      <protection locked="0"/>
    </xf>
    <xf numFmtId="196" fontId="63" fillId="6" borderId="59" xfId="11" applyNumberFormat="1" applyFont="1" applyFill="1" applyBorder="1" applyProtection="1">
      <alignment vertical="center"/>
      <protection locked="0"/>
    </xf>
    <xf numFmtId="40" fontId="7" fillId="6" borderId="48" xfId="11" applyNumberFormat="1" applyFont="1" applyFill="1" applyBorder="1" applyAlignment="1" applyProtection="1">
      <alignment horizontal="center" vertical="center"/>
      <protection locked="0"/>
    </xf>
    <xf numFmtId="40" fontId="7" fillId="6" borderId="37" xfId="11" applyNumberFormat="1" applyFont="1" applyFill="1" applyBorder="1" applyAlignment="1" applyProtection="1">
      <alignment horizontal="center" vertical="center"/>
      <protection locked="0"/>
    </xf>
    <xf numFmtId="40" fontId="7" fillId="6" borderId="60" xfId="11" applyNumberFormat="1" applyFont="1" applyFill="1" applyBorder="1" applyAlignment="1" applyProtection="1">
      <alignment horizontal="center" vertical="center"/>
      <protection locked="0"/>
    </xf>
    <xf numFmtId="40" fontId="7" fillId="6" borderId="61" xfId="11" applyNumberFormat="1" applyFont="1" applyFill="1" applyBorder="1" applyAlignment="1" applyProtection="1">
      <alignment horizontal="center" vertical="center"/>
      <protection locked="0"/>
    </xf>
    <xf numFmtId="40" fontId="7" fillId="6" borderId="62" xfId="11" applyNumberFormat="1" applyFont="1" applyFill="1" applyBorder="1" applyAlignment="1" applyProtection="1">
      <alignment horizontal="center" vertical="center"/>
      <protection locked="0"/>
    </xf>
    <xf numFmtId="196" fontId="7" fillId="6" borderId="63" xfId="11" applyNumberFormat="1" applyFont="1" applyFill="1" applyBorder="1" applyAlignment="1" applyProtection="1">
      <alignment horizontal="center" vertical="center"/>
      <protection locked="0"/>
    </xf>
    <xf numFmtId="196" fontId="7" fillId="6" borderId="64" xfId="11" applyNumberFormat="1" applyFont="1" applyFill="1" applyBorder="1" applyAlignment="1" applyProtection="1">
      <alignment horizontal="center" vertical="center"/>
      <protection locked="0"/>
    </xf>
    <xf numFmtId="196" fontId="7" fillId="6" borderId="65" xfId="11" applyNumberFormat="1" applyFont="1" applyFill="1" applyBorder="1" applyAlignment="1" applyProtection="1">
      <alignment horizontal="center" vertical="center"/>
      <protection locked="0"/>
    </xf>
    <xf numFmtId="196" fontId="7" fillId="6" borderId="66" xfId="11" applyNumberFormat="1" applyFont="1" applyFill="1" applyBorder="1" applyAlignment="1" applyProtection="1">
      <alignment horizontal="center" vertical="center"/>
      <protection locked="0"/>
    </xf>
    <xf numFmtId="196" fontId="7" fillId="6" borderId="59" xfId="11" applyNumberFormat="1" applyFont="1" applyFill="1" applyBorder="1" applyProtection="1">
      <alignment vertical="center"/>
      <protection locked="0"/>
    </xf>
    <xf numFmtId="40" fontId="7" fillId="6" borderId="39" xfId="11" applyNumberFormat="1" applyFont="1" applyFill="1" applyBorder="1" applyAlignment="1" applyProtection="1">
      <alignment horizontal="center" vertical="center"/>
      <protection locked="0"/>
    </xf>
    <xf numFmtId="40" fontId="7" fillId="6" borderId="32" xfId="11" applyNumberFormat="1" applyFont="1" applyFill="1" applyBorder="1" applyAlignment="1" applyProtection="1">
      <alignment horizontal="center" vertical="center"/>
      <protection locked="0"/>
    </xf>
    <xf numFmtId="40" fontId="7" fillId="6" borderId="40" xfId="11" applyNumberFormat="1" applyFont="1" applyFill="1" applyBorder="1" applyAlignment="1" applyProtection="1">
      <alignment horizontal="center" vertical="center"/>
      <protection locked="0"/>
    </xf>
    <xf numFmtId="40" fontId="7" fillId="6" borderId="67" xfId="11" applyNumberFormat="1" applyFont="1" applyFill="1" applyBorder="1" applyAlignment="1" applyProtection="1">
      <alignment horizontal="center" vertical="center"/>
      <protection locked="0"/>
    </xf>
    <xf numFmtId="40" fontId="7" fillId="6" borderId="68" xfId="11" applyNumberFormat="1" applyFont="1" applyFill="1" applyBorder="1" applyAlignment="1" applyProtection="1">
      <alignment horizontal="center" vertical="center"/>
      <protection locked="0"/>
    </xf>
    <xf numFmtId="196" fontId="7" fillId="6" borderId="53" xfId="11" applyNumberFormat="1" applyFont="1" applyFill="1" applyBorder="1" applyProtection="1">
      <alignment vertical="center"/>
      <protection locked="0"/>
    </xf>
    <xf numFmtId="40" fontId="7" fillId="6" borderId="69" xfId="11" applyNumberFormat="1" applyFont="1" applyFill="1" applyBorder="1" applyAlignment="1" applyProtection="1">
      <alignment horizontal="center" vertical="center"/>
      <protection locked="0"/>
    </xf>
    <xf numFmtId="40" fontId="7" fillId="6" borderId="70" xfId="11" applyNumberFormat="1" applyFont="1" applyFill="1" applyBorder="1" applyAlignment="1" applyProtection="1">
      <alignment horizontal="center" vertical="center"/>
      <protection locked="0"/>
    </xf>
    <xf numFmtId="40" fontId="7" fillId="6" borderId="71" xfId="11" applyNumberFormat="1" applyFont="1" applyFill="1" applyBorder="1" applyAlignment="1" applyProtection="1">
      <alignment horizontal="center" vertical="center"/>
      <protection locked="0"/>
    </xf>
    <xf numFmtId="40" fontId="7" fillId="6" borderId="72" xfId="11" applyNumberFormat="1" applyFont="1" applyFill="1" applyBorder="1" applyAlignment="1" applyProtection="1">
      <alignment horizontal="center" vertical="center"/>
      <protection locked="0"/>
    </xf>
    <xf numFmtId="40" fontId="7" fillId="6" borderId="73" xfId="11" applyNumberFormat="1" applyFont="1" applyFill="1" applyBorder="1" applyAlignment="1" applyProtection="1">
      <alignment horizontal="center" vertical="center"/>
      <protection locked="0"/>
    </xf>
    <xf numFmtId="196" fontId="7" fillId="6" borderId="74" xfId="11" applyNumberFormat="1" applyFont="1" applyFill="1" applyBorder="1" applyAlignment="1" applyProtection="1">
      <alignment horizontal="center" vertical="center"/>
      <protection locked="0"/>
    </xf>
    <xf numFmtId="196" fontId="7" fillId="6" borderId="75" xfId="11" applyNumberFormat="1" applyFont="1" applyFill="1" applyBorder="1" applyAlignment="1" applyProtection="1">
      <alignment horizontal="center" vertical="center"/>
      <protection locked="0"/>
    </xf>
    <xf numFmtId="196" fontId="7" fillId="6" borderId="76" xfId="11" applyNumberFormat="1" applyFont="1" applyFill="1" applyBorder="1" applyAlignment="1" applyProtection="1">
      <alignment horizontal="center" vertical="center"/>
      <protection locked="0"/>
    </xf>
    <xf numFmtId="40" fontId="7" fillId="0" borderId="58" xfId="11" applyNumberFormat="1" applyFont="1" applyBorder="1" applyAlignment="1" applyProtection="1">
      <alignment horizontal="center" vertical="center"/>
      <protection hidden="1"/>
    </xf>
    <xf numFmtId="40" fontId="7" fillId="0" borderId="50" xfId="11" applyNumberFormat="1" applyFont="1" applyBorder="1" applyAlignment="1" applyProtection="1">
      <alignment horizontal="center" vertical="center"/>
      <protection hidden="1"/>
    </xf>
    <xf numFmtId="196" fontId="62" fillId="6" borderId="75" xfId="11" applyNumberFormat="1" applyFont="1" applyFill="1" applyBorder="1" applyAlignment="1" applyProtection="1">
      <alignment horizontal="center" vertical="center"/>
      <protection locked="0"/>
    </xf>
    <xf numFmtId="196" fontId="62" fillId="6" borderId="76" xfId="11" applyNumberFormat="1" applyFont="1" applyFill="1" applyBorder="1" applyAlignment="1" applyProtection="1">
      <alignment horizontal="center" vertical="center"/>
      <protection locked="0"/>
    </xf>
    <xf numFmtId="196" fontId="62" fillId="6" borderId="74" xfId="11" applyNumberFormat="1" applyFont="1" applyFill="1" applyBorder="1" applyAlignment="1" applyProtection="1">
      <alignment horizontal="center" vertical="center"/>
      <protection locked="0"/>
    </xf>
    <xf numFmtId="196" fontId="7" fillId="0" borderId="59" xfId="11" applyNumberFormat="1" applyFont="1" applyBorder="1" applyProtection="1">
      <alignment vertical="center"/>
      <protection hidden="1"/>
    </xf>
    <xf numFmtId="40" fontId="7" fillId="0" borderId="48" xfId="11" applyNumberFormat="1" applyFont="1" applyBorder="1" applyAlignment="1" applyProtection="1">
      <alignment horizontal="center" vertical="center"/>
      <protection hidden="1"/>
    </xf>
    <xf numFmtId="40" fontId="7" fillId="0" borderId="37" xfId="11" applyNumberFormat="1" applyFont="1" applyBorder="1" applyAlignment="1" applyProtection="1">
      <alignment horizontal="center" vertical="center"/>
      <protection hidden="1"/>
    </xf>
    <xf numFmtId="40" fontId="7" fillId="0" borderId="61" xfId="11" applyNumberFormat="1" applyFont="1" applyBorder="1" applyAlignment="1" applyProtection="1">
      <alignment horizontal="center" vertical="center"/>
      <protection hidden="1"/>
    </xf>
    <xf numFmtId="40" fontId="7" fillId="0" borderId="62" xfId="11" applyNumberFormat="1" applyFont="1" applyBorder="1" applyAlignment="1" applyProtection="1">
      <alignment horizontal="center" vertical="center"/>
      <protection hidden="1"/>
    </xf>
    <xf numFmtId="196" fontId="5" fillId="0" borderId="59" xfId="11" applyNumberFormat="1" applyFont="1" applyBorder="1" applyProtection="1">
      <alignment vertical="center"/>
      <protection hidden="1"/>
    </xf>
    <xf numFmtId="40" fontId="7" fillId="0" borderId="39" xfId="11" applyNumberFormat="1" applyFont="1" applyBorder="1" applyAlignment="1" applyProtection="1">
      <alignment horizontal="center" vertical="center"/>
      <protection hidden="1"/>
    </xf>
    <xf numFmtId="40" fontId="7" fillId="0" borderId="32" xfId="11" applyNumberFormat="1" applyFont="1" applyBorder="1" applyAlignment="1" applyProtection="1">
      <alignment horizontal="center" vertical="center"/>
      <protection hidden="1"/>
    </xf>
    <xf numFmtId="40" fontId="7" fillId="0" borderId="67" xfId="11" applyNumberFormat="1" applyFont="1" applyBorder="1" applyAlignment="1" applyProtection="1">
      <alignment horizontal="center" vertical="center"/>
      <protection hidden="1"/>
    </xf>
    <xf numFmtId="40" fontId="7" fillId="0" borderId="68" xfId="11" applyNumberFormat="1" applyFont="1" applyBorder="1" applyAlignment="1" applyProtection="1">
      <alignment horizontal="center" vertical="center"/>
      <protection hidden="1"/>
    </xf>
    <xf numFmtId="196" fontId="7" fillId="0" borderId="53" xfId="11" applyNumberFormat="1" applyFont="1" applyBorder="1" applyProtection="1">
      <alignment vertical="center"/>
      <protection hidden="1"/>
    </xf>
    <xf numFmtId="40" fontId="7" fillId="0" borderId="69" xfId="11" applyNumberFormat="1" applyFont="1" applyBorder="1" applyAlignment="1" applyProtection="1">
      <alignment horizontal="center" vertical="center"/>
      <protection hidden="1"/>
    </xf>
    <xf numFmtId="40" fontId="7" fillId="0" borderId="70" xfId="11" applyNumberFormat="1" applyFont="1" applyBorder="1" applyAlignment="1" applyProtection="1">
      <alignment horizontal="center" vertical="center"/>
      <protection hidden="1"/>
    </xf>
    <xf numFmtId="40" fontId="7" fillId="0" borderId="72" xfId="11" applyNumberFormat="1" applyFont="1" applyBorder="1" applyAlignment="1" applyProtection="1">
      <alignment horizontal="center" vertical="center"/>
      <protection hidden="1"/>
    </xf>
    <xf numFmtId="40" fontId="7" fillId="0" borderId="73" xfId="11" applyNumberFormat="1" applyFont="1" applyBorder="1" applyAlignment="1" applyProtection="1">
      <alignment horizontal="center" vertical="center"/>
      <protection hidden="1"/>
    </xf>
    <xf numFmtId="196" fontId="4" fillId="0" borderId="59" xfId="11" applyNumberFormat="1" applyFont="1" applyBorder="1" applyProtection="1">
      <alignment vertical="center"/>
      <protection hidden="1"/>
    </xf>
    <xf numFmtId="196" fontId="7" fillId="2" borderId="64" xfId="11" applyNumberFormat="1" applyFont="1" applyFill="1" applyBorder="1" applyAlignment="1" applyProtection="1">
      <alignment horizontal="center" vertical="center"/>
      <protection hidden="1"/>
    </xf>
    <xf numFmtId="196" fontId="7" fillId="2" borderId="65" xfId="11" applyNumberFormat="1" applyFont="1" applyFill="1" applyBorder="1" applyAlignment="1" applyProtection="1">
      <alignment horizontal="center" vertical="center"/>
      <protection hidden="1"/>
    </xf>
    <xf numFmtId="196" fontId="7" fillId="2" borderId="66" xfId="11" applyNumberFormat="1" applyFont="1" applyFill="1" applyBorder="1" applyAlignment="1" applyProtection="1">
      <alignment horizontal="center" vertical="center"/>
      <protection hidden="1"/>
    </xf>
    <xf numFmtId="40" fontId="7" fillId="0" borderId="77" xfId="11" applyNumberFormat="1" applyFont="1" applyBorder="1" applyAlignment="1" applyProtection="1">
      <alignment horizontal="center" vertical="center"/>
      <protection hidden="1"/>
    </xf>
    <xf numFmtId="40" fontId="7" fillId="0" borderId="78" xfId="11" applyNumberFormat="1" applyFont="1" applyBorder="1" applyAlignment="1" applyProtection="1">
      <alignment horizontal="center" vertical="center"/>
      <protection hidden="1"/>
    </xf>
    <xf numFmtId="40" fontId="7" fillId="0" borderId="79" xfId="11" applyNumberFormat="1" applyFont="1" applyBorder="1" applyAlignment="1" applyProtection="1">
      <alignment horizontal="center" vertical="center"/>
      <protection hidden="1"/>
    </xf>
    <xf numFmtId="196" fontId="4" fillId="0" borderId="80" xfId="11" applyNumberFormat="1" applyFont="1" applyBorder="1" applyProtection="1">
      <alignment vertical="center"/>
      <protection hidden="1"/>
    </xf>
    <xf numFmtId="196" fontId="62" fillId="6" borderId="54" xfId="11" applyNumberFormat="1" applyFont="1" applyFill="1" applyBorder="1" applyAlignment="1" applyProtection="1">
      <alignment horizontal="center" vertical="center"/>
      <protection locked="0"/>
    </xf>
    <xf numFmtId="196" fontId="62" fillId="6" borderId="55" xfId="11" applyNumberFormat="1" applyFont="1" applyFill="1" applyBorder="1" applyAlignment="1" applyProtection="1">
      <alignment horizontal="center" vertical="center"/>
      <protection locked="0"/>
    </xf>
    <xf numFmtId="196" fontId="62" fillId="6" borderId="63" xfId="11" applyNumberFormat="1" applyFont="1" applyFill="1" applyBorder="1" applyAlignment="1" applyProtection="1">
      <alignment horizontal="center" vertical="center"/>
      <protection locked="0"/>
    </xf>
    <xf numFmtId="196" fontId="62" fillId="6" borderId="64" xfId="11" applyNumberFormat="1" applyFont="1" applyFill="1" applyBorder="1" applyAlignment="1" applyProtection="1">
      <alignment horizontal="center" vertical="center"/>
      <protection locked="0"/>
    </xf>
    <xf numFmtId="196" fontId="62" fillId="6" borderId="65" xfId="11" applyNumberFormat="1" applyFont="1" applyFill="1" applyBorder="1" applyAlignment="1" applyProtection="1">
      <alignment horizontal="center" vertical="center"/>
      <protection locked="0"/>
    </xf>
    <xf numFmtId="196" fontId="62" fillId="6" borderId="66" xfId="11" applyNumberFormat="1" applyFont="1" applyFill="1" applyBorder="1" applyAlignment="1" applyProtection="1">
      <alignment horizontal="center" vertical="center"/>
      <protection locked="0"/>
    </xf>
    <xf numFmtId="40" fontId="7" fillId="0" borderId="1" xfId="11" applyNumberFormat="1" applyFont="1" applyBorder="1" applyAlignment="1" applyProtection="1">
      <alignment horizontal="center" vertical="center"/>
      <protection hidden="1"/>
    </xf>
    <xf numFmtId="194" fontId="4" fillId="0" borderId="1" xfId="11" applyNumberFormat="1" applyFont="1" applyBorder="1" applyProtection="1">
      <alignment vertical="center"/>
      <protection hidden="1"/>
    </xf>
    <xf numFmtId="194" fontId="7" fillId="6" borderId="58" xfId="11" applyNumberFormat="1" applyFont="1" applyFill="1" applyBorder="1" applyAlignment="1" applyProtection="1">
      <alignment horizontal="center" vertical="center"/>
      <protection locked="0"/>
    </xf>
    <xf numFmtId="194" fontId="7" fillId="6" borderId="51" xfId="11" applyNumberFormat="1" applyFont="1" applyFill="1" applyBorder="1" applyAlignment="1" applyProtection="1">
      <alignment horizontal="center" vertical="center"/>
      <protection locked="0"/>
    </xf>
    <xf numFmtId="194" fontId="7" fillId="6" borderId="52" xfId="11" applyNumberFormat="1" applyFont="1" applyFill="1" applyBorder="1" applyAlignment="1" applyProtection="1">
      <alignment horizontal="center" vertical="center"/>
      <protection locked="0"/>
    </xf>
    <xf numFmtId="194" fontId="7" fillId="0" borderId="0" xfId="11" applyNumberFormat="1" applyFont="1" applyProtection="1">
      <alignment vertical="center"/>
      <protection hidden="1"/>
    </xf>
    <xf numFmtId="194" fontId="7" fillId="0" borderId="81" xfId="11" applyNumberFormat="1" applyFont="1" applyBorder="1" applyAlignment="1" applyProtection="1">
      <alignment horizontal="center" vertical="center"/>
      <protection hidden="1"/>
    </xf>
    <xf numFmtId="194" fontId="7" fillId="0" borderId="65" xfId="11" applyNumberFormat="1" applyFont="1" applyBorder="1" applyAlignment="1" applyProtection="1">
      <alignment horizontal="center" vertical="center"/>
      <protection hidden="1"/>
    </xf>
    <xf numFmtId="194" fontId="7" fillId="0" borderId="82" xfId="11" applyNumberFormat="1" applyFont="1" applyBorder="1" applyAlignment="1" applyProtection="1">
      <alignment horizontal="center" vertical="center"/>
      <protection hidden="1"/>
    </xf>
    <xf numFmtId="194" fontId="7" fillId="0" borderId="66" xfId="11" applyNumberFormat="1" applyFont="1" applyBorder="1" applyAlignment="1" applyProtection="1">
      <alignment horizontal="center" vertical="center"/>
      <protection hidden="1"/>
    </xf>
    <xf numFmtId="196" fontId="5" fillId="0" borderId="80" xfId="11" applyNumberFormat="1" applyFont="1" applyBorder="1" applyProtection="1">
      <alignment vertical="center"/>
      <protection hidden="1"/>
    </xf>
    <xf numFmtId="10" fontId="7" fillId="0" borderId="57" xfId="11" applyNumberFormat="1" applyFont="1" applyBorder="1" applyAlignment="1" applyProtection="1">
      <alignment horizontal="center" vertical="center"/>
      <protection hidden="1"/>
    </xf>
    <xf numFmtId="10" fontId="7" fillId="0" borderId="55" xfId="11" applyNumberFormat="1" applyFont="1" applyBorder="1" applyAlignment="1" applyProtection="1">
      <alignment horizontal="center" vertical="center"/>
      <protection hidden="1"/>
    </xf>
    <xf numFmtId="10" fontId="7" fillId="0" borderId="56" xfId="11" applyNumberFormat="1" applyFont="1" applyBorder="1" applyAlignment="1" applyProtection="1">
      <alignment horizontal="center" vertical="center"/>
      <protection hidden="1"/>
    </xf>
    <xf numFmtId="10" fontId="7" fillId="0" borderId="54" xfId="11" applyNumberFormat="1" applyFont="1" applyBorder="1" applyAlignment="1" applyProtection="1">
      <alignment horizontal="center" vertical="center"/>
      <protection hidden="1"/>
    </xf>
    <xf numFmtId="10" fontId="7" fillId="0" borderId="63" xfId="11" applyNumberFormat="1" applyFont="1" applyBorder="1" applyAlignment="1" applyProtection="1">
      <alignment horizontal="center" vertical="center"/>
      <protection hidden="1"/>
    </xf>
    <xf numFmtId="10" fontId="7" fillId="0" borderId="83" xfId="11" applyNumberFormat="1" applyFont="1" applyBorder="1" applyAlignment="1" applyProtection="1">
      <alignment horizontal="center" vertical="center"/>
      <protection hidden="1"/>
    </xf>
    <xf numFmtId="10" fontId="7" fillId="0" borderId="76" xfId="11" applyNumberFormat="1" applyFont="1" applyBorder="1" applyAlignment="1" applyProtection="1">
      <alignment horizontal="center" vertical="center"/>
      <protection hidden="1"/>
    </xf>
    <xf numFmtId="10" fontId="7" fillId="0" borderId="84" xfId="11" applyNumberFormat="1" applyFont="1" applyBorder="1" applyAlignment="1" applyProtection="1">
      <alignment horizontal="center" vertical="center"/>
      <protection hidden="1"/>
    </xf>
    <xf numFmtId="10" fontId="7" fillId="0" borderId="75" xfId="11" applyNumberFormat="1" applyFont="1" applyBorder="1" applyAlignment="1" applyProtection="1">
      <alignment horizontal="center" vertical="center"/>
      <protection hidden="1"/>
    </xf>
    <xf numFmtId="10" fontId="7" fillId="0" borderId="74" xfId="11" applyNumberFormat="1" applyFont="1" applyBorder="1" applyAlignment="1" applyProtection="1">
      <alignment horizontal="center" vertical="center"/>
      <protection hidden="1"/>
    </xf>
    <xf numFmtId="10" fontId="7" fillId="0" borderId="81" xfId="11" applyNumberFormat="1" applyFont="1" applyBorder="1" applyAlignment="1" applyProtection="1">
      <alignment horizontal="center" vertical="center"/>
      <protection hidden="1"/>
    </xf>
    <xf numFmtId="10" fontId="7" fillId="0" borderId="65" xfId="11" applyNumberFormat="1" applyFont="1" applyBorder="1" applyAlignment="1" applyProtection="1">
      <alignment horizontal="center" vertical="center"/>
      <protection hidden="1"/>
    </xf>
    <xf numFmtId="10" fontId="7" fillId="0" borderId="82" xfId="11" applyNumberFormat="1" applyFont="1" applyBorder="1" applyAlignment="1" applyProtection="1">
      <alignment horizontal="center" vertical="center"/>
      <protection hidden="1"/>
    </xf>
    <xf numFmtId="10" fontId="7" fillId="0" borderId="64" xfId="11" applyNumberFormat="1" applyFont="1" applyBorder="1" applyAlignment="1" applyProtection="1">
      <alignment horizontal="center" vertical="center"/>
      <protection hidden="1"/>
    </xf>
    <xf numFmtId="10" fontId="7" fillId="0" borderId="66" xfId="11" applyNumberFormat="1" applyFont="1" applyBorder="1" applyAlignment="1" applyProtection="1">
      <alignment horizontal="center" vertical="center"/>
      <protection hidden="1"/>
    </xf>
    <xf numFmtId="194" fontId="5" fillId="0" borderId="85" xfId="11" applyNumberFormat="1" applyFont="1" applyBorder="1" applyProtection="1">
      <alignment vertical="center"/>
      <protection hidden="1"/>
    </xf>
    <xf numFmtId="194" fontId="5" fillId="0" borderId="19" xfId="11" applyNumberFormat="1" applyFont="1" applyBorder="1" applyProtection="1">
      <alignment vertical="center"/>
      <protection hidden="1"/>
    </xf>
    <xf numFmtId="194" fontId="5" fillId="0" borderId="19" xfId="11" applyNumberFormat="1" applyFont="1" applyBorder="1" applyAlignment="1" applyProtection="1">
      <alignment horizontal="right" vertical="center"/>
      <protection hidden="1"/>
    </xf>
    <xf numFmtId="194" fontId="5" fillId="0" borderId="30" xfId="11" applyNumberFormat="1" applyFont="1" applyBorder="1" applyProtection="1">
      <alignment vertical="center"/>
      <protection hidden="1"/>
    </xf>
    <xf numFmtId="10" fontId="7" fillId="0" borderId="58" xfId="11" applyNumberFormat="1" applyFont="1" applyBorder="1" applyAlignment="1" applyProtection="1">
      <alignment horizontal="center" vertical="center"/>
      <protection hidden="1"/>
    </xf>
    <xf numFmtId="10" fontId="7" fillId="0" borderId="51" xfId="11" applyNumberFormat="1" applyFont="1" applyBorder="1" applyAlignment="1" applyProtection="1">
      <alignment horizontal="center" vertical="center"/>
      <protection hidden="1"/>
    </xf>
    <xf numFmtId="10" fontId="7" fillId="0" borderId="52" xfId="11" applyNumberFormat="1" applyFont="1" applyBorder="1" applyAlignment="1" applyProtection="1">
      <alignment horizontal="center" vertical="center"/>
      <protection hidden="1"/>
    </xf>
    <xf numFmtId="10" fontId="7" fillId="0" borderId="50" xfId="11" applyNumberFormat="1" applyFont="1" applyBorder="1" applyAlignment="1" applyProtection="1">
      <alignment horizontal="center" vertical="center"/>
      <protection hidden="1"/>
    </xf>
    <xf numFmtId="194" fontId="5" fillId="0" borderId="86" xfId="11" applyNumberFormat="1" applyFont="1" applyBorder="1" applyProtection="1">
      <alignment vertical="center"/>
      <protection hidden="1"/>
    </xf>
    <xf numFmtId="196" fontId="5" fillId="0" borderId="53" xfId="11" applyNumberFormat="1" applyFont="1" applyBorder="1" applyProtection="1">
      <alignment vertical="center"/>
      <protection hidden="1"/>
    </xf>
    <xf numFmtId="194" fontId="7" fillId="0" borderId="0" xfId="11" applyNumberFormat="1" applyFont="1" applyAlignment="1" applyProtection="1">
      <alignment horizontal="center" vertical="center"/>
      <protection hidden="1"/>
    </xf>
    <xf numFmtId="0" fontId="61" fillId="0" borderId="58" xfId="11" applyNumberFormat="1" applyFont="1" applyFill="1" applyBorder="1" applyAlignment="1" applyProtection="1">
      <alignment horizontal="center" vertical="center"/>
      <protection hidden="1"/>
    </xf>
    <xf numFmtId="0" fontId="61" fillId="0" borderId="51" xfId="11" applyNumberFormat="1" applyFont="1" applyFill="1" applyBorder="1" applyAlignment="1" applyProtection="1">
      <alignment horizontal="center" vertical="center"/>
      <protection hidden="1"/>
    </xf>
    <xf numFmtId="0" fontId="61" fillId="0" borderId="52" xfId="11" applyNumberFormat="1" applyFont="1" applyFill="1" applyBorder="1" applyAlignment="1" applyProtection="1">
      <alignment horizontal="center" vertical="center"/>
      <protection hidden="1"/>
    </xf>
    <xf numFmtId="40" fontId="7" fillId="3" borderId="0" xfId="11" applyNumberFormat="1" applyFont="1" applyFill="1" applyAlignment="1" applyProtection="1">
      <alignment horizontal="right" vertical="center"/>
      <protection hidden="1"/>
    </xf>
    <xf numFmtId="40" fontId="7" fillId="0" borderId="0" xfId="11" applyNumberFormat="1" applyFont="1" applyAlignment="1" applyProtection="1">
      <alignment horizontal="center" vertical="center"/>
      <protection hidden="1"/>
    </xf>
    <xf numFmtId="196" fontId="63" fillId="0" borderId="59" xfId="11" applyNumberFormat="1" applyFont="1" applyBorder="1" applyProtection="1">
      <alignment vertical="center"/>
      <protection hidden="1"/>
    </xf>
    <xf numFmtId="40" fontId="7" fillId="2" borderId="0" xfId="11" applyNumberFormat="1" applyFont="1" applyFill="1" applyAlignment="1" applyProtection="1">
      <alignment horizontal="right" vertical="center"/>
      <protection hidden="1"/>
    </xf>
    <xf numFmtId="185" fontId="12" fillId="7" borderId="87" xfId="10" applyNumberFormat="1" applyFont="1" applyFill="1" applyBorder="1" applyProtection="1">
      <protection locked="0"/>
    </xf>
    <xf numFmtId="0" fontId="5" fillId="0" borderId="49" xfId="0" applyFont="1" applyFill="1" applyBorder="1" applyAlignment="1" applyProtection="1">
      <protection hidden="1"/>
    </xf>
    <xf numFmtId="194" fontId="25" fillId="7" borderId="0" xfId="11" applyNumberFormat="1" applyFont="1" applyFill="1" applyProtection="1">
      <alignment vertical="center"/>
      <protection locked="0"/>
    </xf>
    <xf numFmtId="197" fontId="3" fillId="0" borderId="48" xfId="0" applyNumberFormat="1" applyFont="1" applyBorder="1" applyAlignment="1" applyProtection="1">
      <alignment horizontal="right" vertical="center"/>
      <protection hidden="1"/>
    </xf>
    <xf numFmtId="181" fontId="24" fillId="4" borderId="39" xfId="0" applyNumberFormat="1" applyFont="1" applyFill="1" applyBorder="1" applyAlignment="1" applyProtection="1">
      <alignment horizontal="right" vertical="center"/>
      <protection hidden="1"/>
    </xf>
    <xf numFmtId="189" fontId="24" fillId="2" borderId="46" xfId="0" applyNumberFormat="1" applyFont="1" applyFill="1" applyBorder="1" applyAlignment="1" applyProtection="1">
      <alignment horizontal="left" vertical="center"/>
      <protection hidden="1"/>
    </xf>
    <xf numFmtId="194" fontId="7" fillId="0" borderId="10" xfId="11" applyNumberFormat="1" applyFont="1" applyBorder="1" applyAlignment="1" applyProtection="1">
      <alignment horizontal="center" vertical="center"/>
      <protection hidden="1"/>
    </xf>
    <xf numFmtId="194" fontId="5" fillId="0" borderId="10" xfId="11" applyNumberFormat="1" applyFont="1" applyBorder="1" applyProtection="1">
      <alignment vertical="center"/>
      <protection hidden="1"/>
    </xf>
    <xf numFmtId="194" fontId="5" fillId="0" borderId="12" xfId="11" applyNumberFormat="1" applyFont="1" applyBorder="1" applyProtection="1">
      <alignment vertical="center"/>
      <protection hidden="1"/>
    </xf>
    <xf numFmtId="194" fontId="7" fillId="0" borderId="0" xfId="11" applyNumberFormat="1" applyFont="1" applyBorder="1" applyAlignment="1" applyProtection="1">
      <alignment horizontal="center" vertical="center"/>
      <protection hidden="1"/>
    </xf>
    <xf numFmtId="194" fontId="5" fillId="0" borderId="0" xfId="11" applyNumberFormat="1" applyFont="1" applyBorder="1" applyProtection="1">
      <alignment vertical="center"/>
      <protection hidden="1"/>
    </xf>
    <xf numFmtId="194" fontId="5" fillId="0" borderId="14" xfId="11" applyNumberFormat="1" applyFont="1" applyBorder="1" applyProtection="1">
      <alignment vertical="center"/>
      <protection hidden="1"/>
    </xf>
    <xf numFmtId="194" fontId="7" fillId="0" borderId="11" xfId="11" applyNumberFormat="1" applyFont="1" applyBorder="1" applyAlignment="1" applyProtection="1">
      <alignment horizontal="center" vertical="center"/>
      <protection hidden="1"/>
    </xf>
    <xf numFmtId="194" fontId="5" fillId="0" borderId="11" xfId="11" applyNumberFormat="1" applyFont="1" applyBorder="1" applyProtection="1">
      <alignment vertical="center"/>
      <protection hidden="1"/>
    </xf>
    <xf numFmtId="194" fontId="5" fillId="0" borderId="15" xfId="11" applyNumberFormat="1" applyFont="1" applyBorder="1" applyProtection="1">
      <alignment vertical="center"/>
      <protection hidden="1"/>
    </xf>
    <xf numFmtId="197" fontId="3" fillId="0" borderId="37" xfId="0" applyNumberFormat="1" applyFont="1" applyBorder="1" applyAlignment="1" applyProtection="1">
      <alignment horizontal="right" vertical="center"/>
      <protection hidden="1"/>
    </xf>
    <xf numFmtId="197" fontId="3" fillId="0" borderId="88" xfId="0" applyNumberFormat="1" applyFont="1" applyBorder="1" applyAlignment="1" applyProtection="1">
      <alignment horizontal="right" vertical="center"/>
      <protection hidden="1"/>
    </xf>
    <xf numFmtId="181" fontId="24" fillId="4" borderId="32" xfId="0" applyNumberFormat="1" applyFont="1" applyFill="1" applyBorder="1" applyAlignment="1" applyProtection="1">
      <alignment horizontal="right" vertical="center"/>
      <protection hidden="1"/>
    </xf>
    <xf numFmtId="181" fontId="24" fillId="4" borderId="36" xfId="0" applyNumberFormat="1" applyFont="1" applyFill="1" applyBorder="1" applyAlignment="1" applyProtection="1">
      <alignment horizontal="right" vertical="center"/>
      <protection hidden="1"/>
    </xf>
    <xf numFmtId="181" fontId="24" fillId="4" borderId="44" xfId="0" applyNumberFormat="1" applyFont="1" applyFill="1" applyBorder="1" applyAlignment="1" applyProtection="1">
      <alignment horizontal="right" vertical="center"/>
      <protection hidden="1"/>
    </xf>
    <xf numFmtId="181" fontId="24" fillId="4" borderId="89" xfId="0" applyNumberFormat="1" applyFont="1" applyFill="1" applyBorder="1" applyAlignment="1" applyProtection="1">
      <alignment horizontal="right" vertical="center"/>
      <protection hidden="1"/>
    </xf>
    <xf numFmtId="181" fontId="24" fillId="4" borderId="90" xfId="0" applyNumberFormat="1" applyFont="1" applyFill="1" applyBorder="1" applyAlignment="1" applyProtection="1">
      <alignment horizontal="right" vertical="center"/>
      <protection hidden="1"/>
    </xf>
    <xf numFmtId="0" fontId="65" fillId="0" borderId="0" xfId="11" applyFill="1">
      <alignment vertical="center"/>
    </xf>
    <xf numFmtId="38" fontId="57" fillId="2" borderId="91" xfId="11" applyNumberFormat="1" applyFont="1" applyFill="1" applyBorder="1" applyAlignment="1">
      <alignment horizontal="center" vertical="center"/>
    </xf>
    <xf numFmtId="195" fontId="58" fillId="2" borderId="91" xfId="11" applyNumberFormat="1" applyFont="1" applyFill="1" applyBorder="1" applyAlignment="1" applyProtection="1">
      <alignment horizontal="center" vertical="center"/>
      <protection locked="0"/>
    </xf>
    <xf numFmtId="0" fontId="19" fillId="0" borderId="16" xfId="0" quotePrefix="1" applyFont="1" applyFill="1" applyBorder="1" applyAlignment="1" applyProtection="1">
      <alignment horizontal="left"/>
      <protection hidden="1"/>
    </xf>
    <xf numFmtId="0" fontId="20" fillId="0" borderId="16" xfId="0" quotePrefix="1" applyFont="1" applyFill="1" applyBorder="1" applyAlignment="1" applyProtection="1">
      <alignment horizontal="left"/>
      <protection hidden="1"/>
    </xf>
    <xf numFmtId="0" fontId="24" fillId="0" borderId="4" xfId="10" applyFont="1" applyBorder="1" applyProtection="1">
      <protection hidden="1"/>
    </xf>
    <xf numFmtId="0" fontId="24" fillId="0" borderId="4" xfId="10" applyFont="1" applyFill="1" applyBorder="1" applyProtection="1">
      <protection hidden="1"/>
    </xf>
    <xf numFmtId="0" fontId="24" fillId="0" borderId="7" xfId="10" applyFont="1" applyBorder="1" applyProtection="1">
      <protection hidden="1"/>
    </xf>
    <xf numFmtId="14" fontId="24" fillId="0" borderId="41" xfId="0" applyNumberFormat="1" applyFont="1" applyFill="1" applyBorder="1" applyAlignment="1" applyProtection="1">
      <alignment horizontal="right"/>
      <protection hidden="1"/>
    </xf>
    <xf numFmtId="0" fontId="5" fillId="0" borderId="40" xfId="0" applyFont="1" applyFill="1" applyBorder="1" applyAlignment="1" applyProtection="1">
      <alignment horizontal="left"/>
      <protection hidden="1"/>
    </xf>
    <xf numFmtId="0" fontId="12" fillId="7" borderId="92" xfId="0" applyFont="1" applyFill="1" applyBorder="1" applyAlignment="1" applyProtection="1">
      <alignment vertical="center"/>
      <protection locked="0"/>
    </xf>
    <xf numFmtId="0" fontId="47" fillId="7" borderId="93" xfId="0" applyFont="1" applyFill="1" applyBorder="1" applyAlignment="1" applyProtection="1">
      <alignment vertical="center"/>
      <protection locked="0"/>
    </xf>
    <xf numFmtId="177" fontId="12" fillId="7" borderId="9" xfId="0" applyNumberFormat="1" applyFont="1" applyFill="1" applyBorder="1" applyProtection="1">
      <protection locked="0"/>
    </xf>
    <xf numFmtId="177" fontId="33" fillId="7" borderId="10" xfId="0" applyNumberFormat="1" applyFont="1" applyFill="1" applyBorder="1" applyProtection="1">
      <protection locked="0"/>
    </xf>
    <xf numFmtId="177" fontId="33" fillId="7" borderId="12" xfId="0" applyNumberFormat="1" applyFont="1" applyFill="1" applyBorder="1" applyProtection="1">
      <protection locked="0"/>
    </xf>
    <xf numFmtId="14" fontId="24" fillId="3" borderId="41" xfId="0" applyNumberFormat="1" applyFont="1" applyFill="1" applyBorder="1" applyAlignment="1" applyProtection="1">
      <alignment horizontal="right"/>
      <protection hidden="1"/>
    </xf>
    <xf numFmtId="184" fontId="24" fillId="0" borderId="89" xfId="0" applyNumberFormat="1" applyFont="1" applyFill="1" applyBorder="1" applyAlignment="1" applyProtection="1">
      <alignment horizontal="center" wrapText="1"/>
      <protection hidden="1"/>
    </xf>
    <xf numFmtId="181" fontId="33" fillId="0" borderId="94" xfId="0" applyNumberFormat="1" applyFont="1" applyFill="1" applyBorder="1" applyProtection="1">
      <protection hidden="1"/>
    </xf>
    <xf numFmtId="177" fontId="67" fillId="3" borderId="4" xfId="0" applyNumberFormat="1" applyFont="1" applyFill="1" applyBorder="1" applyProtection="1">
      <protection hidden="1"/>
    </xf>
    <xf numFmtId="177" fontId="67" fillId="3" borderId="0" xfId="0" applyNumberFormat="1" applyFont="1" applyFill="1" applyBorder="1" applyProtection="1">
      <protection hidden="1"/>
    </xf>
    <xf numFmtId="177" fontId="68" fillId="3" borderId="0" xfId="0" applyNumberFormat="1" applyFont="1" applyFill="1" applyBorder="1" applyProtection="1">
      <protection hidden="1"/>
    </xf>
    <xf numFmtId="177" fontId="67" fillId="3" borderId="14" xfId="0" applyNumberFormat="1" applyFont="1" applyFill="1" applyBorder="1" applyProtection="1">
      <protection hidden="1"/>
    </xf>
    <xf numFmtId="0" fontId="50" fillId="3" borderId="0" xfId="0" applyFont="1" applyFill="1" applyBorder="1" applyProtection="1">
      <protection hidden="1"/>
    </xf>
    <xf numFmtId="0" fontId="50" fillId="3" borderId="14" xfId="0" applyFont="1" applyFill="1" applyBorder="1" applyProtection="1">
      <protection hidden="1"/>
    </xf>
    <xf numFmtId="177" fontId="7" fillId="3" borderId="4" xfId="0" applyNumberFormat="1" applyFont="1" applyFill="1" applyBorder="1" applyProtection="1">
      <protection hidden="1"/>
    </xf>
    <xf numFmtId="177" fontId="7" fillId="3" borderId="0" xfId="0" applyNumberFormat="1" applyFont="1" applyFill="1" applyBorder="1" applyProtection="1">
      <protection hidden="1"/>
    </xf>
    <xf numFmtId="177" fontId="7" fillId="3" borderId="14" xfId="0" applyNumberFormat="1" applyFont="1" applyFill="1" applyBorder="1" applyProtection="1">
      <protection hidden="1"/>
    </xf>
    <xf numFmtId="177" fontId="7" fillId="3" borderId="4" xfId="0" applyNumberFormat="1" applyFont="1" applyFill="1" applyBorder="1" applyAlignment="1" applyProtection="1">
      <alignment horizontal="right"/>
      <protection hidden="1"/>
    </xf>
    <xf numFmtId="177" fontId="68" fillId="3" borderId="0" xfId="0" applyNumberFormat="1" applyFont="1" applyFill="1" applyBorder="1" applyAlignment="1" applyProtection="1">
      <alignment horizontal="center"/>
      <protection hidden="1"/>
    </xf>
    <xf numFmtId="177" fontId="7" fillId="3" borderId="4" xfId="0" applyNumberFormat="1" applyFont="1" applyFill="1" applyBorder="1" applyAlignment="1" applyProtection="1">
      <alignment horizontal="left"/>
      <protection hidden="1"/>
    </xf>
    <xf numFmtId="0" fontId="7" fillId="3" borderId="0" xfId="0" applyFont="1" applyFill="1" applyProtection="1">
      <protection hidden="1"/>
    </xf>
    <xf numFmtId="0" fontId="7" fillId="3" borderId="0" xfId="0" applyFont="1" applyFill="1" applyBorder="1" applyProtection="1">
      <protection hidden="1"/>
    </xf>
    <xf numFmtId="177" fontId="7" fillId="3" borderId="7" xfId="0" applyNumberFormat="1" applyFont="1" applyFill="1" applyBorder="1" applyProtection="1">
      <protection hidden="1"/>
    </xf>
    <xf numFmtId="0" fontId="7" fillId="3" borderId="11" xfId="0" applyFont="1" applyFill="1" applyBorder="1" applyProtection="1">
      <protection hidden="1"/>
    </xf>
    <xf numFmtId="177" fontId="7" fillId="3" borderId="11" xfId="0" applyNumberFormat="1" applyFont="1" applyFill="1" applyBorder="1" applyProtection="1">
      <protection hidden="1"/>
    </xf>
    <xf numFmtId="177" fontId="7" fillId="3" borderId="15" xfId="0" applyNumberFormat="1" applyFont="1" applyFill="1" applyBorder="1" applyProtection="1">
      <protection hidden="1"/>
    </xf>
    <xf numFmtId="0" fontId="7" fillId="0" borderId="0" xfId="0" applyFont="1" applyProtection="1">
      <protection hidden="1"/>
    </xf>
    <xf numFmtId="0" fontId="7" fillId="3" borderId="9" xfId="0" applyFont="1" applyFill="1" applyBorder="1" applyProtection="1">
      <protection hidden="1"/>
    </xf>
    <xf numFmtId="0" fontId="7" fillId="3" borderId="10" xfId="0" applyFont="1" applyFill="1" applyBorder="1" applyProtection="1">
      <protection hidden="1"/>
    </xf>
    <xf numFmtId="0" fontId="7" fillId="3" borderId="12" xfId="0" applyFont="1" applyFill="1" applyBorder="1" applyProtection="1">
      <protection hidden="1"/>
    </xf>
    <xf numFmtId="0" fontId="7" fillId="3" borderId="4" xfId="0" applyFont="1" applyFill="1" applyBorder="1" applyProtection="1">
      <protection hidden="1"/>
    </xf>
    <xf numFmtId="0" fontId="62" fillId="3" borderId="0" xfId="0" applyFont="1" applyFill="1" applyBorder="1" applyProtection="1">
      <protection hidden="1"/>
    </xf>
    <xf numFmtId="0" fontId="7" fillId="3" borderId="14" xfId="0" applyFont="1" applyFill="1" applyBorder="1" applyProtection="1">
      <protection hidden="1"/>
    </xf>
    <xf numFmtId="0" fontId="7" fillId="3" borderId="0" xfId="0" applyFont="1" applyFill="1" applyBorder="1" applyAlignment="1" applyProtection="1">
      <alignment horizontal="right"/>
      <protection hidden="1"/>
    </xf>
    <xf numFmtId="15" fontId="7" fillId="3" borderId="0" xfId="0" applyNumberFormat="1" applyFont="1" applyFill="1" applyBorder="1" applyAlignment="1" applyProtection="1">
      <alignment horizontal="right"/>
      <protection hidden="1"/>
    </xf>
    <xf numFmtId="177" fontId="7" fillId="0" borderId="37" xfId="0" applyNumberFormat="1" applyFont="1" applyFill="1" applyBorder="1" applyProtection="1">
      <protection hidden="1"/>
    </xf>
    <xf numFmtId="177" fontId="69" fillId="0" borderId="37" xfId="0" applyNumberFormat="1" applyFont="1" applyFill="1" applyBorder="1" applyProtection="1">
      <protection hidden="1"/>
    </xf>
    <xf numFmtId="177" fontId="69" fillId="0" borderId="88" xfId="0" applyNumberFormat="1" applyFont="1" applyFill="1" applyBorder="1" applyProtection="1">
      <protection hidden="1"/>
    </xf>
    <xf numFmtId="177" fontId="7" fillId="0" borderId="32" xfId="0" applyNumberFormat="1" applyFont="1" applyFill="1" applyBorder="1" applyProtection="1">
      <protection hidden="1"/>
    </xf>
    <xf numFmtId="177" fontId="69" fillId="0" borderId="32" xfId="0" applyNumberFormat="1" applyFont="1" applyFill="1" applyBorder="1" applyProtection="1">
      <protection hidden="1"/>
    </xf>
    <xf numFmtId="177" fontId="69" fillId="0" borderId="36" xfId="0" applyNumberFormat="1" applyFont="1" applyFill="1" applyBorder="1" applyProtection="1">
      <protection hidden="1"/>
    </xf>
    <xf numFmtId="0" fontId="7" fillId="3" borderId="7" xfId="0" applyFont="1" applyFill="1" applyBorder="1" applyProtection="1">
      <protection hidden="1"/>
    </xf>
    <xf numFmtId="0" fontId="7" fillId="3" borderId="15" xfId="0" applyFont="1" applyFill="1" applyBorder="1" applyProtection="1">
      <protection hidden="1"/>
    </xf>
    <xf numFmtId="177" fontId="7" fillId="0" borderId="89" xfId="0" applyNumberFormat="1" applyFont="1" applyFill="1" applyBorder="1" applyProtection="1">
      <protection hidden="1"/>
    </xf>
    <xf numFmtId="177" fontId="69" fillId="0" borderId="89" xfId="0" applyNumberFormat="1" applyFont="1" applyFill="1" applyBorder="1" applyProtection="1">
      <protection hidden="1"/>
    </xf>
    <xf numFmtId="177" fontId="69" fillId="0" borderId="90" xfId="0" applyNumberFormat="1" applyFont="1" applyFill="1" applyBorder="1" applyProtection="1">
      <protection hidden="1"/>
    </xf>
    <xf numFmtId="0" fontId="67" fillId="3" borderId="0" xfId="0" applyFont="1" applyFill="1" applyBorder="1" applyProtection="1">
      <protection hidden="1"/>
    </xf>
    <xf numFmtId="0" fontId="7" fillId="3" borderId="0" xfId="0" applyFont="1" applyFill="1" applyBorder="1" applyAlignment="1" applyProtection="1">
      <alignment horizontal="left"/>
      <protection hidden="1"/>
    </xf>
    <xf numFmtId="0" fontId="7" fillId="3" borderId="11" xfId="0" applyFont="1" applyFill="1" applyBorder="1" applyAlignment="1" applyProtection="1">
      <alignment horizontal="left"/>
      <protection hidden="1"/>
    </xf>
    <xf numFmtId="0" fontId="7" fillId="3" borderId="9" xfId="0" applyFont="1" applyFill="1" applyBorder="1" applyAlignment="1" applyProtection="1">
      <protection hidden="1"/>
    </xf>
    <xf numFmtId="0" fontId="7" fillId="3" borderId="10" xfId="0" applyFont="1" applyFill="1" applyBorder="1" applyAlignment="1" applyProtection="1">
      <protection hidden="1"/>
    </xf>
    <xf numFmtId="0" fontId="7" fillId="3" borderId="12" xfId="0" applyFont="1" applyFill="1" applyBorder="1" applyAlignment="1" applyProtection="1">
      <protection hidden="1"/>
    </xf>
    <xf numFmtId="177" fontId="5" fillId="3" borderId="0" xfId="0" applyNumberFormat="1" applyFont="1" applyFill="1" applyBorder="1" applyProtection="1">
      <protection hidden="1"/>
    </xf>
    <xf numFmtId="177" fontId="70" fillId="0" borderId="95" xfId="0" applyNumberFormat="1" applyFont="1" applyFill="1" applyBorder="1" applyAlignment="1" applyProtection="1">
      <alignment horizontal="left"/>
      <protection hidden="1"/>
    </xf>
    <xf numFmtId="177" fontId="70" fillId="3" borderId="96" xfId="0" applyNumberFormat="1" applyFont="1" applyFill="1" applyBorder="1" applyAlignment="1" applyProtection="1">
      <alignment horizontal="center"/>
      <protection hidden="1"/>
    </xf>
    <xf numFmtId="177" fontId="70" fillId="0" borderId="96" xfId="0" applyNumberFormat="1" applyFont="1" applyFill="1" applyBorder="1" applyAlignment="1" applyProtection="1">
      <alignment horizontal="left"/>
      <protection hidden="1"/>
    </xf>
    <xf numFmtId="49" fontId="7" fillId="6" borderId="38" xfId="0" applyNumberFormat="1" applyFont="1" applyFill="1" applyBorder="1" applyAlignment="1" applyProtection="1">
      <alignment horizontal="center"/>
      <protection locked="0"/>
    </xf>
    <xf numFmtId="177" fontId="70" fillId="0" borderId="33" xfId="0" applyNumberFormat="1" applyFont="1" applyFill="1" applyBorder="1" applyAlignment="1" applyProtection="1">
      <alignment horizontal="left"/>
      <protection hidden="1"/>
    </xf>
    <xf numFmtId="177" fontId="7" fillId="3" borderId="32" xfId="0" applyNumberFormat="1" applyFont="1" applyFill="1" applyBorder="1" applyAlignment="1" applyProtection="1">
      <alignment horizontal="left"/>
      <protection hidden="1"/>
    </xf>
    <xf numFmtId="177" fontId="70" fillId="0" borderId="32" xfId="0" applyNumberFormat="1" applyFont="1" applyFill="1" applyBorder="1" applyAlignment="1" applyProtection="1">
      <alignment horizontal="left"/>
      <protection hidden="1"/>
    </xf>
    <xf numFmtId="0" fontId="7" fillId="3" borderId="36" xfId="0" applyNumberFormat="1" applyFont="1" applyFill="1" applyBorder="1" applyAlignment="1" applyProtection="1">
      <alignment horizontal="center"/>
      <protection hidden="1"/>
    </xf>
    <xf numFmtId="177" fontId="7" fillId="0" borderId="33" xfId="0" applyNumberFormat="1" applyFont="1" applyFill="1" applyBorder="1" applyAlignment="1" applyProtection="1">
      <alignment horizontal="left"/>
      <protection hidden="1"/>
    </xf>
    <xf numFmtId="3" fontId="70" fillId="3" borderId="32" xfId="0" applyNumberFormat="1" applyFont="1" applyFill="1" applyBorder="1" applyAlignment="1" applyProtection="1">
      <alignment horizontal="center"/>
      <protection hidden="1"/>
    </xf>
    <xf numFmtId="177" fontId="7" fillId="0" borderId="32" xfId="0" applyNumberFormat="1" applyFont="1" applyFill="1" applyBorder="1" applyAlignment="1" applyProtection="1">
      <alignment horizontal="left"/>
      <protection hidden="1"/>
    </xf>
    <xf numFmtId="3" fontId="7" fillId="2" borderId="36" xfId="0" applyNumberFormat="1" applyFont="1" applyFill="1" applyBorder="1" applyAlignment="1" applyProtection="1">
      <alignment horizontal="center"/>
      <protection hidden="1"/>
    </xf>
    <xf numFmtId="181" fontId="7" fillId="3" borderId="36" xfId="0" applyNumberFormat="1" applyFont="1" applyFill="1" applyBorder="1" applyAlignment="1" applyProtection="1">
      <alignment horizontal="center"/>
      <protection locked="0"/>
    </xf>
    <xf numFmtId="177" fontId="7" fillId="0" borderId="32" xfId="0" applyNumberFormat="1" applyFont="1" applyFill="1" applyBorder="1" applyAlignment="1" applyProtection="1">
      <alignment horizontal="center"/>
      <protection locked="0"/>
    </xf>
    <xf numFmtId="181" fontId="7" fillId="3" borderId="36" xfId="0" applyNumberFormat="1" applyFont="1" applyFill="1" applyBorder="1" applyAlignment="1" applyProtection="1">
      <alignment horizontal="center"/>
      <protection hidden="1"/>
    </xf>
    <xf numFmtId="15" fontId="7" fillId="6" borderId="36" xfId="0" applyNumberFormat="1" applyFont="1" applyFill="1" applyBorder="1" applyAlignment="1" applyProtection="1">
      <alignment horizontal="center"/>
      <protection locked="0"/>
    </xf>
    <xf numFmtId="183" fontId="7" fillId="3" borderId="36" xfId="0" applyNumberFormat="1" applyFont="1" applyFill="1" applyBorder="1" applyAlignment="1" applyProtection="1">
      <alignment horizontal="center"/>
      <protection hidden="1"/>
    </xf>
    <xf numFmtId="0" fontId="62" fillId="0" borderId="34" xfId="0" applyFont="1" applyFill="1" applyBorder="1" applyAlignment="1" applyProtection="1">
      <alignment horizontal="justify" wrapText="1"/>
      <protection hidden="1"/>
    </xf>
    <xf numFmtId="184" fontId="24" fillId="0" borderId="89" xfId="0" applyNumberFormat="1" applyFont="1" applyFill="1" applyBorder="1" applyAlignment="1" applyProtection="1">
      <alignment horizontal="left" wrapText="1"/>
      <protection hidden="1"/>
    </xf>
    <xf numFmtId="184" fontId="7" fillId="6" borderId="90" xfId="0" applyNumberFormat="1" applyFont="1" applyFill="1" applyBorder="1" applyAlignment="1" applyProtection="1">
      <alignment horizontal="center"/>
      <protection locked="0"/>
    </xf>
    <xf numFmtId="0" fontId="7" fillId="0" borderId="97" xfId="0" applyFont="1" applyFill="1" applyBorder="1" applyAlignment="1" applyProtection="1">
      <alignment horizontal="center" vertical="top" wrapText="1"/>
      <protection hidden="1"/>
    </xf>
    <xf numFmtId="185" fontId="7" fillId="0" borderId="97" xfId="0" applyNumberFormat="1" applyFont="1" applyFill="1" applyBorder="1" applyAlignment="1" applyProtection="1">
      <alignment horizontal="center" wrapText="1"/>
      <protection hidden="1"/>
    </xf>
    <xf numFmtId="198" fontId="7" fillId="0" borderId="97" xfId="0" applyNumberFormat="1" applyFont="1" applyFill="1" applyBorder="1"/>
    <xf numFmtId="3" fontId="7" fillId="0" borderId="97" xfId="0" applyNumberFormat="1" applyFont="1" applyFill="1" applyBorder="1"/>
    <xf numFmtId="177" fontId="7" fillId="0" borderId="97" xfId="0" applyNumberFormat="1" applyFont="1" applyFill="1" applyBorder="1" applyAlignment="1">
      <alignment horizontal="right"/>
    </xf>
    <xf numFmtId="181" fontId="7" fillId="0" borderId="97" xfId="0" applyNumberFormat="1" applyFont="1" applyFill="1" applyBorder="1"/>
    <xf numFmtId="177" fontId="7" fillId="0" borderId="97" xfId="0" applyNumberFormat="1" applyFont="1" applyFill="1" applyBorder="1"/>
    <xf numFmtId="179" fontId="7" fillId="0" borderId="0" xfId="0" applyNumberFormat="1" applyFont="1" applyFill="1" applyBorder="1" applyAlignment="1" applyProtection="1">
      <alignment horizontal="center" vertical="top" wrapText="1"/>
      <protection hidden="1"/>
    </xf>
    <xf numFmtId="185" fontId="7" fillId="0" borderId="0" xfId="0" applyNumberFormat="1" applyFont="1" applyFill="1" applyBorder="1" applyAlignment="1" applyProtection="1">
      <alignment horizontal="center" wrapText="1"/>
      <protection hidden="1"/>
    </xf>
    <xf numFmtId="182" fontId="7" fillId="0" borderId="0" xfId="0" applyNumberFormat="1" applyFont="1" applyFill="1" applyBorder="1" applyAlignment="1" applyProtection="1">
      <alignment horizontal="center" wrapText="1"/>
      <protection hidden="1"/>
    </xf>
    <xf numFmtId="182" fontId="7" fillId="0" borderId="0" xfId="0" applyNumberFormat="1" applyFont="1" applyFill="1" applyBorder="1" applyAlignment="1" applyProtection="1">
      <alignment horizontal="right" wrapText="1"/>
      <protection hidden="1"/>
    </xf>
    <xf numFmtId="183" fontId="7" fillId="0" borderId="0" xfId="0" applyNumberFormat="1" applyFont="1" applyFill="1" applyBorder="1" applyAlignment="1" applyProtection="1">
      <alignment horizontal="center" wrapText="1"/>
      <protection hidden="1"/>
    </xf>
    <xf numFmtId="182" fontId="7" fillId="0" borderId="0" xfId="8" applyNumberFormat="1" applyFont="1" applyFill="1" applyBorder="1" applyAlignment="1" applyProtection="1">
      <alignment horizontal="center" wrapText="1"/>
      <protection hidden="1"/>
    </xf>
    <xf numFmtId="177" fontId="7" fillId="0" borderId="0" xfId="0" applyNumberFormat="1" applyFont="1" applyFill="1" applyBorder="1" applyAlignment="1" applyProtection="1">
      <alignment horizontal="center"/>
      <protection hidden="1"/>
    </xf>
    <xf numFmtId="0" fontId="7" fillId="0" borderId="0" xfId="0" applyFont="1" applyFill="1" applyBorder="1" applyAlignment="1" applyProtection="1">
      <alignment horizontal="center" vertical="top" wrapText="1"/>
      <protection hidden="1"/>
    </xf>
    <xf numFmtId="198" fontId="7" fillId="0" borderId="0" xfId="0" applyNumberFormat="1" applyFont="1" applyFill="1" applyBorder="1"/>
    <xf numFmtId="3" fontId="7" fillId="0" borderId="0" xfId="0" applyNumberFormat="1" applyFont="1" applyFill="1" applyBorder="1"/>
    <xf numFmtId="177" fontId="7" fillId="0" borderId="0" xfId="0" applyNumberFormat="1" applyFont="1" applyFill="1" applyBorder="1" applyAlignment="1">
      <alignment horizontal="right"/>
    </xf>
    <xf numFmtId="181" fontId="7" fillId="0" borderId="0" xfId="0" applyNumberFormat="1" applyFont="1" applyFill="1" applyBorder="1"/>
    <xf numFmtId="177" fontId="7" fillId="0" borderId="0" xfId="0" applyNumberFormat="1" applyFont="1" applyFill="1" applyBorder="1"/>
    <xf numFmtId="0" fontId="7" fillId="0" borderId="13" xfId="0" applyFont="1" applyFill="1" applyBorder="1" applyAlignment="1" applyProtection="1">
      <alignment horizontal="center" vertical="top" wrapText="1"/>
      <protection hidden="1"/>
    </xf>
    <xf numFmtId="185" fontId="7" fillId="0" borderId="13" xfId="0" applyNumberFormat="1" applyFont="1" applyFill="1" applyBorder="1" applyAlignment="1" applyProtection="1">
      <alignment horizontal="center" wrapText="1"/>
      <protection hidden="1"/>
    </xf>
    <xf numFmtId="198" fontId="7" fillId="0" borderId="13" xfId="0" applyNumberFormat="1" applyFont="1" applyFill="1" applyBorder="1"/>
    <xf numFmtId="3" fontId="7" fillId="0" borderId="13" xfId="0" applyNumberFormat="1" applyFont="1" applyFill="1" applyBorder="1"/>
    <xf numFmtId="177" fontId="7" fillId="0" borderId="13" xfId="0" applyNumberFormat="1" applyFont="1" applyFill="1" applyBorder="1" applyAlignment="1">
      <alignment horizontal="right"/>
    </xf>
    <xf numFmtId="181" fontId="7" fillId="0" borderId="13" xfId="0" applyNumberFormat="1" applyFont="1" applyFill="1" applyBorder="1"/>
    <xf numFmtId="177" fontId="7" fillId="0" borderId="13" xfId="0" applyNumberFormat="1" applyFont="1" applyFill="1" applyBorder="1"/>
    <xf numFmtId="177" fontId="5" fillId="0" borderId="33" xfId="0" applyNumberFormat="1" applyFont="1" applyFill="1" applyBorder="1" applyAlignment="1" applyProtection="1">
      <alignment horizontal="left"/>
      <protection hidden="1"/>
    </xf>
    <xf numFmtId="177" fontId="5" fillId="0" borderId="32" xfId="0" applyNumberFormat="1" applyFont="1" applyFill="1" applyBorder="1" applyAlignment="1" applyProtection="1">
      <alignment horizontal="left"/>
      <protection hidden="1"/>
    </xf>
    <xf numFmtId="0" fontId="49" fillId="0" borderId="0" xfId="0" applyFont="1" applyFill="1" applyBorder="1" applyAlignment="1" applyProtection="1">
      <alignment vertical="center"/>
      <protection locked="0"/>
    </xf>
    <xf numFmtId="0" fontId="49" fillId="0" borderId="0" xfId="0" applyFont="1" applyFill="1" applyBorder="1" applyAlignment="1" applyProtection="1">
      <alignment horizontal="right" vertical="center"/>
      <protection locked="0"/>
    </xf>
    <xf numFmtId="0" fontId="49" fillId="0" borderId="0" xfId="0" applyFont="1" applyFill="1" applyBorder="1" applyAlignment="1">
      <alignment vertical="center"/>
    </xf>
    <xf numFmtId="0" fontId="15" fillId="0" borderId="0" xfId="0" applyFont="1" applyBorder="1" applyAlignment="1" applyProtection="1">
      <alignment vertical="center"/>
      <protection hidden="1"/>
    </xf>
    <xf numFmtId="0" fontId="15" fillId="0" borderId="0" xfId="0" applyFont="1" applyFill="1" applyBorder="1" applyAlignment="1" applyProtection="1">
      <alignment vertical="center"/>
      <protection hidden="1"/>
    </xf>
    <xf numFmtId="0" fontId="39" fillId="0" borderId="0" xfId="0" applyFont="1" applyFill="1" applyBorder="1" applyAlignment="1" applyProtection="1">
      <alignment vertical="center"/>
      <protection hidden="1"/>
    </xf>
    <xf numFmtId="0" fontId="40" fillId="0" borderId="0" xfId="0" applyFont="1" applyFill="1" applyBorder="1" applyAlignment="1" applyProtection="1">
      <alignment vertical="center"/>
      <protection hidden="1"/>
    </xf>
    <xf numFmtId="0" fontId="34" fillId="0" borderId="0" xfId="0" applyFont="1" applyBorder="1" applyAlignment="1" applyProtection="1">
      <alignment horizontal="right" vertical="center"/>
      <protection hidden="1"/>
    </xf>
    <xf numFmtId="0" fontId="35" fillId="0" borderId="0" xfId="0" applyFont="1" applyBorder="1" applyAlignment="1" applyProtection="1">
      <alignment horizontal="right" vertical="center"/>
      <protection hidden="1"/>
    </xf>
    <xf numFmtId="0" fontId="15" fillId="0" borderId="0" xfId="0" applyFont="1" applyBorder="1" applyAlignment="1">
      <alignment vertical="center"/>
    </xf>
    <xf numFmtId="0" fontId="34" fillId="0" borderId="0" xfId="0" applyFont="1" applyFill="1" applyBorder="1" applyAlignment="1" applyProtection="1">
      <alignment vertical="center"/>
      <protection hidden="1"/>
    </xf>
    <xf numFmtId="0" fontId="15" fillId="0" borderId="0" xfId="0" applyFont="1" applyBorder="1" applyAlignment="1" applyProtection="1">
      <alignment horizontal="right" vertical="center"/>
      <protection hidden="1"/>
    </xf>
    <xf numFmtId="0" fontId="73" fillId="9" borderId="98" xfId="0" applyFont="1" applyFill="1" applyBorder="1" applyAlignment="1" applyProtection="1">
      <alignment vertical="center"/>
      <protection hidden="1"/>
    </xf>
    <xf numFmtId="179" fontId="74" fillId="9" borderId="98" xfId="0" applyNumberFormat="1" applyFont="1" applyFill="1" applyBorder="1" applyAlignment="1" applyProtection="1">
      <alignment horizontal="right" vertical="center"/>
      <protection hidden="1"/>
    </xf>
    <xf numFmtId="0" fontId="7" fillId="0" borderId="0" xfId="0" applyFont="1" applyFill="1" applyBorder="1" applyAlignment="1" applyProtection="1">
      <alignment vertical="center"/>
      <protection hidden="1"/>
    </xf>
    <xf numFmtId="38" fontId="7" fillId="0" borderId="0" xfId="0" applyNumberFormat="1" applyFont="1" applyFill="1" applyBorder="1" applyAlignment="1" applyProtection="1">
      <alignment horizontal="right" vertical="center"/>
      <protection hidden="1"/>
    </xf>
    <xf numFmtId="0" fontId="7" fillId="2" borderId="0" xfId="0" applyFont="1" applyFill="1" applyBorder="1" applyAlignment="1" applyProtection="1">
      <alignment vertical="center"/>
      <protection hidden="1"/>
    </xf>
    <xf numFmtId="0" fontId="35" fillId="0" borderId="0" xfId="0" applyFont="1" applyFill="1" applyBorder="1" applyAlignment="1" applyProtection="1">
      <alignment horizontal="right" vertical="center"/>
      <protection hidden="1"/>
    </xf>
    <xf numFmtId="177" fontId="35" fillId="0" borderId="0" xfId="0" applyNumberFormat="1" applyFont="1" applyBorder="1" applyAlignment="1" applyProtection="1">
      <alignment horizontal="right" vertical="center"/>
      <protection hidden="1"/>
    </xf>
    <xf numFmtId="179" fontId="35" fillId="0" borderId="0" xfId="0" applyNumberFormat="1" applyFont="1" applyBorder="1" applyAlignment="1" applyProtection="1">
      <alignment horizontal="right" vertical="center"/>
      <protection hidden="1"/>
    </xf>
    <xf numFmtId="0" fontId="16" fillId="0" borderId="0" xfId="0" applyFont="1" applyFill="1" applyBorder="1" applyAlignment="1" applyProtection="1">
      <alignment vertical="center"/>
      <protection hidden="1"/>
    </xf>
    <xf numFmtId="38" fontId="70" fillId="0" borderId="0" xfId="0" applyNumberFormat="1" applyFont="1" applyFill="1" applyBorder="1" applyAlignment="1" applyProtection="1">
      <alignment vertical="center"/>
      <protection hidden="1"/>
    </xf>
    <xf numFmtId="0" fontId="14" fillId="0" borderId="0" xfId="0" applyFont="1" applyFill="1" applyBorder="1" applyAlignment="1" applyProtection="1">
      <alignment vertical="center"/>
      <protection hidden="1"/>
    </xf>
    <xf numFmtId="0" fontId="41" fillId="0" borderId="0" xfId="0" applyFont="1" applyFill="1" applyBorder="1" applyAlignment="1" applyProtection="1">
      <alignment horizontal="right" vertical="center"/>
      <protection hidden="1"/>
    </xf>
    <xf numFmtId="38" fontId="7" fillId="0" borderId="99" xfId="0" applyNumberFormat="1" applyFont="1" applyFill="1" applyBorder="1" applyAlignment="1" applyProtection="1">
      <alignment horizontal="right" vertical="center"/>
      <protection hidden="1"/>
    </xf>
    <xf numFmtId="0" fontId="76" fillId="0" borderId="0" xfId="0" applyFont="1" applyFill="1" applyBorder="1" applyAlignment="1" applyProtection="1">
      <alignment vertical="center"/>
      <protection hidden="1"/>
    </xf>
    <xf numFmtId="179" fontId="7" fillId="0" borderId="0" xfId="0" applyNumberFormat="1" applyFont="1" applyFill="1" applyBorder="1" applyAlignment="1" applyProtection="1">
      <alignment horizontal="right" vertical="center"/>
      <protection hidden="1"/>
    </xf>
    <xf numFmtId="179" fontId="15" fillId="0" borderId="0" xfId="0" applyNumberFormat="1" applyFont="1" applyBorder="1" applyAlignment="1" applyProtection="1">
      <alignment horizontal="right" vertical="center"/>
      <protection hidden="1"/>
    </xf>
    <xf numFmtId="185" fontId="7" fillId="0" borderId="0" xfId="10" applyNumberFormat="1" applyFont="1" applyFill="1" applyBorder="1" applyAlignment="1" applyProtection="1">
      <alignment vertical="center"/>
      <protection hidden="1"/>
    </xf>
    <xf numFmtId="0" fontId="34" fillId="0" borderId="0" xfId="0" applyFont="1" applyBorder="1" applyAlignment="1" applyProtection="1">
      <alignment vertical="center"/>
      <protection hidden="1"/>
    </xf>
    <xf numFmtId="179" fontId="34" fillId="0" borderId="0" xfId="0" applyNumberFormat="1" applyFont="1" applyBorder="1" applyAlignment="1" applyProtection="1">
      <alignment vertical="center"/>
      <protection hidden="1"/>
    </xf>
    <xf numFmtId="184" fontId="35" fillId="0" borderId="0" xfId="0" applyNumberFormat="1" applyFont="1" applyBorder="1" applyAlignment="1" applyProtection="1">
      <alignment horizontal="right" vertical="center"/>
      <protection hidden="1"/>
    </xf>
    <xf numFmtId="185" fontId="7" fillId="0" borderId="0" xfId="10" applyNumberFormat="1" applyFont="1" applyBorder="1" applyAlignment="1" applyProtection="1">
      <alignment vertical="center"/>
      <protection hidden="1"/>
    </xf>
    <xf numFmtId="185" fontId="35" fillId="0" borderId="0" xfId="0" applyNumberFormat="1" applyFont="1" applyBorder="1" applyAlignment="1" applyProtection="1">
      <alignment horizontal="right" vertical="center"/>
      <protection hidden="1"/>
    </xf>
    <xf numFmtId="185" fontId="7" fillId="0" borderId="0" xfId="10" applyNumberFormat="1" applyFont="1" applyBorder="1" applyAlignment="1" applyProtection="1">
      <alignment horizontal="left" vertical="center"/>
      <protection hidden="1"/>
    </xf>
    <xf numFmtId="0" fontId="15" fillId="10" borderId="0" xfId="0" applyFont="1" applyFill="1" applyBorder="1" applyAlignment="1" applyProtection="1">
      <alignment vertical="center"/>
      <protection hidden="1"/>
    </xf>
    <xf numFmtId="0" fontId="7" fillId="10" borderId="0" xfId="0" applyFont="1" applyFill="1" applyBorder="1" applyAlignment="1" applyProtection="1">
      <alignment vertical="center"/>
      <protection hidden="1"/>
    </xf>
    <xf numFmtId="38" fontId="7" fillId="10" borderId="0" xfId="0" applyNumberFormat="1" applyFont="1" applyFill="1" applyBorder="1" applyAlignment="1" applyProtection="1">
      <alignment vertical="center"/>
      <protection hidden="1"/>
    </xf>
    <xf numFmtId="0" fontId="15" fillId="10" borderId="0" xfId="0" applyFont="1" applyFill="1" applyBorder="1" applyAlignment="1" applyProtection="1">
      <alignment horizontal="right" vertical="center"/>
      <protection hidden="1"/>
    </xf>
    <xf numFmtId="0" fontId="35" fillId="10" borderId="0" xfId="0" applyFont="1" applyFill="1" applyBorder="1" applyAlignment="1" applyProtection="1">
      <alignment horizontal="right" vertical="center"/>
      <protection hidden="1"/>
    </xf>
    <xf numFmtId="0" fontId="15" fillId="10" borderId="0" xfId="0" applyFont="1" applyFill="1" applyBorder="1" applyAlignment="1">
      <alignment vertical="center"/>
    </xf>
    <xf numFmtId="0" fontId="7" fillId="10" borderId="99" xfId="0" applyFont="1" applyFill="1" applyBorder="1" applyAlignment="1" applyProtection="1">
      <alignment vertical="center"/>
      <protection hidden="1"/>
    </xf>
    <xf numFmtId="38" fontId="7" fillId="10" borderId="99" xfId="0" applyNumberFormat="1" applyFont="1" applyFill="1" applyBorder="1" applyAlignment="1" applyProtection="1">
      <alignment vertical="center"/>
      <protection hidden="1"/>
    </xf>
    <xf numFmtId="0" fontId="7" fillId="0" borderId="0" xfId="0" applyFont="1" applyBorder="1" applyAlignment="1" applyProtection="1">
      <alignment vertical="center"/>
      <protection hidden="1"/>
    </xf>
    <xf numFmtId="0" fontId="78" fillId="6" borderId="100" xfId="0" applyFont="1" applyFill="1" applyBorder="1" applyAlignment="1" applyProtection="1">
      <alignment vertical="center"/>
      <protection locked="0"/>
    </xf>
    <xf numFmtId="0" fontId="7" fillId="6" borderId="100" xfId="0" applyFont="1" applyFill="1" applyBorder="1" applyAlignment="1" applyProtection="1">
      <alignment vertical="center"/>
      <protection locked="0"/>
    </xf>
    <xf numFmtId="0" fontId="15" fillId="6" borderId="100" xfId="0" applyFont="1" applyFill="1" applyBorder="1" applyAlignment="1" applyProtection="1">
      <alignment vertical="center"/>
      <protection locked="0"/>
    </xf>
    <xf numFmtId="0" fontId="15" fillId="2" borderId="0" xfId="0" applyFont="1" applyFill="1" applyBorder="1" applyAlignment="1" applyProtection="1">
      <alignment vertical="center"/>
      <protection hidden="1"/>
    </xf>
    <xf numFmtId="183" fontId="15" fillId="0" borderId="0" xfId="0" applyNumberFormat="1" applyFont="1" applyFill="1" applyBorder="1" applyAlignment="1" applyProtection="1">
      <alignment horizontal="right" vertical="center"/>
      <protection hidden="1"/>
    </xf>
    <xf numFmtId="181" fontId="15" fillId="0" borderId="0" xfId="0" applyNumberFormat="1" applyFont="1" applyFill="1" applyBorder="1" applyAlignment="1" applyProtection="1">
      <alignment horizontal="right" vertical="center"/>
      <protection hidden="1"/>
    </xf>
    <xf numFmtId="183" fontId="35" fillId="0" borderId="0" xfId="0" applyNumberFormat="1" applyFont="1" applyBorder="1" applyAlignment="1" applyProtection="1">
      <alignment horizontal="right" vertical="center"/>
      <protection hidden="1"/>
    </xf>
    <xf numFmtId="0" fontId="42" fillId="0" borderId="0" xfId="0" applyFont="1" applyFill="1" applyBorder="1" applyAlignment="1" applyProtection="1">
      <alignment vertical="center"/>
      <protection hidden="1"/>
    </xf>
    <xf numFmtId="0" fontId="15" fillId="0" borderId="0" xfId="0" applyFont="1" applyFill="1" applyBorder="1" applyAlignment="1" applyProtection="1">
      <alignment horizontal="right" vertical="center"/>
      <protection hidden="1"/>
    </xf>
    <xf numFmtId="49" fontId="35" fillId="0" borderId="0" xfId="0" applyNumberFormat="1" applyFont="1" applyBorder="1" applyAlignment="1" applyProtection="1">
      <alignment horizontal="right" vertical="center"/>
      <protection hidden="1"/>
    </xf>
    <xf numFmtId="183" fontId="41" fillId="0" borderId="0" xfId="0" applyNumberFormat="1" applyFont="1" applyFill="1" applyBorder="1" applyAlignment="1" applyProtection="1">
      <alignment horizontal="right" vertical="center"/>
      <protection hidden="1"/>
    </xf>
    <xf numFmtId="185" fontId="70" fillId="0" borderId="0" xfId="10" applyNumberFormat="1" applyFont="1" applyBorder="1" applyAlignment="1" applyProtection="1">
      <alignment vertical="center"/>
      <protection hidden="1"/>
    </xf>
    <xf numFmtId="185" fontId="62" fillId="0" borderId="0" xfId="10" applyNumberFormat="1" applyFont="1" applyBorder="1" applyAlignment="1" applyProtection="1">
      <alignment vertical="center"/>
      <protection hidden="1"/>
    </xf>
    <xf numFmtId="184" fontId="7" fillId="0" borderId="0" xfId="0" applyNumberFormat="1" applyFont="1" applyFill="1" applyBorder="1" applyAlignment="1" applyProtection="1">
      <alignment horizontal="right" vertical="center"/>
      <protection hidden="1"/>
    </xf>
    <xf numFmtId="0" fontId="7" fillId="0" borderId="0" xfId="0" applyFont="1" applyFill="1" applyBorder="1" applyAlignment="1" applyProtection="1">
      <alignment horizontal="right" vertical="center"/>
      <protection hidden="1"/>
    </xf>
    <xf numFmtId="0" fontId="7" fillId="0" borderId="0" xfId="0" applyFont="1" applyFill="1" applyBorder="1" applyAlignment="1" applyProtection="1">
      <alignment horizontal="left" vertical="center"/>
      <protection hidden="1"/>
    </xf>
    <xf numFmtId="183" fontId="7" fillId="0" borderId="0" xfId="0" applyNumberFormat="1" applyFont="1" applyFill="1" applyBorder="1" applyAlignment="1" applyProtection="1">
      <alignment horizontal="right" vertical="center"/>
      <protection hidden="1"/>
    </xf>
    <xf numFmtId="182" fontId="35" fillId="0" borderId="0" xfId="0" applyNumberFormat="1" applyFont="1" applyBorder="1" applyAlignment="1" applyProtection="1">
      <alignment horizontal="right" vertical="center"/>
      <protection hidden="1"/>
    </xf>
    <xf numFmtId="177" fontId="7" fillId="0" borderId="0" xfId="0" applyNumberFormat="1" applyFont="1" applyFill="1" applyBorder="1" applyAlignment="1" applyProtection="1">
      <alignment horizontal="right" vertical="center"/>
      <protection hidden="1"/>
    </xf>
    <xf numFmtId="181" fontId="7" fillId="0" borderId="0" xfId="0" applyNumberFormat="1" applyFont="1" applyFill="1" applyBorder="1" applyAlignment="1" applyProtection="1">
      <alignment horizontal="right" vertical="center"/>
      <protection hidden="1"/>
    </xf>
    <xf numFmtId="182" fontId="7" fillId="0" borderId="0" xfId="0" applyNumberFormat="1" applyFont="1" applyFill="1" applyBorder="1" applyAlignment="1" applyProtection="1">
      <alignment horizontal="right" vertical="center"/>
      <protection hidden="1"/>
    </xf>
    <xf numFmtId="182" fontId="7" fillId="0" borderId="0" xfId="0" applyNumberFormat="1" applyFont="1" applyBorder="1" applyAlignment="1" applyProtection="1">
      <alignment vertical="center"/>
      <protection hidden="1"/>
    </xf>
    <xf numFmtId="179" fontId="15" fillId="0" borderId="0" xfId="0" applyNumberFormat="1" applyFont="1" applyFill="1" applyBorder="1" applyAlignment="1" applyProtection="1">
      <alignment horizontal="right" vertical="center"/>
      <protection hidden="1"/>
    </xf>
    <xf numFmtId="183" fontId="15" fillId="6" borderId="100" xfId="0" applyNumberFormat="1" applyFont="1" applyFill="1" applyBorder="1" applyAlignment="1" applyProtection="1">
      <alignment horizontal="right" vertical="center"/>
      <protection locked="0"/>
    </xf>
    <xf numFmtId="0" fontId="15" fillId="0" borderId="0" xfId="0" applyFont="1" applyFill="1" applyBorder="1" applyAlignment="1">
      <alignment vertical="center"/>
    </xf>
    <xf numFmtId="0" fontId="34" fillId="0" borderId="0" xfId="0" applyFont="1" applyBorder="1" applyAlignment="1">
      <alignment horizontal="right" vertical="center"/>
    </xf>
    <xf numFmtId="0" fontId="35" fillId="0" borderId="0" xfId="0" applyFont="1" applyBorder="1" applyAlignment="1">
      <alignment horizontal="right" vertical="center"/>
    </xf>
    <xf numFmtId="0" fontId="24" fillId="0" borderId="0" xfId="0" applyFont="1" applyAlignment="1" applyProtection="1">
      <alignment vertical="center"/>
      <protection locked="0"/>
    </xf>
    <xf numFmtId="0" fontId="24" fillId="0" borderId="11" xfId="0" applyFont="1" applyBorder="1" applyAlignment="1" applyProtection="1">
      <alignment vertical="center"/>
      <protection locked="0"/>
    </xf>
    <xf numFmtId="0" fontId="24" fillId="0" borderId="0" xfId="0" applyFont="1" applyBorder="1" applyAlignment="1" applyProtection="1">
      <alignment vertical="center"/>
      <protection locked="0"/>
    </xf>
    <xf numFmtId="0" fontId="24" fillId="0" borderId="0" xfId="0" applyFont="1" applyAlignment="1">
      <alignment vertical="center"/>
    </xf>
    <xf numFmtId="0" fontId="46" fillId="7" borderId="28" xfId="0" applyFont="1" applyFill="1" applyBorder="1" applyAlignment="1" applyProtection="1">
      <alignment vertical="center"/>
      <protection locked="0"/>
    </xf>
    <xf numFmtId="0" fontId="45" fillId="7" borderId="28" xfId="0" applyFont="1" applyFill="1" applyBorder="1" applyAlignment="1" applyProtection="1">
      <alignment horizontal="right" vertical="center"/>
      <protection locked="0"/>
    </xf>
    <xf numFmtId="0" fontId="45" fillId="7" borderId="29" xfId="0" applyFont="1" applyFill="1" applyBorder="1" applyAlignment="1" applyProtection="1">
      <alignment horizontal="right" vertical="center"/>
      <protection locked="0"/>
    </xf>
    <xf numFmtId="0" fontId="24" fillId="0" borderId="0" xfId="0" applyFont="1" applyFill="1" applyAlignment="1" applyProtection="1">
      <alignment vertical="center"/>
      <protection hidden="1"/>
    </xf>
    <xf numFmtId="0" fontId="24" fillId="0" borderId="0" xfId="0" applyFont="1" applyFill="1" applyAlignment="1">
      <alignment vertical="center"/>
    </xf>
    <xf numFmtId="0" fontId="3" fillId="0" borderId="0" xfId="0" applyFont="1" applyFill="1" applyBorder="1" applyAlignment="1" applyProtection="1">
      <alignment vertical="center"/>
      <protection hidden="1"/>
    </xf>
    <xf numFmtId="0" fontId="62" fillId="0" borderId="16" xfId="0" applyFont="1" applyFill="1" applyBorder="1" applyAlignment="1" applyProtection="1">
      <alignment vertical="center"/>
      <protection hidden="1"/>
    </xf>
    <xf numFmtId="0" fontId="62" fillId="0" borderId="48" xfId="0" applyFont="1" applyFill="1" applyBorder="1" applyAlignment="1" applyProtection="1">
      <alignment horizontal="right" vertical="center"/>
      <protection hidden="1"/>
    </xf>
    <xf numFmtId="0" fontId="62" fillId="0" borderId="37" xfId="0" applyFont="1" applyFill="1" applyBorder="1" applyAlignment="1" applyProtection="1">
      <alignment horizontal="right" vertical="center"/>
      <protection hidden="1"/>
    </xf>
    <xf numFmtId="0" fontId="62" fillId="0" borderId="88" xfId="0" applyFont="1" applyFill="1" applyBorder="1" applyAlignment="1" applyProtection="1">
      <alignment horizontal="right" vertical="center"/>
      <protection hidden="1"/>
    </xf>
    <xf numFmtId="0" fontId="3" fillId="0" borderId="0" xfId="0" applyFont="1" applyFill="1" applyAlignment="1" applyProtection="1">
      <alignment vertical="center"/>
      <protection hidden="1"/>
    </xf>
    <xf numFmtId="0" fontId="3" fillId="0" borderId="0" xfId="0" applyFont="1" applyFill="1" applyAlignment="1">
      <alignment vertical="center"/>
    </xf>
    <xf numFmtId="0" fontId="62" fillId="0" borderId="16" xfId="0" applyFont="1" applyFill="1" applyBorder="1" applyAlignment="1" applyProtection="1">
      <alignment horizontal="left" vertical="center"/>
      <protection hidden="1"/>
    </xf>
    <xf numFmtId="10" fontId="7" fillId="0" borderId="39" xfId="0" applyNumberFormat="1" applyFont="1" applyFill="1" applyBorder="1" applyAlignment="1" applyProtection="1">
      <alignment vertical="center"/>
      <protection hidden="1"/>
    </xf>
    <xf numFmtId="10" fontId="7" fillId="0" borderId="32" xfId="0" applyNumberFormat="1" applyFont="1" applyFill="1" applyBorder="1" applyAlignment="1" applyProtection="1">
      <alignment vertical="center"/>
      <protection hidden="1"/>
    </xf>
    <xf numFmtId="0" fontId="7" fillId="0" borderId="16" xfId="0" applyFont="1" applyFill="1" applyBorder="1" applyAlignment="1" applyProtection="1">
      <alignment horizontal="left" vertical="center" indent="1"/>
      <protection hidden="1"/>
    </xf>
    <xf numFmtId="181" fontId="7" fillId="4" borderId="39" xfId="0" applyNumberFormat="1" applyFont="1" applyFill="1" applyBorder="1" applyAlignment="1" applyProtection="1">
      <alignment vertical="center"/>
      <protection hidden="1"/>
    </xf>
    <xf numFmtId="181" fontId="7" fillId="4" borderId="32" xfId="0" applyNumberFormat="1" applyFont="1" applyFill="1" applyBorder="1" applyAlignment="1" applyProtection="1">
      <alignment vertical="center"/>
      <protection hidden="1"/>
    </xf>
    <xf numFmtId="181" fontId="7" fillId="0" borderId="32" xfId="0" applyNumberFormat="1" applyFont="1" applyFill="1" applyBorder="1" applyAlignment="1" applyProtection="1">
      <alignment vertical="center"/>
      <protection hidden="1"/>
    </xf>
    <xf numFmtId="181" fontId="7" fillId="4" borderId="39" xfId="10" applyNumberFormat="1" applyFont="1" applyFill="1" applyBorder="1" applyAlignment="1" applyProtection="1">
      <alignment horizontal="right" vertical="center"/>
      <protection hidden="1"/>
    </xf>
    <xf numFmtId="181" fontId="7" fillId="4" borderId="32" xfId="10" applyNumberFormat="1" applyFont="1" applyFill="1" applyBorder="1" applyAlignment="1" applyProtection="1">
      <alignment horizontal="right" vertical="center"/>
      <protection hidden="1"/>
    </xf>
    <xf numFmtId="181" fontId="7" fillId="0" borderId="32" xfId="10" applyNumberFormat="1" applyFont="1" applyFill="1" applyBorder="1" applyAlignment="1" applyProtection="1">
      <alignment horizontal="right" vertical="center"/>
      <protection hidden="1"/>
    </xf>
    <xf numFmtId="10" fontId="7" fillId="2" borderId="32" xfId="0" applyNumberFormat="1" applyFont="1" applyFill="1" applyBorder="1" applyAlignment="1" applyProtection="1">
      <alignment vertical="center"/>
      <protection hidden="1"/>
    </xf>
    <xf numFmtId="0" fontId="24" fillId="0" borderId="0" xfId="0" applyFont="1" applyBorder="1" applyAlignment="1" applyProtection="1">
      <alignment vertical="center"/>
      <protection hidden="1"/>
    </xf>
    <xf numFmtId="3" fontId="7" fillId="4" borderId="39" xfId="8" applyNumberFormat="1" applyFont="1" applyFill="1" applyBorder="1" applyAlignment="1" applyProtection="1">
      <alignment horizontal="right" vertical="center"/>
      <protection hidden="1"/>
    </xf>
    <xf numFmtId="3" fontId="7" fillId="4" borderId="32" xfId="8" applyNumberFormat="1" applyFont="1" applyFill="1" applyBorder="1" applyAlignment="1" applyProtection="1">
      <alignment horizontal="right" vertical="center"/>
      <protection hidden="1"/>
    </xf>
    <xf numFmtId="3" fontId="7" fillId="2" borderId="32" xfId="8" applyNumberFormat="1" applyFont="1" applyFill="1" applyBorder="1" applyAlignment="1" applyProtection="1">
      <alignment horizontal="right" vertical="center"/>
      <protection hidden="1"/>
    </xf>
    <xf numFmtId="0" fontId="24" fillId="0" borderId="0" xfId="0" applyFont="1" applyAlignment="1" applyProtection="1">
      <alignment vertical="center"/>
      <protection hidden="1"/>
    </xf>
    <xf numFmtId="0" fontId="17" fillId="0" borderId="0" xfId="0" applyFont="1" applyBorder="1" applyAlignment="1" applyProtection="1">
      <alignment vertical="center"/>
      <protection hidden="1"/>
    </xf>
    <xf numFmtId="177" fontId="7" fillId="4" borderId="39" xfId="8" applyNumberFormat="1" applyFont="1" applyFill="1" applyBorder="1" applyAlignment="1" applyProtection="1">
      <alignment horizontal="right" vertical="center"/>
      <protection hidden="1"/>
    </xf>
    <xf numFmtId="177" fontId="7" fillId="4" borderId="32" xfId="8" applyNumberFormat="1" applyFont="1" applyFill="1" applyBorder="1" applyAlignment="1" applyProtection="1">
      <alignment horizontal="right" vertical="center"/>
      <protection hidden="1"/>
    </xf>
    <xf numFmtId="177" fontId="7" fillId="2" borderId="32" xfId="8" applyNumberFormat="1" applyFont="1" applyFill="1" applyBorder="1" applyAlignment="1" applyProtection="1">
      <alignment horizontal="right" vertical="center"/>
      <protection hidden="1"/>
    </xf>
    <xf numFmtId="0" fontId="17" fillId="0" borderId="0" xfId="0" applyFont="1" applyAlignment="1" applyProtection="1">
      <alignment vertical="center"/>
      <protection hidden="1"/>
    </xf>
    <xf numFmtId="0" fontId="17" fillId="0" borderId="0" xfId="0" applyFont="1" applyAlignment="1">
      <alignment vertical="center"/>
    </xf>
    <xf numFmtId="10" fontId="7" fillId="0" borderId="16" xfId="8" applyNumberFormat="1" applyFont="1" applyFill="1" applyBorder="1" applyAlignment="1" applyProtection="1">
      <alignment horizontal="left" vertical="center" indent="1"/>
      <protection hidden="1"/>
    </xf>
    <xf numFmtId="177" fontId="7" fillId="4" borderId="39" xfId="0" applyNumberFormat="1" applyFont="1" applyFill="1" applyBorder="1" applyAlignment="1" applyProtection="1">
      <alignment horizontal="right" vertical="center"/>
      <protection hidden="1"/>
    </xf>
    <xf numFmtId="177" fontId="7" fillId="4" borderId="32" xfId="0" applyNumberFormat="1" applyFont="1" applyFill="1" applyBorder="1" applyAlignment="1" applyProtection="1">
      <alignment horizontal="right" vertical="center"/>
      <protection hidden="1"/>
    </xf>
    <xf numFmtId="177" fontId="7" fillId="2" borderId="32" xfId="0" applyNumberFormat="1" applyFont="1" applyFill="1" applyBorder="1" applyAlignment="1" applyProtection="1">
      <alignment horizontal="right" vertical="center"/>
      <protection hidden="1"/>
    </xf>
    <xf numFmtId="0" fontId="17" fillId="0" borderId="0" xfId="0" applyFont="1" applyFill="1" applyAlignment="1" applyProtection="1">
      <alignment vertical="center"/>
      <protection hidden="1"/>
    </xf>
    <xf numFmtId="177" fontId="7" fillId="0" borderId="39" xfId="0" applyNumberFormat="1" applyFont="1" applyFill="1" applyBorder="1" applyAlignment="1" applyProtection="1">
      <alignment horizontal="right" vertical="center"/>
      <protection hidden="1"/>
    </xf>
    <xf numFmtId="177" fontId="7" fillId="0" borderId="32" xfId="0" applyNumberFormat="1" applyFont="1" applyFill="1" applyBorder="1" applyAlignment="1" applyProtection="1">
      <alignment horizontal="right" vertical="center"/>
      <protection hidden="1"/>
    </xf>
    <xf numFmtId="0" fontId="17" fillId="0" borderId="0" xfId="0" applyFont="1" applyFill="1" applyAlignment="1">
      <alignment vertical="center"/>
    </xf>
    <xf numFmtId="3" fontId="7" fillId="4" borderId="101" xfId="8" applyNumberFormat="1" applyFont="1" applyFill="1" applyBorder="1" applyAlignment="1" applyProtection="1">
      <alignment horizontal="right" vertical="center"/>
      <protection hidden="1"/>
    </xf>
    <xf numFmtId="3" fontId="7" fillId="0" borderId="32" xfId="8" applyNumberFormat="1" applyFont="1" applyFill="1" applyBorder="1" applyAlignment="1" applyProtection="1">
      <alignment horizontal="right" vertical="center"/>
      <protection hidden="1"/>
    </xf>
    <xf numFmtId="10" fontId="7" fillId="0" borderId="16" xfId="8" applyNumberFormat="1" applyFont="1" applyFill="1" applyBorder="1" applyAlignment="1" applyProtection="1">
      <alignment horizontal="right" vertical="center"/>
      <protection hidden="1"/>
    </xf>
    <xf numFmtId="183" fontId="7" fillId="0" borderId="39" xfId="0" applyNumberFormat="1" applyFont="1" applyFill="1" applyBorder="1" applyAlignment="1" applyProtection="1">
      <alignment horizontal="right" vertical="center"/>
      <protection hidden="1"/>
    </xf>
    <xf numFmtId="183" fontId="7" fillId="0" borderId="32" xfId="0" applyNumberFormat="1" applyFont="1" applyFill="1" applyBorder="1" applyAlignment="1" applyProtection="1">
      <alignment horizontal="right" vertical="center"/>
      <protection hidden="1"/>
    </xf>
    <xf numFmtId="0" fontId="7" fillId="0" borderId="16" xfId="0" applyFont="1" applyFill="1" applyBorder="1" applyAlignment="1" applyProtection="1">
      <alignment horizontal="left" vertical="center"/>
      <protection hidden="1"/>
    </xf>
    <xf numFmtId="10" fontId="7" fillId="0" borderId="39" xfId="8" applyNumberFormat="1" applyFont="1" applyFill="1" applyBorder="1" applyAlignment="1" applyProtection="1">
      <alignment horizontal="right" vertical="center"/>
      <protection hidden="1"/>
    </xf>
    <xf numFmtId="10" fontId="7" fillId="0" borderId="32" xfId="8" applyNumberFormat="1" applyFont="1" applyFill="1" applyBorder="1" applyAlignment="1" applyProtection="1">
      <alignment horizontal="right" vertical="center"/>
      <protection hidden="1"/>
    </xf>
    <xf numFmtId="10" fontId="7" fillId="2" borderId="32" xfId="8" applyNumberFormat="1" applyFont="1" applyFill="1" applyBorder="1" applyAlignment="1" applyProtection="1">
      <alignment horizontal="right" vertical="center"/>
      <protection hidden="1"/>
    </xf>
    <xf numFmtId="180" fontId="79" fillId="4" borderId="39" xfId="8" applyNumberFormat="1" applyFont="1" applyFill="1" applyBorder="1" applyAlignment="1" applyProtection="1">
      <alignment horizontal="right" vertical="center"/>
      <protection hidden="1"/>
    </xf>
    <xf numFmtId="180" fontId="79" fillId="4" borderId="32" xfId="8" applyNumberFormat="1" applyFont="1" applyFill="1" applyBorder="1" applyAlignment="1" applyProtection="1">
      <alignment horizontal="right" vertical="center"/>
      <protection hidden="1"/>
    </xf>
    <xf numFmtId="180" fontId="79" fillId="2" borderId="32" xfId="8" applyNumberFormat="1" applyFont="1" applyFill="1" applyBorder="1" applyAlignment="1" applyProtection="1">
      <alignment horizontal="right" vertical="center"/>
      <protection hidden="1"/>
    </xf>
    <xf numFmtId="180" fontId="79" fillId="0" borderId="32" xfId="8" applyNumberFormat="1" applyFont="1" applyFill="1" applyBorder="1" applyAlignment="1" applyProtection="1">
      <alignment horizontal="right" vertical="center"/>
      <protection hidden="1"/>
    </xf>
    <xf numFmtId="180" fontId="79" fillId="0" borderId="36" xfId="8" applyNumberFormat="1" applyFont="1" applyFill="1" applyBorder="1" applyAlignment="1" applyProtection="1">
      <alignment horizontal="right" vertical="center"/>
      <protection hidden="1"/>
    </xf>
    <xf numFmtId="10" fontId="7" fillId="0" borderId="16" xfId="8" applyNumberFormat="1" applyFont="1" applyFill="1" applyBorder="1" applyAlignment="1" applyProtection="1">
      <alignment horizontal="left" vertical="center"/>
      <protection hidden="1"/>
    </xf>
    <xf numFmtId="181" fontId="7" fillId="0" borderId="39" xfId="8" applyNumberFormat="1" applyFont="1" applyFill="1" applyBorder="1" applyAlignment="1" applyProtection="1">
      <alignment horizontal="right" vertical="center"/>
      <protection hidden="1"/>
    </xf>
    <xf numFmtId="181" fontId="7" fillId="0" borderId="32" xfId="8" applyNumberFormat="1" applyFont="1" applyFill="1" applyBorder="1" applyAlignment="1" applyProtection="1">
      <alignment horizontal="right" vertical="center"/>
      <protection hidden="1"/>
    </xf>
    <xf numFmtId="181" fontId="7" fillId="2" borderId="32" xfId="8" applyNumberFormat="1" applyFont="1" applyFill="1" applyBorder="1" applyAlignment="1" applyProtection="1">
      <alignment horizontal="right" vertical="center"/>
      <protection hidden="1"/>
    </xf>
    <xf numFmtId="181" fontId="7" fillId="0" borderId="39" xfId="0" applyNumberFormat="1" applyFont="1" applyFill="1" applyBorder="1" applyAlignment="1" applyProtection="1">
      <alignment horizontal="right" vertical="center"/>
      <protection hidden="1"/>
    </xf>
    <xf numFmtId="181" fontId="7" fillId="0" borderId="32" xfId="0" applyNumberFormat="1" applyFont="1" applyFill="1" applyBorder="1" applyAlignment="1" applyProtection="1">
      <alignment horizontal="right" vertical="center"/>
      <protection hidden="1"/>
    </xf>
    <xf numFmtId="181" fontId="7" fillId="2" borderId="32" xfId="0" applyNumberFormat="1" applyFont="1" applyFill="1" applyBorder="1" applyAlignment="1" applyProtection="1">
      <alignment horizontal="right" vertical="center"/>
      <protection hidden="1"/>
    </xf>
    <xf numFmtId="0" fontId="17" fillId="0" borderId="0" xfId="0" applyFont="1" applyFill="1" applyBorder="1" applyAlignment="1" applyProtection="1">
      <alignment vertical="center"/>
      <protection hidden="1"/>
    </xf>
    <xf numFmtId="10" fontId="7" fillId="0" borderId="17" xfId="8" applyNumberFormat="1" applyFont="1" applyFill="1" applyBorder="1" applyAlignment="1" applyProtection="1">
      <alignment horizontal="left" vertical="center"/>
      <protection hidden="1"/>
    </xf>
    <xf numFmtId="177" fontId="7" fillId="0" borderId="44" xfId="8" applyNumberFormat="1" applyFont="1" applyFill="1" applyBorder="1" applyAlignment="1" applyProtection="1">
      <alignment horizontal="right" vertical="center"/>
      <protection hidden="1"/>
    </xf>
    <xf numFmtId="177" fontId="7" fillId="0" borderId="89" xfId="8" applyNumberFormat="1" applyFont="1" applyFill="1" applyBorder="1" applyAlignment="1" applyProtection="1">
      <alignment horizontal="right" vertical="center"/>
      <protection hidden="1"/>
    </xf>
    <xf numFmtId="186" fontId="7" fillId="0" borderId="0" xfId="0" applyNumberFormat="1" applyFont="1" applyFill="1" applyBorder="1" applyAlignment="1" applyProtection="1">
      <alignment horizontal="left" vertical="center"/>
      <protection hidden="1"/>
    </xf>
    <xf numFmtId="184" fontId="7" fillId="0" borderId="0" xfId="0" applyNumberFormat="1" applyFont="1" applyFill="1" applyBorder="1" applyAlignment="1" applyProtection="1">
      <alignment vertical="center"/>
      <protection hidden="1"/>
    </xf>
    <xf numFmtId="0" fontId="24" fillId="0" borderId="0" xfId="0" applyFont="1" applyFill="1" applyBorder="1" applyAlignment="1">
      <alignment vertical="center"/>
    </xf>
    <xf numFmtId="0" fontId="80" fillId="7" borderId="27" xfId="0" applyFont="1" applyFill="1" applyBorder="1" applyAlignment="1" applyProtection="1">
      <alignment vertical="center"/>
      <protection locked="0"/>
    </xf>
    <xf numFmtId="0" fontId="76" fillId="7" borderId="28" xfId="4" applyFont="1" applyFill="1" applyBorder="1" applyAlignment="1" applyProtection="1">
      <alignment horizontal="right" vertical="center"/>
      <protection locked="0"/>
    </xf>
    <xf numFmtId="187" fontId="7" fillId="7" borderId="28" xfId="0" applyNumberFormat="1" applyFont="1" applyFill="1" applyBorder="1" applyAlignment="1" applyProtection="1">
      <alignment horizontal="right" vertical="center"/>
      <protection locked="0"/>
    </xf>
    <xf numFmtId="0" fontId="7" fillId="7" borderId="28" xfId="0" applyFont="1" applyFill="1" applyBorder="1" applyAlignment="1" applyProtection="1">
      <alignment vertical="center"/>
      <protection locked="0"/>
    </xf>
    <xf numFmtId="0" fontId="7" fillId="7" borderId="29" xfId="0" applyFont="1" applyFill="1" applyBorder="1" applyAlignment="1" applyProtection="1">
      <alignment vertical="center"/>
      <protection locked="0"/>
    </xf>
    <xf numFmtId="186" fontId="7" fillId="0" borderId="16" xfId="0" applyNumberFormat="1" applyFont="1" applyFill="1" applyBorder="1" applyAlignment="1" applyProtection="1">
      <alignment horizontal="left" vertical="center"/>
      <protection hidden="1"/>
    </xf>
    <xf numFmtId="184" fontId="7" fillId="0" borderId="48" xfId="0" applyNumberFormat="1" applyFont="1" applyFill="1" applyBorder="1" applyAlignment="1" applyProtection="1">
      <alignment horizontal="right" vertical="center"/>
      <protection hidden="1"/>
    </xf>
    <xf numFmtId="184" fontId="7" fillId="0" borderId="37" xfId="0" applyNumberFormat="1" applyFont="1" applyFill="1" applyBorder="1" applyAlignment="1" applyProtection="1">
      <alignment horizontal="right" vertical="center"/>
      <protection hidden="1"/>
    </xf>
    <xf numFmtId="184" fontId="7" fillId="0" borderId="88" xfId="0" applyNumberFormat="1" applyFont="1" applyFill="1" applyBorder="1" applyAlignment="1" applyProtection="1">
      <alignment horizontal="right" vertical="center"/>
      <protection hidden="1"/>
    </xf>
    <xf numFmtId="184" fontId="7" fillId="0" borderId="39" xfId="0" applyNumberFormat="1" applyFont="1" applyFill="1" applyBorder="1" applyAlignment="1" applyProtection="1">
      <alignment horizontal="right" vertical="center"/>
      <protection hidden="1"/>
    </xf>
    <xf numFmtId="184" fontId="7" fillId="0" borderId="32" xfId="0" applyNumberFormat="1" applyFont="1" applyFill="1" applyBorder="1" applyAlignment="1" applyProtection="1">
      <alignment horizontal="right" vertical="center"/>
      <protection hidden="1"/>
    </xf>
    <xf numFmtId="184" fontId="7" fillId="0" borderId="36" xfId="0" applyNumberFormat="1" applyFont="1" applyFill="1" applyBorder="1" applyAlignment="1" applyProtection="1">
      <alignment horizontal="right" vertical="center"/>
      <protection hidden="1"/>
    </xf>
    <xf numFmtId="38" fontId="7" fillId="4" borderId="39" xfId="0" applyNumberFormat="1" applyFont="1" applyFill="1" applyBorder="1" applyAlignment="1" applyProtection="1">
      <alignment vertical="center"/>
      <protection hidden="1"/>
    </xf>
    <xf numFmtId="38" fontId="7" fillId="4" borderId="32" xfId="0" applyNumberFormat="1" applyFont="1" applyFill="1" applyBorder="1" applyAlignment="1" applyProtection="1">
      <alignment vertical="center"/>
      <protection hidden="1"/>
    </xf>
    <xf numFmtId="38" fontId="7" fillId="0" borderId="32" xfId="0" applyNumberFormat="1" applyFont="1" applyFill="1" applyBorder="1" applyAlignment="1" applyProtection="1">
      <alignment vertical="center"/>
      <protection hidden="1"/>
    </xf>
    <xf numFmtId="38" fontId="7" fillId="0" borderId="36" xfId="0" applyNumberFormat="1" applyFont="1" applyFill="1" applyBorder="1" applyAlignment="1" applyProtection="1">
      <alignment vertical="center"/>
      <protection hidden="1"/>
    </xf>
    <xf numFmtId="186" fontId="7" fillId="0" borderId="16" xfId="0" applyNumberFormat="1" applyFont="1" applyFill="1" applyBorder="1" applyAlignment="1" applyProtection="1">
      <alignment horizontal="left" vertical="center" indent="1"/>
      <protection hidden="1"/>
    </xf>
    <xf numFmtId="38" fontId="7" fillId="4" borderId="39" xfId="4" applyNumberFormat="1" applyFont="1" applyFill="1" applyBorder="1" applyAlignment="1" applyProtection="1">
      <alignment horizontal="right" vertical="center"/>
      <protection hidden="1"/>
    </xf>
    <xf numFmtId="38" fontId="7" fillId="4" borderId="32" xfId="4" applyNumberFormat="1" applyFont="1" applyFill="1" applyBorder="1" applyAlignment="1" applyProtection="1">
      <alignment horizontal="right" vertical="center"/>
      <protection hidden="1"/>
    </xf>
    <xf numFmtId="38" fontId="7" fillId="0" borderId="32" xfId="4" applyNumberFormat="1" applyFont="1" applyFill="1" applyBorder="1" applyAlignment="1" applyProtection="1">
      <alignment horizontal="right" vertical="center"/>
      <protection hidden="1"/>
    </xf>
    <xf numFmtId="38" fontId="7" fillId="0" borderId="36" xfId="4" applyNumberFormat="1" applyFont="1" applyFill="1" applyBorder="1" applyAlignment="1" applyProtection="1">
      <alignment horizontal="right" vertical="center"/>
      <protection hidden="1"/>
    </xf>
    <xf numFmtId="180" fontId="79" fillId="4" borderId="32" xfId="0" applyNumberFormat="1" applyFont="1" applyFill="1" applyBorder="1" applyAlignment="1" applyProtection="1">
      <alignment horizontal="right" vertical="center"/>
      <protection hidden="1"/>
    </xf>
    <xf numFmtId="180" fontId="79" fillId="0" borderId="32" xfId="0" applyNumberFormat="1" applyFont="1" applyFill="1" applyBorder="1" applyAlignment="1" applyProtection="1">
      <alignment horizontal="right" vertical="center"/>
      <protection hidden="1"/>
    </xf>
    <xf numFmtId="180" fontId="79" fillId="0" borderId="36" xfId="0" applyNumberFormat="1" applyFont="1" applyFill="1" applyBorder="1" applyAlignment="1" applyProtection="1">
      <alignment horizontal="right" vertical="center"/>
      <protection hidden="1"/>
    </xf>
    <xf numFmtId="180" fontId="79" fillId="4" borderId="39" xfId="4" applyNumberFormat="1" applyFont="1" applyFill="1" applyBorder="1" applyAlignment="1" applyProtection="1">
      <alignment horizontal="right" vertical="center"/>
      <protection hidden="1"/>
    </xf>
    <xf numFmtId="180" fontId="79" fillId="4" borderId="32" xfId="4" applyNumberFormat="1" applyFont="1" applyFill="1" applyBorder="1" applyAlignment="1" applyProtection="1">
      <alignment horizontal="right" vertical="center"/>
      <protection hidden="1"/>
    </xf>
    <xf numFmtId="180" fontId="79" fillId="0" borderId="32" xfId="4" applyNumberFormat="1" applyFont="1" applyFill="1" applyBorder="1" applyAlignment="1" applyProtection="1">
      <alignment horizontal="right" vertical="center"/>
      <protection hidden="1"/>
    </xf>
    <xf numFmtId="180" fontId="79" fillId="0" borderId="36" xfId="4" applyNumberFormat="1" applyFont="1" applyFill="1" applyBorder="1" applyAlignment="1" applyProtection="1">
      <alignment horizontal="right" vertical="center"/>
      <protection hidden="1"/>
    </xf>
    <xf numFmtId="181" fontId="7" fillId="4" borderId="39" xfId="4" applyNumberFormat="1" applyFont="1" applyFill="1" applyBorder="1" applyAlignment="1" applyProtection="1">
      <alignment horizontal="right" vertical="center"/>
      <protection hidden="1"/>
    </xf>
    <xf numFmtId="181" fontId="7" fillId="4" borderId="32" xfId="4" applyNumberFormat="1" applyFont="1" applyFill="1" applyBorder="1" applyAlignment="1" applyProtection="1">
      <alignment horizontal="right" vertical="center"/>
      <protection hidden="1"/>
    </xf>
    <xf numFmtId="177" fontId="7" fillId="4" borderId="32" xfId="4" applyNumberFormat="1" applyFont="1" applyFill="1" applyBorder="1" applyAlignment="1" applyProtection="1">
      <alignment horizontal="right" vertical="center"/>
      <protection hidden="1"/>
    </xf>
    <xf numFmtId="177" fontId="7" fillId="0" borderId="32" xfId="4" applyNumberFormat="1" applyFont="1" applyFill="1" applyBorder="1" applyAlignment="1" applyProtection="1">
      <alignment horizontal="right" vertical="center"/>
      <protection hidden="1"/>
    </xf>
    <xf numFmtId="177" fontId="7" fillId="0" borderId="36" xfId="4" applyNumberFormat="1" applyFont="1" applyFill="1" applyBorder="1" applyAlignment="1" applyProtection="1">
      <alignment horizontal="right" vertical="center"/>
      <protection hidden="1"/>
    </xf>
    <xf numFmtId="186" fontId="7" fillId="0" borderId="17" xfId="0" applyNumberFormat="1" applyFont="1" applyFill="1" applyBorder="1" applyAlignment="1" applyProtection="1">
      <alignment horizontal="left" vertical="center"/>
      <protection hidden="1"/>
    </xf>
    <xf numFmtId="38" fontId="7" fillId="4" borderId="44" xfId="4" applyNumberFormat="1" applyFont="1" applyFill="1" applyBorder="1" applyAlignment="1" applyProtection="1">
      <alignment horizontal="right" vertical="center"/>
      <protection hidden="1"/>
    </xf>
    <xf numFmtId="38" fontId="7" fillId="4" borderId="89" xfId="4" applyNumberFormat="1" applyFont="1" applyFill="1" applyBorder="1" applyAlignment="1" applyProtection="1">
      <alignment horizontal="right" vertical="center"/>
      <protection hidden="1"/>
    </xf>
    <xf numFmtId="38" fontId="7" fillId="0" borderId="89" xfId="4" applyNumberFormat="1" applyFont="1" applyFill="1" applyBorder="1" applyAlignment="1" applyProtection="1">
      <alignment horizontal="right" vertical="center"/>
      <protection hidden="1"/>
    </xf>
    <xf numFmtId="38" fontId="7" fillId="0" borderId="90" xfId="4" applyNumberFormat="1" applyFont="1" applyFill="1" applyBorder="1" applyAlignment="1" applyProtection="1">
      <alignment horizontal="right" vertical="center"/>
      <protection hidden="1"/>
    </xf>
    <xf numFmtId="184" fontId="7" fillId="0" borderId="0" xfId="4" applyNumberFormat="1" applyFont="1" applyFill="1" applyBorder="1" applyAlignment="1" applyProtection="1">
      <alignment horizontal="right" vertical="center"/>
      <protection hidden="1"/>
    </xf>
    <xf numFmtId="0" fontId="7" fillId="0" borderId="0" xfId="4" applyFont="1" applyFill="1" applyBorder="1" applyAlignment="1" applyProtection="1">
      <alignment horizontal="right" vertical="center"/>
      <protection hidden="1"/>
    </xf>
    <xf numFmtId="0" fontId="69" fillId="0" borderId="0" xfId="0" applyFont="1" applyBorder="1" applyAlignment="1" applyProtection="1">
      <alignment vertical="center"/>
      <protection hidden="1"/>
    </xf>
    <xf numFmtId="0" fontId="62" fillId="0" borderId="102" xfId="0" applyFont="1" applyFill="1" applyBorder="1" applyAlignment="1" applyProtection="1">
      <alignment vertical="center"/>
      <protection hidden="1"/>
    </xf>
    <xf numFmtId="0" fontId="7" fillId="0" borderId="103" xfId="0" applyFont="1" applyFill="1" applyBorder="1" applyAlignment="1" applyProtection="1">
      <alignment horizontal="right" vertical="center"/>
      <protection hidden="1"/>
    </xf>
    <xf numFmtId="0" fontId="7" fillId="0" borderId="104" xfId="0" applyFont="1" applyFill="1" applyBorder="1" applyAlignment="1" applyProtection="1">
      <alignment horizontal="right" vertical="center"/>
      <protection hidden="1"/>
    </xf>
    <xf numFmtId="0" fontId="7" fillId="0" borderId="105" xfId="0" applyFont="1" applyFill="1" applyBorder="1" applyAlignment="1" applyProtection="1">
      <alignment horizontal="right" vertical="center"/>
      <protection hidden="1"/>
    </xf>
    <xf numFmtId="0" fontId="7" fillId="0" borderId="16" xfId="0" applyFont="1" applyFill="1" applyBorder="1" applyAlignment="1" applyProtection="1">
      <alignment vertical="center"/>
      <protection hidden="1"/>
    </xf>
    <xf numFmtId="0" fontId="7" fillId="0" borderId="39" xfId="0" applyFont="1" applyFill="1" applyBorder="1" applyAlignment="1" applyProtection="1">
      <alignment vertical="center"/>
      <protection hidden="1"/>
    </xf>
    <xf numFmtId="0" fontId="7" fillId="0" borderId="32" xfId="0" applyFont="1" applyFill="1" applyBorder="1" applyAlignment="1" applyProtection="1">
      <alignment vertical="center"/>
      <protection hidden="1"/>
    </xf>
    <xf numFmtId="0" fontId="7" fillId="0" borderId="36" xfId="0" applyFont="1" applyFill="1" applyBorder="1" applyAlignment="1" applyProtection="1">
      <alignment vertical="center"/>
      <protection hidden="1"/>
    </xf>
    <xf numFmtId="180" fontId="79" fillId="4" borderId="39" xfId="0" applyNumberFormat="1" applyFont="1" applyFill="1" applyBorder="1" applyAlignment="1" applyProtection="1">
      <alignment horizontal="right" vertical="center"/>
      <protection hidden="1"/>
    </xf>
    <xf numFmtId="180" fontId="7" fillId="0" borderId="39" xfId="0" applyNumberFormat="1" applyFont="1" applyFill="1" applyBorder="1" applyAlignment="1" applyProtection="1">
      <alignment horizontal="right" vertical="center"/>
      <protection hidden="1"/>
    </xf>
    <xf numFmtId="180" fontId="7" fillId="0" borderId="32" xfId="0" applyNumberFormat="1" applyFont="1" applyFill="1" applyBorder="1" applyAlignment="1" applyProtection="1">
      <alignment horizontal="right" vertical="center"/>
      <protection hidden="1"/>
    </xf>
    <xf numFmtId="180" fontId="7" fillId="0" borderId="36" xfId="0" applyNumberFormat="1" applyFont="1" applyFill="1" applyBorder="1" applyAlignment="1" applyProtection="1">
      <alignment horizontal="right" vertical="center"/>
      <protection hidden="1"/>
    </xf>
    <xf numFmtId="180" fontId="79" fillId="4" borderId="39" xfId="0" applyNumberFormat="1" applyFont="1" applyFill="1" applyBorder="1" applyAlignment="1" applyProtection="1">
      <alignment vertical="center"/>
      <protection hidden="1"/>
    </xf>
    <xf numFmtId="180" fontId="79" fillId="4" borderId="32" xfId="0" applyNumberFormat="1" applyFont="1" applyFill="1" applyBorder="1" applyAlignment="1" applyProtection="1">
      <alignment vertical="center"/>
      <protection hidden="1"/>
    </xf>
    <xf numFmtId="180" fontId="79" fillId="0" borderId="32" xfId="0" applyNumberFormat="1" applyFont="1" applyFill="1" applyBorder="1" applyAlignment="1" applyProtection="1">
      <alignment vertical="center"/>
      <protection hidden="1"/>
    </xf>
    <xf numFmtId="180" fontId="79" fillId="0" borderId="36" xfId="0" applyNumberFormat="1" applyFont="1" applyFill="1" applyBorder="1" applyAlignment="1" applyProtection="1">
      <alignment vertical="center"/>
      <protection hidden="1"/>
    </xf>
    <xf numFmtId="0" fontId="7" fillId="0" borderId="17" xfId="0" applyFont="1" applyFill="1" applyBorder="1" applyAlignment="1" applyProtection="1">
      <alignment horizontal="left" vertical="center" indent="1"/>
      <protection hidden="1"/>
    </xf>
    <xf numFmtId="180" fontId="79" fillId="4" borderId="44" xfId="0" applyNumberFormat="1" applyFont="1" applyFill="1" applyBorder="1" applyAlignment="1" applyProtection="1">
      <alignment vertical="center"/>
      <protection hidden="1"/>
    </xf>
    <xf numFmtId="180" fontId="79" fillId="4" borderId="89" xfId="0" applyNumberFormat="1" applyFont="1" applyFill="1" applyBorder="1" applyAlignment="1" applyProtection="1">
      <alignment vertical="center"/>
      <protection hidden="1"/>
    </xf>
    <xf numFmtId="180" fontId="79" fillId="0" borderId="89" xfId="0" applyNumberFormat="1" applyFont="1" applyFill="1" applyBorder="1" applyAlignment="1" applyProtection="1">
      <alignment vertical="center"/>
      <protection hidden="1"/>
    </xf>
    <xf numFmtId="180" fontId="79" fillId="0" borderId="90" xfId="0" applyNumberFormat="1" applyFont="1" applyFill="1" applyBorder="1" applyAlignment="1" applyProtection="1">
      <alignment vertical="center"/>
      <protection hidden="1"/>
    </xf>
    <xf numFmtId="10" fontId="7" fillId="0" borderId="0" xfId="0" applyNumberFormat="1" applyFont="1" applyFill="1" applyBorder="1" applyAlignment="1" applyProtection="1">
      <alignment vertical="center"/>
      <protection hidden="1"/>
    </xf>
    <xf numFmtId="10" fontId="7" fillId="0" borderId="0" xfId="0" applyNumberFormat="1" applyFont="1" applyFill="1" applyBorder="1" applyAlignment="1" applyProtection="1">
      <alignment horizontal="right" vertical="center"/>
      <protection hidden="1"/>
    </xf>
    <xf numFmtId="185" fontId="7" fillId="4" borderId="39" xfId="0" applyNumberFormat="1" applyFont="1" applyFill="1" applyBorder="1" applyAlignment="1" applyProtection="1">
      <alignment vertical="center"/>
      <protection hidden="1"/>
    </xf>
    <xf numFmtId="185" fontId="7" fillId="4" borderId="32" xfId="0" applyNumberFormat="1" applyFont="1" applyFill="1" applyBorder="1" applyAlignment="1" applyProtection="1">
      <alignment vertical="center"/>
      <protection hidden="1"/>
    </xf>
    <xf numFmtId="185" fontId="7" fillId="2" borderId="32" xfId="0" applyNumberFormat="1" applyFont="1" applyFill="1" applyBorder="1" applyAlignment="1" applyProtection="1">
      <alignment vertical="center"/>
      <protection hidden="1"/>
    </xf>
    <xf numFmtId="185" fontId="7" fillId="2" borderId="36" xfId="0" applyNumberFormat="1" applyFont="1" applyFill="1" applyBorder="1" applyAlignment="1" applyProtection="1">
      <alignment vertical="center"/>
      <protection hidden="1"/>
    </xf>
    <xf numFmtId="38" fontId="7" fillId="2" borderId="32" xfId="0" applyNumberFormat="1" applyFont="1" applyFill="1" applyBorder="1" applyAlignment="1" applyProtection="1">
      <alignment vertical="center"/>
      <protection hidden="1"/>
    </xf>
    <xf numFmtId="38" fontId="7" fillId="2" borderId="36" xfId="0" applyNumberFormat="1" applyFont="1" applyFill="1" applyBorder="1" applyAlignment="1" applyProtection="1">
      <alignment vertical="center"/>
      <protection hidden="1"/>
    </xf>
    <xf numFmtId="0" fontId="7" fillId="0" borderId="32" xfId="0" applyFont="1" applyBorder="1" applyAlignment="1" applyProtection="1">
      <alignment vertical="center"/>
      <protection hidden="1"/>
    </xf>
    <xf numFmtId="0" fontId="7" fillId="0" borderId="36" xfId="0" applyFont="1" applyBorder="1" applyAlignment="1" applyProtection="1">
      <alignment vertical="center"/>
      <protection hidden="1"/>
    </xf>
    <xf numFmtId="182" fontId="79" fillId="4" borderId="39" xfId="0" applyNumberFormat="1" applyFont="1" applyFill="1" applyBorder="1" applyAlignment="1" applyProtection="1">
      <alignment vertical="center"/>
      <protection hidden="1"/>
    </xf>
    <xf numFmtId="182" fontId="79" fillId="4" borderId="32" xfId="0" applyNumberFormat="1" applyFont="1" applyFill="1" applyBorder="1" applyAlignment="1" applyProtection="1">
      <alignment vertical="center"/>
      <protection hidden="1"/>
    </xf>
    <xf numFmtId="0" fontId="7" fillId="0" borderId="16" xfId="0" applyFont="1" applyBorder="1" applyAlignment="1" applyProtection="1">
      <alignment horizontal="left" vertical="center" indent="1"/>
      <protection hidden="1"/>
    </xf>
    <xf numFmtId="182" fontId="79" fillId="0" borderId="32" xfId="0" applyNumberFormat="1" applyFont="1" applyFill="1" applyBorder="1" applyAlignment="1" applyProtection="1">
      <alignment vertical="center"/>
      <protection hidden="1"/>
    </xf>
    <xf numFmtId="182" fontId="79" fillId="0" borderId="36" xfId="0" applyNumberFormat="1" applyFont="1" applyFill="1" applyBorder="1" applyAlignment="1" applyProtection="1">
      <alignment vertical="center"/>
      <protection hidden="1"/>
    </xf>
    <xf numFmtId="177" fontId="79" fillId="4" borderId="39" xfId="0" applyNumberFormat="1" applyFont="1" applyFill="1" applyBorder="1" applyAlignment="1" applyProtection="1">
      <alignment vertical="center"/>
      <protection hidden="1"/>
    </xf>
    <xf numFmtId="177" fontId="79" fillId="4" borderId="32" xfId="0" applyNumberFormat="1" applyFont="1" applyFill="1" applyBorder="1" applyAlignment="1" applyProtection="1">
      <alignment vertical="center"/>
      <protection hidden="1"/>
    </xf>
    <xf numFmtId="177" fontId="79" fillId="2" borderId="32" xfId="0" applyNumberFormat="1" applyFont="1" applyFill="1" applyBorder="1" applyAlignment="1" applyProtection="1">
      <alignment vertical="center"/>
      <protection hidden="1"/>
    </xf>
    <xf numFmtId="177" fontId="79" fillId="2" borderId="36" xfId="0" applyNumberFormat="1" applyFont="1" applyFill="1" applyBorder="1" applyAlignment="1" applyProtection="1">
      <alignment vertical="center"/>
      <protection hidden="1"/>
    </xf>
    <xf numFmtId="177" fontId="7" fillId="0" borderId="39" xfId="0" applyNumberFormat="1" applyFont="1" applyFill="1" applyBorder="1" applyAlignment="1" applyProtection="1">
      <alignment vertical="center"/>
      <protection hidden="1"/>
    </xf>
    <xf numFmtId="177" fontId="7" fillId="0" borderId="32" xfId="0" applyNumberFormat="1" applyFont="1" applyFill="1" applyBorder="1" applyAlignment="1" applyProtection="1">
      <alignment vertical="center"/>
      <protection hidden="1"/>
    </xf>
    <xf numFmtId="177" fontId="7" fillId="0" borderId="36" xfId="0" applyNumberFormat="1" applyFont="1" applyFill="1" applyBorder="1" applyAlignment="1" applyProtection="1">
      <alignment vertical="center"/>
      <protection hidden="1"/>
    </xf>
    <xf numFmtId="0" fontId="7" fillId="0" borderId="17" xfId="0" applyFont="1" applyFill="1" applyBorder="1" applyAlignment="1" applyProtection="1">
      <alignment horizontal="left" vertical="center"/>
      <protection hidden="1"/>
    </xf>
    <xf numFmtId="177" fontId="7" fillId="4" borderId="44" xfId="0" applyNumberFormat="1" applyFont="1" applyFill="1" applyBorder="1" applyAlignment="1" applyProtection="1">
      <alignment horizontal="right" vertical="center"/>
      <protection hidden="1"/>
    </xf>
    <xf numFmtId="177" fontId="7" fillId="4" borderId="89" xfId="0" applyNumberFormat="1" applyFont="1" applyFill="1" applyBorder="1" applyAlignment="1" applyProtection="1">
      <alignment horizontal="right" vertical="center"/>
      <protection hidden="1"/>
    </xf>
    <xf numFmtId="177" fontId="7" fillId="0" borderId="89" xfId="0" applyNumberFormat="1" applyFont="1" applyFill="1" applyBorder="1" applyAlignment="1" applyProtection="1">
      <alignment horizontal="right" vertical="center"/>
      <protection hidden="1"/>
    </xf>
    <xf numFmtId="177" fontId="7" fillId="0" borderId="90" xfId="0" applyNumberFormat="1" applyFont="1" applyFill="1" applyBorder="1" applyAlignment="1" applyProtection="1">
      <alignment horizontal="right" vertical="center"/>
      <protection hidden="1"/>
    </xf>
    <xf numFmtId="0" fontId="80" fillId="7" borderId="28" xfId="0" applyFont="1" applyFill="1" applyBorder="1" applyAlignment="1" applyProtection="1">
      <alignment vertical="center"/>
      <protection locked="0"/>
    </xf>
    <xf numFmtId="0" fontId="80" fillId="7" borderId="29" xfId="0" applyFont="1" applyFill="1" applyBorder="1" applyAlignment="1" applyProtection="1">
      <alignment vertical="center"/>
      <protection locked="0"/>
    </xf>
    <xf numFmtId="0" fontId="7" fillId="0" borderId="4" xfId="0" applyFont="1" applyBorder="1" applyAlignment="1" applyProtection="1">
      <alignment vertical="center"/>
      <protection hidden="1"/>
    </xf>
    <xf numFmtId="0" fontId="69" fillId="0" borderId="0" xfId="0" applyFont="1" applyBorder="1" applyAlignment="1" applyProtection="1">
      <alignment horizontal="right" vertical="center"/>
      <protection hidden="1"/>
    </xf>
    <xf numFmtId="0" fontId="7" fillId="0" borderId="102" xfId="0" applyFont="1" applyFill="1" applyBorder="1" applyAlignment="1" applyProtection="1">
      <alignment vertical="center"/>
      <protection hidden="1"/>
    </xf>
    <xf numFmtId="38" fontId="7" fillId="0" borderId="39" xfId="0" applyNumberFormat="1" applyFont="1" applyFill="1" applyBorder="1" applyAlignment="1" applyProtection="1">
      <alignment vertical="center"/>
      <protection hidden="1"/>
    </xf>
    <xf numFmtId="0" fontId="7" fillId="0" borderId="16" xfId="0" applyFont="1" applyBorder="1" applyAlignment="1" applyProtection="1">
      <alignment vertical="center"/>
      <protection hidden="1"/>
    </xf>
    <xf numFmtId="38" fontId="7" fillId="4" borderId="39" xfId="0" applyNumberFormat="1" applyFont="1" applyFill="1" applyBorder="1" applyAlignment="1" applyProtection="1">
      <alignment horizontal="right" vertical="center"/>
      <protection hidden="1"/>
    </xf>
    <xf numFmtId="38" fontId="7" fillId="4" borderId="32" xfId="0" applyNumberFormat="1" applyFont="1" applyFill="1" applyBorder="1" applyAlignment="1" applyProtection="1">
      <alignment horizontal="right" vertical="center"/>
      <protection hidden="1"/>
    </xf>
    <xf numFmtId="38" fontId="7" fillId="0" borderId="32" xfId="0" applyNumberFormat="1" applyFont="1" applyFill="1" applyBorder="1" applyAlignment="1" applyProtection="1">
      <alignment horizontal="right" vertical="center"/>
      <protection hidden="1"/>
    </xf>
    <xf numFmtId="38" fontId="7" fillId="0" borderId="36" xfId="0" applyNumberFormat="1" applyFont="1" applyFill="1" applyBorder="1" applyAlignment="1" applyProtection="1">
      <alignment horizontal="right" vertical="center"/>
      <protection hidden="1"/>
    </xf>
    <xf numFmtId="38" fontId="7" fillId="4" borderId="101" xfId="0" applyNumberFormat="1" applyFont="1" applyFill="1" applyBorder="1" applyAlignment="1" applyProtection="1">
      <alignment horizontal="right" vertical="center"/>
      <protection hidden="1"/>
    </xf>
    <xf numFmtId="38" fontId="7" fillId="0" borderId="101" xfId="0" applyNumberFormat="1" applyFont="1" applyFill="1" applyBorder="1" applyAlignment="1" applyProtection="1">
      <alignment horizontal="right" vertical="center"/>
      <protection hidden="1"/>
    </xf>
    <xf numFmtId="38" fontId="7" fillId="2" borderId="32" xfId="0" applyNumberFormat="1" applyFont="1" applyFill="1" applyBorder="1" applyAlignment="1" applyProtection="1">
      <alignment horizontal="right" vertical="center"/>
      <protection hidden="1"/>
    </xf>
    <xf numFmtId="38" fontId="7" fillId="4" borderId="40" xfId="0" applyNumberFormat="1" applyFont="1" applyFill="1" applyBorder="1" applyAlignment="1" applyProtection="1">
      <alignment horizontal="right" vertical="center"/>
      <protection hidden="1"/>
    </xf>
    <xf numFmtId="0" fontId="7" fillId="0" borderId="16" xfId="0" applyFont="1" applyBorder="1" applyAlignment="1" applyProtection="1">
      <alignment horizontal="left" vertical="center" indent="2"/>
      <protection hidden="1"/>
    </xf>
    <xf numFmtId="38" fontId="7" fillId="0" borderId="39" xfId="0" applyNumberFormat="1" applyFont="1" applyFill="1" applyBorder="1" applyAlignment="1" applyProtection="1">
      <alignment horizontal="right" vertical="center"/>
      <protection hidden="1"/>
    </xf>
    <xf numFmtId="0" fontId="7" fillId="0" borderId="17" xfId="0" applyFont="1" applyFill="1" applyBorder="1" applyAlignment="1" applyProtection="1">
      <alignment vertical="center"/>
      <protection hidden="1"/>
    </xf>
    <xf numFmtId="38" fontId="7" fillId="4" borderId="44" xfId="0" applyNumberFormat="1" applyFont="1" applyFill="1" applyBorder="1" applyAlignment="1" applyProtection="1">
      <alignment horizontal="right" vertical="center"/>
      <protection hidden="1"/>
    </xf>
    <xf numFmtId="38" fontId="7" fillId="4" borderId="89" xfId="0" applyNumberFormat="1" applyFont="1" applyFill="1" applyBorder="1" applyAlignment="1" applyProtection="1">
      <alignment horizontal="right" vertical="center"/>
      <protection hidden="1"/>
    </xf>
    <xf numFmtId="38" fontId="7" fillId="0" borderId="89" xfId="0" applyNumberFormat="1" applyFont="1" applyFill="1" applyBorder="1" applyAlignment="1" applyProtection="1">
      <alignment horizontal="right" vertical="center"/>
      <protection hidden="1"/>
    </xf>
    <xf numFmtId="38" fontId="7" fillId="0" borderId="90" xfId="0" applyNumberFormat="1" applyFont="1" applyFill="1" applyBorder="1" applyAlignment="1" applyProtection="1">
      <alignment horizontal="right" vertical="center"/>
      <protection hidden="1"/>
    </xf>
    <xf numFmtId="38" fontId="7" fillId="0" borderId="0" xfId="0" applyNumberFormat="1" applyFont="1" applyFill="1" applyBorder="1" applyAlignment="1" applyProtection="1">
      <alignment vertical="center"/>
      <protection hidden="1"/>
    </xf>
    <xf numFmtId="38" fontId="7" fillId="0" borderId="0" xfId="0" applyNumberFormat="1" applyFont="1" applyBorder="1" applyAlignment="1" applyProtection="1">
      <alignment vertical="center"/>
      <protection hidden="1"/>
    </xf>
    <xf numFmtId="49" fontId="7" fillId="0" borderId="103" xfId="0" applyNumberFormat="1" applyFont="1" applyFill="1" applyBorder="1" applyAlignment="1" applyProtection="1">
      <alignment horizontal="right" vertical="center"/>
      <protection hidden="1"/>
    </xf>
    <xf numFmtId="49" fontId="7" fillId="0" borderId="104" xfId="0" applyNumberFormat="1" applyFont="1" applyFill="1" applyBorder="1" applyAlignment="1" applyProtection="1">
      <alignment horizontal="right" vertical="center"/>
      <protection hidden="1"/>
    </xf>
    <xf numFmtId="49" fontId="7" fillId="0" borderId="105" xfId="0" applyNumberFormat="1" applyFont="1" applyFill="1" applyBorder="1" applyAlignment="1" applyProtection="1">
      <alignment horizontal="right" vertical="center"/>
      <protection hidden="1"/>
    </xf>
    <xf numFmtId="38" fontId="7" fillId="0" borderId="32" xfId="0" applyNumberFormat="1" applyFont="1" applyBorder="1" applyAlignment="1" applyProtection="1">
      <alignment horizontal="right" vertical="center"/>
      <protection hidden="1"/>
    </xf>
    <xf numFmtId="185" fontId="7" fillId="0" borderId="16" xfId="10" applyNumberFormat="1" applyFont="1" applyBorder="1" applyAlignment="1" applyProtection="1">
      <alignment horizontal="left" vertical="center" indent="1"/>
      <protection hidden="1"/>
    </xf>
    <xf numFmtId="38" fontId="7" fillId="4" borderId="68" xfId="0" applyNumberFormat="1" applyFont="1" applyFill="1" applyBorder="1" applyAlignment="1" applyProtection="1">
      <alignment horizontal="right" vertical="center"/>
      <protection hidden="1"/>
    </xf>
    <xf numFmtId="38" fontId="7" fillId="0" borderId="68" xfId="0" applyNumberFormat="1" applyFont="1" applyFill="1" applyBorder="1" applyAlignment="1" applyProtection="1">
      <alignment horizontal="right" vertical="center"/>
      <protection hidden="1"/>
    </xf>
    <xf numFmtId="185" fontId="7" fillId="0" borderId="16" xfId="10" applyNumberFormat="1" applyFont="1" applyBorder="1" applyAlignment="1" applyProtection="1">
      <alignment horizontal="left" vertical="center"/>
      <protection hidden="1"/>
    </xf>
    <xf numFmtId="185" fontId="5" fillId="0" borderId="16" xfId="10" applyNumberFormat="1" applyFont="1" applyBorder="1" applyAlignment="1" applyProtection="1">
      <alignment horizontal="left" vertical="center" indent="1"/>
      <protection hidden="1"/>
    </xf>
    <xf numFmtId="38" fontId="7" fillId="2" borderId="36" xfId="0" applyNumberFormat="1" applyFont="1" applyFill="1" applyBorder="1" applyAlignment="1" applyProtection="1">
      <alignment horizontal="right" vertical="center"/>
      <protection hidden="1"/>
    </xf>
    <xf numFmtId="185" fontId="7" fillId="0" borderId="16" xfId="10" applyNumberFormat="1" applyFont="1" applyBorder="1" applyAlignment="1" applyProtection="1">
      <alignment vertical="center"/>
      <protection hidden="1"/>
    </xf>
    <xf numFmtId="0" fontId="7" fillId="0" borderId="16" xfId="10" applyFont="1" applyBorder="1" applyAlignment="1" applyProtection="1">
      <alignment vertical="center"/>
      <protection hidden="1"/>
    </xf>
    <xf numFmtId="38" fontId="7" fillId="0" borderId="39" xfId="0" applyNumberFormat="1" applyFont="1" applyBorder="1" applyAlignment="1" applyProtection="1">
      <alignment horizontal="right" vertical="center"/>
      <protection hidden="1"/>
    </xf>
    <xf numFmtId="0" fontId="75" fillId="0" borderId="17" xfId="0" applyFont="1" applyBorder="1" applyAlignment="1" applyProtection="1">
      <alignment vertical="center"/>
      <protection hidden="1"/>
    </xf>
    <xf numFmtId="38" fontId="75" fillId="4" borderId="44" xfId="0" applyNumberFormat="1" applyFont="1" applyFill="1" applyBorder="1" applyAlignment="1" applyProtection="1">
      <alignment horizontal="right" vertical="center"/>
      <protection hidden="1"/>
    </xf>
    <xf numFmtId="38" fontId="75" fillId="4" borderId="89" xfId="0" applyNumberFormat="1" applyFont="1" applyFill="1" applyBorder="1" applyAlignment="1" applyProtection="1">
      <alignment horizontal="right" vertical="center"/>
      <protection hidden="1"/>
    </xf>
    <xf numFmtId="38" fontId="75" fillId="0" borderId="89" xfId="0" applyNumberFormat="1" applyFont="1" applyFill="1" applyBorder="1" applyAlignment="1" applyProtection="1">
      <alignment horizontal="right" vertical="center"/>
      <protection hidden="1"/>
    </xf>
    <xf numFmtId="0" fontId="75" fillId="0" borderId="0" xfId="0" applyFont="1" applyFill="1" applyBorder="1" applyAlignment="1" applyProtection="1">
      <alignment vertical="center"/>
      <protection hidden="1"/>
    </xf>
    <xf numFmtId="38" fontId="75" fillId="0" borderId="0" xfId="0" applyNumberFormat="1" applyFont="1" applyFill="1" applyBorder="1" applyAlignment="1" applyProtection="1">
      <alignment horizontal="right" vertical="center"/>
      <protection hidden="1"/>
    </xf>
    <xf numFmtId="38" fontId="75" fillId="0" borderId="0" xfId="0" applyNumberFormat="1" applyFont="1" applyBorder="1" applyAlignment="1" applyProtection="1">
      <alignment horizontal="right" vertical="center"/>
      <protection hidden="1"/>
    </xf>
    <xf numFmtId="38" fontId="75" fillId="0" borderId="47" xfId="0" applyNumberFormat="1" applyFont="1" applyBorder="1" applyAlignment="1" applyProtection="1">
      <alignment horizontal="right" vertical="center"/>
      <protection hidden="1"/>
    </xf>
    <xf numFmtId="38" fontId="7" fillId="0" borderId="47" xfId="0" applyNumberFormat="1" applyFont="1" applyFill="1" applyBorder="1" applyAlignment="1" applyProtection="1">
      <alignment vertical="center"/>
      <protection hidden="1"/>
    </xf>
    <xf numFmtId="38" fontId="7" fillId="0" borderId="44" xfId="0" applyNumberFormat="1" applyFont="1" applyFill="1" applyBorder="1" applyAlignment="1" applyProtection="1">
      <alignment horizontal="right" vertical="center"/>
      <protection hidden="1"/>
    </xf>
    <xf numFmtId="0" fontId="7" fillId="0" borderId="2" xfId="0" applyFont="1" applyFill="1" applyBorder="1" applyAlignment="1" applyProtection="1">
      <alignment vertical="center"/>
      <protection hidden="1"/>
    </xf>
    <xf numFmtId="38" fontId="7" fillId="0" borderId="2" xfId="0" applyNumberFormat="1" applyFont="1" applyFill="1" applyBorder="1" applyAlignment="1" applyProtection="1">
      <alignment horizontal="right" vertical="center"/>
      <protection hidden="1"/>
    </xf>
    <xf numFmtId="38" fontId="7" fillId="0" borderId="10" xfId="0" applyNumberFormat="1" applyFont="1" applyFill="1" applyBorder="1" applyAlignment="1" applyProtection="1">
      <alignment horizontal="right" vertical="center"/>
      <protection hidden="1"/>
    </xf>
    <xf numFmtId="0" fontId="7" fillId="0" borderId="0" xfId="0" applyFont="1" applyAlignment="1" applyProtection="1">
      <alignment vertical="center"/>
      <protection hidden="1"/>
    </xf>
    <xf numFmtId="38" fontId="7" fillId="0" borderId="0" xfId="0" applyNumberFormat="1" applyFont="1" applyAlignment="1" applyProtection="1">
      <alignment vertical="center"/>
      <protection hidden="1"/>
    </xf>
    <xf numFmtId="38" fontId="7" fillId="0" borderId="11" xfId="0" applyNumberFormat="1" applyFont="1" applyBorder="1" applyAlignment="1" applyProtection="1">
      <alignment vertical="center"/>
      <protection hidden="1"/>
    </xf>
    <xf numFmtId="38" fontId="81" fillId="7" borderId="28" xfId="0" applyNumberFormat="1" applyFont="1" applyFill="1" applyBorder="1" applyAlignment="1" applyProtection="1">
      <alignment vertical="center"/>
      <protection locked="0"/>
    </xf>
    <xf numFmtId="38" fontId="82" fillId="7" borderId="28" xfId="0" applyNumberFormat="1" applyFont="1" applyFill="1" applyBorder="1" applyAlignment="1" applyProtection="1">
      <alignment horizontal="right" vertical="center"/>
      <protection locked="0"/>
    </xf>
    <xf numFmtId="49" fontId="7" fillId="0" borderId="48" xfId="0" applyNumberFormat="1" applyFont="1" applyFill="1" applyBorder="1" applyAlignment="1" applyProtection="1">
      <alignment horizontal="right" vertical="center"/>
      <protection hidden="1"/>
    </xf>
    <xf numFmtId="49" fontId="7" fillId="0" borderId="37" xfId="0" applyNumberFormat="1" applyFont="1" applyFill="1" applyBorder="1" applyAlignment="1" applyProtection="1">
      <alignment horizontal="right" vertical="center"/>
      <protection hidden="1"/>
    </xf>
    <xf numFmtId="186" fontId="7" fillId="0" borderId="16" xfId="0" applyNumberFormat="1" applyFont="1" applyFill="1" applyBorder="1" applyAlignment="1" applyProtection="1">
      <alignment vertical="center"/>
      <protection hidden="1"/>
    </xf>
    <xf numFmtId="199" fontId="7" fillId="0" borderId="16" xfId="0" applyNumberFormat="1" applyFont="1" applyFill="1" applyBorder="1" applyAlignment="1" applyProtection="1">
      <alignment horizontal="left" vertical="center" indent="1"/>
      <protection hidden="1"/>
    </xf>
    <xf numFmtId="38" fontId="7" fillId="2" borderId="32" xfId="4" applyNumberFormat="1" applyFont="1" applyFill="1" applyBorder="1" applyAlignment="1" applyProtection="1">
      <alignment horizontal="right" vertical="center"/>
      <protection hidden="1"/>
    </xf>
    <xf numFmtId="38" fontId="7" fillId="0" borderId="39" xfId="4" applyNumberFormat="1" applyFont="1" applyFill="1" applyBorder="1" applyAlignment="1" applyProtection="1">
      <alignment horizontal="right" vertical="center"/>
      <protection hidden="1"/>
    </xf>
    <xf numFmtId="0" fontId="24" fillId="0" borderId="0" xfId="0" applyFont="1" applyFill="1" applyBorder="1" applyAlignment="1" applyProtection="1">
      <alignment horizontal="left" vertical="center"/>
      <protection hidden="1"/>
    </xf>
    <xf numFmtId="0" fontId="24" fillId="0" borderId="0" xfId="0" applyFont="1" applyAlignment="1" applyProtection="1">
      <alignment horizontal="left" vertical="center"/>
      <protection hidden="1"/>
    </xf>
    <xf numFmtId="0" fontId="24" fillId="0" borderId="0" xfId="0" applyFont="1" applyAlignment="1">
      <alignment horizontal="left" vertical="center"/>
    </xf>
    <xf numFmtId="186" fontId="7" fillId="0" borderId="17" xfId="0" applyNumberFormat="1" applyFont="1" applyFill="1" applyBorder="1" applyAlignment="1" applyProtection="1">
      <alignment vertical="center"/>
      <protection hidden="1"/>
    </xf>
    <xf numFmtId="38" fontId="7" fillId="2" borderId="89" xfId="4" applyNumberFormat="1" applyFont="1" applyFill="1" applyBorder="1" applyAlignment="1" applyProtection="1">
      <alignment horizontal="right" vertical="center"/>
      <protection hidden="1"/>
    </xf>
    <xf numFmtId="186" fontId="7" fillId="0" borderId="106" xfId="0" applyNumberFormat="1" applyFont="1" applyFill="1" applyBorder="1" applyAlignment="1" applyProtection="1">
      <alignment horizontal="left" vertical="center"/>
      <protection hidden="1"/>
    </xf>
    <xf numFmtId="38" fontId="7" fillId="0" borderId="107" xfId="4" applyNumberFormat="1" applyFont="1" applyFill="1" applyBorder="1" applyAlignment="1" applyProtection="1">
      <alignment horizontal="right" vertical="center"/>
      <protection hidden="1"/>
    </xf>
    <xf numFmtId="38" fontId="7" fillId="0" borderId="96" xfId="4" applyNumberFormat="1" applyFont="1" applyFill="1" applyBorder="1" applyAlignment="1" applyProtection="1">
      <alignment horizontal="right" vertical="center"/>
      <protection hidden="1"/>
    </xf>
    <xf numFmtId="38" fontId="7" fillId="0" borderId="38" xfId="4" applyNumberFormat="1" applyFont="1" applyFill="1" applyBorder="1" applyAlignment="1" applyProtection="1">
      <alignment horizontal="right" vertical="center"/>
      <protection hidden="1"/>
    </xf>
    <xf numFmtId="186" fontId="7" fillId="0" borderId="16" xfId="0" applyNumberFormat="1" applyFont="1" applyFill="1" applyBorder="1" applyAlignment="1" applyProtection="1">
      <alignment horizontal="right" vertical="center"/>
      <protection hidden="1"/>
    </xf>
    <xf numFmtId="38" fontId="7" fillId="0" borderId="44" xfId="4" applyNumberFormat="1" applyFont="1" applyFill="1" applyBorder="1" applyAlignment="1" applyProtection="1">
      <alignment horizontal="right" vertical="center"/>
      <protection hidden="1"/>
    </xf>
    <xf numFmtId="38" fontId="7" fillId="0" borderId="0" xfId="4" applyNumberFormat="1" applyFont="1" applyFill="1" applyBorder="1" applyAlignment="1" applyProtection="1">
      <alignment horizontal="right" vertical="center"/>
      <protection hidden="1"/>
    </xf>
    <xf numFmtId="38" fontId="7" fillId="0" borderId="10" xfId="4" applyNumberFormat="1" applyFont="1" applyFill="1" applyBorder="1" applyAlignment="1" applyProtection="1">
      <alignment horizontal="right" vertical="center"/>
      <protection hidden="1"/>
    </xf>
    <xf numFmtId="0" fontId="80" fillId="0" borderId="0" xfId="0" applyFont="1" applyFill="1" applyBorder="1" applyAlignment="1" applyProtection="1">
      <alignment vertical="center"/>
      <protection hidden="1"/>
    </xf>
    <xf numFmtId="38" fontId="76" fillId="0" borderId="0" xfId="4" applyNumberFormat="1" applyFont="1" applyFill="1" applyBorder="1" applyAlignment="1" applyProtection="1">
      <alignment horizontal="right" vertical="center"/>
      <protection hidden="1"/>
    </xf>
    <xf numFmtId="38" fontId="69" fillId="0" borderId="0" xfId="0" applyNumberFormat="1" applyFont="1" applyBorder="1" applyAlignment="1" applyProtection="1">
      <alignment vertical="center"/>
      <protection hidden="1"/>
    </xf>
    <xf numFmtId="38" fontId="69" fillId="0" borderId="11" xfId="0" applyNumberFormat="1" applyFont="1" applyBorder="1" applyAlignment="1" applyProtection="1">
      <alignment vertical="center"/>
      <protection hidden="1"/>
    </xf>
    <xf numFmtId="38" fontId="75" fillId="0" borderId="39" xfId="0" applyNumberFormat="1" applyFont="1" applyFill="1" applyBorder="1" applyAlignment="1" applyProtection="1">
      <alignment vertical="center"/>
      <protection hidden="1"/>
    </xf>
    <xf numFmtId="38" fontId="7" fillId="4" borderId="89" xfId="0" applyNumberFormat="1" applyFont="1" applyFill="1" applyBorder="1" applyAlignment="1" applyProtection="1">
      <alignment vertical="center"/>
      <protection hidden="1"/>
    </xf>
    <xf numFmtId="0" fontId="82" fillId="7" borderId="28" xfId="0" applyFont="1" applyFill="1" applyBorder="1" applyAlignment="1" applyProtection="1">
      <alignment vertical="center"/>
      <protection locked="0"/>
    </xf>
    <xf numFmtId="0" fontId="7" fillId="0" borderId="48" xfId="0" applyFont="1" applyBorder="1" applyAlignment="1" applyProtection="1">
      <alignment horizontal="right" vertical="center"/>
      <protection hidden="1"/>
    </xf>
    <xf numFmtId="0" fontId="7" fillId="0" borderId="37" xfId="0" applyFont="1" applyBorder="1" applyAlignment="1" applyProtection="1">
      <alignment horizontal="right" vertical="center"/>
      <protection hidden="1"/>
    </xf>
    <xf numFmtId="0" fontId="7" fillId="0" borderId="88" xfId="0" applyFont="1" applyBorder="1" applyAlignment="1" applyProtection="1">
      <alignment horizontal="right" vertical="center"/>
      <protection hidden="1"/>
    </xf>
    <xf numFmtId="188" fontId="79" fillId="2" borderId="16" xfId="0" applyNumberFormat="1" applyFont="1" applyFill="1" applyBorder="1" applyAlignment="1" applyProtection="1">
      <alignment horizontal="left" vertical="center"/>
      <protection hidden="1"/>
    </xf>
    <xf numFmtId="40" fontId="79" fillId="4" borderId="39" xfId="0" applyNumberFormat="1" applyFont="1" applyFill="1" applyBorder="1" applyAlignment="1" applyProtection="1">
      <alignment horizontal="right" vertical="center"/>
      <protection hidden="1"/>
    </xf>
    <xf numFmtId="40" fontId="79" fillId="4" borderId="32" xfId="0" applyNumberFormat="1" applyFont="1" applyFill="1" applyBorder="1" applyAlignment="1" applyProtection="1">
      <alignment horizontal="right" vertical="center"/>
      <protection hidden="1"/>
    </xf>
    <xf numFmtId="40" fontId="79" fillId="2" borderId="32" xfId="0" applyNumberFormat="1" applyFont="1" applyFill="1" applyBorder="1" applyAlignment="1" applyProtection="1">
      <alignment horizontal="right" vertical="center"/>
      <protection hidden="1"/>
    </xf>
    <xf numFmtId="40" fontId="79" fillId="2" borderId="36" xfId="0" applyNumberFormat="1" applyFont="1" applyFill="1" applyBorder="1" applyAlignment="1" applyProtection="1">
      <alignment horizontal="right" vertical="center"/>
      <protection hidden="1"/>
    </xf>
    <xf numFmtId="188" fontId="79" fillId="2" borderId="17" xfId="0" applyNumberFormat="1" applyFont="1" applyFill="1" applyBorder="1" applyAlignment="1" applyProtection="1">
      <alignment horizontal="left" vertical="center"/>
      <protection hidden="1"/>
    </xf>
    <xf numFmtId="191" fontId="79" fillId="4" borderId="44" xfId="0" applyNumberFormat="1" applyFont="1" applyFill="1" applyBorder="1" applyAlignment="1" applyProtection="1">
      <alignment horizontal="right" vertical="center"/>
      <protection hidden="1"/>
    </xf>
    <xf numFmtId="191" fontId="79" fillId="4" borderId="89" xfId="0" applyNumberFormat="1" applyFont="1" applyFill="1" applyBorder="1" applyAlignment="1" applyProtection="1">
      <alignment horizontal="right" vertical="center"/>
      <protection hidden="1"/>
    </xf>
    <xf numFmtId="191" fontId="79" fillId="2" borderId="89" xfId="0" applyNumberFormat="1" applyFont="1" applyFill="1" applyBorder="1" applyAlignment="1" applyProtection="1">
      <alignment horizontal="right" vertical="center"/>
      <protection hidden="1"/>
    </xf>
    <xf numFmtId="191" fontId="79" fillId="2" borderId="90" xfId="0" applyNumberFormat="1" applyFont="1" applyFill="1" applyBorder="1" applyAlignment="1" applyProtection="1">
      <alignment horizontal="right" vertical="center"/>
      <protection hidden="1"/>
    </xf>
    <xf numFmtId="0" fontId="24" fillId="0" borderId="4" xfId="0" applyFont="1" applyBorder="1" applyAlignment="1" applyProtection="1">
      <alignment vertical="center"/>
      <protection hidden="1"/>
    </xf>
    <xf numFmtId="0" fontId="24" fillId="0" borderId="14" xfId="0" applyFont="1" applyBorder="1" applyAlignment="1" applyProtection="1">
      <alignment vertical="center"/>
      <protection hidden="1"/>
    </xf>
    <xf numFmtId="0" fontId="24" fillId="0" borderId="7" xfId="0" applyFont="1" applyBorder="1" applyAlignment="1" applyProtection="1">
      <alignment vertical="center"/>
      <protection hidden="1"/>
    </xf>
    <xf numFmtId="0" fontId="24" fillId="0" borderId="11" xfId="0" applyFont="1" applyBorder="1" applyAlignment="1" applyProtection="1">
      <alignment vertical="center"/>
      <protection hidden="1"/>
    </xf>
    <xf numFmtId="0" fontId="24" fillId="0" borderId="15" xfId="0" applyFont="1" applyBorder="1" applyAlignment="1" applyProtection="1">
      <alignment vertical="center"/>
      <protection hidden="1"/>
    </xf>
    <xf numFmtId="0" fontId="24" fillId="0" borderId="0" xfId="0" applyFont="1" applyBorder="1" applyAlignment="1">
      <alignment vertical="center"/>
    </xf>
    <xf numFmtId="0" fontId="29" fillId="0" borderId="0" xfId="0" applyFont="1" applyAlignment="1" applyProtection="1">
      <alignment vertical="center"/>
      <protection locked="0"/>
    </xf>
    <xf numFmtId="0" fontId="29" fillId="0" borderId="0" xfId="0" applyFont="1" applyBorder="1" applyAlignment="1" applyProtection="1">
      <alignment vertical="center"/>
      <protection locked="0"/>
    </xf>
    <xf numFmtId="0" fontId="29" fillId="0" borderId="0" xfId="0" applyFont="1" applyAlignment="1" applyProtection="1">
      <alignment horizontal="right" vertical="center"/>
      <protection locked="0"/>
    </xf>
    <xf numFmtId="0" fontId="0" fillId="0" borderId="0" xfId="0" applyAlignment="1">
      <alignment vertical="center"/>
    </xf>
    <xf numFmtId="0" fontId="12" fillId="7" borderId="10" xfId="0" applyFont="1" applyFill="1" applyBorder="1" applyAlignment="1" applyProtection="1">
      <alignment vertical="center"/>
      <protection locked="0"/>
    </xf>
    <xf numFmtId="0" fontId="7" fillId="0" borderId="108" xfId="0" applyFont="1" applyFill="1" applyBorder="1" applyProtection="1">
      <protection hidden="1"/>
    </xf>
    <xf numFmtId="0" fontId="7" fillId="0" borderId="81" xfId="0" applyFont="1" applyFill="1" applyBorder="1" applyAlignment="1" applyProtection="1">
      <alignment vertical="center"/>
      <protection hidden="1"/>
    </xf>
    <xf numFmtId="0" fontId="7" fillId="0" borderId="37" xfId="0" applyFont="1" applyFill="1" applyBorder="1" applyAlignment="1" applyProtection="1">
      <alignment horizontal="right" vertical="center"/>
      <protection hidden="1"/>
    </xf>
    <xf numFmtId="0" fontId="7" fillId="0" borderId="88" xfId="0" applyFont="1" applyFill="1" applyBorder="1" applyAlignment="1" applyProtection="1">
      <alignment horizontal="right" vertical="center"/>
      <protection hidden="1"/>
    </xf>
    <xf numFmtId="0" fontId="12" fillId="7" borderId="87" xfId="0" applyFont="1" applyFill="1" applyBorder="1" applyProtection="1">
      <protection hidden="1"/>
    </xf>
    <xf numFmtId="0" fontId="3" fillId="7" borderId="0" xfId="0" applyFont="1" applyFill="1" applyBorder="1" applyAlignment="1" applyProtection="1">
      <alignment vertical="center"/>
      <protection hidden="1"/>
    </xf>
    <xf numFmtId="0" fontId="3" fillId="7" borderId="81" xfId="0" applyFont="1" applyFill="1" applyBorder="1" applyAlignment="1" applyProtection="1">
      <alignment vertical="center"/>
      <protection hidden="1"/>
    </xf>
    <xf numFmtId="0" fontId="3" fillId="0" borderId="96" xfId="0" applyFont="1" applyFill="1" applyBorder="1" applyAlignment="1" applyProtection="1">
      <alignment horizontal="right" vertical="center"/>
      <protection hidden="1"/>
    </xf>
    <xf numFmtId="0" fontId="3" fillId="0" borderId="38" xfId="0" applyFont="1" applyFill="1" applyBorder="1" applyAlignment="1" applyProtection="1">
      <alignment horizontal="right" vertical="center"/>
      <protection hidden="1"/>
    </xf>
    <xf numFmtId="0" fontId="7" fillId="0" borderId="49" xfId="10" applyFont="1" applyFill="1" applyBorder="1" applyAlignment="1" applyProtection="1">
      <alignment horizontal="left"/>
      <protection hidden="1"/>
    </xf>
    <xf numFmtId="0" fontId="69" fillId="0" borderId="0" xfId="10" applyFont="1" applyFill="1" applyBorder="1" applyAlignment="1" applyProtection="1">
      <alignment vertical="center"/>
      <protection hidden="1"/>
    </xf>
    <xf numFmtId="38" fontId="69" fillId="0" borderId="81" xfId="10" applyNumberFormat="1" applyFont="1" applyFill="1" applyBorder="1" applyAlignment="1" applyProtection="1">
      <alignment vertical="center"/>
      <protection hidden="1"/>
    </xf>
    <xf numFmtId="38" fontId="7" fillId="2" borderId="32" xfId="10" applyNumberFormat="1" applyFont="1" applyFill="1" applyBorder="1" applyAlignment="1" applyProtection="1">
      <alignment horizontal="right" vertical="center"/>
      <protection hidden="1"/>
    </xf>
    <xf numFmtId="38" fontId="7" fillId="0" borderId="32" xfId="10" applyNumberFormat="1" applyFont="1" applyFill="1" applyBorder="1" applyAlignment="1" applyProtection="1">
      <alignment horizontal="right" vertical="center"/>
      <protection locked="0"/>
    </xf>
    <xf numFmtId="38" fontId="7" fillId="0" borderId="36" xfId="10" applyNumberFormat="1" applyFont="1" applyFill="1" applyBorder="1" applyAlignment="1" applyProtection="1">
      <alignment horizontal="right" vertical="center"/>
      <protection locked="0"/>
    </xf>
    <xf numFmtId="0" fontId="7" fillId="0" borderId="49" xfId="10" applyFont="1" applyFill="1" applyBorder="1" applyAlignment="1" applyProtection="1">
      <alignment horizontal="left" indent="2"/>
      <protection hidden="1"/>
    </xf>
    <xf numFmtId="0" fontId="79" fillId="0" borderId="0" xfId="10" applyFont="1" applyFill="1" applyBorder="1" applyAlignment="1" applyProtection="1">
      <alignment horizontal="right" vertical="center"/>
      <protection hidden="1"/>
    </xf>
    <xf numFmtId="0" fontId="79" fillId="0" borderId="81" xfId="10" applyFont="1" applyFill="1" applyBorder="1" applyAlignment="1" applyProtection="1">
      <alignment horizontal="right" vertical="center"/>
      <protection hidden="1"/>
    </xf>
    <xf numFmtId="180" fontId="79" fillId="2" borderId="32" xfId="10" applyNumberFormat="1" applyFont="1" applyFill="1" applyBorder="1" applyAlignment="1" applyProtection="1">
      <alignment horizontal="right" vertical="center"/>
      <protection hidden="1"/>
    </xf>
    <xf numFmtId="180" fontId="79" fillId="2" borderId="36" xfId="10" applyNumberFormat="1" applyFont="1" applyFill="1" applyBorder="1" applyAlignment="1" applyProtection="1">
      <alignment horizontal="right" vertical="center"/>
      <protection hidden="1"/>
    </xf>
    <xf numFmtId="0" fontId="5" fillId="0" borderId="49" xfId="10" applyFont="1" applyFill="1" applyBorder="1" applyAlignment="1" applyProtection="1">
      <alignment horizontal="left"/>
      <protection hidden="1"/>
    </xf>
    <xf numFmtId="0" fontId="7" fillId="0" borderId="0" xfId="10" applyFont="1" applyFill="1" applyBorder="1" applyAlignment="1" applyProtection="1">
      <alignment vertical="center"/>
      <protection hidden="1"/>
    </xf>
    <xf numFmtId="38" fontId="7" fillId="0" borderId="81" xfId="10" applyNumberFormat="1" applyFont="1" applyFill="1" applyBorder="1" applyAlignment="1" applyProtection="1">
      <alignment vertical="center"/>
      <protection hidden="1"/>
    </xf>
    <xf numFmtId="38" fontId="7" fillId="2" borderId="32" xfId="10" applyNumberFormat="1" applyFont="1" applyFill="1" applyBorder="1" applyAlignment="1" applyProtection="1">
      <alignment horizontal="right" vertical="center"/>
      <protection locked="0"/>
    </xf>
    <xf numFmtId="38" fontId="7" fillId="2" borderId="36" xfId="10" applyNumberFormat="1" applyFont="1" applyFill="1" applyBorder="1" applyAlignment="1" applyProtection="1">
      <alignment horizontal="right" vertical="center"/>
      <protection locked="0"/>
    </xf>
    <xf numFmtId="38" fontId="7" fillId="0" borderId="49" xfId="10" applyNumberFormat="1" applyFont="1" applyFill="1" applyBorder="1" applyAlignment="1" applyProtection="1">
      <alignment horizontal="left" indent="1"/>
      <protection hidden="1"/>
    </xf>
    <xf numFmtId="38" fontId="79" fillId="0" borderId="0" xfId="10" applyNumberFormat="1" applyFont="1" applyFill="1" applyBorder="1" applyAlignment="1" applyProtection="1">
      <alignment horizontal="right" vertical="center"/>
      <protection hidden="1"/>
    </xf>
    <xf numFmtId="38" fontId="79" fillId="0" borderId="81" xfId="10" applyNumberFormat="1" applyFont="1" applyFill="1" applyBorder="1" applyAlignment="1" applyProtection="1">
      <alignment horizontal="right" vertical="center"/>
      <protection hidden="1"/>
    </xf>
    <xf numFmtId="180" fontId="7" fillId="2" borderId="32" xfId="8" applyNumberFormat="1" applyFont="1" applyFill="1" applyBorder="1" applyAlignment="1" applyProtection="1">
      <alignment horizontal="right" vertical="center"/>
      <protection hidden="1"/>
    </xf>
    <xf numFmtId="0" fontId="7" fillId="0" borderId="81" xfId="10" applyFont="1" applyFill="1" applyBorder="1" applyAlignment="1" applyProtection="1">
      <alignment vertical="center"/>
      <protection hidden="1"/>
    </xf>
    <xf numFmtId="38" fontId="7" fillId="2" borderId="36" xfId="10" applyNumberFormat="1" applyFont="1" applyFill="1" applyBorder="1" applyAlignment="1" applyProtection="1">
      <alignment horizontal="right" vertical="center"/>
      <protection hidden="1"/>
    </xf>
    <xf numFmtId="0" fontId="7" fillId="0" borderId="49" xfId="10" applyFont="1" applyFill="1" applyBorder="1" applyAlignment="1" applyProtection="1">
      <alignment horizontal="left" indent="1"/>
      <protection hidden="1"/>
    </xf>
    <xf numFmtId="38" fontId="7" fillId="0" borderId="49" xfId="10" applyNumberFormat="1" applyFont="1" applyFill="1" applyBorder="1" applyAlignment="1" applyProtection="1">
      <alignment horizontal="left"/>
      <protection hidden="1"/>
    </xf>
    <xf numFmtId="0" fontId="7" fillId="0" borderId="0" xfId="10" applyFont="1" applyFill="1" applyBorder="1" applyAlignment="1" applyProtection="1">
      <alignment horizontal="right" vertical="center"/>
      <protection hidden="1"/>
    </xf>
    <xf numFmtId="0" fontId="7" fillId="0" borderId="81" xfId="10" applyFont="1" applyFill="1" applyBorder="1" applyAlignment="1" applyProtection="1">
      <alignment horizontal="right" vertical="center"/>
      <protection hidden="1"/>
    </xf>
    <xf numFmtId="184" fontId="7" fillId="5" borderId="32" xfId="10" applyNumberFormat="1" applyFont="1" applyFill="1" applyBorder="1" applyAlignment="1" applyProtection="1">
      <alignment horizontal="right" vertical="center"/>
      <protection locked="0"/>
    </xf>
    <xf numFmtId="184" fontId="7" fillId="0" borderId="32" xfId="10" applyNumberFormat="1" applyFont="1" applyFill="1" applyBorder="1" applyAlignment="1" applyProtection="1">
      <alignment horizontal="right" vertical="center"/>
      <protection hidden="1"/>
    </xf>
    <xf numFmtId="184" fontId="7" fillId="0" borderId="40" xfId="10" applyNumberFormat="1" applyFont="1" applyFill="1" applyBorder="1" applyAlignment="1" applyProtection="1">
      <alignment horizontal="right" vertical="center"/>
      <protection hidden="1"/>
    </xf>
    <xf numFmtId="0" fontId="0" fillId="0" borderId="4" xfId="0" applyBorder="1" applyAlignment="1">
      <alignment vertical="center"/>
    </xf>
    <xf numFmtId="184" fontId="7" fillId="2" borderId="32" xfId="10" applyNumberFormat="1" applyFont="1" applyFill="1" applyBorder="1" applyAlignment="1" applyProtection="1">
      <alignment horizontal="right" vertical="center"/>
      <protection hidden="1"/>
    </xf>
    <xf numFmtId="38" fontId="7" fillId="0" borderId="0" xfId="10" applyNumberFormat="1" applyFont="1" applyFill="1" applyBorder="1" applyAlignment="1" applyProtection="1">
      <alignment vertical="center"/>
      <protection hidden="1"/>
    </xf>
    <xf numFmtId="180" fontId="7" fillId="0" borderId="49" xfId="8" applyNumberFormat="1" applyFont="1" applyFill="1" applyBorder="1" applyAlignment="1" applyProtection="1">
      <alignment horizontal="left" indent="1"/>
      <protection hidden="1"/>
    </xf>
    <xf numFmtId="0" fontId="79" fillId="0" borderId="0" xfId="8" applyNumberFormat="1" applyFont="1" applyFill="1" applyBorder="1" applyAlignment="1" applyProtection="1">
      <alignment horizontal="right" vertical="center"/>
      <protection hidden="1"/>
    </xf>
    <xf numFmtId="0" fontId="79" fillId="0" borderId="81" xfId="8" applyNumberFormat="1" applyFont="1" applyFill="1" applyBorder="1" applyAlignment="1" applyProtection="1">
      <alignment horizontal="right" vertical="center"/>
      <protection hidden="1"/>
    </xf>
    <xf numFmtId="180" fontId="7" fillId="2" borderId="32" xfId="10" applyNumberFormat="1" applyFont="1" applyFill="1" applyBorder="1" applyAlignment="1" applyProtection="1">
      <alignment horizontal="right" vertical="center"/>
      <protection hidden="1"/>
    </xf>
    <xf numFmtId="0" fontId="79" fillId="0" borderId="109" xfId="10" applyFont="1" applyFill="1" applyBorder="1" applyAlignment="1" applyProtection="1">
      <alignment horizontal="right" vertical="center"/>
      <protection hidden="1"/>
    </xf>
    <xf numFmtId="0" fontId="79" fillId="0" borderId="110" xfId="10" applyFont="1" applyFill="1" applyBorder="1" applyAlignment="1" applyProtection="1">
      <alignment horizontal="right" vertical="center"/>
      <protection hidden="1"/>
    </xf>
    <xf numFmtId="0" fontId="83" fillId="0" borderId="4" xfId="0" applyFont="1" applyBorder="1" applyAlignment="1">
      <alignment horizontal="left"/>
    </xf>
    <xf numFmtId="0" fontId="83" fillId="0" borderId="0" xfId="0" applyFont="1" applyBorder="1" applyAlignment="1">
      <alignment vertical="center"/>
    </xf>
    <xf numFmtId="0" fontId="83" fillId="0" borderId="0" xfId="0" applyFont="1" applyAlignment="1">
      <alignment vertical="center"/>
    </xf>
    <xf numFmtId="0" fontId="83" fillId="0" borderId="111" xfId="0" applyFont="1" applyBorder="1" applyAlignment="1">
      <alignment vertical="center"/>
    </xf>
    <xf numFmtId="0" fontId="83" fillId="0" borderId="14" xfId="0" applyFont="1" applyBorder="1" applyAlignment="1">
      <alignment vertical="center"/>
    </xf>
    <xf numFmtId="0" fontId="69" fillId="7" borderId="87" xfId="0" applyFont="1" applyFill="1" applyBorder="1" applyAlignment="1" applyProtection="1">
      <alignment horizontal="left"/>
      <protection hidden="1"/>
    </xf>
    <xf numFmtId="0" fontId="83" fillId="7" borderId="0" xfId="0" applyFont="1" applyFill="1" applyBorder="1" applyAlignment="1">
      <alignment vertical="center"/>
    </xf>
    <xf numFmtId="0" fontId="83" fillId="0" borderId="112" xfId="0" applyFont="1" applyBorder="1" applyAlignment="1">
      <alignment vertical="center"/>
    </xf>
    <xf numFmtId="0" fontId="7" fillId="0" borderId="33" xfId="10" applyFont="1" applyFill="1" applyBorder="1" applyAlignment="1" applyProtection="1">
      <alignment horizontal="left"/>
      <protection hidden="1"/>
    </xf>
    <xf numFmtId="38" fontId="7" fillId="4" borderId="68" xfId="10" applyNumberFormat="1" applyFont="1" applyFill="1" applyBorder="1" applyAlignment="1" applyProtection="1">
      <alignment horizontal="right" vertical="center"/>
      <protection hidden="1"/>
    </xf>
    <xf numFmtId="0" fontId="7" fillId="2" borderId="33" xfId="10" applyFont="1" applyFill="1" applyBorder="1" applyAlignment="1" applyProtection="1">
      <alignment horizontal="left"/>
      <protection hidden="1"/>
    </xf>
    <xf numFmtId="0" fontId="7" fillId="2" borderId="0" xfId="10" applyFont="1" applyFill="1" applyBorder="1" applyAlignment="1" applyProtection="1">
      <alignment horizontal="right" vertical="center"/>
      <protection hidden="1"/>
    </xf>
    <xf numFmtId="0" fontId="7" fillId="2" borderId="81" xfId="10" applyFont="1" applyFill="1" applyBorder="1" applyAlignment="1" applyProtection="1">
      <alignment horizontal="right" vertical="center"/>
      <protection hidden="1"/>
    </xf>
    <xf numFmtId="38" fontId="7" fillId="2" borderId="68" xfId="10" applyNumberFormat="1" applyFont="1" applyFill="1" applyBorder="1" applyAlignment="1" applyProtection="1">
      <alignment horizontal="right" vertical="center"/>
      <protection locked="0"/>
    </xf>
    <xf numFmtId="185" fontId="7" fillId="0" borderId="33" xfId="10" applyNumberFormat="1" applyFont="1" applyBorder="1" applyAlignment="1" applyProtection="1">
      <alignment horizontal="left"/>
      <protection hidden="1"/>
    </xf>
    <xf numFmtId="185" fontId="7" fillId="0" borderId="81" xfId="10" applyNumberFormat="1" applyFont="1" applyBorder="1" applyAlignment="1" applyProtection="1">
      <alignment vertical="center"/>
      <protection hidden="1"/>
    </xf>
    <xf numFmtId="185" fontId="7" fillId="0" borderId="33" xfId="10" applyNumberFormat="1" applyFont="1" applyFill="1" applyBorder="1" applyAlignment="1" applyProtection="1">
      <alignment horizontal="left" indent="1"/>
      <protection hidden="1"/>
    </xf>
    <xf numFmtId="185" fontId="7" fillId="0" borderId="0" xfId="10" applyNumberFormat="1" applyFont="1" applyFill="1" applyBorder="1" applyAlignment="1" applyProtection="1">
      <alignment horizontal="center" vertical="center"/>
      <protection hidden="1"/>
    </xf>
    <xf numFmtId="181" fontId="7" fillId="0" borderId="33" xfId="10" applyNumberFormat="1" applyFont="1" applyFill="1" applyBorder="1" applyAlignment="1" applyProtection="1">
      <alignment horizontal="left" indent="1"/>
      <protection hidden="1"/>
    </xf>
    <xf numFmtId="181" fontId="79" fillId="0" borderId="0" xfId="10" applyNumberFormat="1" applyFont="1" applyFill="1" applyBorder="1" applyAlignment="1" applyProtection="1">
      <alignment horizontal="right" vertical="center"/>
      <protection hidden="1"/>
    </xf>
    <xf numFmtId="191" fontId="7" fillId="4" borderId="68" xfId="10" applyNumberFormat="1" applyFont="1" applyFill="1" applyBorder="1" applyAlignment="1" applyProtection="1">
      <alignment horizontal="right" vertical="center"/>
      <protection hidden="1"/>
    </xf>
    <xf numFmtId="184" fontId="7" fillId="0" borderId="33" xfId="10" applyNumberFormat="1" applyFont="1" applyFill="1" applyBorder="1" applyAlignment="1" applyProtection="1">
      <alignment horizontal="left" indent="1"/>
      <protection hidden="1"/>
    </xf>
    <xf numFmtId="184" fontId="7" fillId="0" borderId="0" xfId="10" applyNumberFormat="1" applyFont="1" applyFill="1" applyBorder="1" applyAlignment="1" applyProtection="1">
      <alignment horizontal="right" vertical="center"/>
      <protection hidden="1"/>
    </xf>
    <xf numFmtId="38" fontId="70" fillId="5" borderId="113" xfId="13" applyNumberFormat="1" applyFont="1" applyFill="1" applyBorder="1" applyAlignment="1" applyProtection="1">
      <alignment horizontal="right" vertical="center"/>
      <protection locked="0"/>
    </xf>
    <xf numFmtId="38" fontId="70" fillId="5" borderId="32" xfId="13" applyNumberFormat="1" applyFont="1" applyFill="1" applyBorder="1" applyAlignment="1" applyProtection="1">
      <alignment horizontal="right" vertical="center"/>
      <protection locked="0"/>
    </xf>
    <xf numFmtId="180" fontId="79" fillId="4" borderId="68" xfId="8" applyNumberFormat="1" applyFont="1" applyFill="1" applyBorder="1" applyAlignment="1" applyProtection="1">
      <alignment horizontal="right" vertical="center"/>
      <protection hidden="1"/>
    </xf>
    <xf numFmtId="185" fontId="7" fillId="0" borderId="81" xfId="10" applyNumberFormat="1" applyFont="1" applyBorder="1" applyAlignment="1" applyProtection="1">
      <alignment horizontal="left" vertical="center"/>
      <protection hidden="1"/>
    </xf>
    <xf numFmtId="185" fontId="7" fillId="0" borderId="0" xfId="10" applyNumberFormat="1" applyFont="1" applyFill="1" applyBorder="1" applyAlignment="1" applyProtection="1">
      <alignment horizontal="right" vertical="center"/>
      <protection hidden="1"/>
    </xf>
    <xf numFmtId="185" fontId="7" fillId="0" borderId="81" xfId="10" applyNumberFormat="1" applyFont="1" applyFill="1" applyBorder="1" applyAlignment="1" applyProtection="1">
      <alignment horizontal="right" vertical="center"/>
      <protection hidden="1"/>
    </xf>
    <xf numFmtId="185" fontId="7" fillId="0" borderId="33" xfId="10" applyNumberFormat="1" applyFont="1" applyBorder="1" applyAlignment="1" applyProtection="1">
      <alignment horizontal="left" indent="1"/>
      <protection hidden="1"/>
    </xf>
    <xf numFmtId="185" fontId="7" fillId="0" borderId="0" xfId="10" applyNumberFormat="1" applyFont="1" applyBorder="1" applyAlignment="1" applyProtection="1">
      <alignment horizontal="right" vertical="center"/>
      <protection hidden="1"/>
    </xf>
    <xf numFmtId="185" fontId="7" fillId="0" borderId="81" xfId="10" applyNumberFormat="1" applyFont="1" applyBorder="1" applyAlignment="1" applyProtection="1">
      <alignment horizontal="right" vertical="center"/>
      <protection hidden="1"/>
    </xf>
    <xf numFmtId="38" fontId="7" fillId="5" borderId="68" xfId="10" applyNumberFormat="1" applyFont="1" applyFill="1" applyBorder="1" applyAlignment="1" applyProtection="1">
      <alignment horizontal="right" vertical="center"/>
      <protection locked="0"/>
    </xf>
    <xf numFmtId="38" fontId="7" fillId="5" borderId="32" xfId="10" applyNumberFormat="1" applyFont="1" applyFill="1" applyBorder="1" applyAlignment="1" applyProtection="1">
      <alignment horizontal="right" vertical="center"/>
      <protection locked="0"/>
    </xf>
    <xf numFmtId="181" fontId="7" fillId="0" borderId="33" xfId="10" applyNumberFormat="1" applyFont="1" applyBorder="1" applyAlignment="1" applyProtection="1">
      <alignment horizontal="left"/>
      <protection hidden="1"/>
    </xf>
    <xf numFmtId="181" fontId="7" fillId="0" borderId="0" xfId="10" applyNumberFormat="1" applyFont="1" applyBorder="1" applyAlignment="1" applyProtection="1">
      <alignment horizontal="left" vertical="center"/>
      <protection hidden="1"/>
    </xf>
    <xf numFmtId="181" fontId="7" fillId="0" borderId="81" xfId="10" applyNumberFormat="1" applyFont="1" applyBorder="1" applyAlignment="1" applyProtection="1">
      <alignment horizontal="left" vertical="center"/>
      <protection hidden="1"/>
    </xf>
    <xf numFmtId="181" fontId="7" fillId="0" borderId="0" xfId="10" applyNumberFormat="1" applyFont="1" applyBorder="1" applyAlignment="1" applyProtection="1">
      <alignment vertical="center"/>
      <protection hidden="1"/>
    </xf>
    <xf numFmtId="181" fontId="7" fillId="0" borderId="81" xfId="10" applyNumberFormat="1" applyFont="1" applyBorder="1" applyAlignment="1" applyProtection="1">
      <alignment vertical="center"/>
      <protection hidden="1"/>
    </xf>
    <xf numFmtId="185" fontId="7" fillId="0" borderId="33" xfId="10" applyNumberFormat="1" applyFont="1" applyFill="1" applyBorder="1" applyAlignment="1" applyProtection="1">
      <alignment horizontal="left"/>
      <protection hidden="1"/>
    </xf>
    <xf numFmtId="38" fontId="70" fillId="4" borderId="68" xfId="13" applyNumberFormat="1" applyFont="1" applyFill="1" applyBorder="1" applyAlignment="1" applyProtection="1">
      <alignment horizontal="right" vertical="center"/>
      <protection hidden="1"/>
    </xf>
    <xf numFmtId="191" fontId="79" fillId="4" borderId="68" xfId="10" applyNumberFormat="1" applyFont="1" applyFill="1" applyBorder="1" applyAlignment="1" applyProtection="1">
      <alignment horizontal="right" vertical="center"/>
      <protection hidden="1"/>
    </xf>
    <xf numFmtId="191" fontId="79" fillId="4" borderId="32" xfId="10" applyNumberFormat="1" applyFont="1" applyFill="1" applyBorder="1" applyAlignment="1" applyProtection="1">
      <alignment horizontal="right" vertical="center"/>
      <protection hidden="1"/>
    </xf>
    <xf numFmtId="181" fontId="7" fillId="0" borderId="0" xfId="10" applyNumberFormat="1" applyFont="1" applyFill="1" applyBorder="1" applyAlignment="1" applyProtection="1">
      <alignment horizontal="right" vertical="center"/>
      <protection hidden="1"/>
    </xf>
    <xf numFmtId="38" fontId="70" fillId="4" borderId="32" xfId="13" applyNumberFormat="1" applyFont="1" applyFill="1" applyBorder="1" applyAlignment="1" applyProtection="1">
      <alignment horizontal="right" vertical="center"/>
      <protection hidden="1"/>
    </xf>
    <xf numFmtId="0" fontId="7" fillId="0" borderId="33" xfId="10" applyFont="1" applyBorder="1" applyAlignment="1" applyProtection="1">
      <alignment horizontal="left"/>
      <protection hidden="1"/>
    </xf>
    <xf numFmtId="0" fontId="7" fillId="0" borderId="0" xfId="10" applyFont="1" applyBorder="1" applyAlignment="1" applyProtection="1">
      <alignment vertical="center"/>
      <protection hidden="1"/>
    </xf>
    <xf numFmtId="0" fontId="7" fillId="0" borderId="81" xfId="10" applyFont="1" applyBorder="1" applyAlignment="1" applyProtection="1">
      <alignment vertical="center"/>
      <protection hidden="1"/>
    </xf>
    <xf numFmtId="0" fontId="7" fillId="0" borderId="33" xfId="10" applyFont="1" applyFill="1" applyBorder="1" applyAlignment="1" applyProtection="1">
      <alignment horizontal="left" indent="1"/>
      <protection hidden="1"/>
    </xf>
    <xf numFmtId="0" fontId="7" fillId="0" borderId="33" xfId="10" applyFont="1" applyBorder="1" applyAlignment="1" applyProtection="1">
      <alignment horizontal="left" indent="1"/>
      <protection hidden="1"/>
    </xf>
    <xf numFmtId="0" fontId="7" fillId="0" borderId="0" xfId="10" applyFont="1" applyBorder="1" applyAlignment="1" applyProtection="1">
      <alignment horizontal="right" vertical="center"/>
      <protection hidden="1"/>
    </xf>
    <xf numFmtId="38" fontId="7" fillId="4" borderId="32" xfId="10" applyNumberFormat="1" applyFont="1" applyFill="1" applyBorder="1" applyAlignment="1" applyProtection="1">
      <alignment horizontal="right" vertical="center"/>
      <protection hidden="1"/>
    </xf>
    <xf numFmtId="38" fontId="70" fillId="2" borderId="68" xfId="13" applyNumberFormat="1" applyFont="1" applyFill="1" applyBorder="1" applyAlignment="1" applyProtection="1">
      <alignment horizontal="right" vertical="center"/>
      <protection locked="0"/>
    </xf>
    <xf numFmtId="38" fontId="70" fillId="2" borderId="32" xfId="13" applyNumberFormat="1" applyFont="1" applyFill="1" applyBorder="1" applyAlignment="1" applyProtection="1">
      <alignment horizontal="right" vertical="center"/>
      <protection locked="0"/>
    </xf>
    <xf numFmtId="0" fontId="0" fillId="10" borderId="0" xfId="0" applyFill="1" applyAlignment="1">
      <alignment vertical="center"/>
    </xf>
    <xf numFmtId="184" fontId="7" fillId="10" borderId="33" xfId="10" applyNumberFormat="1" applyFont="1" applyFill="1" applyBorder="1" applyAlignment="1" applyProtection="1">
      <alignment horizontal="left" indent="1"/>
      <protection hidden="1"/>
    </xf>
    <xf numFmtId="184" fontId="7" fillId="10" borderId="0" xfId="10" applyNumberFormat="1" applyFont="1" applyFill="1" applyBorder="1" applyAlignment="1" applyProtection="1">
      <alignment horizontal="right" vertical="center"/>
      <protection hidden="1"/>
    </xf>
    <xf numFmtId="0" fontId="7" fillId="10" borderId="81" xfId="10" applyFont="1" applyFill="1" applyBorder="1" applyAlignment="1" applyProtection="1">
      <alignment vertical="center"/>
      <protection hidden="1"/>
    </xf>
    <xf numFmtId="38" fontId="7" fillId="10" borderId="113" xfId="10" applyNumberFormat="1" applyFont="1" applyFill="1" applyBorder="1" applyAlignment="1" applyProtection="1">
      <alignment horizontal="right" vertical="center"/>
      <protection hidden="1"/>
    </xf>
    <xf numFmtId="38" fontId="7" fillId="5" borderId="113" xfId="10" applyNumberFormat="1" applyFont="1" applyFill="1" applyBorder="1" applyAlignment="1" applyProtection="1">
      <alignment horizontal="right" vertical="center"/>
      <protection locked="0"/>
    </xf>
    <xf numFmtId="0" fontId="7" fillId="2" borderId="33" xfId="10" applyFont="1" applyFill="1" applyBorder="1" applyAlignment="1" applyProtection="1">
      <alignment horizontal="left" indent="1"/>
      <protection hidden="1"/>
    </xf>
    <xf numFmtId="0" fontId="69" fillId="2" borderId="33" xfId="10" applyFont="1" applyFill="1" applyBorder="1" applyAlignment="1" applyProtection="1">
      <alignment horizontal="left"/>
      <protection hidden="1"/>
    </xf>
    <xf numFmtId="0" fontId="69" fillId="2" borderId="0" xfId="10" applyFont="1" applyFill="1" applyBorder="1" applyAlignment="1" applyProtection="1">
      <alignment horizontal="right" vertical="center"/>
      <protection hidden="1"/>
    </xf>
    <xf numFmtId="0" fontId="69" fillId="2" borderId="81" xfId="10" applyFont="1" applyFill="1" applyBorder="1" applyAlignment="1" applyProtection="1">
      <alignment vertical="center"/>
      <protection hidden="1"/>
    </xf>
    <xf numFmtId="38" fontId="69" fillId="2" borderId="68" xfId="10" applyNumberFormat="1" applyFont="1" applyFill="1" applyBorder="1" applyAlignment="1" applyProtection="1">
      <alignment horizontal="right" vertical="center"/>
      <protection locked="0"/>
    </xf>
    <xf numFmtId="38" fontId="69" fillId="2" borderId="32" xfId="10" applyNumberFormat="1" applyFont="1" applyFill="1" applyBorder="1" applyAlignment="1" applyProtection="1">
      <alignment horizontal="right" vertical="center"/>
      <protection locked="0"/>
    </xf>
    <xf numFmtId="38" fontId="69" fillId="2" borderId="36" xfId="10" applyNumberFormat="1" applyFont="1" applyFill="1" applyBorder="1" applyAlignment="1" applyProtection="1">
      <alignment horizontal="right" vertical="center"/>
      <protection locked="0"/>
    </xf>
    <xf numFmtId="0" fontId="69" fillId="2" borderId="0" xfId="10" applyFont="1" applyFill="1" applyBorder="1" applyAlignment="1" applyProtection="1">
      <alignment horizontal="center" vertical="center"/>
      <protection hidden="1"/>
    </xf>
    <xf numFmtId="0" fontId="7" fillId="0" borderId="0" xfId="10" applyFont="1" applyBorder="1" applyAlignment="1" applyProtection="1">
      <alignment horizontal="center" vertical="center"/>
      <protection hidden="1"/>
    </xf>
    <xf numFmtId="0" fontId="84" fillId="2" borderId="33" xfId="10" applyFont="1" applyFill="1" applyBorder="1" applyAlignment="1" applyProtection="1">
      <alignment horizontal="left" indent="1"/>
      <protection hidden="1"/>
    </xf>
    <xf numFmtId="0" fontId="84" fillId="2" borderId="0" xfId="10" applyFont="1" applyFill="1" applyBorder="1" applyAlignment="1" applyProtection="1">
      <alignment horizontal="center" vertical="center"/>
      <protection hidden="1"/>
    </xf>
    <xf numFmtId="180" fontId="84" fillId="2" borderId="68" xfId="8" applyNumberFormat="1" applyFont="1" applyFill="1" applyBorder="1" applyAlignment="1" applyProtection="1">
      <alignment horizontal="right" vertical="center"/>
      <protection hidden="1"/>
    </xf>
    <xf numFmtId="180" fontId="84" fillId="2" borderId="32" xfId="8" applyNumberFormat="1" applyFont="1" applyFill="1" applyBorder="1" applyAlignment="1" applyProtection="1">
      <alignment horizontal="right" vertical="center"/>
      <protection locked="0"/>
    </xf>
    <xf numFmtId="180" fontId="84" fillId="2" borderId="36" xfId="8" applyNumberFormat="1" applyFont="1" applyFill="1" applyBorder="1" applyAlignment="1" applyProtection="1">
      <alignment horizontal="right" vertical="center"/>
      <protection locked="0"/>
    </xf>
    <xf numFmtId="0" fontId="69" fillId="2" borderId="33" xfId="10" applyFont="1" applyFill="1" applyBorder="1" applyAlignment="1" applyProtection="1">
      <alignment horizontal="left" indent="1"/>
      <protection hidden="1"/>
    </xf>
    <xf numFmtId="38" fontId="7" fillId="0" borderId="33" xfId="10" applyNumberFormat="1" applyFont="1" applyBorder="1" applyAlignment="1" applyProtection="1">
      <alignment horizontal="left" indent="1"/>
      <protection hidden="1"/>
    </xf>
    <xf numFmtId="38" fontId="7" fillId="0" borderId="0" xfId="10" applyNumberFormat="1" applyFont="1" applyBorder="1" applyAlignment="1" applyProtection="1">
      <alignment horizontal="right" vertical="center"/>
      <protection hidden="1"/>
    </xf>
    <xf numFmtId="38" fontId="79" fillId="0" borderId="0" xfId="10" applyNumberFormat="1" applyFont="1" applyBorder="1" applyAlignment="1" applyProtection="1">
      <alignment horizontal="right" vertical="center"/>
      <protection hidden="1"/>
    </xf>
    <xf numFmtId="38" fontId="7" fillId="0" borderId="81" xfId="10" applyNumberFormat="1" applyFont="1" applyBorder="1" applyAlignment="1" applyProtection="1">
      <alignment horizontal="right" vertical="center"/>
      <protection hidden="1"/>
    </xf>
    <xf numFmtId="185" fontId="7" fillId="0" borderId="0" xfId="10" applyNumberFormat="1" applyFont="1" applyFill="1" applyBorder="1" applyAlignment="1" applyProtection="1">
      <alignment horizontal="left" vertical="center"/>
      <protection hidden="1"/>
    </xf>
    <xf numFmtId="38" fontId="7" fillId="2" borderId="68" xfId="10" applyNumberFormat="1" applyFont="1" applyFill="1" applyBorder="1" applyAlignment="1" applyProtection="1">
      <alignment horizontal="right" vertical="center"/>
      <protection hidden="1"/>
    </xf>
    <xf numFmtId="0" fontId="83" fillId="0" borderId="114" xfId="0" applyFont="1" applyBorder="1" applyAlignment="1">
      <alignment horizontal="left"/>
    </xf>
    <xf numFmtId="0" fontId="65" fillId="10" borderId="0" xfId="0" applyFont="1" applyFill="1" applyAlignment="1">
      <alignment vertical="center"/>
    </xf>
    <xf numFmtId="38" fontId="7" fillId="10" borderId="33" xfId="10" applyNumberFormat="1" applyFont="1" applyFill="1" applyBorder="1" applyAlignment="1" applyProtection="1">
      <alignment horizontal="left"/>
      <protection hidden="1"/>
    </xf>
    <xf numFmtId="38" fontId="7" fillId="10" borderId="0" xfId="10" applyNumberFormat="1" applyFont="1" applyFill="1" applyBorder="1" applyAlignment="1" applyProtection="1">
      <alignment horizontal="right" vertical="center"/>
      <protection hidden="1"/>
    </xf>
    <xf numFmtId="38" fontId="7" fillId="10" borderId="81" xfId="10" applyNumberFormat="1" applyFont="1" applyFill="1" applyBorder="1" applyAlignment="1" applyProtection="1">
      <alignment horizontal="right" vertical="center"/>
      <protection hidden="1"/>
    </xf>
    <xf numFmtId="38" fontId="7" fillId="10" borderId="68" xfId="10" applyNumberFormat="1" applyFont="1" applyFill="1" applyBorder="1" applyAlignment="1" applyProtection="1">
      <alignment horizontal="right" vertical="center"/>
      <protection hidden="1"/>
    </xf>
    <xf numFmtId="38" fontId="7" fillId="10" borderId="32" xfId="10" applyNumberFormat="1" applyFont="1" applyFill="1" applyBorder="1" applyAlignment="1" applyProtection="1">
      <alignment horizontal="right" vertical="center"/>
      <protection locked="0"/>
    </xf>
    <xf numFmtId="38" fontId="7" fillId="10" borderId="36" xfId="10" applyNumberFormat="1" applyFont="1" applyFill="1" applyBorder="1" applyAlignment="1" applyProtection="1">
      <alignment horizontal="right" vertical="center"/>
      <protection locked="0"/>
    </xf>
    <xf numFmtId="0" fontId="7" fillId="0" borderId="0" xfId="10" applyFont="1" applyBorder="1" applyAlignment="1" applyProtection="1">
      <alignment horizontal="left" vertical="center"/>
      <protection hidden="1"/>
    </xf>
    <xf numFmtId="0" fontId="7" fillId="0" borderId="81" xfId="10" applyFont="1" applyBorder="1" applyAlignment="1" applyProtection="1">
      <alignment horizontal="left" vertical="center"/>
      <protection hidden="1"/>
    </xf>
    <xf numFmtId="183" fontId="7" fillId="0" borderId="33" xfId="10" applyNumberFormat="1" applyFont="1" applyBorder="1" applyAlignment="1" applyProtection="1">
      <alignment horizontal="left" indent="1"/>
      <protection hidden="1"/>
    </xf>
    <xf numFmtId="183" fontId="79" fillId="0" borderId="0" xfId="10" applyNumberFormat="1" applyFont="1" applyBorder="1" applyAlignment="1" applyProtection="1">
      <alignment horizontal="right" vertical="center"/>
      <protection hidden="1"/>
    </xf>
    <xf numFmtId="183" fontId="79" fillId="0" borderId="81" xfId="10" applyNumberFormat="1" applyFont="1" applyBorder="1" applyAlignment="1" applyProtection="1">
      <alignment horizontal="right" vertical="center"/>
      <protection hidden="1"/>
    </xf>
    <xf numFmtId="185" fontId="7" fillId="0" borderId="81" xfId="10" applyNumberFormat="1" applyFont="1" applyFill="1" applyBorder="1" applyAlignment="1" applyProtection="1">
      <alignment vertical="center"/>
      <protection hidden="1"/>
    </xf>
    <xf numFmtId="38" fontId="7" fillId="0" borderId="33" xfId="10" applyNumberFormat="1" applyFont="1" applyFill="1" applyBorder="1" applyAlignment="1" applyProtection="1">
      <alignment horizontal="left" indent="1"/>
      <protection hidden="1"/>
    </xf>
    <xf numFmtId="38" fontId="7" fillId="0" borderId="0" xfId="10" applyNumberFormat="1" applyFont="1" applyFill="1" applyBorder="1" applyAlignment="1" applyProtection="1">
      <alignment horizontal="right" vertical="center"/>
      <protection hidden="1"/>
    </xf>
    <xf numFmtId="38" fontId="70" fillId="2" borderId="68" xfId="13" applyNumberFormat="1" applyFont="1" applyFill="1" applyBorder="1" applyAlignment="1" applyProtection="1">
      <alignment horizontal="right" vertical="center"/>
      <protection hidden="1"/>
    </xf>
    <xf numFmtId="38" fontId="7" fillId="0" borderId="33" xfId="10" applyNumberFormat="1" applyFont="1" applyBorder="1" applyAlignment="1" applyProtection="1">
      <alignment horizontal="left"/>
      <protection hidden="1"/>
    </xf>
    <xf numFmtId="38" fontId="7" fillId="0" borderId="0" xfId="10" applyNumberFormat="1" applyFont="1" applyBorder="1" applyAlignment="1" applyProtection="1">
      <alignment horizontal="center" vertical="center"/>
      <protection hidden="1"/>
    </xf>
    <xf numFmtId="0" fontId="7" fillId="10" borderId="33" xfId="10" applyFont="1" applyFill="1" applyBorder="1" applyAlignment="1" applyProtection="1">
      <alignment horizontal="left"/>
      <protection hidden="1"/>
    </xf>
    <xf numFmtId="0" fontId="7" fillId="10" borderId="0" xfId="10" applyFont="1" applyFill="1" applyBorder="1" applyAlignment="1" applyProtection="1">
      <alignment horizontal="center" vertical="center"/>
      <protection hidden="1"/>
    </xf>
    <xf numFmtId="9" fontId="7" fillId="10" borderId="68" xfId="8" applyNumberFormat="1" applyFont="1" applyFill="1" applyBorder="1" applyAlignment="1" applyProtection="1">
      <alignment horizontal="right" vertical="center"/>
      <protection locked="0"/>
    </xf>
    <xf numFmtId="9" fontId="7" fillId="10" borderId="32" xfId="8" applyNumberFormat="1" applyFont="1" applyFill="1" applyBorder="1" applyAlignment="1" applyProtection="1">
      <alignment horizontal="right" vertical="center"/>
      <protection locked="0"/>
    </xf>
    <xf numFmtId="9" fontId="7" fillId="10" borderId="32" xfId="8" applyFont="1" applyFill="1" applyBorder="1" applyAlignment="1" applyProtection="1">
      <alignment horizontal="right" vertical="center"/>
      <protection locked="0"/>
    </xf>
    <xf numFmtId="9" fontId="7" fillId="10" borderId="36" xfId="8" applyFont="1" applyFill="1" applyBorder="1" applyAlignment="1" applyProtection="1">
      <alignment horizontal="right" vertical="center"/>
      <protection locked="0"/>
    </xf>
    <xf numFmtId="0" fontId="7" fillId="0" borderId="0" xfId="10" applyFont="1" applyFill="1" applyBorder="1" applyAlignment="1" applyProtection="1">
      <alignment horizontal="left" vertical="center"/>
      <protection hidden="1"/>
    </xf>
    <xf numFmtId="38" fontId="7" fillId="0" borderId="0" xfId="10" applyNumberFormat="1" applyFont="1" applyFill="1" applyBorder="1" applyAlignment="1" applyProtection="1">
      <alignment horizontal="center" vertical="center"/>
      <protection hidden="1"/>
    </xf>
    <xf numFmtId="38" fontId="7" fillId="0" borderId="33" xfId="10" applyNumberFormat="1" applyFont="1" applyFill="1" applyBorder="1" applyAlignment="1" applyProtection="1">
      <alignment horizontal="left" indent="2"/>
      <protection hidden="1"/>
    </xf>
    <xf numFmtId="38" fontId="7" fillId="2" borderId="33" xfId="10" applyNumberFormat="1" applyFont="1" applyFill="1" applyBorder="1" applyAlignment="1" applyProtection="1">
      <alignment horizontal="left"/>
      <protection hidden="1"/>
    </xf>
    <xf numFmtId="38" fontId="7" fillId="2" borderId="0" xfId="10" applyNumberFormat="1" applyFont="1" applyFill="1" applyBorder="1" applyAlignment="1" applyProtection="1">
      <alignment horizontal="left" vertical="center"/>
      <protection hidden="1"/>
    </xf>
    <xf numFmtId="38" fontId="7" fillId="2" borderId="81" xfId="10" applyNumberFormat="1" applyFont="1" applyFill="1" applyBorder="1" applyAlignment="1" applyProtection="1">
      <alignment horizontal="right" vertical="center"/>
      <protection hidden="1"/>
    </xf>
    <xf numFmtId="38" fontId="7" fillId="2" borderId="113" xfId="10" applyNumberFormat="1" applyFont="1" applyFill="1" applyBorder="1" applyAlignment="1" applyProtection="1">
      <alignment horizontal="right" vertical="center"/>
      <protection hidden="1"/>
    </xf>
    <xf numFmtId="0" fontId="83" fillId="0" borderId="115" xfId="0" applyFont="1" applyBorder="1" applyAlignment="1">
      <alignment vertical="center"/>
    </xf>
    <xf numFmtId="0" fontId="12" fillId="7" borderId="87" xfId="0" applyFont="1" applyFill="1" applyBorder="1" applyAlignment="1" applyProtection="1">
      <alignment horizontal="left"/>
      <protection hidden="1"/>
    </xf>
    <xf numFmtId="0" fontId="83" fillId="0" borderId="109" xfId="0" applyFont="1" applyBorder="1" applyAlignment="1">
      <alignment vertical="center"/>
    </xf>
    <xf numFmtId="185" fontId="7" fillId="0" borderId="49" xfId="10" applyNumberFormat="1" applyFont="1" applyBorder="1" applyAlignment="1" applyProtection="1">
      <alignment horizontal="left" indent="1"/>
      <protection hidden="1"/>
    </xf>
    <xf numFmtId="185" fontId="7" fillId="0" borderId="49" xfId="10" applyNumberFormat="1" applyFont="1" applyFill="1" applyBorder="1" applyAlignment="1" applyProtection="1">
      <alignment horizontal="left" indent="1"/>
      <protection hidden="1"/>
    </xf>
    <xf numFmtId="185" fontId="7" fillId="0" borderId="81" xfId="10" applyNumberFormat="1" applyFont="1" applyFill="1" applyBorder="1" applyAlignment="1" applyProtection="1">
      <alignment horizontal="left" vertical="center"/>
      <protection hidden="1"/>
    </xf>
    <xf numFmtId="0" fontId="7" fillId="0" borderId="33" xfId="0" applyFont="1" applyBorder="1" applyAlignment="1" applyProtection="1">
      <alignment horizontal="left"/>
      <protection hidden="1"/>
    </xf>
    <xf numFmtId="0" fontId="7" fillId="0" borderId="81" xfId="0" applyFont="1" applyBorder="1" applyAlignment="1" applyProtection="1">
      <alignment vertical="center"/>
      <protection hidden="1"/>
    </xf>
    <xf numFmtId="38" fontId="7" fillId="4" borderId="68" xfId="0" applyNumberFormat="1" applyFont="1" applyFill="1" applyBorder="1" applyAlignment="1" applyProtection="1">
      <alignment vertical="center"/>
      <protection hidden="1"/>
    </xf>
    <xf numFmtId="0" fontId="7" fillId="0" borderId="34" xfId="0" applyFont="1" applyFill="1" applyBorder="1" applyAlignment="1" applyProtection="1">
      <alignment horizontal="left"/>
      <protection hidden="1"/>
    </xf>
    <xf numFmtId="0" fontId="7" fillId="0" borderId="11" xfId="0" applyFont="1" applyFill="1" applyBorder="1" applyAlignment="1" applyProtection="1">
      <alignment vertical="center"/>
      <protection hidden="1"/>
    </xf>
    <xf numFmtId="0" fontId="7" fillId="0" borderId="116" xfId="0" applyFont="1" applyFill="1" applyBorder="1" applyAlignment="1" applyProtection="1">
      <alignment vertical="center"/>
      <protection hidden="1"/>
    </xf>
    <xf numFmtId="38" fontId="7" fillId="4" borderId="117" xfId="0" applyNumberFormat="1" applyFont="1" applyFill="1" applyBorder="1" applyAlignment="1" applyProtection="1">
      <alignment vertical="center"/>
      <protection hidden="1"/>
    </xf>
    <xf numFmtId="0" fontId="0" fillId="0" borderId="0" xfId="0" applyBorder="1" applyAlignment="1">
      <alignment vertical="center"/>
    </xf>
    <xf numFmtId="0" fontId="0" fillId="0" borderId="0" xfId="0" applyAlignment="1" applyProtection="1">
      <alignment vertical="center"/>
      <protection locked="0"/>
    </xf>
    <xf numFmtId="0" fontId="12" fillId="7" borderId="28" xfId="0" applyFont="1" applyFill="1" applyBorder="1" applyAlignment="1" applyProtection="1">
      <alignment vertical="center"/>
      <protection locked="0"/>
    </xf>
    <xf numFmtId="0" fontId="0" fillId="0" borderId="0" xfId="0" applyAlignment="1" applyProtection="1">
      <alignment vertical="center"/>
      <protection hidden="1"/>
    </xf>
    <xf numFmtId="0" fontId="7" fillId="0" borderId="118" xfId="0" applyFont="1" applyFill="1" applyBorder="1" applyAlignment="1" applyProtection="1">
      <alignment vertical="center"/>
      <protection hidden="1"/>
    </xf>
    <xf numFmtId="0" fontId="7" fillId="0" borderId="62" xfId="0" applyFont="1" applyFill="1" applyBorder="1" applyAlignment="1" applyProtection="1">
      <alignment vertical="center"/>
      <protection hidden="1"/>
    </xf>
    <xf numFmtId="0" fontId="65" fillId="0" borderId="0" xfId="0" applyFont="1" applyAlignment="1" applyProtection="1">
      <alignment vertical="center"/>
      <protection hidden="1"/>
    </xf>
    <xf numFmtId="0" fontId="65" fillId="0" borderId="0" xfId="0" applyFont="1" applyAlignment="1">
      <alignment vertical="center"/>
    </xf>
    <xf numFmtId="38" fontId="24" fillId="0" borderId="0" xfId="0" applyNumberFormat="1" applyFont="1" applyFill="1" applyBorder="1" applyAlignment="1" applyProtection="1">
      <alignment vertical="center"/>
      <protection hidden="1"/>
    </xf>
    <xf numFmtId="38" fontId="7" fillId="0" borderId="113" xfId="10" applyNumberFormat="1" applyFont="1" applyBorder="1" applyAlignment="1" applyProtection="1">
      <alignment vertical="center"/>
      <protection hidden="1"/>
    </xf>
    <xf numFmtId="38" fontId="7" fillId="0" borderId="68" xfId="10" applyNumberFormat="1" applyFont="1" applyBorder="1" applyAlignment="1" applyProtection="1">
      <alignment vertical="center"/>
      <protection hidden="1"/>
    </xf>
    <xf numFmtId="38" fontId="70" fillId="3" borderId="32" xfId="13" applyNumberFormat="1" applyFont="1" applyFill="1" applyBorder="1" applyAlignment="1" applyProtection="1">
      <alignment horizontal="right" vertical="center"/>
      <protection hidden="1"/>
    </xf>
    <xf numFmtId="38" fontId="70" fillId="0" borderId="32" xfId="13" applyNumberFormat="1" applyFont="1" applyFill="1" applyBorder="1" applyAlignment="1" applyProtection="1">
      <alignment horizontal="right" vertical="center"/>
      <protection hidden="1"/>
    </xf>
    <xf numFmtId="38" fontId="70" fillId="0" borderId="113" xfId="0" applyNumberFormat="1" applyFont="1" applyFill="1" applyBorder="1" applyAlignment="1" applyProtection="1">
      <alignment vertical="center"/>
      <protection hidden="1"/>
    </xf>
    <xf numFmtId="38" fontId="70" fillId="0" borderId="68" xfId="0" applyNumberFormat="1" applyFont="1" applyFill="1" applyBorder="1" applyAlignment="1" applyProtection="1">
      <alignment vertical="center"/>
      <protection hidden="1"/>
    </xf>
    <xf numFmtId="38" fontId="19" fillId="0" borderId="49" xfId="0" applyNumberFormat="1" applyFont="1" applyFill="1" applyBorder="1" applyAlignment="1" applyProtection="1">
      <alignment horizontal="left" vertical="center" indent="1"/>
      <protection hidden="1"/>
    </xf>
    <xf numFmtId="38" fontId="7" fillId="0" borderId="32" xfId="13" applyNumberFormat="1" applyFont="1" applyFill="1" applyBorder="1" applyAlignment="1" applyProtection="1">
      <alignment horizontal="right" vertical="center"/>
      <protection hidden="1"/>
    </xf>
    <xf numFmtId="38" fontId="19" fillId="0" borderId="49" xfId="13" applyNumberFormat="1" applyFont="1" applyFill="1" applyBorder="1" applyAlignment="1" applyProtection="1">
      <alignment horizontal="left" vertical="center" indent="1"/>
      <protection hidden="1"/>
    </xf>
    <xf numFmtId="38" fontId="70" fillId="0" borderId="113" xfId="13" applyNumberFormat="1" applyFont="1" applyFill="1" applyBorder="1" applyAlignment="1" applyProtection="1">
      <alignment vertical="center"/>
      <protection hidden="1"/>
    </xf>
    <xf numFmtId="38" fontId="70" fillId="0" borderId="68" xfId="13" applyNumberFormat="1" applyFont="1" applyFill="1" applyBorder="1" applyAlignment="1" applyProtection="1">
      <alignment vertical="center"/>
      <protection hidden="1"/>
    </xf>
    <xf numFmtId="40" fontId="70" fillId="3" borderId="32" xfId="0" applyNumberFormat="1" applyFont="1" applyFill="1" applyBorder="1" applyAlignment="1" applyProtection="1">
      <alignment horizontal="right" vertical="center"/>
      <protection hidden="1"/>
    </xf>
    <xf numFmtId="40" fontId="7" fillId="0" borderId="32" xfId="0" applyNumberFormat="1" applyFont="1" applyFill="1" applyBorder="1" applyAlignment="1" applyProtection="1">
      <alignment horizontal="right" vertical="center"/>
      <protection hidden="1"/>
    </xf>
    <xf numFmtId="38" fontId="70" fillId="0" borderId="120" xfId="0" applyNumberFormat="1" applyFont="1" applyFill="1" applyBorder="1" applyAlignment="1" applyProtection="1">
      <alignment vertical="center"/>
      <protection hidden="1"/>
    </xf>
    <xf numFmtId="38" fontId="70" fillId="0" borderId="117" xfId="0" applyNumberFormat="1" applyFont="1" applyFill="1" applyBorder="1" applyAlignment="1" applyProtection="1">
      <alignment vertical="center"/>
      <protection hidden="1"/>
    </xf>
    <xf numFmtId="40" fontId="70" fillId="0" borderId="89" xfId="0" applyNumberFormat="1" applyFont="1" applyFill="1" applyBorder="1" applyAlignment="1" applyProtection="1">
      <alignment horizontal="right" vertical="center"/>
      <protection hidden="1"/>
    </xf>
    <xf numFmtId="38" fontId="70" fillId="0" borderId="11" xfId="0" applyNumberFormat="1" applyFont="1" applyFill="1" applyBorder="1" applyAlignment="1" applyProtection="1">
      <alignment vertical="center"/>
      <protection hidden="1"/>
    </xf>
    <xf numFmtId="38" fontId="70" fillId="0" borderId="116" xfId="0" applyNumberFormat="1" applyFont="1" applyFill="1" applyBorder="1" applyAlignment="1" applyProtection="1">
      <alignment vertical="center"/>
      <protection hidden="1"/>
    </xf>
    <xf numFmtId="38" fontId="70" fillId="0" borderId="121" xfId="0" applyNumberFormat="1" applyFont="1" applyFill="1" applyBorder="1" applyAlignment="1" applyProtection="1">
      <alignment horizontal="right" vertical="center"/>
      <protection hidden="1"/>
    </xf>
    <xf numFmtId="0" fontId="0" fillId="0" borderId="0" xfId="0" applyFill="1" applyAlignment="1" applyProtection="1">
      <alignment vertical="center"/>
      <protection hidden="1"/>
    </xf>
    <xf numFmtId="0" fontId="0" fillId="0" borderId="0" xfId="0" applyFill="1" applyAlignment="1">
      <alignment vertical="center"/>
    </xf>
    <xf numFmtId="40" fontId="70" fillId="0" borderId="0" xfId="0" applyNumberFormat="1" applyFont="1" applyFill="1" applyBorder="1" applyAlignment="1" applyProtection="1">
      <alignment horizontal="right" vertical="center"/>
      <protection hidden="1"/>
    </xf>
    <xf numFmtId="178" fontId="70" fillId="0" borderId="0" xfId="13" applyNumberFormat="1" applyFont="1" applyFill="1" applyBorder="1" applyAlignment="1" applyProtection="1">
      <alignment vertical="center"/>
      <protection hidden="1"/>
    </xf>
    <xf numFmtId="0" fontId="83" fillId="0" borderId="0" xfId="0" applyFont="1" applyFill="1" applyBorder="1" applyAlignment="1" applyProtection="1">
      <alignment horizontal="right" vertical="center"/>
      <protection hidden="1"/>
    </xf>
    <xf numFmtId="38" fontId="70" fillId="0" borderId="0" xfId="0" applyNumberFormat="1" applyFont="1" applyFill="1" applyBorder="1" applyAlignment="1" applyProtection="1">
      <alignment horizontal="right" vertical="center"/>
      <protection hidden="1"/>
    </xf>
    <xf numFmtId="38" fontId="70" fillId="0" borderId="0" xfId="13" applyNumberFormat="1" applyFont="1" applyFill="1" applyBorder="1" applyAlignment="1" applyProtection="1">
      <alignment horizontal="right" vertical="center"/>
      <protection hidden="1"/>
    </xf>
    <xf numFmtId="0" fontId="82" fillId="7" borderId="28" xfId="0" applyFont="1" applyFill="1" applyBorder="1" applyAlignment="1" applyProtection="1">
      <alignment horizontal="right" vertical="center"/>
      <protection locked="0"/>
    </xf>
    <xf numFmtId="0" fontId="83" fillId="0" borderId="118" xfId="0" applyFont="1" applyFill="1" applyBorder="1" applyAlignment="1" applyProtection="1">
      <alignment vertical="center"/>
      <protection hidden="1"/>
    </xf>
    <xf numFmtId="0" fontId="83" fillId="0" borderId="62" xfId="0" applyFont="1" applyFill="1" applyBorder="1" applyAlignment="1" applyProtection="1">
      <alignment vertical="center"/>
      <protection hidden="1"/>
    </xf>
    <xf numFmtId="0" fontId="69" fillId="0" borderId="113" xfId="10" applyFont="1" applyFill="1" applyBorder="1" applyAlignment="1" applyProtection="1">
      <alignment vertical="center"/>
      <protection hidden="1"/>
    </xf>
    <xf numFmtId="38" fontId="69" fillId="0" borderId="68" xfId="10" applyNumberFormat="1" applyFont="1" applyFill="1" applyBorder="1" applyAlignment="1" applyProtection="1">
      <alignment vertical="center"/>
      <protection hidden="1"/>
    </xf>
    <xf numFmtId="38" fontId="7" fillId="6" borderId="32" xfId="10" applyNumberFormat="1" applyFont="1" applyFill="1" applyBorder="1" applyAlignment="1" applyProtection="1">
      <alignment horizontal="right" vertical="center"/>
      <protection locked="0"/>
    </xf>
    <xf numFmtId="0" fontId="44" fillId="0" borderId="0" xfId="0" applyFont="1" applyAlignment="1" applyProtection="1">
      <alignment vertical="center"/>
      <protection hidden="1"/>
    </xf>
    <xf numFmtId="0" fontId="79" fillId="0" borderId="113" xfId="10" applyFont="1" applyFill="1" applyBorder="1" applyAlignment="1" applyProtection="1">
      <alignment horizontal="right" vertical="center"/>
      <protection hidden="1"/>
    </xf>
    <xf numFmtId="0" fontId="79" fillId="0" borderId="68" xfId="10" applyFont="1" applyFill="1" applyBorder="1" applyAlignment="1" applyProtection="1">
      <alignment horizontal="right" vertical="center"/>
      <protection hidden="1"/>
    </xf>
    <xf numFmtId="0" fontId="44" fillId="0" borderId="0" xfId="0" applyFont="1" applyFill="1" applyAlignment="1" applyProtection="1">
      <alignment vertical="center"/>
      <protection hidden="1"/>
    </xf>
    <xf numFmtId="0" fontId="7" fillId="0" borderId="113" xfId="10" applyFont="1" applyFill="1" applyBorder="1" applyAlignment="1" applyProtection="1">
      <alignment vertical="center"/>
      <protection hidden="1"/>
    </xf>
    <xf numFmtId="0" fontId="7" fillId="0" borderId="68" xfId="10" applyFont="1" applyFill="1" applyBorder="1" applyAlignment="1" applyProtection="1">
      <alignment vertical="center"/>
      <protection hidden="1"/>
    </xf>
    <xf numFmtId="38" fontId="7" fillId="0" borderId="113" xfId="10" applyNumberFormat="1" applyFont="1" applyFill="1" applyBorder="1" applyAlignment="1" applyProtection="1">
      <alignment vertical="center"/>
      <protection hidden="1"/>
    </xf>
    <xf numFmtId="38" fontId="7" fillId="0" borderId="68" xfId="10" applyNumberFormat="1" applyFont="1" applyFill="1" applyBorder="1" applyAlignment="1" applyProtection="1">
      <alignment vertical="center"/>
      <protection hidden="1"/>
    </xf>
    <xf numFmtId="38" fontId="79" fillId="0" borderId="113" xfId="10" applyNumberFormat="1" applyFont="1" applyFill="1" applyBorder="1" applyAlignment="1" applyProtection="1">
      <alignment horizontal="right" vertical="center"/>
      <protection hidden="1"/>
    </xf>
    <xf numFmtId="38" fontId="79" fillId="0" borderId="68" xfId="10" applyNumberFormat="1" applyFont="1" applyFill="1" applyBorder="1" applyAlignment="1" applyProtection="1">
      <alignment horizontal="right" vertical="center"/>
      <protection hidden="1"/>
    </xf>
    <xf numFmtId="0" fontId="7" fillId="0" borderId="32" xfId="10" applyFont="1" applyFill="1" applyBorder="1" applyAlignment="1" applyProtection="1">
      <alignment horizontal="right" vertical="center"/>
      <protection hidden="1"/>
    </xf>
    <xf numFmtId="38" fontId="7" fillId="0" borderId="32" xfId="10" applyNumberFormat="1" applyFont="1" applyFill="1" applyBorder="1" applyAlignment="1" applyProtection="1">
      <alignment horizontal="right" vertical="center"/>
      <protection hidden="1"/>
    </xf>
    <xf numFmtId="0" fontId="5" fillId="0" borderId="49" xfId="10" applyFont="1" applyFill="1" applyBorder="1" applyAlignment="1" applyProtection="1">
      <alignment horizontal="left" vertical="center" indent="1"/>
      <protection hidden="1"/>
    </xf>
    <xf numFmtId="0" fontId="7" fillId="0" borderId="113" xfId="10" applyFont="1" applyFill="1" applyBorder="1" applyAlignment="1" applyProtection="1">
      <alignment horizontal="right" vertical="center"/>
      <protection hidden="1"/>
    </xf>
    <xf numFmtId="0" fontId="7" fillId="0" borderId="68" xfId="10" applyFont="1" applyFill="1" applyBorder="1" applyAlignment="1" applyProtection="1">
      <alignment horizontal="right" vertical="center"/>
      <protection hidden="1"/>
    </xf>
    <xf numFmtId="179" fontId="7" fillId="4" borderId="32" xfId="10" applyNumberFormat="1" applyFont="1" applyFill="1" applyBorder="1" applyAlignment="1" applyProtection="1">
      <alignment horizontal="right" vertical="center"/>
      <protection hidden="1"/>
    </xf>
    <xf numFmtId="38" fontId="7" fillId="0" borderId="113" xfId="10" applyNumberFormat="1" applyFont="1" applyFill="1" applyBorder="1" applyAlignment="1" applyProtection="1">
      <alignment horizontal="right" vertical="center"/>
      <protection hidden="1"/>
    </xf>
    <xf numFmtId="38" fontId="7" fillId="0" borderId="68" xfId="10" applyNumberFormat="1" applyFont="1" applyFill="1" applyBorder="1" applyAlignment="1" applyProtection="1">
      <alignment horizontal="right" vertical="center"/>
      <protection hidden="1"/>
    </xf>
    <xf numFmtId="179" fontId="7" fillId="5" borderId="32" xfId="10" applyNumberFormat="1" applyFont="1" applyFill="1" applyBorder="1" applyAlignment="1" applyProtection="1">
      <alignment horizontal="right" vertical="center"/>
      <protection locked="0"/>
    </xf>
    <xf numFmtId="179" fontId="7" fillId="0" borderId="32" xfId="10" applyNumberFormat="1" applyFont="1" applyFill="1" applyBorder="1" applyAlignment="1" applyProtection="1">
      <alignment horizontal="right" vertical="center"/>
      <protection hidden="1"/>
    </xf>
    <xf numFmtId="184" fontId="7" fillId="4" borderId="32" xfId="10" applyNumberFormat="1" applyFont="1" applyFill="1" applyBorder="1" applyAlignment="1" applyProtection="1">
      <alignment horizontal="right" vertical="center"/>
      <protection hidden="1"/>
    </xf>
    <xf numFmtId="38" fontId="5" fillId="0" borderId="49" xfId="10" applyNumberFormat="1" applyFont="1" applyFill="1" applyBorder="1" applyAlignment="1" applyProtection="1">
      <alignment horizontal="left" vertical="center" indent="1"/>
      <protection hidden="1"/>
    </xf>
    <xf numFmtId="0" fontId="79" fillId="0" borderId="113" xfId="8" applyNumberFormat="1" applyFont="1" applyFill="1" applyBorder="1" applyAlignment="1" applyProtection="1">
      <alignment horizontal="right" vertical="center"/>
      <protection hidden="1"/>
    </xf>
    <xf numFmtId="0" fontId="79" fillId="0" borderId="68" xfId="8" applyNumberFormat="1" applyFont="1" applyFill="1" applyBorder="1" applyAlignment="1" applyProtection="1">
      <alignment horizontal="right" vertical="center"/>
      <protection hidden="1"/>
    </xf>
    <xf numFmtId="180" fontId="79" fillId="0" borderId="113" xfId="8" applyNumberFormat="1" applyFont="1" applyFill="1" applyBorder="1" applyAlignment="1" applyProtection="1">
      <alignment horizontal="right" vertical="center"/>
      <protection hidden="1"/>
    </xf>
    <xf numFmtId="180" fontId="79" fillId="0" borderId="68" xfId="8" applyNumberFormat="1" applyFont="1" applyFill="1" applyBorder="1" applyAlignment="1" applyProtection="1">
      <alignment horizontal="right" vertical="center"/>
      <protection hidden="1"/>
    </xf>
    <xf numFmtId="0" fontId="83" fillId="0" borderId="113" xfId="0" applyFont="1" applyFill="1" applyBorder="1" applyAlignment="1" applyProtection="1">
      <alignment vertical="center"/>
      <protection hidden="1"/>
    </xf>
    <xf numFmtId="0" fontId="83" fillId="0" borderId="68" xfId="0" applyFont="1" applyFill="1" applyBorder="1" applyAlignment="1" applyProtection="1">
      <alignment vertical="center"/>
      <protection hidden="1"/>
    </xf>
    <xf numFmtId="0" fontId="7" fillId="0" borderId="32" xfId="0" applyFont="1" applyFill="1" applyBorder="1" applyAlignment="1" applyProtection="1">
      <alignment horizontal="right" vertical="center"/>
      <protection hidden="1"/>
    </xf>
    <xf numFmtId="0" fontId="83" fillId="0" borderId="32" xfId="0" applyFont="1" applyFill="1" applyBorder="1" applyAlignment="1" applyProtection="1">
      <alignment horizontal="right" vertical="center"/>
      <protection hidden="1"/>
    </xf>
    <xf numFmtId="0" fontId="79" fillId="0" borderId="120" xfId="10" applyFont="1" applyFill="1" applyBorder="1" applyAlignment="1" applyProtection="1">
      <alignment horizontal="right" vertical="center"/>
      <protection hidden="1"/>
    </xf>
    <xf numFmtId="0" fontId="79" fillId="0" borderId="117" xfId="10" applyFont="1" applyFill="1" applyBorder="1" applyAlignment="1" applyProtection="1">
      <alignment horizontal="right" vertical="center"/>
      <protection hidden="1"/>
    </xf>
    <xf numFmtId="0" fontId="29" fillId="0" borderId="0" xfId="0" applyFont="1" applyFill="1" applyBorder="1" applyAlignment="1" applyProtection="1">
      <alignment horizontal="right" vertical="center"/>
      <protection hidden="1"/>
    </xf>
    <xf numFmtId="180" fontId="29" fillId="0" borderId="0" xfId="8" applyNumberFormat="1" applyFont="1" applyFill="1" applyBorder="1" applyAlignment="1" applyProtection="1">
      <alignment horizontal="right" vertical="center"/>
      <protection hidden="1"/>
    </xf>
    <xf numFmtId="0" fontId="60" fillId="7" borderId="28" xfId="0" applyFont="1" applyFill="1" applyBorder="1" applyAlignment="1" applyProtection="1">
      <alignment vertical="center"/>
      <protection locked="0"/>
    </xf>
    <xf numFmtId="0" fontId="11" fillId="7" borderId="28" xfId="0" applyFont="1" applyFill="1" applyBorder="1" applyAlignment="1" applyProtection="1">
      <alignment vertical="center"/>
      <protection locked="0"/>
    </xf>
    <xf numFmtId="0" fontId="45" fillId="7" borderId="28" xfId="0" applyFont="1" applyFill="1" applyBorder="1" applyAlignment="1" applyProtection="1">
      <alignment vertical="center"/>
      <protection locked="0"/>
    </xf>
    <xf numFmtId="0" fontId="11" fillId="7" borderId="29" xfId="0" applyFont="1" applyFill="1" applyBorder="1" applyAlignment="1" applyProtection="1">
      <alignment vertical="center"/>
      <protection locked="0"/>
    </xf>
    <xf numFmtId="189" fontId="7" fillId="4" borderId="39" xfId="0" applyNumberFormat="1" applyFont="1" applyFill="1" applyBorder="1" applyAlignment="1" applyProtection="1">
      <alignment horizontal="right" vertical="center"/>
      <protection hidden="1"/>
    </xf>
    <xf numFmtId="189" fontId="7" fillId="4" borderId="32" xfId="0" applyNumberFormat="1" applyFont="1" applyFill="1" applyBorder="1" applyAlignment="1" applyProtection="1">
      <alignment horizontal="right" vertical="center"/>
      <protection hidden="1"/>
    </xf>
    <xf numFmtId="189" fontId="7" fillId="2" borderId="32" xfId="0" applyNumberFormat="1" applyFont="1" applyFill="1" applyBorder="1" applyAlignment="1" applyProtection="1">
      <alignment horizontal="right" vertical="center"/>
      <protection hidden="1"/>
    </xf>
    <xf numFmtId="189" fontId="7" fillId="2" borderId="36" xfId="0" applyNumberFormat="1" applyFont="1" applyFill="1" applyBorder="1" applyAlignment="1" applyProtection="1">
      <alignment horizontal="right" vertical="center"/>
      <protection hidden="1"/>
    </xf>
    <xf numFmtId="189" fontId="7" fillId="4" borderId="44" xfId="0" applyNumberFormat="1" applyFont="1" applyFill="1" applyBorder="1" applyAlignment="1" applyProtection="1">
      <alignment horizontal="right" vertical="center"/>
      <protection hidden="1"/>
    </xf>
    <xf numFmtId="189" fontId="7" fillId="4" borderId="89" xfId="0" applyNumberFormat="1" applyFont="1" applyFill="1" applyBorder="1" applyAlignment="1" applyProtection="1">
      <alignment horizontal="right" vertical="center"/>
      <protection hidden="1"/>
    </xf>
    <xf numFmtId="189" fontId="7" fillId="2" borderId="89" xfId="0" applyNumberFormat="1" applyFont="1" applyFill="1" applyBorder="1" applyAlignment="1" applyProtection="1">
      <alignment horizontal="right" vertical="center"/>
      <protection hidden="1"/>
    </xf>
    <xf numFmtId="189" fontId="7" fillId="2" borderId="90" xfId="0" applyNumberFormat="1" applyFont="1" applyFill="1" applyBorder="1" applyAlignment="1" applyProtection="1">
      <alignment horizontal="right" vertical="center"/>
      <protection hidden="1"/>
    </xf>
    <xf numFmtId="0" fontId="29" fillId="0" borderId="9" xfId="0" applyFont="1" applyFill="1" applyBorder="1" applyAlignment="1" applyProtection="1">
      <alignment vertical="center"/>
      <protection hidden="1"/>
    </xf>
    <xf numFmtId="0" fontId="29" fillId="0" borderId="10" xfId="0" applyFont="1" applyFill="1" applyBorder="1" applyAlignment="1" applyProtection="1">
      <alignment vertical="center"/>
      <protection hidden="1"/>
    </xf>
    <xf numFmtId="0" fontId="29" fillId="0" borderId="10" xfId="0" applyFont="1" applyFill="1" applyBorder="1" applyAlignment="1" applyProtection="1">
      <alignment horizontal="right" vertical="center"/>
      <protection hidden="1"/>
    </xf>
    <xf numFmtId="0" fontId="29" fillId="0" borderId="12" xfId="0" applyFont="1" applyFill="1" applyBorder="1" applyAlignment="1" applyProtection="1">
      <alignment horizontal="right" vertical="center"/>
      <protection hidden="1"/>
    </xf>
    <xf numFmtId="0" fontId="29" fillId="0" borderId="4" xfId="0" applyFont="1" applyFill="1" applyBorder="1" applyAlignment="1" applyProtection="1">
      <alignment vertical="center"/>
      <protection hidden="1"/>
    </xf>
    <xf numFmtId="0" fontId="29" fillId="0" borderId="14" xfId="0" applyFont="1" applyFill="1" applyBorder="1" applyAlignment="1" applyProtection="1">
      <alignment horizontal="right" vertical="center"/>
      <protection hidden="1"/>
    </xf>
    <xf numFmtId="0" fontId="29" fillId="0" borderId="7" xfId="0" applyFont="1" applyFill="1" applyBorder="1" applyAlignment="1" applyProtection="1">
      <alignment vertical="center"/>
      <protection hidden="1"/>
    </xf>
    <xf numFmtId="0" fontId="29" fillId="0" borderId="11" xfId="0" applyFont="1" applyFill="1" applyBorder="1" applyAlignment="1" applyProtection="1">
      <alignment vertical="center"/>
      <protection hidden="1"/>
    </xf>
    <xf numFmtId="0" fontId="29" fillId="0" borderId="11" xfId="0" applyFont="1" applyFill="1" applyBorder="1" applyAlignment="1" applyProtection="1">
      <alignment horizontal="right" vertical="center"/>
      <protection hidden="1"/>
    </xf>
    <xf numFmtId="0" fontId="29" fillId="0" borderId="15" xfId="0" applyFont="1" applyFill="1" applyBorder="1" applyAlignment="1" applyProtection="1">
      <alignment horizontal="right" vertical="center"/>
      <protection hidden="1"/>
    </xf>
    <xf numFmtId="0" fontId="29" fillId="0" borderId="0" xfId="0" applyFont="1" applyAlignment="1" applyProtection="1">
      <alignment horizontal="right" vertical="center"/>
      <protection hidden="1"/>
    </xf>
    <xf numFmtId="0" fontId="7" fillId="11" borderId="23" xfId="11" applyFont="1" applyFill="1" applyBorder="1" applyAlignment="1">
      <alignment vertical="center"/>
    </xf>
    <xf numFmtId="0" fontId="65" fillId="11" borderId="23" xfId="11" applyFill="1" applyBorder="1" applyAlignment="1">
      <alignment vertical="center"/>
    </xf>
    <xf numFmtId="0" fontId="65" fillId="2" borderId="0" xfId="11" applyFill="1" applyAlignment="1">
      <alignment vertical="center"/>
    </xf>
    <xf numFmtId="0" fontId="65" fillId="0" borderId="0" xfId="11" applyFill="1" applyAlignment="1">
      <alignment vertical="center"/>
    </xf>
    <xf numFmtId="0" fontId="7" fillId="2" borderId="0" xfId="11" applyFont="1" applyFill="1">
      <alignment vertical="center"/>
    </xf>
    <xf numFmtId="0" fontId="7" fillId="2" borderId="1" xfId="11" applyFont="1" applyFill="1" applyBorder="1" applyAlignment="1">
      <alignment horizontal="left" vertical="center"/>
    </xf>
    <xf numFmtId="0" fontId="7" fillId="2" borderId="1" xfId="11" applyFont="1" applyFill="1" applyBorder="1" applyAlignment="1">
      <alignment horizontal="left"/>
    </xf>
    <xf numFmtId="0" fontId="7" fillId="2" borderId="3" xfId="11" applyFont="1" applyFill="1" applyBorder="1" applyAlignment="1">
      <alignment horizontal="left"/>
    </xf>
    <xf numFmtId="0" fontId="7" fillId="2" borderId="0" xfId="11" applyFont="1" applyFill="1" applyAlignment="1">
      <alignment horizontal="right" vertical="center"/>
    </xf>
    <xf numFmtId="0" fontId="7" fillId="11" borderId="23" xfId="11" applyFont="1" applyFill="1" applyBorder="1" applyAlignment="1">
      <alignment horizontal="right" vertical="center"/>
    </xf>
    <xf numFmtId="0" fontId="7" fillId="2" borderId="0" xfId="11" applyFont="1" applyFill="1" applyBorder="1" applyAlignment="1">
      <alignment horizontal="right"/>
    </xf>
    <xf numFmtId="0" fontId="7" fillId="0" borderId="0" xfId="11" applyFont="1" applyAlignment="1">
      <alignment horizontal="right" vertical="center"/>
    </xf>
    <xf numFmtId="38" fontId="7" fillId="2" borderId="0" xfId="11" applyNumberFormat="1" applyFont="1" applyFill="1" applyBorder="1" applyAlignment="1">
      <alignment horizontal="right"/>
    </xf>
    <xf numFmtId="0" fontId="7" fillId="2" borderId="0" xfId="11" applyFont="1" applyFill="1" applyBorder="1" applyAlignment="1"/>
    <xf numFmtId="0" fontId="7" fillId="2" borderId="0" xfId="11" applyFont="1" applyFill="1" applyBorder="1" applyAlignment="1">
      <alignment horizontal="left"/>
    </xf>
    <xf numFmtId="1" fontId="7" fillId="2" borderId="0" xfId="11" applyNumberFormat="1" applyFont="1" applyFill="1" applyAlignment="1">
      <alignment horizontal="right" vertical="center"/>
    </xf>
    <xf numFmtId="193" fontId="7" fillId="2" borderId="0" xfId="11" applyNumberFormat="1" applyFont="1" applyFill="1" applyAlignment="1">
      <alignment horizontal="right"/>
    </xf>
    <xf numFmtId="193" fontId="7" fillId="2" borderId="0" xfId="11" applyNumberFormat="1" applyFont="1" applyFill="1" applyBorder="1" applyAlignment="1">
      <alignment horizontal="right"/>
    </xf>
    <xf numFmtId="196" fontId="81" fillId="6" borderId="0" xfId="11" applyNumberFormat="1" applyFont="1" applyFill="1" applyBorder="1" applyAlignment="1" applyProtection="1">
      <alignment horizontal="center"/>
      <protection locked="0"/>
    </xf>
    <xf numFmtId="0" fontId="7" fillId="2" borderId="0" xfId="11" applyFont="1" applyFill="1" applyBorder="1" applyAlignment="1">
      <alignment horizontal="right" vertical="center"/>
    </xf>
    <xf numFmtId="0" fontId="7" fillId="2" borderId="0" xfId="11" applyFont="1" applyFill="1" applyBorder="1" applyAlignment="1">
      <alignment horizontal="left" vertical="center"/>
    </xf>
    <xf numFmtId="0" fontId="7" fillId="2" borderId="0" xfId="11" applyFont="1" applyFill="1" applyAlignment="1">
      <alignment horizontal="left" vertical="center"/>
    </xf>
    <xf numFmtId="194" fontId="7" fillId="2" borderId="0" xfId="11" applyNumberFormat="1" applyFont="1" applyFill="1" applyAlignment="1">
      <alignment horizontal="right" vertical="center"/>
    </xf>
    <xf numFmtId="194" fontId="7" fillId="2" borderId="0" xfId="11" applyNumberFormat="1" applyFont="1" applyFill="1" applyBorder="1" applyAlignment="1">
      <alignment horizontal="right" vertical="center"/>
    </xf>
    <xf numFmtId="38" fontId="70" fillId="2" borderId="0" xfId="11" applyNumberFormat="1" applyFont="1" applyFill="1" applyBorder="1" applyAlignment="1">
      <alignment horizontal="center"/>
    </xf>
    <xf numFmtId="38" fontId="7" fillId="2" borderId="2" xfId="11" applyNumberFormat="1" applyFont="1" applyFill="1" applyBorder="1" applyAlignment="1">
      <alignment horizontal="right"/>
    </xf>
    <xf numFmtId="38" fontId="7" fillId="2" borderId="3" xfId="11" applyNumberFormat="1" applyFont="1" applyFill="1" applyBorder="1" applyAlignment="1">
      <alignment horizontal="right"/>
    </xf>
    <xf numFmtId="38" fontId="7" fillId="14" borderId="19" xfId="11" applyNumberFormat="1" applyFont="1" applyFill="1" applyBorder="1" applyAlignment="1">
      <alignment horizontal="right"/>
    </xf>
    <xf numFmtId="38" fontId="7" fillId="2" borderId="20" xfId="11" applyNumberFormat="1" applyFont="1" applyFill="1" applyBorder="1" applyAlignment="1">
      <alignment horizontal="right"/>
    </xf>
    <xf numFmtId="38" fontId="7" fillId="14" borderId="0" xfId="11" applyNumberFormat="1" applyFont="1" applyFill="1" applyBorder="1" applyAlignment="1">
      <alignment horizontal="right"/>
    </xf>
    <xf numFmtId="38" fontId="7" fillId="14" borderId="86" xfId="11" applyNumberFormat="1" applyFont="1" applyFill="1" applyBorder="1" applyAlignment="1">
      <alignment horizontal="right"/>
    </xf>
    <xf numFmtId="38" fontId="7" fillId="14" borderId="91" xfId="11" applyNumberFormat="1" applyFont="1" applyFill="1" applyBorder="1" applyAlignment="1">
      <alignment horizontal="right"/>
    </xf>
    <xf numFmtId="38" fontId="7" fillId="2" borderId="94" xfId="11" applyNumberFormat="1" applyFont="1" applyFill="1" applyBorder="1" applyAlignment="1">
      <alignment horizontal="right"/>
    </xf>
    <xf numFmtId="0" fontId="7" fillId="0" borderId="0" xfId="11" applyFont="1" applyAlignment="1">
      <alignment horizontal="left" vertical="center"/>
    </xf>
    <xf numFmtId="38" fontId="7" fillId="2" borderId="0" xfId="11" applyNumberFormat="1" applyFont="1" applyFill="1" applyAlignment="1">
      <alignment horizontal="center" vertical="center"/>
    </xf>
    <xf numFmtId="38" fontId="7" fillId="2" borderId="91" xfId="11" applyNumberFormat="1" applyFont="1" applyFill="1" applyBorder="1" applyAlignment="1">
      <alignment horizontal="right" vertical="center"/>
    </xf>
    <xf numFmtId="195" fontId="70" fillId="2" borderId="91" xfId="11" applyNumberFormat="1" applyFont="1" applyFill="1" applyBorder="1" applyAlignment="1" applyProtection="1">
      <alignment horizontal="right" vertical="center"/>
      <protection locked="0"/>
    </xf>
    <xf numFmtId="38" fontId="7" fillId="2" borderId="85" xfId="11" applyNumberFormat="1" applyFont="1" applyFill="1" applyBorder="1" applyAlignment="1">
      <alignment horizontal="right"/>
    </xf>
    <xf numFmtId="0" fontId="7" fillId="0" borderId="109" xfId="0" applyFont="1" applyFill="1" applyBorder="1" applyProtection="1">
      <protection hidden="1"/>
    </xf>
    <xf numFmtId="0" fontId="7" fillId="0" borderId="110" xfId="0" applyFont="1" applyFill="1" applyBorder="1" applyProtection="1">
      <protection hidden="1"/>
    </xf>
    <xf numFmtId="0" fontId="62" fillId="0" borderId="62" xfId="0" applyFont="1" applyFill="1" applyBorder="1" applyAlignment="1" applyProtection="1">
      <alignment horizontal="right"/>
      <protection hidden="1"/>
    </xf>
    <xf numFmtId="0" fontId="62" fillId="0" borderId="37" xfId="0" applyFont="1" applyFill="1" applyBorder="1" applyAlignment="1" applyProtection="1">
      <alignment horizontal="right"/>
      <protection hidden="1"/>
    </xf>
    <xf numFmtId="0" fontId="62" fillId="0" borderId="88" xfId="0" applyFont="1" applyFill="1" applyBorder="1" applyAlignment="1" applyProtection="1">
      <alignment horizontal="right"/>
      <protection hidden="1"/>
    </xf>
    <xf numFmtId="185" fontId="7" fillId="0" borderId="113" xfId="10" applyNumberFormat="1" applyFont="1" applyBorder="1" applyProtection="1">
      <protection hidden="1"/>
    </xf>
    <xf numFmtId="185" fontId="7" fillId="0" borderId="68" xfId="10" applyNumberFormat="1" applyFont="1" applyBorder="1" applyProtection="1">
      <protection hidden="1"/>
    </xf>
    <xf numFmtId="38" fontId="70" fillId="3" borderId="68" xfId="13" applyNumberFormat="1" applyFont="1" applyFill="1" applyBorder="1" applyAlignment="1" applyProtection="1">
      <alignment horizontal="right"/>
      <protection hidden="1"/>
    </xf>
    <xf numFmtId="38" fontId="70" fillId="3" borderId="32" xfId="13" applyNumberFormat="1" applyFont="1" applyFill="1" applyBorder="1" applyAlignment="1" applyProtection="1">
      <alignment horizontal="right"/>
      <protection hidden="1"/>
    </xf>
    <xf numFmtId="38" fontId="7" fillId="0" borderId="32" xfId="10" applyNumberFormat="1" applyFont="1" applyFill="1" applyBorder="1" applyAlignment="1" applyProtection="1">
      <alignment horizontal="right"/>
      <protection hidden="1"/>
    </xf>
    <xf numFmtId="38" fontId="7" fillId="0" borderId="36" xfId="10" applyNumberFormat="1" applyFont="1" applyFill="1" applyBorder="1" applyAlignment="1" applyProtection="1">
      <alignment horizontal="right"/>
      <protection hidden="1"/>
    </xf>
    <xf numFmtId="185" fontId="7" fillId="0" borderId="113" xfId="10" applyNumberFormat="1" applyFont="1" applyFill="1" applyBorder="1" applyProtection="1">
      <protection hidden="1"/>
    </xf>
    <xf numFmtId="185" fontId="7" fillId="0" borderId="68" xfId="10" applyNumberFormat="1" applyFont="1" applyFill="1" applyBorder="1" applyProtection="1">
      <protection hidden="1"/>
    </xf>
    <xf numFmtId="185" fontId="7" fillId="0" borderId="113" xfId="10" applyNumberFormat="1" applyFont="1" applyFill="1" applyBorder="1" applyAlignment="1" applyProtection="1">
      <alignment horizontal="left"/>
      <protection hidden="1"/>
    </xf>
    <xf numFmtId="185" fontId="7" fillId="0" borderId="68" xfId="10" applyNumberFormat="1" applyFont="1" applyFill="1" applyBorder="1" applyAlignment="1" applyProtection="1">
      <alignment horizontal="left"/>
      <protection hidden="1"/>
    </xf>
    <xf numFmtId="185" fontId="7" fillId="0" borderId="113" xfId="10" applyNumberFormat="1" applyFont="1" applyFill="1" applyBorder="1" applyAlignment="1" applyProtection="1">
      <alignment horizontal="right"/>
      <protection hidden="1"/>
    </xf>
    <xf numFmtId="185" fontId="7" fillId="0" borderId="68" xfId="10" applyNumberFormat="1" applyFont="1" applyFill="1" applyBorder="1" applyAlignment="1" applyProtection="1">
      <alignment horizontal="right"/>
      <protection hidden="1"/>
    </xf>
    <xf numFmtId="185" fontId="83" fillId="0" borderId="113" xfId="10" applyNumberFormat="1" applyFont="1" applyBorder="1" applyProtection="1">
      <protection hidden="1"/>
    </xf>
    <xf numFmtId="185" fontId="83" fillId="0" borderId="68" xfId="10" applyNumberFormat="1" applyFont="1" applyBorder="1" applyProtection="1">
      <protection hidden="1"/>
    </xf>
    <xf numFmtId="38" fontId="61" fillId="3" borderId="68" xfId="13" applyNumberFormat="1" applyFont="1" applyFill="1" applyBorder="1" applyAlignment="1" applyProtection="1">
      <alignment horizontal="right"/>
      <protection hidden="1"/>
    </xf>
    <xf numFmtId="38" fontId="61" fillId="3" borderId="32" xfId="13" applyNumberFormat="1" applyFont="1" applyFill="1" applyBorder="1" applyAlignment="1" applyProtection="1">
      <alignment horizontal="right"/>
      <protection hidden="1"/>
    </xf>
    <xf numFmtId="38" fontId="62" fillId="0" borderId="32" xfId="10" applyNumberFormat="1" applyFont="1" applyFill="1" applyBorder="1" applyAlignment="1" applyProtection="1">
      <alignment horizontal="right"/>
      <protection hidden="1"/>
    </xf>
    <xf numFmtId="38" fontId="62" fillId="0" borderId="36" xfId="10" applyNumberFormat="1" applyFont="1" applyFill="1" applyBorder="1" applyAlignment="1" applyProtection="1">
      <alignment horizontal="right"/>
      <protection hidden="1"/>
    </xf>
    <xf numFmtId="185" fontId="7" fillId="0" borderId="113" xfId="10" applyNumberFormat="1" applyFont="1" applyBorder="1" applyAlignment="1" applyProtection="1">
      <alignment horizontal="left"/>
      <protection hidden="1"/>
    </xf>
    <xf numFmtId="185" fontId="7" fillId="0" borderId="68" xfId="10" applyNumberFormat="1" applyFont="1" applyBorder="1" applyAlignment="1" applyProtection="1">
      <alignment horizontal="left"/>
      <protection hidden="1"/>
    </xf>
    <xf numFmtId="0" fontId="7" fillId="0" borderId="113" xfId="10" applyFont="1" applyBorder="1" applyAlignment="1" applyProtection="1">
      <alignment horizontal="left"/>
      <protection hidden="1"/>
    </xf>
    <xf numFmtId="0" fontId="7" fillId="0" borderId="68" xfId="10" applyFont="1" applyBorder="1" applyAlignment="1" applyProtection="1">
      <alignment horizontal="left"/>
      <protection hidden="1"/>
    </xf>
    <xf numFmtId="185" fontId="7" fillId="0" borderId="113" xfId="10" applyNumberFormat="1" applyFont="1" applyBorder="1" applyAlignment="1" applyProtection="1">
      <alignment horizontal="right"/>
      <protection hidden="1"/>
    </xf>
    <xf numFmtId="185" fontId="7" fillId="0" borderId="68" xfId="10" applyNumberFormat="1" applyFont="1" applyBorder="1" applyAlignment="1" applyProtection="1">
      <alignment horizontal="right"/>
      <protection hidden="1"/>
    </xf>
    <xf numFmtId="185" fontId="5" fillId="0" borderId="49" xfId="10" applyNumberFormat="1" applyFont="1" applyFill="1" applyBorder="1" applyAlignment="1" applyProtection="1">
      <alignment horizontal="left" indent="2"/>
      <protection hidden="1"/>
    </xf>
    <xf numFmtId="185" fontId="87" fillId="0" borderId="113" xfId="10" applyNumberFormat="1" applyFont="1" applyBorder="1" applyProtection="1">
      <protection hidden="1"/>
    </xf>
    <xf numFmtId="185" fontId="87" fillId="0" borderId="68" xfId="10" applyNumberFormat="1" applyFont="1" applyBorder="1" applyProtection="1">
      <protection hidden="1"/>
    </xf>
    <xf numFmtId="185" fontId="5" fillId="0" borderId="49" xfId="10" applyNumberFormat="1" applyFont="1" applyBorder="1" applyAlignment="1" applyProtection="1">
      <alignment horizontal="left" indent="2"/>
      <protection hidden="1"/>
    </xf>
    <xf numFmtId="38" fontId="70" fillId="0" borderId="32" xfId="13" applyNumberFormat="1" applyFont="1" applyFill="1" applyBorder="1" applyAlignment="1" applyProtection="1">
      <alignment horizontal="right"/>
      <protection hidden="1"/>
    </xf>
    <xf numFmtId="185" fontId="7" fillId="0" borderId="32" xfId="10" applyNumberFormat="1" applyFont="1" applyFill="1" applyBorder="1" applyAlignment="1" applyProtection="1">
      <alignment horizontal="right"/>
      <protection hidden="1"/>
    </xf>
    <xf numFmtId="0" fontId="75" fillId="0" borderId="120" xfId="10" applyFont="1" applyFill="1" applyBorder="1" applyProtection="1">
      <protection hidden="1"/>
    </xf>
    <xf numFmtId="0" fontId="75" fillId="0" borderId="117" xfId="10" applyFont="1" applyFill="1" applyBorder="1" applyProtection="1">
      <protection hidden="1"/>
    </xf>
    <xf numFmtId="0" fontId="75" fillId="0" borderId="47" xfId="10" applyFont="1" applyFill="1" applyBorder="1" applyProtection="1">
      <protection hidden="1"/>
    </xf>
    <xf numFmtId="185" fontId="75" fillId="0" borderId="47" xfId="10" applyNumberFormat="1" applyFont="1" applyFill="1" applyBorder="1" applyAlignment="1" applyProtection="1">
      <alignment horizontal="right"/>
      <protection hidden="1"/>
    </xf>
    <xf numFmtId="185" fontId="75" fillId="0" borderId="0" xfId="10" applyNumberFormat="1" applyFont="1" applyFill="1" applyBorder="1" applyAlignment="1" applyProtection="1">
      <alignment horizontal="right"/>
      <protection hidden="1"/>
    </xf>
    <xf numFmtId="185" fontId="75" fillId="0" borderId="10" xfId="10" applyNumberFormat="1" applyFont="1" applyFill="1" applyBorder="1" applyAlignment="1" applyProtection="1">
      <alignment horizontal="right"/>
      <protection hidden="1"/>
    </xf>
    <xf numFmtId="185" fontId="80" fillId="7" borderId="0" xfId="10" applyNumberFormat="1" applyFont="1" applyFill="1" applyBorder="1" applyProtection="1">
      <protection locked="0"/>
    </xf>
    <xf numFmtId="185" fontId="80" fillId="7" borderId="28" xfId="10" applyNumberFormat="1" applyFont="1" applyFill="1" applyBorder="1" applyProtection="1">
      <protection locked="0"/>
    </xf>
    <xf numFmtId="185" fontId="80" fillId="7" borderId="29" xfId="10" applyNumberFormat="1" applyFont="1" applyFill="1" applyBorder="1" applyProtection="1">
      <protection locked="0"/>
    </xf>
    <xf numFmtId="0" fontId="75" fillId="0" borderId="49" xfId="10" applyFont="1" applyFill="1" applyBorder="1" applyAlignment="1" applyProtection="1">
      <alignment horizontal="left"/>
      <protection hidden="1"/>
    </xf>
    <xf numFmtId="0" fontId="75" fillId="0" borderId="109" xfId="10" applyFont="1" applyFill="1" applyBorder="1" applyProtection="1">
      <protection hidden="1"/>
    </xf>
    <xf numFmtId="0" fontId="75" fillId="0" borderId="110" xfId="10" applyFont="1" applyFill="1" applyBorder="1" applyProtection="1">
      <protection hidden="1"/>
    </xf>
    <xf numFmtId="0" fontId="7" fillId="0" borderId="83" xfId="0" applyFont="1" applyFill="1" applyBorder="1" applyAlignment="1" applyProtection="1">
      <alignment horizontal="right"/>
      <protection hidden="1"/>
    </xf>
    <xf numFmtId="0" fontId="7" fillId="0" borderId="75" xfId="0" applyFont="1" applyFill="1" applyBorder="1" applyAlignment="1" applyProtection="1">
      <alignment horizontal="right"/>
      <protection hidden="1"/>
    </xf>
    <xf numFmtId="0" fontId="7" fillId="0" borderId="123" xfId="0" applyFont="1" applyFill="1" applyBorder="1" applyAlignment="1" applyProtection="1">
      <alignment horizontal="right"/>
      <protection hidden="1"/>
    </xf>
    <xf numFmtId="184" fontId="7" fillId="0" borderId="113" xfId="10" applyNumberFormat="1" applyFont="1" applyFill="1" applyBorder="1" applyAlignment="1" applyProtection="1">
      <alignment horizontal="left"/>
      <protection hidden="1"/>
    </xf>
    <xf numFmtId="184" fontId="7" fillId="0" borderId="109" xfId="10" applyNumberFormat="1" applyFont="1" applyFill="1" applyBorder="1" applyAlignment="1" applyProtection="1">
      <alignment horizontal="right"/>
      <protection hidden="1"/>
    </xf>
    <xf numFmtId="184" fontId="7" fillId="0" borderId="110" xfId="10" applyNumberFormat="1" applyFont="1" applyFill="1" applyBorder="1" applyAlignment="1" applyProtection="1">
      <alignment horizontal="right"/>
      <protection hidden="1"/>
    </xf>
    <xf numFmtId="38" fontId="70" fillId="3" borderId="110" xfId="13" applyNumberFormat="1" applyFont="1" applyFill="1" applyBorder="1" applyAlignment="1" applyProtection="1">
      <alignment horizontal="right"/>
      <protection hidden="1"/>
    </xf>
    <xf numFmtId="184" fontId="70" fillId="3" borderId="96" xfId="13" applyNumberFormat="1" applyFont="1" applyFill="1" applyBorder="1" applyAlignment="1" applyProtection="1">
      <alignment horizontal="right"/>
      <protection hidden="1"/>
    </xf>
    <xf numFmtId="184" fontId="70" fillId="3" borderId="38" xfId="13" applyNumberFormat="1" applyFont="1" applyFill="1" applyBorder="1" applyAlignment="1" applyProtection="1">
      <alignment horizontal="right"/>
      <protection hidden="1"/>
    </xf>
    <xf numFmtId="184" fontId="70" fillId="3" borderId="32" xfId="13" applyNumberFormat="1" applyFont="1" applyFill="1" applyBorder="1" applyAlignment="1" applyProtection="1">
      <alignment horizontal="right"/>
      <protection hidden="1"/>
    </xf>
    <xf numFmtId="184" fontId="70" fillId="3" borderId="36" xfId="13" applyNumberFormat="1" applyFont="1" applyFill="1" applyBorder="1" applyAlignment="1" applyProtection="1">
      <alignment horizontal="right"/>
      <protection hidden="1"/>
    </xf>
    <xf numFmtId="0" fontId="7" fillId="0" borderId="113" xfId="10" applyFont="1" applyFill="1" applyBorder="1" applyAlignment="1" applyProtection="1">
      <alignment horizontal="left"/>
      <protection hidden="1"/>
    </xf>
    <xf numFmtId="0" fontId="7" fillId="0" borderId="113" xfId="10" applyFont="1" applyFill="1" applyBorder="1" applyAlignment="1" applyProtection="1">
      <alignment horizontal="right"/>
      <protection hidden="1"/>
    </xf>
    <xf numFmtId="0" fontId="7" fillId="0" borderId="68" xfId="10" applyFont="1" applyFill="1" applyBorder="1" applyAlignment="1" applyProtection="1">
      <alignment horizontal="right"/>
      <protection hidden="1"/>
    </xf>
    <xf numFmtId="184" fontId="70" fillId="3" borderId="89" xfId="13" applyNumberFormat="1" applyFont="1" applyFill="1" applyBorder="1" applyAlignment="1" applyProtection="1">
      <alignment horizontal="right"/>
      <protection hidden="1"/>
    </xf>
    <xf numFmtId="184" fontId="70" fillId="3" borderId="90" xfId="13" applyNumberFormat="1" applyFont="1" applyFill="1" applyBorder="1" applyAlignment="1" applyProtection="1">
      <alignment horizontal="right"/>
      <protection hidden="1"/>
    </xf>
    <xf numFmtId="38" fontId="70" fillId="3" borderId="36" xfId="13" applyNumberFormat="1" applyFont="1" applyFill="1" applyBorder="1" applyAlignment="1" applyProtection="1">
      <alignment horizontal="right"/>
      <protection hidden="1"/>
    </xf>
    <xf numFmtId="184" fontId="70" fillId="0" borderId="0" xfId="13" applyNumberFormat="1" applyFont="1" applyFill="1" applyBorder="1" applyAlignment="1" applyProtection="1">
      <alignment horizontal="right"/>
      <protection hidden="1"/>
    </xf>
    <xf numFmtId="0" fontId="7" fillId="0" borderId="114" xfId="10" applyFont="1" applyFill="1" applyBorder="1" applyAlignment="1" applyProtection="1">
      <alignment horizontal="left"/>
      <protection hidden="1"/>
    </xf>
    <xf numFmtId="0" fontId="7" fillId="0" borderId="120" xfId="10" applyFont="1" applyFill="1" applyBorder="1" applyAlignment="1" applyProtection="1">
      <alignment horizontal="right"/>
      <protection hidden="1"/>
    </xf>
    <xf numFmtId="38" fontId="70" fillId="3" borderId="90" xfId="13" applyNumberFormat="1" applyFont="1" applyFill="1" applyBorder="1" applyAlignment="1" applyProtection="1">
      <alignment horizontal="right"/>
      <protection hidden="1"/>
    </xf>
    <xf numFmtId="0" fontId="75" fillId="0" borderId="10" xfId="10" applyFont="1" applyFill="1" applyBorder="1" applyProtection="1">
      <protection hidden="1"/>
    </xf>
    <xf numFmtId="0" fontId="75" fillId="0" borderId="0" xfId="10" applyFont="1" applyFill="1" applyBorder="1" applyProtection="1">
      <protection hidden="1"/>
    </xf>
    <xf numFmtId="184" fontId="75" fillId="0" borderId="0" xfId="10" applyNumberFormat="1" applyFont="1" applyFill="1" applyBorder="1" applyAlignment="1" applyProtection="1">
      <alignment horizontal="right"/>
      <protection hidden="1"/>
    </xf>
    <xf numFmtId="185" fontId="80" fillId="7" borderId="10" xfId="10" applyNumberFormat="1" applyFont="1" applyFill="1" applyBorder="1" applyProtection="1">
      <protection locked="0"/>
    </xf>
    <xf numFmtId="0" fontId="81" fillId="7" borderId="28" xfId="10" applyFont="1" applyFill="1" applyBorder="1" applyAlignment="1" applyProtection="1">
      <alignment horizontal="right"/>
      <protection locked="0"/>
    </xf>
    <xf numFmtId="185" fontId="81" fillId="7" borderId="28" xfId="10" applyNumberFormat="1" applyFont="1" applyFill="1" applyBorder="1" applyAlignment="1" applyProtection="1">
      <alignment horizontal="right"/>
      <protection locked="0"/>
    </xf>
    <xf numFmtId="0" fontId="82" fillId="7" borderId="28" xfId="0" applyFont="1" applyFill="1" applyBorder="1" applyAlignment="1" applyProtection="1">
      <alignment horizontal="right"/>
      <protection locked="0"/>
    </xf>
    <xf numFmtId="0" fontId="7" fillId="0" borderId="62" xfId="0" applyFont="1" applyFill="1" applyBorder="1" applyAlignment="1" applyProtection="1">
      <alignment horizontal="right"/>
      <protection hidden="1"/>
    </xf>
    <xf numFmtId="0" fontId="7" fillId="0" borderId="37" xfId="0" applyFont="1" applyFill="1" applyBorder="1" applyAlignment="1" applyProtection="1">
      <alignment horizontal="right"/>
      <protection hidden="1"/>
    </xf>
    <xf numFmtId="0" fontId="7" fillId="0" borderId="113" xfId="10" applyFont="1" applyFill="1" applyBorder="1" applyProtection="1">
      <protection hidden="1"/>
    </xf>
    <xf numFmtId="0" fontId="7" fillId="0" borderId="68" xfId="10" applyFont="1" applyFill="1" applyBorder="1" applyProtection="1">
      <protection hidden="1"/>
    </xf>
    <xf numFmtId="38" fontId="7" fillId="4" borderId="68" xfId="10" applyNumberFormat="1" applyFont="1" applyFill="1" applyBorder="1" applyAlignment="1" applyProtection="1">
      <alignment horizontal="right"/>
      <protection hidden="1"/>
    </xf>
    <xf numFmtId="38" fontId="7" fillId="4" borderId="32" xfId="10" applyNumberFormat="1" applyFont="1" applyFill="1" applyBorder="1" applyAlignment="1" applyProtection="1">
      <alignment horizontal="right"/>
      <protection hidden="1"/>
    </xf>
    <xf numFmtId="38" fontId="7" fillId="0" borderId="32" xfId="10" applyNumberFormat="1" applyFont="1" applyFill="1" applyBorder="1" applyAlignment="1" applyProtection="1">
      <alignment horizontal="right"/>
      <protection locked="0"/>
    </xf>
    <xf numFmtId="181" fontId="7" fillId="0" borderId="113" xfId="10" applyNumberFormat="1" applyFont="1" applyBorder="1" applyProtection="1">
      <protection hidden="1"/>
    </xf>
    <xf numFmtId="181" fontId="7" fillId="0" borderId="68" xfId="10" applyNumberFormat="1" applyFont="1" applyBorder="1" applyProtection="1">
      <protection hidden="1"/>
    </xf>
    <xf numFmtId="38" fontId="7" fillId="0" borderId="68" xfId="8" applyNumberFormat="1" applyFont="1" applyFill="1" applyBorder="1" applyAlignment="1" applyProtection="1">
      <alignment horizontal="right"/>
      <protection hidden="1"/>
    </xf>
    <xf numFmtId="38" fontId="7" fillId="0" borderId="32" xfId="8" applyNumberFormat="1" applyFont="1" applyFill="1" applyBorder="1" applyAlignment="1" applyProtection="1">
      <alignment horizontal="right"/>
      <protection hidden="1"/>
    </xf>
    <xf numFmtId="38" fontId="7" fillId="2" borderId="32" xfId="10" applyNumberFormat="1" applyFont="1" applyFill="1" applyBorder="1" applyAlignment="1" applyProtection="1">
      <alignment horizontal="right"/>
      <protection hidden="1"/>
    </xf>
    <xf numFmtId="38" fontId="7" fillId="2" borderId="36" xfId="10" applyNumberFormat="1" applyFont="1" applyFill="1" applyBorder="1" applyAlignment="1" applyProtection="1">
      <alignment horizontal="right"/>
      <protection hidden="1"/>
    </xf>
    <xf numFmtId="38" fontId="7" fillId="4" borderId="68" xfId="10" applyNumberFormat="1" applyFont="1" applyFill="1" applyBorder="1" applyAlignment="1" applyProtection="1">
      <alignment horizontal="right"/>
      <protection locked="0"/>
    </xf>
    <xf numFmtId="38" fontId="7" fillId="4" borderId="32" xfId="10" applyNumberFormat="1" applyFont="1" applyFill="1" applyBorder="1" applyAlignment="1" applyProtection="1">
      <alignment horizontal="right"/>
      <protection locked="0"/>
    </xf>
    <xf numFmtId="38" fontId="7" fillId="0" borderId="68" xfId="10" applyNumberFormat="1" applyFont="1" applyFill="1" applyBorder="1" applyAlignment="1" applyProtection="1">
      <alignment horizontal="right"/>
      <protection hidden="1"/>
    </xf>
    <xf numFmtId="185" fontId="7" fillId="0" borderId="113" xfId="10" applyNumberFormat="1" applyFont="1" applyFill="1" applyBorder="1" applyAlignment="1" applyProtection="1">
      <alignment horizontal="center"/>
      <protection hidden="1"/>
    </xf>
    <xf numFmtId="181" fontId="7" fillId="0" borderId="113" xfId="10" applyNumberFormat="1" applyFont="1" applyFill="1" applyBorder="1" applyAlignment="1" applyProtection="1">
      <alignment horizontal="right"/>
      <protection hidden="1"/>
    </xf>
    <xf numFmtId="191" fontId="7" fillId="4" borderId="68" xfId="10" applyNumberFormat="1" applyFont="1" applyFill="1" applyBorder="1" applyAlignment="1" applyProtection="1">
      <alignment horizontal="right"/>
      <protection hidden="1"/>
    </xf>
    <xf numFmtId="191" fontId="7" fillId="4" borderId="32" xfId="10" applyNumberFormat="1" applyFont="1" applyFill="1" applyBorder="1" applyAlignment="1" applyProtection="1">
      <alignment horizontal="right"/>
      <protection hidden="1"/>
    </xf>
    <xf numFmtId="191" fontId="7" fillId="2" borderId="32" xfId="10" applyNumberFormat="1" applyFont="1" applyFill="1" applyBorder="1" applyAlignment="1" applyProtection="1">
      <alignment horizontal="right"/>
      <protection hidden="1"/>
    </xf>
    <xf numFmtId="184" fontId="7" fillId="0" borderId="113" xfId="10" applyNumberFormat="1" applyFont="1" applyFill="1" applyBorder="1" applyAlignment="1" applyProtection="1">
      <alignment horizontal="right"/>
      <protection hidden="1"/>
    </xf>
    <xf numFmtId="180" fontId="7" fillId="4" borderId="68" xfId="8" applyNumberFormat="1" applyFont="1" applyFill="1" applyBorder="1" applyAlignment="1" applyProtection="1">
      <alignment horizontal="right"/>
      <protection hidden="1"/>
    </xf>
    <xf numFmtId="180" fontId="7" fillId="4" borderId="32" xfId="8" applyNumberFormat="1" applyFont="1" applyFill="1" applyBorder="1" applyAlignment="1" applyProtection="1">
      <alignment horizontal="right"/>
      <protection hidden="1"/>
    </xf>
    <xf numFmtId="38" fontId="70" fillId="2" borderId="32" xfId="13" applyNumberFormat="1" applyFont="1" applyFill="1" applyBorder="1" applyAlignment="1" applyProtection="1">
      <alignment horizontal="right"/>
      <protection locked="0"/>
    </xf>
    <xf numFmtId="38" fontId="7" fillId="4" borderId="68" xfId="8" applyNumberFormat="1" applyFont="1" applyFill="1" applyBorder="1" applyAlignment="1" applyProtection="1">
      <alignment horizontal="right"/>
      <protection hidden="1"/>
    </xf>
    <xf numFmtId="38" fontId="7" fillId="4" borderId="32" xfId="8" applyNumberFormat="1" applyFont="1" applyFill="1" applyBorder="1" applyAlignment="1" applyProtection="1">
      <alignment horizontal="right"/>
      <protection hidden="1"/>
    </xf>
    <xf numFmtId="38" fontId="7" fillId="5" borderId="68" xfId="10" applyNumberFormat="1" applyFont="1" applyFill="1" applyBorder="1" applyAlignment="1" applyProtection="1">
      <alignment horizontal="right"/>
      <protection locked="0"/>
    </xf>
    <xf numFmtId="38" fontId="7" fillId="5" borderId="32" xfId="10" applyNumberFormat="1" applyFont="1" applyFill="1" applyBorder="1" applyAlignment="1" applyProtection="1">
      <alignment horizontal="right"/>
      <protection locked="0"/>
    </xf>
    <xf numFmtId="181" fontId="7" fillId="0" borderId="113" xfId="10" applyNumberFormat="1" applyFont="1" applyBorder="1" applyAlignment="1" applyProtection="1">
      <alignment horizontal="right"/>
      <protection hidden="1"/>
    </xf>
    <xf numFmtId="181" fontId="7" fillId="0" borderId="68" xfId="10" applyNumberFormat="1" applyFont="1" applyBorder="1" applyAlignment="1" applyProtection="1">
      <alignment horizontal="right"/>
      <protection hidden="1"/>
    </xf>
    <xf numFmtId="38" fontId="7" fillId="2" borderId="68" xfId="10" applyNumberFormat="1" applyFont="1" applyFill="1" applyBorder="1" applyAlignment="1" applyProtection="1">
      <alignment horizontal="right"/>
      <protection hidden="1"/>
    </xf>
    <xf numFmtId="181" fontId="7" fillId="0" borderId="113" xfId="10" applyNumberFormat="1" applyFont="1" applyBorder="1" applyAlignment="1" applyProtection="1">
      <alignment horizontal="left"/>
      <protection hidden="1"/>
    </xf>
    <xf numFmtId="181" fontId="7" fillId="0" borderId="68" xfId="10" applyNumberFormat="1" applyFont="1" applyBorder="1" applyAlignment="1" applyProtection="1">
      <alignment horizontal="left"/>
      <protection hidden="1"/>
    </xf>
    <xf numFmtId="181" fontId="75" fillId="0" borderId="113" xfId="10" applyNumberFormat="1" applyFont="1" applyBorder="1" applyProtection="1">
      <protection hidden="1"/>
    </xf>
    <xf numFmtId="181" fontId="75" fillId="0" borderId="68" xfId="10" applyNumberFormat="1" applyFont="1" applyBorder="1" applyProtection="1">
      <protection hidden="1"/>
    </xf>
    <xf numFmtId="38" fontId="75" fillId="0" borderId="68" xfId="10" applyNumberFormat="1" applyFont="1" applyBorder="1" applyAlignment="1" applyProtection="1">
      <alignment horizontal="right"/>
      <protection hidden="1"/>
    </xf>
    <xf numFmtId="38" fontId="75" fillId="0" borderId="32" xfId="10" applyNumberFormat="1" applyFont="1" applyBorder="1" applyAlignment="1" applyProtection="1">
      <alignment horizontal="right"/>
      <protection hidden="1"/>
    </xf>
    <xf numFmtId="38" fontId="7" fillId="0" borderId="32" xfId="10" applyNumberFormat="1" applyFont="1" applyBorder="1" applyAlignment="1" applyProtection="1">
      <alignment horizontal="right"/>
      <protection hidden="1"/>
    </xf>
    <xf numFmtId="38" fontId="70" fillId="4" borderId="68" xfId="13" applyNumberFormat="1" applyFont="1" applyFill="1" applyBorder="1" applyAlignment="1" applyProtection="1">
      <alignment horizontal="right"/>
      <protection hidden="1"/>
    </xf>
    <xf numFmtId="38" fontId="70" fillId="4" borderId="32" xfId="13" applyNumberFormat="1" applyFont="1" applyFill="1" applyBorder="1" applyAlignment="1" applyProtection="1">
      <alignment horizontal="right"/>
      <protection hidden="1"/>
    </xf>
    <xf numFmtId="38" fontId="70" fillId="2" borderId="32" xfId="13" applyNumberFormat="1" applyFont="1" applyFill="1" applyBorder="1" applyAlignment="1" applyProtection="1">
      <alignment horizontal="right"/>
      <protection hidden="1"/>
    </xf>
    <xf numFmtId="0" fontId="7" fillId="0" borderId="113" xfId="10" applyFont="1" applyBorder="1" applyProtection="1">
      <protection hidden="1"/>
    </xf>
    <xf numFmtId="0" fontId="7" fillId="0" borderId="68" xfId="10" applyFont="1" applyBorder="1" applyProtection="1">
      <protection hidden="1"/>
    </xf>
    <xf numFmtId="38" fontId="7" fillId="0" borderId="68" xfId="10" applyNumberFormat="1" applyFont="1" applyBorder="1" applyAlignment="1" applyProtection="1">
      <alignment horizontal="right"/>
      <protection hidden="1"/>
    </xf>
    <xf numFmtId="38" fontId="70" fillId="2" borderId="68" xfId="13" applyNumberFormat="1" applyFont="1" applyFill="1" applyBorder="1" applyAlignment="1" applyProtection="1">
      <alignment horizontal="right"/>
      <protection hidden="1"/>
    </xf>
    <xf numFmtId="0" fontId="83" fillId="0" borderId="113" xfId="10" applyFont="1" applyBorder="1" applyProtection="1">
      <protection hidden="1"/>
    </xf>
    <xf numFmtId="0" fontId="83" fillId="0" borderId="68" xfId="10" applyFont="1" applyBorder="1" applyProtection="1">
      <protection hidden="1"/>
    </xf>
    <xf numFmtId="0" fontId="7" fillId="0" borderId="113" xfId="10" applyFont="1" applyBorder="1" applyAlignment="1" applyProtection="1">
      <alignment horizontal="right"/>
      <protection hidden="1"/>
    </xf>
    <xf numFmtId="0" fontId="7" fillId="0" borderId="68" xfId="10" applyFont="1" applyBorder="1" applyAlignment="1" applyProtection="1">
      <alignment horizontal="right"/>
      <protection hidden="1"/>
    </xf>
    <xf numFmtId="0" fontId="7" fillId="0" borderId="113" xfId="10" applyFont="1" applyBorder="1" applyAlignment="1" applyProtection="1">
      <alignment horizontal="center"/>
      <protection hidden="1"/>
    </xf>
    <xf numFmtId="38" fontId="70" fillId="5" borderId="32" xfId="13" applyNumberFormat="1" applyFont="1" applyFill="1" applyBorder="1" applyAlignment="1" applyProtection="1">
      <alignment horizontal="right"/>
      <protection locked="0"/>
    </xf>
    <xf numFmtId="0" fontId="7" fillId="2" borderId="113" xfId="10" applyFont="1" applyFill="1" applyBorder="1" applyAlignment="1" applyProtection="1">
      <alignment horizontal="right"/>
      <protection hidden="1"/>
    </xf>
    <xf numFmtId="0" fontId="7" fillId="0" borderId="113" xfId="10" applyFont="1" applyFill="1" applyBorder="1" applyAlignment="1" applyProtection="1">
      <alignment horizontal="center"/>
      <protection hidden="1"/>
    </xf>
    <xf numFmtId="0" fontId="7" fillId="0" borderId="68" xfId="10" applyFont="1" applyBorder="1" applyAlignment="1" applyProtection="1">
      <alignment horizontal="center"/>
      <protection hidden="1"/>
    </xf>
    <xf numFmtId="0" fontId="69" fillId="0" borderId="113" xfId="10" applyFont="1" applyBorder="1" applyAlignment="1" applyProtection="1">
      <alignment horizontal="right"/>
      <protection hidden="1"/>
    </xf>
    <xf numFmtId="0" fontId="69" fillId="0" borderId="68" xfId="10" applyFont="1" applyBorder="1" applyAlignment="1" applyProtection="1">
      <alignment horizontal="right"/>
      <protection hidden="1"/>
    </xf>
    <xf numFmtId="0" fontId="69" fillId="0" borderId="113" xfId="10" applyFont="1" applyBorder="1" applyAlignment="1" applyProtection="1">
      <alignment horizontal="center"/>
      <protection hidden="1"/>
    </xf>
    <xf numFmtId="0" fontId="69" fillId="0" borderId="68" xfId="10" applyFont="1" applyBorder="1" applyAlignment="1" applyProtection="1">
      <alignment horizontal="center"/>
      <protection hidden="1"/>
    </xf>
    <xf numFmtId="180" fontId="7" fillId="0" borderId="32" xfId="8" applyNumberFormat="1" applyFont="1" applyFill="1" applyBorder="1" applyAlignment="1" applyProtection="1">
      <alignment horizontal="right"/>
      <protection hidden="1"/>
    </xf>
    <xf numFmtId="38" fontId="7" fillId="0" borderId="113" xfId="10" applyNumberFormat="1" applyFont="1" applyBorder="1" applyAlignment="1" applyProtection="1">
      <alignment horizontal="right"/>
      <protection hidden="1"/>
    </xf>
    <xf numFmtId="38" fontId="7" fillId="0" borderId="113" xfId="10" applyNumberFormat="1" applyFont="1" applyFill="1" applyBorder="1" applyAlignment="1" applyProtection="1">
      <alignment horizontal="right"/>
      <protection hidden="1"/>
    </xf>
    <xf numFmtId="38" fontId="7" fillId="0" borderId="113" xfId="10" applyNumberFormat="1" applyFont="1" applyBorder="1" applyAlignment="1" applyProtection="1">
      <alignment horizontal="center"/>
      <protection hidden="1"/>
    </xf>
    <xf numFmtId="38" fontId="7" fillId="0" borderId="68" xfId="10" applyNumberFormat="1" applyFont="1" applyBorder="1" applyAlignment="1" applyProtection="1">
      <alignment horizontal="center"/>
      <protection hidden="1"/>
    </xf>
    <xf numFmtId="185" fontId="7" fillId="0" borderId="113" xfId="10" applyNumberFormat="1" applyFont="1" applyBorder="1" applyAlignment="1" applyProtection="1">
      <alignment horizontal="center"/>
      <protection hidden="1"/>
    </xf>
    <xf numFmtId="185" fontId="7" fillId="0" borderId="68" xfId="10" applyNumberFormat="1" applyFont="1" applyBorder="1" applyAlignment="1" applyProtection="1">
      <alignment horizontal="center"/>
      <protection hidden="1"/>
    </xf>
    <xf numFmtId="38" fontId="87" fillId="0" borderId="120" xfId="10" applyNumberFormat="1" applyFont="1" applyBorder="1" applyProtection="1">
      <protection hidden="1"/>
    </xf>
    <xf numFmtId="38" fontId="87" fillId="0" borderId="117" xfId="10" applyNumberFormat="1" applyFont="1" applyBorder="1" applyProtection="1">
      <protection hidden="1"/>
    </xf>
    <xf numFmtId="38" fontId="7" fillId="4" borderId="89" xfId="10" applyNumberFormat="1" applyFont="1" applyFill="1" applyBorder="1" applyAlignment="1" applyProtection="1">
      <alignment horizontal="right"/>
      <protection hidden="1"/>
    </xf>
    <xf numFmtId="38" fontId="7" fillId="0" borderId="89" xfId="10" applyNumberFormat="1" applyFont="1" applyFill="1" applyBorder="1" applyAlignment="1" applyProtection="1">
      <alignment horizontal="right"/>
      <protection hidden="1"/>
    </xf>
    <xf numFmtId="38" fontId="7" fillId="0" borderId="90" xfId="10" applyNumberFormat="1" applyFont="1" applyFill="1" applyBorder="1" applyAlignment="1" applyProtection="1">
      <alignment horizontal="right"/>
      <protection hidden="1"/>
    </xf>
    <xf numFmtId="38" fontId="7" fillId="0" borderId="10" xfId="10" applyNumberFormat="1" applyFont="1" applyFill="1" applyBorder="1" applyProtection="1">
      <protection hidden="1"/>
    </xf>
    <xf numFmtId="38" fontId="7" fillId="0" borderId="0" xfId="10" applyNumberFormat="1" applyFont="1" applyFill="1" applyBorder="1" applyProtection="1">
      <protection hidden="1"/>
    </xf>
    <xf numFmtId="38" fontId="7" fillId="0" borderId="0" xfId="10" applyNumberFormat="1" applyFont="1" applyFill="1" applyBorder="1" applyAlignment="1" applyProtection="1">
      <alignment horizontal="right"/>
      <protection hidden="1"/>
    </xf>
    <xf numFmtId="38" fontId="7" fillId="0" borderId="10" xfId="10" applyNumberFormat="1" applyFont="1" applyFill="1" applyBorder="1" applyAlignment="1" applyProtection="1">
      <alignment horizontal="right"/>
      <protection hidden="1"/>
    </xf>
    <xf numFmtId="38" fontId="81" fillId="7" borderId="28" xfId="0" applyNumberFormat="1" applyFont="1" applyFill="1" applyBorder="1" applyAlignment="1" applyProtection="1">
      <alignment horizontal="right"/>
      <protection locked="0"/>
    </xf>
    <xf numFmtId="38" fontId="82" fillId="7" borderId="28" xfId="0" applyNumberFormat="1" applyFont="1" applyFill="1" applyBorder="1" applyAlignment="1" applyProtection="1">
      <alignment horizontal="right"/>
      <protection locked="0"/>
    </xf>
    <xf numFmtId="38" fontId="82" fillId="7" borderId="29" xfId="0" applyNumberFormat="1" applyFont="1" applyFill="1" applyBorder="1" applyAlignment="1" applyProtection="1">
      <alignment horizontal="right"/>
      <protection locked="0"/>
    </xf>
    <xf numFmtId="0" fontId="7" fillId="0" borderId="109" xfId="10" applyFont="1" applyFill="1" applyBorder="1" applyProtection="1">
      <protection hidden="1"/>
    </xf>
    <xf numFmtId="0" fontId="7" fillId="0" borderId="110" xfId="10" applyFont="1" applyFill="1" applyBorder="1" applyProtection="1">
      <protection hidden="1"/>
    </xf>
    <xf numFmtId="49" fontId="7" fillId="0" borderId="62" xfId="0" applyNumberFormat="1" applyFont="1" applyFill="1" applyBorder="1" applyAlignment="1" applyProtection="1">
      <alignment horizontal="right"/>
      <protection hidden="1"/>
    </xf>
    <xf numFmtId="49" fontId="7" fillId="0" borderId="37" xfId="0" applyNumberFormat="1" applyFont="1" applyFill="1" applyBorder="1" applyAlignment="1" applyProtection="1">
      <alignment horizontal="right"/>
      <protection hidden="1"/>
    </xf>
    <xf numFmtId="49" fontId="7" fillId="0" borderId="88" xfId="0" applyNumberFormat="1" applyFont="1" applyFill="1" applyBorder="1" applyAlignment="1" applyProtection="1">
      <alignment horizontal="right"/>
      <protection hidden="1"/>
    </xf>
    <xf numFmtId="183" fontId="7" fillId="0" borderId="113" xfId="10" applyNumberFormat="1" applyFont="1" applyBorder="1" applyAlignment="1" applyProtection="1">
      <alignment horizontal="right"/>
      <protection hidden="1"/>
    </xf>
    <xf numFmtId="183" fontId="7" fillId="0" borderId="68" xfId="10" applyNumberFormat="1" applyFont="1" applyBorder="1" applyAlignment="1" applyProtection="1">
      <alignment horizontal="right"/>
      <protection hidden="1"/>
    </xf>
    <xf numFmtId="38" fontId="70" fillId="0" borderId="68" xfId="13" applyNumberFormat="1" applyFont="1" applyFill="1" applyBorder="1" applyAlignment="1" applyProtection="1">
      <alignment horizontal="right"/>
      <protection hidden="1"/>
    </xf>
    <xf numFmtId="0" fontId="7" fillId="0" borderId="68" xfId="10" applyFont="1" applyFill="1" applyBorder="1" applyAlignment="1" applyProtection="1">
      <alignment horizontal="center"/>
      <protection hidden="1"/>
    </xf>
    <xf numFmtId="0" fontId="83" fillId="0" borderId="120" xfId="10" applyFont="1" applyBorder="1" applyProtection="1">
      <protection hidden="1"/>
    </xf>
    <xf numFmtId="0" fontId="83" fillId="0" borderId="117" xfId="10" applyFont="1" applyBorder="1" applyProtection="1">
      <protection hidden="1"/>
    </xf>
    <xf numFmtId="0" fontId="7" fillId="0" borderId="10" xfId="10" applyFont="1" applyFill="1" applyBorder="1" applyAlignment="1" applyProtection="1">
      <alignment horizontal="left"/>
      <protection hidden="1"/>
    </xf>
    <xf numFmtId="0" fontId="7" fillId="0" borderId="0" xfId="10" applyFont="1" applyFill="1" applyBorder="1" applyProtection="1">
      <protection hidden="1"/>
    </xf>
    <xf numFmtId="0" fontId="7" fillId="0" borderId="11" xfId="10" applyFont="1" applyBorder="1" applyAlignment="1" applyProtection="1">
      <alignment horizontal="left"/>
      <protection hidden="1"/>
    </xf>
    <xf numFmtId="0" fontId="7" fillId="0" borderId="0" xfId="10" applyFont="1" applyBorder="1" applyProtection="1">
      <protection hidden="1"/>
    </xf>
    <xf numFmtId="38" fontId="7" fillId="0" borderId="0" xfId="10" applyNumberFormat="1" applyFont="1" applyBorder="1" applyAlignment="1" applyProtection="1">
      <alignment horizontal="right"/>
      <protection hidden="1"/>
    </xf>
    <xf numFmtId="0" fontId="12" fillId="7" borderId="45" xfId="10" applyFont="1" applyFill="1" applyBorder="1" applyAlignment="1" applyProtection="1">
      <alignment horizontal="left"/>
      <protection locked="0"/>
    </xf>
    <xf numFmtId="0" fontId="80" fillId="7" borderId="10" xfId="10" applyFont="1" applyFill="1" applyBorder="1" applyProtection="1">
      <protection locked="0"/>
    </xf>
    <xf numFmtId="38" fontId="81" fillId="7" borderId="28" xfId="10" applyNumberFormat="1" applyFont="1" applyFill="1" applyBorder="1" applyAlignment="1" applyProtection="1">
      <alignment horizontal="right"/>
      <protection locked="0"/>
    </xf>
    <xf numFmtId="38" fontId="7" fillId="0" borderId="113" xfId="10" applyNumberFormat="1" applyFont="1" applyFill="1" applyBorder="1" applyAlignment="1" applyProtection="1">
      <alignment horizontal="center"/>
      <protection hidden="1"/>
    </xf>
    <xf numFmtId="38" fontId="7" fillId="0" borderId="68" xfId="10" applyNumberFormat="1" applyFont="1" applyFill="1" applyBorder="1" applyAlignment="1" applyProtection="1">
      <alignment horizontal="center"/>
      <protection hidden="1"/>
    </xf>
    <xf numFmtId="38" fontId="7" fillId="0" borderId="113" xfId="10" applyNumberFormat="1" applyFont="1" applyBorder="1" applyProtection="1">
      <protection hidden="1"/>
    </xf>
    <xf numFmtId="180" fontId="7" fillId="6" borderId="32" xfId="8" applyNumberFormat="1" applyFont="1" applyFill="1" applyBorder="1" applyAlignment="1" applyProtection="1">
      <alignment horizontal="right"/>
      <protection locked="0"/>
    </xf>
    <xf numFmtId="38" fontId="7" fillId="6" borderId="32" xfId="10" applyNumberFormat="1" applyFont="1" applyFill="1" applyBorder="1" applyAlignment="1" applyProtection="1">
      <alignment horizontal="right"/>
      <protection locked="0"/>
    </xf>
    <xf numFmtId="38" fontId="7" fillId="0" borderId="113" xfId="10" applyNumberFormat="1" applyFont="1" applyBorder="1" applyAlignment="1" applyProtection="1">
      <alignment horizontal="left"/>
      <protection hidden="1"/>
    </xf>
    <xf numFmtId="38" fontId="7" fillId="0" borderId="68" xfId="10" applyNumberFormat="1" applyFont="1" applyBorder="1" applyAlignment="1" applyProtection="1">
      <alignment horizontal="left"/>
      <protection hidden="1"/>
    </xf>
    <xf numFmtId="38" fontId="7" fillId="0" borderId="68" xfId="10" applyNumberFormat="1" applyFont="1" applyBorder="1" applyProtection="1">
      <protection hidden="1"/>
    </xf>
    <xf numFmtId="38" fontId="83" fillId="0" borderId="120" xfId="10" applyNumberFormat="1" applyFont="1" applyBorder="1" applyProtection="1">
      <protection hidden="1"/>
    </xf>
    <xf numFmtId="38" fontId="83" fillId="0" borderId="117" xfId="10" applyNumberFormat="1" applyFont="1" applyBorder="1" applyProtection="1">
      <protection hidden="1"/>
    </xf>
    <xf numFmtId="38" fontId="7" fillId="0" borderId="11" xfId="10" applyNumberFormat="1" applyFont="1" applyFill="1" applyBorder="1" applyProtection="1">
      <protection hidden="1"/>
    </xf>
    <xf numFmtId="38" fontId="7" fillId="0" borderId="116" xfId="10" applyNumberFormat="1" applyFont="1" applyFill="1" applyBorder="1" applyProtection="1">
      <protection hidden="1"/>
    </xf>
    <xf numFmtId="40" fontId="7" fillId="0" borderId="116" xfId="10" applyNumberFormat="1" applyFont="1" applyFill="1" applyBorder="1" applyAlignment="1" applyProtection="1">
      <alignment horizontal="right"/>
      <protection hidden="1"/>
    </xf>
    <xf numFmtId="40" fontId="7" fillId="0" borderId="121" xfId="10" applyNumberFormat="1" applyFont="1" applyFill="1" applyBorder="1" applyAlignment="1" applyProtection="1">
      <alignment horizontal="right"/>
      <protection hidden="1"/>
    </xf>
    <xf numFmtId="40" fontId="7" fillId="0" borderId="122" xfId="10" applyNumberFormat="1" applyFont="1" applyFill="1" applyBorder="1" applyAlignment="1" applyProtection="1">
      <alignment horizontal="right"/>
      <protection hidden="1"/>
    </xf>
    <xf numFmtId="38" fontId="7" fillId="0" borderId="0" xfId="10" applyNumberFormat="1" applyFont="1" applyFill="1" applyAlignment="1" applyProtection="1">
      <alignment horizontal="right"/>
      <protection hidden="1"/>
    </xf>
    <xf numFmtId="0" fontId="80" fillId="7" borderId="10" xfId="0" applyFont="1" applyFill="1" applyBorder="1" applyProtection="1">
      <protection locked="0"/>
    </xf>
    <xf numFmtId="38" fontId="80" fillId="7" borderId="28" xfId="0" applyNumberFormat="1" applyFont="1" applyFill="1" applyBorder="1" applyProtection="1">
      <protection locked="0"/>
    </xf>
    <xf numFmtId="38" fontId="82" fillId="7" borderId="28" xfId="0" applyNumberFormat="1" applyFont="1" applyFill="1" applyBorder="1" applyProtection="1">
      <protection locked="0"/>
    </xf>
    <xf numFmtId="38" fontId="80" fillId="7" borderId="29" xfId="0" applyNumberFormat="1" applyFont="1" applyFill="1" applyBorder="1" applyProtection="1">
      <protection locked="0"/>
    </xf>
    <xf numFmtId="49" fontId="7" fillId="0" borderId="37" xfId="0" applyNumberFormat="1" applyFont="1" applyBorder="1" applyAlignment="1" applyProtection="1">
      <alignment horizontal="right" vertical="center"/>
      <protection hidden="1"/>
    </xf>
    <xf numFmtId="49" fontId="7" fillId="0" borderId="88" xfId="0" applyNumberFormat="1" applyFont="1" applyBorder="1" applyAlignment="1" applyProtection="1">
      <alignment horizontal="right" vertical="center"/>
      <protection hidden="1"/>
    </xf>
    <xf numFmtId="188" fontId="7" fillId="2" borderId="4" xfId="0" applyNumberFormat="1" applyFont="1" applyFill="1" applyBorder="1" applyAlignment="1" applyProtection="1">
      <alignment horizontal="left" vertical="center"/>
      <protection hidden="1"/>
    </xf>
    <xf numFmtId="188" fontId="7" fillId="2" borderId="0" xfId="0" applyNumberFormat="1" applyFont="1" applyFill="1" applyBorder="1" applyAlignment="1" applyProtection="1">
      <alignment horizontal="left" vertical="center"/>
      <protection hidden="1"/>
    </xf>
    <xf numFmtId="189" fontId="7" fillId="2" borderId="7" xfId="0" applyNumberFormat="1" applyFont="1" applyFill="1" applyBorder="1" applyAlignment="1" applyProtection="1">
      <alignment horizontal="left" vertical="center"/>
      <protection hidden="1"/>
    </xf>
    <xf numFmtId="189" fontId="7" fillId="2" borderId="11" xfId="0" applyNumberFormat="1" applyFont="1" applyFill="1" applyBorder="1" applyAlignment="1" applyProtection="1">
      <alignment horizontal="left" vertical="center"/>
      <protection hidden="1"/>
    </xf>
    <xf numFmtId="38" fontId="7" fillId="2" borderId="89" xfId="0" applyNumberFormat="1" applyFont="1" applyFill="1" applyBorder="1" applyAlignment="1" applyProtection="1">
      <alignment horizontal="right" vertical="center"/>
      <protection hidden="1"/>
    </xf>
    <xf numFmtId="38" fontId="7" fillId="2" borderId="90" xfId="0" applyNumberFormat="1" applyFont="1" applyFill="1" applyBorder="1" applyAlignment="1" applyProtection="1">
      <alignment horizontal="right" vertical="center"/>
      <protection hidden="1"/>
    </xf>
    <xf numFmtId="0" fontId="7" fillId="0" borderId="109" xfId="10" applyNumberFormat="1" applyFont="1" applyFill="1" applyBorder="1" applyProtection="1">
      <protection hidden="1"/>
    </xf>
    <xf numFmtId="0" fontId="7" fillId="0" borderId="110" xfId="10" applyNumberFormat="1" applyFont="1" applyFill="1" applyBorder="1" applyProtection="1">
      <protection hidden="1"/>
    </xf>
    <xf numFmtId="185" fontId="7" fillId="0" borderId="113" xfId="10" applyNumberFormat="1" applyFont="1" applyBorder="1" applyAlignment="1" applyProtection="1">
      <alignment horizontal="left" indent="1"/>
      <protection hidden="1"/>
    </xf>
    <xf numFmtId="185" fontId="7" fillId="0" borderId="68" xfId="10" applyNumberFormat="1" applyFont="1" applyBorder="1" applyAlignment="1" applyProtection="1">
      <alignment horizontal="left" indent="1"/>
      <protection hidden="1"/>
    </xf>
    <xf numFmtId="38" fontId="61" fillId="0" borderId="32" xfId="10" applyNumberFormat="1" applyFont="1" applyFill="1" applyBorder="1" applyAlignment="1" applyProtection="1">
      <alignment horizontal="right"/>
      <protection hidden="1"/>
    </xf>
    <xf numFmtId="38" fontId="61" fillId="0" borderId="36" xfId="10" applyNumberFormat="1" applyFont="1" applyFill="1" applyBorder="1" applyAlignment="1" applyProtection="1">
      <alignment horizontal="right"/>
      <protection hidden="1"/>
    </xf>
    <xf numFmtId="0" fontId="83" fillId="0" borderId="113" xfId="0" applyFont="1" applyBorder="1" applyProtection="1">
      <protection hidden="1"/>
    </xf>
    <xf numFmtId="0" fontId="83" fillId="0" borderId="68" xfId="0" applyFont="1" applyBorder="1" applyProtection="1">
      <protection hidden="1"/>
    </xf>
    <xf numFmtId="38" fontId="83" fillId="0" borderId="32" xfId="0" applyNumberFormat="1" applyFont="1" applyBorder="1" applyAlignment="1" applyProtection="1">
      <alignment horizontal="right"/>
      <protection hidden="1"/>
    </xf>
    <xf numFmtId="38" fontId="83" fillId="0" borderId="32" xfId="0" applyNumberFormat="1" applyFont="1" applyFill="1" applyBorder="1" applyAlignment="1" applyProtection="1">
      <alignment horizontal="right"/>
      <protection hidden="1"/>
    </xf>
    <xf numFmtId="38" fontId="83" fillId="0" borderId="36" xfId="0" applyNumberFormat="1" applyFont="1" applyFill="1" applyBorder="1" applyAlignment="1" applyProtection="1">
      <alignment horizontal="right"/>
      <protection hidden="1"/>
    </xf>
    <xf numFmtId="38" fontId="70" fillId="0" borderId="32" xfId="10" applyNumberFormat="1" applyFont="1" applyFill="1" applyBorder="1" applyAlignment="1" applyProtection="1">
      <alignment horizontal="right"/>
      <protection hidden="1"/>
    </xf>
    <xf numFmtId="185" fontId="7" fillId="0" borderId="113" xfId="10" applyNumberFormat="1" applyFont="1" applyFill="1" applyBorder="1" applyAlignment="1" applyProtection="1">
      <alignment horizontal="left" indent="1"/>
      <protection hidden="1"/>
    </xf>
    <xf numFmtId="185" fontId="7" fillId="0" borderId="68" xfId="10" applyNumberFormat="1" applyFont="1" applyFill="1" applyBorder="1" applyAlignment="1" applyProtection="1">
      <alignment horizontal="left" indent="1"/>
      <protection hidden="1"/>
    </xf>
    <xf numFmtId="38" fontId="59" fillId="0" borderId="32" xfId="10" applyNumberFormat="1" applyFont="1" applyFill="1" applyBorder="1" applyAlignment="1" applyProtection="1">
      <alignment horizontal="right"/>
      <protection hidden="1"/>
    </xf>
    <xf numFmtId="181" fontId="7" fillId="0" borderId="32" xfId="10" applyNumberFormat="1" applyFont="1" applyFill="1" applyBorder="1" applyAlignment="1" applyProtection="1">
      <alignment horizontal="right"/>
      <protection hidden="1"/>
    </xf>
    <xf numFmtId="181" fontId="7" fillId="0" borderId="36" xfId="10" applyNumberFormat="1" applyFont="1" applyFill="1" applyBorder="1" applyAlignment="1" applyProtection="1">
      <alignment horizontal="right"/>
      <protection hidden="1"/>
    </xf>
    <xf numFmtId="38" fontId="7" fillId="4" borderId="32" xfId="0" applyNumberFormat="1" applyFont="1" applyFill="1" applyBorder="1" applyAlignment="1" applyProtection="1">
      <alignment horizontal="right"/>
      <protection hidden="1"/>
    </xf>
    <xf numFmtId="185" fontId="75" fillId="0" borderId="120" xfId="10" applyNumberFormat="1" applyFont="1" applyFill="1" applyBorder="1" applyProtection="1">
      <protection hidden="1"/>
    </xf>
    <xf numFmtId="185" fontId="75" fillId="0" borderId="117" xfId="10" applyNumberFormat="1" applyFont="1" applyFill="1" applyBorder="1" applyProtection="1">
      <protection hidden="1"/>
    </xf>
    <xf numFmtId="38" fontId="75" fillId="4" borderId="89" xfId="0" applyNumberFormat="1" applyFont="1" applyFill="1" applyBorder="1" applyAlignment="1" applyProtection="1">
      <alignment horizontal="right"/>
      <protection hidden="1"/>
    </xf>
    <xf numFmtId="38" fontId="75" fillId="0" borderId="89" xfId="0" applyNumberFormat="1" applyFont="1" applyFill="1" applyBorder="1" applyAlignment="1" applyProtection="1">
      <alignment horizontal="right"/>
      <protection hidden="1"/>
    </xf>
    <xf numFmtId="38" fontId="75" fillId="0" borderId="90" xfId="0" applyNumberFormat="1" applyFont="1" applyFill="1" applyBorder="1" applyAlignment="1" applyProtection="1">
      <alignment horizontal="right"/>
      <protection hidden="1"/>
    </xf>
    <xf numFmtId="0" fontId="83" fillId="0" borderId="7" xfId="0" applyFont="1" applyFill="1" applyBorder="1" applyProtection="1">
      <protection hidden="1"/>
    </xf>
    <xf numFmtId="0" fontId="83" fillId="0" borderId="11" xfId="0" applyFont="1" applyFill="1" applyBorder="1" applyProtection="1">
      <protection hidden="1"/>
    </xf>
    <xf numFmtId="0" fontId="83" fillId="0" borderId="116" xfId="0" applyFont="1" applyFill="1" applyBorder="1" applyProtection="1">
      <protection hidden="1"/>
    </xf>
    <xf numFmtId="38" fontId="83" fillId="0" borderId="116" xfId="0" applyNumberFormat="1" applyFont="1" applyFill="1" applyBorder="1" applyAlignment="1" applyProtection="1">
      <alignment horizontal="right"/>
      <protection hidden="1"/>
    </xf>
    <xf numFmtId="38" fontId="83" fillId="0" borderId="121" xfId="0" applyNumberFormat="1" applyFont="1" applyFill="1" applyBorder="1" applyAlignment="1" applyProtection="1">
      <alignment horizontal="right"/>
      <protection hidden="1"/>
    </xf>
    <xf numFmtId="38" fontId="83" fillId="0" borderId="122" xfId="0" applyNumberFormat="1" applyFont="1" applyFill="1" applyBorder="1" applyAlignment="1" applyProtection="1">
      <alignment horizontal="right"/>
      <protection hidden="1"/>
    </xf>
    <xf numFmtId="0" fontId="7" fillId="0" borderId="0" xfId="0" applyFont="1" applyBorder="1" applyProtection="1">
      <protection hidden="1"/>
    </xf>
    <xf numFmtId="38" fontId="7" fillId="0" borderId="0" xfId="0" applyNumberFormat="1" applyFont="1" applyAlignment="1" applyProtection="1">
      <alignment horizontal="right"/>
      <protection hidden="1"/>
    </xf>
    <xf numFmtId="38" fontId="7" fillId="0" borderId="0" xfId="0" applyNumberFormat="1" applyFont="1" applyBorder="1" applyAlignment="1" applyProtection="1">
      <alignment horizontal="right"/>
      <protection hidden="1"/>
    </xf>
    <xf numFmtId="38" fontId="7" fillId="0" borderId="11" xfId="0" applyNumberFormat="1" applyFont="1" applyBorder="1" applyAlignment="1" applyProtection="1">
      <alignment horizontal="right"/>
      <protection hidden="1"/>
    </xf>
    <xf numFmtId="0" fontId="80" fillId="7" borderId="27" xfId="0" applyFont="1" applyFill="1" applyBorder="1" applyProtection="1">
      <protection locked="0"/>
    </xf>
    <xf numFmtId="0" fontId="80" fillId="7" borderId="28" xfId="0" applyFont="1" applyFill="1" applyBorder="1" applyProtection="1">
      <protection locked="0"/>
    </xf>
    <xf numFmtId="0" fontId="7" fillId="0" borderId="124" xfId="0" applyFont="1" applyBorder="1" applyProtection="1">
      <protection hidden="1"/>
    </xf>
    <xf numFmtId="0" fontId="7" fillId="0" borderId="125" xfId="0" applyFont="1" applyBorder="1" applyProtection="1">
      <protection hidden="1"/>
    </xf>
    <xf numFmtId="49" fontId="7" fillId="0" borderId="125" xfId="0" applyNumberFormat="1" applyFont="1" applyBorder="1" applyAlignment="1" applyProtection="1">
      <alignment horizontal="right"/>
      <protection hidden="1"/>
    </xf>
    <xf numFmtId="49" fontId="7" fillId="0" borderId="104" xfId="0" applyNumberFormat="1" applyFont="1" applyBorder="1" applyAlignment="1" applyProtection="1">
      <alignment horizontal="right"/>
      <protection hidden="1"/>
    </xf>
    <xf numFmtId="0" fontId="7" fillId="0" borderId="113" xfId="0" applyFont="1" applyBorder="1" applyAlignment="1" applyProtection="1">
      <protection hidden="1"/>
    </xf>
    <xf numFmtId="0" fontId="7" fillId="0" borderId="68" xfId="0" applyFont="1" applyBorder="1" applyAlignment="1" applyProtection="1">
      <protection hidden="1"/>
    </xf>
    <xf numFmtId="38" fontId="7" fillId="4" borderId="68" xfId="0" applyNumberFormat="1" applyFont="1" applyFill="1" applyBorder="1" applyAlignment="1" applyProtection="1">
      <protection hidden="1"/>
    </xf>
    <xf numFmtId="38" fontId="7" fillId="4" borderId="32" xfId="0" applyNumberFormat="1" applyFont="1" applyFill="1" applyBorder="1" applyAlignment="1" applyProtection="1">
      <protection hidden="1"/>
    </xf>
    <xf numFmtId="38" fontId="7" fillId="2" borderId="32" xfId="0" applyNumberFormat="1" applyFont="1" applyFill="1" applyBorder="1" applyAlignment="1" applyProtection="1">
      <alignment horizontal="right"/>
      <protection hidden="1"/>
    </xf>
    <xf numFmtId="38" fontId="7" fillId="2" borderId="68" xfId="0" applyNumberFormat="1" applyFont="1" applyFill="1" applyBorder="1" applyAlignment="1" applyProtection="1">
      <alignment horizontal="right"/>
      <protection hidden="1"/>
    </xf>
    <xf numFmtId="38" fontId="7" fillId="2" borderId="32" xfId="0" applyNumberFormat="1" applyFont="1" applyFill="1" applyBorder="1" applyAlignment="1" applyProtection="1">
      <protection hidden="1"/>
    </xf>
    <xf numFmtId="38" fontId="7" fillId="0" borderId="32" xfId="0" applyNumberFormat="1" applyFont="1" applyFill="1" applyBorder="1" applyAlignment="1" applyProtection="1">
      <alignment horizontal="right"/>
      <protection hidden="1"/>
    </xf>
    <xf numFmtId="0" fontId="7" fillId="0" borderId="113" xfId="0" applyFont="1" applyBorder="1" applyAlignment="1" applyProtection="1">
      <alignment horizontal="right"/>
      <protection hidden="1"/>
    </xf>
    <xf numFmtId="0" fontId="7" fillId="0" borderId="68" xfId="0" applyFont="1" applyBorder="1" applyAlignment="1" applyProtection="1">
      <alignment horizontal="right"/>
      <protection hidden="1"/>
    </xf>
    <xf numFmtId="38" fontId="7" fillId="4" borderId="68" xfId="0" applyNumberFormat="1" applyFont="1" applyFill="1" applyBorder="1" applyAlignment="1" applyProtection="1">
      <alignment horizontal="right"/>
      <protection hidden="1"/>
    </xf>
    <xf numFmtId="0" fontId="7" fillId="0" borderId="113" xfId="0" applyFont="1" applyFill="1" applyBorder="1" applyAlignment="1" applyProtection="1">
      <protection hidden="1"/>
    </xf>
    <xf numFmtId="0" fontId="7" fillId="0" borderId="68" xfId="0" applyFont="1" applyFill="1" applyBorder="1" applyAlignment="1" applyProtection="1">
      <protection hidden="1"/>
    </xf>
    <xf numFmtId="38" fontId="7" fillId="0" borderId="32" xfId="0" applyNumberFormat="1" applyFont="1" applyFill="1" applyBorder="1" applyAlignment="1" applyProtection="1">
      <protection hidden="1"/>
    </xf>
    <xf numFmtId="38" fontId="7" fillId="0" borderId="68" xfId="0" applyNumberFormat="1" applyFont="1" applyBorder="1" applyAlignment="1" applyProtection="1">
      <protection hidden="1"/>
    </xf>
    <xf numFmtId="38" fontId="7" fillId="0" borderId="32" xfId="0" applyNumberFormat="1" applyFont="1" applyBorder="1" applyAlignment="1" applyProtection="1">
      <protection hidden="1"/>
    </xf>
    <xf numFmtId="38" fontId="7" fillId="0" borderId="32" xfId="0" applyNumberFormat="1" applyFont="1" applyBorder="1" applyAlignment="1" applyProtection="1">
      <alignment horizontal="right"/>
      <protection hidden="1"/>
    </xf>
    <xf numFmtId="0" fontId="7" fillId="0" borderId="113" xfId="0" applyFont="1" applyBorder="1" applyProtection="1">
      <protection hidden="1"/>
    </xf>
    <xf numFmtId="0" fontId="7" fillId="0" borderId="68" xfId="0" applyFont="1" applyBorder="1" applyProtection="1">
      <protection hidden="1"/>
    </xf>
    <xf numFmtId="38" fontId="7" fillId="0" borderId="68" xfId="0" applyNumberFormat="1" applyFont="1" applyBorder="1" applyAlignment="1" applyProtection="1">
      <alignment horizontal="right"/>
      <protection hidden="1"/>
    </xf>
    <xf numFmtId="0" fontId="7" fillId="0" borderId="120" xfId="0" applyFont="1" applyBorder="1" applyProtection="1">
      <protection hidden="1"/>
    </xf>
    <xf numFmtId="0" fontId="7" fillId="0" borderId="117" xfId="0" applyFont="1" applyBorder="1" applyProtection="1">
      <protection hidden="1"/>
    </xf>
    <xf numFmtId="38" fontId="7" fillId="4" borderId="117" xfId="0" applyNumberFormat="1" applyFont="1" applyFill="1" applyBorder="1" applyAlignment="1" applyProtection="1">
      <alignment horizontal="right"/>
      <protection hidden="1"/>
    </xf>
    <xf numFmtId="38" fontId="7" fillId="4" borderId="89" xfId="0" applyNumberFormat="1" applyFont="1" applyFill="1" applyBorder="1" applyAlignment="1" applyProtection="1">
      <alignment horizontal="right"/>
      <protection hidden="1"/>
    </xf>
    <xf numFmtId="38" fontId="7" fillId="2" borderId="89" xfId="0" applyNumberFormat="1" applyFont="1" applyFill="1" applyBorder="1" applyAlignment="1" applyProtection="1">
      <alignment horizontal="right"/>
      <protection hidden="1"/>
    </xf>
    <xf numFmtId="184" fontId="7" fillId="0" borderId="0" xfId="0" applyNumberFormat="1" applyFont="1" applyAlignment="1" applyProtection="1">
      <alignment horizontal="right"/>
      <protection hidden="1"/>
    </xf>
    <xf numFmtId="0" fontId="7" fillId="0" borderId="0" xfId="0" applyFont="1" applyAlignment="1" applyProtection="1">
      <alignment horizontal="right"/>
      <protection hidden="1"/>
    </xf>
    <xf numFmtId="0" fontId="7" fillId="0" borderId="0" xfId="0" applyFont="1" applyBorder="1" applyAlignment="1" applyProtection="1">
      <alignment horizontal="right"/>
      <protection hidden="1"/>
    </xf>
    <xf numFmtId="0" fontId="83" fillId="0" borderId="0" xfId="0" applyFont="1" applyProtection="1">
      <protection hidden="1"/>
    </xf>
    <xf numFmtId="184" fontId="83" fillId="0" borderId="0" xfId="0" applyNumberFormat="1" applyFont="1" applyAlignment="1" applyProtection="1">
      <alignment horizontal="right"/>
      <protection hidden="1"/>
    </xf>
    <xf numFmtId="0" fontId="83" fillId="0" borderId="0" xfId="0" applyFont="1" applyAlignment="1" applyProtection="1">
      <alignment horizontal="right"/>
      <protection hidden="1"/>
    </xf>
    <xf numFmtId="0" fontId="83" fillId="0" borderId="11" xfId="0" applyFont="1" applyBorder="1" applyAlignment="1" applyProtection="1">
      <alignment horizontal="right"/>
      <protection hidden="1"/>
    </xf>
    <xf numFmtId="0" fontId="88" fillId="7" borderId="28" xfId="0" applyFont="1" applyFill="1" applyBorder="1" applyProtection="1">
      <protection locked="0"/>
    </xf>
    <xf numFmtId="0" fontId="82" fillId="7" borderId="28" xfId="0" applyFont="1" applyFill="1" applyBorder="1" applyProtection="1">
      <protection locked="0"/>
    </xf>
    <xf numFmtId="0" fontId="80" fillId="7" borderId="29" xfId="0" applyFont="1" applyFill="1" applyBorder="1" applyProtection="1">
      <protection locked="0"/>
    </xf>
    <xf numFmtId="0" fontId="7" fillId="0" borderId="2" xfId="0" applyFont="1" applyBorder="1" applyAlignment="1" applyProtection="1">
      <alignment vertical="center"/>
      <protection hidden="1"/>
    </xf>
    <xf numFmtId="188" fontId="7" fillId="2" borderId="16" xfId="0" applyNumberFormat="1" applyFont="1" applyFill="1" applyBorder="1" applyAlignment="1" applyProtection="1">
      <alignment horizontal="left" vertical="center"/>
      <protection hidden="1"/>
    </xf>
    <xf numFmtId="189" fontId="7" fillId="4" borderId="39" xfId="0" applyNumberFormat="1" applyFont="1" applyFill="1" applyBorder="1" applyAlignment="1" applyProtection="1">
      <alignment horizontal="left" vertical="center"/>
      <protection hidden="1"/>
    </xf>
    <xf numFmtId="189" fontId="7" fillId="4" borderId="32" xfId="0" applyNumberFormat="1" applyFont="1" applyFill="1" applyBorder="1" applyAlignment="1" applyProtection="1">
      <alignment horizontal="left" vertical="center"/>
      <protection hidden="1"/>
    </xf>
    <xf numFmtId="189" fontId="7" fillId="2" borderId="32" xfId="0" applyNumberFormat="1" applyFont="1" applyFill="1" applyBorder="1" applyAlignment="1" applyProtection="1">
      <alignment horizontal="left" vertical="center"/>
      <protection hidden="1"/>
    </xf>
    <xf numFmtId="189" fontId="7" fillId="2" borderId="36" xfId="0" applyNumberFormat="1" applyFont="1" applyFill="1" applyBorder="1" applyAlignment="1" applyProtection="1">
      <alignment horizontal="left" vertical="center"/>
      <protection hidden="1"/>
    </xf>
    <xf numFmtId="189" fontId="7" fillId="2" borderId="17" xfId="0" applyNumberFormat="1" applyFont="1" applyFill="1" applyBorder="1" applyAlignment="1" applyProtection="1">
      <alignment horizontal="left" vertical="center"/>
      <protection hidden="1"/>
    </xf>
    <xf numFmtId="189" fontId="7" fillId="4" borderId="44" xfId="0" applyNumberFormat="1" applyFont="1" applyFill="1" applyBorder="1" applyAlignment="1" applyProtection="1">
      <alignment horizontal="left" vertical="center"/>
      <protection hidden="1"/>
    </xf>
    <xf numFmtId="189" fontId="7" fillId="4" borderId="89" xfId="0" applyNumberFormat="1" applyFont="1" applyFill="1" applyBorder="1" applyAlignment="1" applyProtection="1">
      <alignment horizontal="left" vertical="center"/>
      <protection hidden="1"/>
    </xf>
    <xf numFmtId="189" fontId="7" fillId="2" borderId="89" xfId="0" applyNumberFormat="1" applyFont="1" applyFill="1" applyBorder="1" applyAlignment="1" applyProtection="1">
      <alignment horizontal="left" vertical="center"/>
      <protection hidden="1"/>
    </xf>
    <xf numFmtId="189" fontId="7" fillId="2" borderId="90" xfId="0" applyNumberFormat="1" applyFont="1" applyFill="1" applyBorder="1" applyAlignment="1" applyProtection="1">
      <alignment horizontal="left" vertical="center"/>
      <protection hidden="1"/>
    </xf>
    <xf numFmtId="182" fontId="70" fillId="0" borderId="0" xfId="0" applyNumberFormat="1" applyFont="1" applyFill="1" applyBorder="1" applyAlignment="1" applyProtection="1">
      <alignment horizontal="center" vertical="center" wrapText="1"/>
      <protection hidden="1"/>
    </xf>
    <xf numFmtId="1" fontId="7" fillId="0" borderId="0" xfId="7" applyNumberFormat="1" applyFont="1" applyFill="1" applyBorder="1" applyAlignment="1" applyProtection="1">
      <alignment vertical="center"/>
      <protection hidden="1"/>
    </xf>
    <xf numFmtId="179" fontId="70" fillId="0" borderId="1" xfId="8" applyNumberFormat="1" applyFont="1" applyFill="1" applyBorder="1" applyAlignment="1" applyProtection="1">
      <alignment horizontal="center" vertical="center" wrapText="1"/>
      <protection hidden="1"/>
    </xf>
    <xf numFmtId="0" fontId="83" fillId="0" borderId="1" xfId="0" applyFont="1" applyBorder="1" applyAlignment="1" applyProtection="1">
      <alignment horizontal="center" vertical="center" wrapText="1"/>
      <protection hidden="1"/>
    </xf>
    <xf numFmtId="0" fontId="7" fillId="0" borderId="1" xfId="0" applyFont="1" applyBorder="1" applyAlignment="1" applyProtection="1">
      <alignment horizontal="center" vertical="center" wrapText="1"/>
      <protection hidden="1"/>
    </xf>
    <xf numFmtId="10" fontId="7" fillId="0" borderId="1" xfId="0" applyNumberFormat="1" applyFont="1" applyBorder="1" applyAlignment="1" applyProtection="1">
      <alignment horizontal="center" vertical="center" wrapText="1"/>
      <protection hidden="1"/>
    </xf>
    <xf numFmtId="0" fontId="70" fillId="0" borderId="0" xfId="0" applyFont="1" applyFill="1" applyBorder="1" applyAlignment="1" applyProtection="1">
      <alignment horizontal="center" vertical="center" wrapText="1"/>
      <protection hidden="1"/>
    </xf>
    <xf numFmtId="179" fontId="70" fillId="6" borderId="1" xfId="8" applyNumberFormat="1" applyFont="1" applyFill="1" applyBorder="1" applyAlignment="1" applyProtection="1">
      <alignment horizontal="center" vertical="center" wrapText="1"/>
      <protection locked="0"/>
    </xf>
    <xf numFmtId="9" fontId="70" fillId="6" borderId="1" xfId="8" applyNumberFormat="1" applyFont="1" applyFill="1" applyBorder="1" applyAlignment="1" applyProtection="1">
      <alignment horizontal="center" vertical="center" wrapText="1"/>
      <protection locked="0"/>
    </xf>
    <xf numFmtId="179" fontId="70" fillId="6" borderId="80" xfId="8" applyNumberFormat="1" applyFont="1" applyFill="1" applyBorder="1" applyAlignment="1" applyProtection="1">
      <alignment horizontal="center" vertical="center" wrapText="1"/>
      <protection locked="0"/>
    </xf>
    <xf numFmtId="9" fontId="70" fillId="6" borderId="126" xfId="0" applyNumberFormat="1" applyFont="1" applyFill="1" applyBorder="1" applyAlignment="1" applyProtection="1">
      <alignment horizontal="center" vertical="center" wrapText="1"/>
      <protection locked="0"/>
    </xf>
    <xf numFmtId="180" fontId="7" fillId="6" borderId="126" xfId="0" applyNumberFormat="1" applyFont="1" applyFill="1" applyBorder="1" applyAlignment="1" applyProtection="1">
      <alignment horizontal="center" vertical="center" wrapText="1"/>
      <protection locked="0"/>
    </xf>
    <xf numFmtId="10" fontId="7" fillId="0" borderId="0" xfId="0" applyNumberFormat="1" applyFont="1" applyFill="1" applyBorder="1" applyAlignment="1" applyProtection="1">
      <alignment horizontal="center" vertical="center" wrapText="1"/>
      <protection hidden="1"/>
    </xf>
    <xf numFmtId="0" fontId="75" fillId="7" borderId="47" xfId="0" applyFont="1" applyFill="1" applyBorder="1" applyAlignment="1" applyProtection="1">
      <alignment vertical="center"/>
      <protection locked="0"/>
    </xf>
    <xf numFmtId="0" fontId="81" fillId="7" borderId="47" xfId="0" applyFont="1" applyFill="1" applyBorder="1" applyAlignment="1" applyProtection="1">
      <alignment vertical="center"/>
      <protection locked="0"/>
    </xf>
    <xf numFmtId="0" fontId="7" fillId="2" borderId="91" xfId="0" applyFont="1" applyFill="1" applyBorder="1" applyAlignment="1" applyProtection="1">
      <alignment horizontal="left" vertical="center"/>
      <protection hidden="1"/>
    </xf>
    <xf numFmtId="0" fontId="7" fillId="2" borderId="86" xfId="0" applyFont="1" applyFill="1" applyBorder="1" applyAlignment="1" applyProtection="1">
      <alignment horizontal="right" vertical="center"/>
      <protection hidden="1"/>
    </xf>
    <xf numFmtId="0" fontId="7" fillId="2" borderId="91" xfId="0" applyFont="1" applyFill="1" applyBorder="1" applyAlignment="1" applyProtection="1">
      <alignment horizontal="right" vertical="center"/>
      <protection hidden="1"/>
    </xf>
    <xf numFmtId="38" fontId="70" fillId="2" borderId="3" xfId="0" applyNumberFormat="1" applyFont="1" applyFill="1" applyBorder="1" applyAlignment="1" applyProtection="1">
      <alignment horizontal="left" vertical="center"/>
      <protection hidden="1"/>
    </xf>
    <xf numFmtId="38" fontId="7" fillId="4" borderId="85" xfId="0" applyNumberFormat="1" applyFont="1" applyFill="1" applyBorder="1" applyAlignment="1" applyProtection="1">
      <alignment horizontal="right" vertical="center"/>
      <protection hidden="1"/>
    </xf>
    <xf numFmtId="38" fontId="7" fillId="4" borderId="2" xfId="0" applyNumberFormat="1" applyFont="1" applyFill="1" applyBorder="1" applyAlignment="1" applyProtection="1">
      <alignment horizontal="right" vertical="center"/>
      <protection hidden="1"/>
    </xf>
    <xf numFmtId="38" fontId="7" fillId="4" borderId="3" xfId="0" applyNumberFormat="1" applyFont="1" applyFill="1" applyBorder="1" applyAlignment="1" applyProtection="1">
      <alignment horizontal="right" vertical="center"/>
      <protection hidden="1"/>
    </xf>
    <xf numFmtId="38" fontId="7" fillId="0" borderId="85" xfId="0" applyNumberFormat="1" applyFont="1" applyFill="1" applyBorder="1" applyAlignment="1" applyProtection="1">
      <alignment horizontal="right" vertical="center"/>
      <protection hidden="1"/>
    </xf>
    <xf numFmtId="38" fontId="7" fillId="2" borderId="85" xfId="7" applyNumberFormat="1" applyFont="1" applyFill="1" applyBorder="1" applyAlignment="1" applyProtection="1">
      <alignment horizontal="right" vertical="center"/>
      <protection hidden="1"/>
    </xf>
    <xf numFmtId="38" fontId="7" fillId="2" borderId="2" xfId="7" applyNumberFormat="1" applyFont="1" applyFill="1" applyBorder="1" applyAlignment="1" applyProtection="1">
      <alignment horizontal="right" vertical="center"/>
      <protection hidden="1"/>
    </xf>
    <xf numFmtId="38" fontId="7" fillId="2" borderId="5" xfId="7" applyNumberFormat="1" applyFont="1" applyFill="1" applyBorder="1" applyAlignment="1" applyProtection="1">
      <alignment horizontal="right" vertical="center"/>
      <protection hidden="1"/>
    </xf>
    <xf numFmtId="38" fontId="70" fillId="2" borderId="20" xfId="0" applyNumberFormat="1" applyFont="1" applyFill="1" applyBorder="1" applyAlignment="1" applyProtection="1">
      <alignment horizontal="left" vertical="center"/>
      <protection hidden="1"/>
    </xf>
    <xf numFmtId="10" fontId="79" fillId="4" borderId="19" xfId="0" applyNumberFormat="1" applyFont="1" applyFill="1" applyBorder="1" applyAlignment="1" applyProtection="1">
      <alignment horizontal="right" vertical="center"/>
      <protection hidden="1"/>
    </xf>
    <xf numFmtId="180" fontId="79" fillId="4" borderId="0" xfId="0" applyNumberFormat="1" applyFont="1" applyFill="1" applyBorder="1" applyAlignment="1" applyProtection="1">
      <alignment horizontal="right" vertical="center"/>
      <protection hidden="1"/>
    </xf>
    <xf numFmtId="180" fontId="79" fillId="4" borderId="20" xfId="0" applyNumberFormat="1" applyFont="1" applyFill="1" applyBorder="1" applyAlignment="1" applyProtection="1">
      <alignment horizontal="right" vertical="center"/>
      <protection hidden="1"/>
    </xf>
    <xf numFmtId="180" fontId="79" fillId="0" borderId="19" xfId="0" applyNumberFormat="1" applyFont="1" applyFill="1" applyBorder="1" applyAlignment="1" applyProtection="1">
      <alignment horizontal="right" vertical="center"/>
      <protection hidden="1"/>
    </xf>
    <xf numFmtId="180" fontId="79" fillId="0" borderId="0" xfId="0" applyNumberFormat="1" applyFont="1" applyFill="1" applyBorder="1" applyAlignment="1" applyProtection="1">
      <alignment horizontal="right" vertical="center"/>
      <protection hidden="1"/>
    </xf>
    <xf numFmtId="10" fontId="79" fillId="0" borderId="0" xfId="0" applyNumberFormat="1" applyFont="1" applyFill="1" applyBorder="1" applyAlignment="1" applyProtection="1">
      <alignment horizontal="right" vertical="center"/>
      <protection hidden="1"/>
    </xf>
    <xf numFmtId="180" fontId="79" fillId="4" borderId="19" xfId="0" applyNumberFormat="1" applyFont="1" applyFill="1" applyBorder="1" applyAlignment="1" applyProtection="1">
      <alignment horizontal="right" vertical="center"/>
      <protection hidden="1"/>
    </xf>
    <xf numFmtId="180" fontId="79" fillId="2" borderId="19" xfId="7" applyNumberFormat="1" applyFont="1" applyFill="1" applyBorder="1" applyAlignment="1" applyProtection="1">
      <alignment horizontal="right" vertical="center"/>
      <protection hidden="1"/>
    </xf>
    <xf numFmtId="180" fontId="79" fillId="2" borderId="0" xfId="7" applyNumberFormat="1" applyFont="1" applyFill="1" applyBorder="1" applyAlignment="1" applyProtection="1">
      <alignment horizontal="right" vertical="center"/>
      <protection hidden="1"/>
    </xf>
    <xf numFmtId="180" fontId="79" fillId="2" borderId="14" xfId="7" applyNumberFormat="1" applyFont="1" applyFill="1" applyBorder="1" applyAlignment="1" applyProtection="1">
      <alignment horizontal="right" vertical="center"/>
      <protection hidden="1"/>
    </xf>
    <xf numFmtId="0" fontId="89" fillId="4" borderId="19" xfId="0" applyFont="1" applyFill="1" applyBorder="1" applyAlignment="1" applyProtection="1">
      <alignment vertical="center"/>
      <protection hidden="1"/>
    </xf>
    <xf numFmtId="0" fontId="89" fillId="4" borderId="0" xfId="0" applyFont="1" applyFill="1" applyBorder="1" applyAlignment="1" applyProtection="1">
      <alignment vertical="center"/>
      <protection hidden="1"/>
    </xf>
    <xf numFmtId="0" fontId="89" fillId="4" borderId="20" xfId="0" applyFont="1" applyFill="1" applyBorder="1" applyAlignment="1" applyProtection="1">
      <alignment vertical="center"/>
      <protection hidden="1"/>
    </xf>
    <xf numFmtId="0" fontId="89" fillId="0" borderId="19" xfId="0" applyFont="1" applyBorder="1" applyAlignment="1" applyProtection="1">
      <alignment vertical="center"/>
      <protection hidden="1"/>
    </xf>
    <xf numFmtId="0" fontId="89" fillId="0" borderId="0" xfId="0" applyFont="1" applyBorder="1" applyAlignment="1" applyProtection="1">
      <alignment vertical="center"/>
      <protection hidden="1"/>
    </xf>
    <xf numFmtId="180" fontId="79" fillId="0" borderId="14" xfId="0" applyNumberFormat="1" applyFont="1" applyFill="1" applyBorder="1" applyAlignment="1" applyProtection="1">
      <alignment horizontal="right" vertical="center"/>
      <protection hidden="1"/>
    </xf>
    <xf numFmtId="38" fontId="7" fillId="2" borderId="0" xfId="0" applyNumberFormat="1" applyFont="1" applyFill="1" applyBorder="1" applyAlignment="1" applyProtection="1">
      <alignment horizontal="left" vertical="center"/>
      <protection hidden="1"/>
    </xf>
    <xf numFmtId="38" fontId="70" fillId="4" borderId="85" xfId="13" applyNumberFormat="1" applyFont="1" applyFill="1" applyBorder="1" applyAlignment="1" applyProtection="1">
      <alignment horizontal="right" vertical="center"/>
      <protection hidden="1"/>
    </xf>
    <xf numFmtId="38" fontId="70" fillId="0" borderId="85" xfId="13" applyNumberFormat="1" applyFont="1" applyFill="1" applyBorder="1" applyAlignment="1" applyProtection="1">
      <alignment horizontal="right" vertical="center"/>
      <protection hidden="1"/>
    </xf>
    <xf numFmtId="38" fontId="70" fillId="0" borderId="2" xfId="13" applyNumberFormat="1" applyFont="1" applyFill="1" applyBorder="1" applyAlignment="1" applyProtection="1">
      <alignment horizontal="right" vertical="center"/>
      <protection hidden="1"/>
    </xf>
    <xf numFmtId="38" fontId="70" fillId="0" borderId="5" xfId="13" applyNumberFormat="1" applyFont="1" applyFill="1" applyBorder="1" applyAlignment="1" applyProtection="1">
      <alignment horizontal="right" vertical="center"/>
      <protection hidden="1"/>
    </xf>
    <xf numFmtId="38" fontId="70" fillId="2" borderId="0" xfId="0" applyNumberFormat="1" applyFont="1" applyFill="1" applyBorder="1" applyAlignment="1" applyProtection="1">
      <alignment horizontal="left" vertical="center"/>
      <protection hidden="1"/>
    </xf>
    <xf numFmtId="38" fontId="7" fillId="4" borderId="19" xfId="13" applyNumberFormat="1" applyFont="1" applyFill="1" applyBorder="1" applyAlignment="1" applyProtection="1">
      <alignment horizontal="right" vertical="center"/>
      <protection hidden="1"/>
    </xf>
    <xf numFmtId="38" fontId="7" fillId="4" borderId="0" xfId="13" applyNumberFormat="1" applyFont="1" applyFill="1" applyBorder="1" applyAlignment="1" applyProtection="1">
      <alignment horizontal="right" vertical="center"/>
      <protection hidden="1"/>
    </xf>
    <xf numFmtId="38" fontId="7" fillId="0" borderId="19" xfId="13" applyNumberFormat="1" applyFont="1" applyFill="1" applyBorder="1" applyAlignment="1" applyProtection="1">
      <alignment horizontal="right" vertical="center"/>
      <protection hidden="1"/>
    </xf>
    <xf numFmtId="38" fontId="7" fillId="0" borderId="0" xfId="13" applyNumberFormat="1" applyFont="1" applyFill="1" applyBorder="1" applyAlignment="1" applyProtection="1">
      <alignment horizontal="right" vertical="center"/>
      <protection hidden="1"/>
    </xf>
    <xf numFmtId="38" fontId="7" fillId="2" borderId="19" xfId="13" applyNumberFormat="1" applyFont="1" applyFill="1" applyBorder="1" applyProtection="1">
      <protection hidden="1"/>
    </xf>
    <xf numFmtId="38" fontId="7" fillId="2" borderId="0" xfId="13" applyNumberFormat="1" applyFont="1" applyFill="1" applyBorder="1" applyProtection="1">
      <protection hidden="1"/>
    </xf>
    <xf numFmtId="38" fontId="7" fillId="2" borderId="14" xfId="13" applyNumberFormat="1" applyFont="1" applyFill="1" applyBorder="1" applyProtection="1">
      <protection hidden="1"/>
    </xf>
    <xf numFmtId="38" fontId="70" fillId="2" borderId="10" xfId="0" applyNumberFormat="1" applyFont="1" applyFill="1" applyBorder="1" applyAlignment="1" applyProtection="1">
      <alignment horizontal="left" vertical="center"/>
      <protection hidden="1"/>
    </xf>
    <xf numFmtId="180" fontId="79" fillId="4" borderId="127" xfId="0" applyNumberFormat="1" applyFont="1" applyFill="1" applyBorder="1" applyAlignment="1" applyProtection="1">
      <alignment horizontal="right" vertical="center"/>
      <protection hidden="1"/>
    </xf>
    <xf numFmtId="180" fontId="79" fillId="4" borderId="10" xfId="0" applyNumberFormat="1" applyFont="1" applyFill="1" applyBorder="1" applyAlignment="1" applyProtection="1">
      <alignment horizontal="right" vertical="center"/>
      <protection hidden="1"/>
    </xf>
    <xf numFmtId="180" fontId="79" fillId="0" borderId="127" xfId="0" applyNumberFormat="1" applyFont="1" applyFill="1" applyBorder="1" applyAlignment="1" applyProtection="1">
      <alignment horizontal="right" vertical="center"/>
      <protection hidden="1"/>
    </xf>
    <xf numFmtId="180" fontId="79" fillId="0" borderId="10" xfId="0" applyNumberFormat="1" applyFont="1" applyFill="1" applyBorder="1" applyAlignment="1" applyProtection="1">
      <alignment horizontal="right" vertical="center"/>
      <protection hidden="1"/>
    </xf>
    <xf numFmtId="0" fontId="83" fillId="0" borderId="11" xfId="0" applyFont="1" applyBorder="1" applyAlignment="1" applyProtection="1">
      <alignment horizontal="left" vertical="center"/>
      <protection hidden="1"/>
    </xf>
    <xf numFmtId="0" fontId="89" fillId="4" borderId="21" xfId="0" applyFont="1" applyFill="1" applyBorder="1" applyAlignment="1" applyProtection="1">
      <alignment vertical="center"/>
      <protection hidden="1"/>
    </xf>
    <xf numFmtId="0" fontId="89" fillId="4" borderId="11" xfId="0" applyFont="1" applyFill="1" applyBorder="1" applyAlignment="1" applyProtection="1">
      <alignment vertical="center"/>
      <protection hidden="1"/>
    </xf>
    <xf numFmtId="0" fontId="89" fillId="0" borderId="21" xfId="0" applyFont="1" applyBorder="1" applyAlignment="1" applyProtection="1">
      <alignment vertical="center"/>
      <protection hidden="1"/>
    </xf>
    <xf numFmtId="0" fontId="89" fillId="0" borderId="11" xfId="0" applyFont="1" applyBorder="1" applyAlignment="1" applyProtection="1">
      <alignment vertical="center"/>
      <protection hidden="1"/>
    </xf>
    <xf numFmtId="10" fontId="79" fillId="0" borderId="11" xfId="0" applyNumberFormat="1" applyFont="1" applyFill="1" applyBorder="1" applyAlignment="1" applyProtection="1">
      <alignment horizontal="right" vertical="center"/>
      <protection hidden="1"/>
    </xf>
    <xf numFmtId="180" fontId="79" fillId="0" borderId="21" xfId="0" applyNumberFormat="1" applyFont="1" applyFill="1" applyBorder="1" applyAlignment="1" applyProtection="1">
      <alignment horizontal="right" vertical="center"/>
      <protection hidden="1"/>
    </xf>
    <xf numFmtId="180" fontId="79" fillId="0" borderId="11" xfId="0" applyNumberFormat="1" applyFont="1" applyFill="1" applyBorder="1" applyAlignment="1" applyProtection="1">
      <alignment horizontal="right" vertical="center"/>
      <protection hidden="1"/>
    </xf>
    <xf numFmtId="180" fontId="79" fillId="0" borderId="15" xfId="0" applyNumberFormat="1" applyFont="1" applyFill="1" applyBorder="1" applyAlignment="1" applyProtection="1">
      <alignment horizontal="right" vertical="center"/>
      <protection hidden="1"/>
    </xf>
    <xf numFmtId="38" fontId="70" fillId="4" borderId="19" xfId="0" applyNumberFormat="1" applyFont="1" applyFill="1" applyBorder="1" applyAlignment="1" applyProtection="1">
      <alignment horizontal="right" vertical="center"/>
      <protection hidden="1"/>
    </xf>
    <xf numFmtId="38" fontId="70" fillId="4" borderId="0" xfId="0" applyNumberFormat="1" applyFont="1" applyFill="1" applyBorder="1" applyAlignment="1" applyProtection="1">
      <alignment horizontal="right" vertical="center"/>
      <protection hidden="1"/>
    </xf>
    <xf numFmtId="38" fontId="70" fillId="0" borderId="19" xfId="0" applyNumberFormat="1" applyFont="1" applyFill="1" applyBorder="1" applyAlignment="1" applyProtection="1">
      <alignment horizontal="right" vertical="center"/>
      <protection hidden="1"/>
    </xf>
    <xf numFmtId="38" fontId="70" fillId="0" borderId="14" xfId="0" applyNumberFormat="1" applyFont="1" applyFill="1" applyBorder="1" applyAlignment="1" applyProtection="1">
      <alignment horizontal="right" vertical="center"/>
      <protection hidden="1"/>
    </xf>
    <xf numFmtId="38" fontId="70" fillId="2" borderId="11" xfId="0" applyNumberFormat="1" applyFont="1" applyFill="1" applyBorder="1" applyAlignment="1" applyProtection="1">
      <alignment horizontal="left" vertical="center"/>
      <protection hidden="1"/>
    </xf>
    <xf numFmtId="38" fontId="70" fillId="4" borderId="21" xfId="0" applyNumberFormat="1" applyFont="1" applyFill="1" applyBorder="1" applyAlignment="1" applyProtection="1">
      <alignment horizontal="right" vertical="center"/>
      <protection hidden="1"/>
    </xf>
    <xf numFmtId="38" fontId="70" fillId="4" borderId="11" xfId="0" applyNumberFormat="1" applyFont="1" applyFill="1" applyBorder="1" applyAlignment="1" applyProtection="1">
      <alignment horizontal="right" vertical="center"/>
      <protection hidden="1"/>
    </xf>
    <xf numFmtId="38" fontId="70" fillId="0" borderId="21" xfId="0" applyNumberFormat="1" applyFont="1" applyFill="1" applyBorder="1" applyAlignment="1" applyProtection="1">
      <alignment horizontal="right" vertical="center"/>
      <protection hidden="1"/>
    </xf>
    <xf numFmtId="0" fontId="83" fillId="0" borderId="0" xfId="0" applyFont="1" applyAlignment="1" applyProtection="1">
      <alignment horizontal="left"/>
      <protection hidden="1"/>
    </xf>
    <xf numFmtId="0" fontId="80" fillId="7" borderId="27" xfId="7" applyFont="1" applyFill="1" applyBorder="1" applyAlignment="1" applyProtection="1">
      <alignment horizontal="left" vertical="center"/>
      <protection locked="0"/>
    </xf>
    <xf numFmtId="0" fontId="69" fillId="7" borderId="28" xfId="7" applyFont="1" applyFill="1" applyBorder="1" applyAlignment="1" applyProtection="1">
      <alignment horizontal="left" vertical="center"/>
      <protection locked="0"/>
    </xf>
    <xf numFmtId="0" fontId="69" fillId="7" borderId="28" xfId="7" applyFont="1" applyFill="1" applyBorder="1" applyAlignment="1" applyProtection="1">
      <alignment horizontal="center" vertical="center"/>
      <protection locked="0"/>
    </xf>
    <xf numFmtId="0" fontId="69" fillId="7" borderId="29" xfId="7" applyFont="1" applyFill="1" applyBorder="1" applyAlignment="1" applyProtection="1">
      <alignment horizontal="right" vertical="center"/>
      <protection locked="0"/>
    </xf>
    <xf numFmtId="0" fontId="83" fillId="0" borderId="0" xfId="0" applyFont="1" applyAlignment="1" applyProtection="1">
      <alignment vertical="center"/>
      <protection hidden="1"/>
    </xf>
    <xf numFmtId="0" fontId="7" fillId="0" borderId="0" xfId="7" applyFont="1" applyFill="1" applyBorder="1" applyAlignment="1" applyProtection="1">
      <alignment vertical="center"/>
      <protection hidden="1"/>
    </xf>
    <xf numFmtId="0" fontId="75" fillId="0" borderId="0" xfId="7" applyFont="1" applyFill="1" applyBorder="1" applyAlignment="1" applyProtection="1">
      <alignment vertical="center"/>
      <protection hidden="1"/>
    </xf>
    <xf numFmtId="0" fontId="83" fillId="0" borderId="0" xfId="0" applyFont="1" applyBorder="1" applyAlignment="1" applyProtection="1">
      <alignment vertical="center"/>
      <protection hidden="1"/>
    </xf>
    <xf numFmtId="9" fontId="7" fillId="2" borderId="5" xfId="8" applyNumberFormat="1" applyFont="1" applyFill="1" applyBorder="1" applyAlignment="1" applyProtection="1">
      <alignment horizontal="center" vertical="center"/>
      <protection hidden="1"/>
    </xf>
    <xf numFmtId="0" fontId="83" fillId="0" borderId="0" xfId="0" applyFont="1" applyFill="1" applyBorder="1" applyAlignment="1" applyProtection="1">
      <alignment vertical="center"/>
      <protection hidden="1"/>
    </xf>
    <xf numFmtId="9" fontId="7" fillId="2" borderId="14" xfId="8" applyNumberFormat="1" applyFont="1" applyFill="1" applyBorder="1" applyAlignment="1" applyProtection="1">
      <alignment horizontal="center" vertical="center"/>
      <protection hidden="1"/>
    </xf>
    <xf numFmtId="9" fontId="7" fillId="2" borderId="14" xfId="7" applyNumberFormat="1" applyFont="1" applyFill="1" applyBorder="1" applyAlignment="1" applyProtection="1">
      <alignment horizontal="center" vertical="center"/>
      <protection hidden="1"/>
    </xf>
    <xf numFmtId="9" fontId="7" fillId="2" borderId="14" xfId="0" applyNumberFormat="1" applyFont="1" applyFill="1" applyBorder="1" applyAlignment="1" applyProtection="1">
      <alignment horizontal="center" vertical="center"/>
      <protection hidden="1"/>
    </xf>
    <xf numFmtId="9" fontId="7" fillId="0" borderId="14" xfId="7" applyNumberFormat="1" applyFont="1" applyFill="1" applyBorder="1" applyAlignment="1" applyProtection="1">
      <alignment horizontal="center" vertical="center"/>
      <protection hidden="1"/>
    </xf>
    <xf numFmtId="9" fontId="7" fillId="2" borderId="129" xfId="7" applyNumberFormat="1" applyFont="1" applyFill="1" applyBorder="1" applyAlignment="1" applyProtection="1">
      <alignment horizontal="center" vertical="center"/>
      <protection hidden="1"/>
    </xf>
    <xf numFmtId="9" fontId="7" fillId="2" borderId="15" xfId="7" applyNumberFormat="1" applyFont="1" applyFill="1" applyBorder="1" applyAlignment="1" applyProtection="1">
      <alignment horizontal="center" vertical="center"/>
      <protection hidden="1"/>
    </xf>
    <xf numFmtId="184" fontId="80" fillId="0" borderId="93" xfId="0" applyNumberFormat="1" applyFont="1" applyFill="1" applyBorder="1" applyAlignment="1" applyProtection="1">
      <alignment vertical="center"/>
      <protection hidden="1"/>
    </xf>
    <xf numFmtId="0" fontId="62" fillId="2" borderId="86" xfId="0" applyFont="1" applyFill="1" applyBorder="1" applyAlignment="1" applyProtection="1">
      <alignment horizontal="right" vertical="center"/>
      <protection hidden="1"/>
    </xf>
    <xf numFmtId="0" fontId="62" fillId="2" borderId="91" xfId="0" applyFont="1" applyFill="1" applyBorder="1" applyAlignment="1" applyProtection="1">
      <alignment horizontal="right" vertical="center"/>
      <protection hidden="1"/>
    </xf>
    <xf numFmtId="0" fontId="62" fillId="0" borderId="91" xfId="0" applyFont="1" applyFill="1" applyBorder="1" applyAlignment="1" applyProtection="1">
      <alignment horizontal="right" vertical="center"/>
      <protection hidden="1"/>
    </xf>
    <xf numFmtId="0" fontId="62" fillId="2" borderId="30" xfId="0" applyFont="1" applyFill="1" applyBorder="1" applyAlignment="1" applyProtection="1">
      <alignment horizontal="right" vertical="center"/>
      <protection hidden="1"/>
    </xf>
    <xf numFmtId="0" fontId="62" fillId="2" borderId="23" xfId="0" applyFont="1" applyFill="1" applyBorder="1" applyAlignment="1" applyProtection="1">
      <alignment horizontal="right" vertical="center"/>
      <protection hidden="1"/>
    </xf>
    <xf numFmtId="0" fontId="62" fillId="0" borderId="30" xfId="0" applyFont="1" applyFill="1" applyBorder="1" applyAlignment="1" applyProtection="1">
      <alignment horizontal="right" vertical="center"/>
      <protection hidden="1"/>
    </xf>
    <xf numFmtId="0" fontId="62" fillId="0" borderId="24" xfId="0" applyFont="1" applyFill="1" applyBorder="1" applyAlignment="1" applyProtection="1">
      <alignment horizontal="right" vertical="center"/>
      <protection hidden="1"/>
    </xf>
    <xf numFmtId="180" fontId="7" fillId="0" borderId="91" xfId="0" applyNumberFormat="1" applyFont="1" applyBorder="1" applyProtection="1">
      <protection hidden="1"/>
    </xf>
    <xf numFmtId="180" fontId="7" fillId="0" borderId="131" xfId="0" applyNumberFormat="1" applyFont="1" applyBorder="1" applyProtection="1">
      <protection hidden="1"/>
    </xf>
    <xf numFmtId="183" fontId="7" fillId="0" borderId="0" xfId="0" applyNumberFormat="1" applyFont="1" applyBorder="1" applyAlignment="1" applyProtection="1">
      <alignment horizontal="right"/>
      <protection hidden="1"/>
    </xf>
    <xf numFmtId="183" fontId="7" fillId="2" borderId="0" xfId="0" applyNumberFormat="1" applyFont="1" applyFill="1" applyBorder="1" applyAlignment="1" applyProtection="1">
      <alignment horizontal="right"/>
      <protection hidden="1"/>
    </xf>
    <xf numFmtId="183" fontId="7" fillId="0" borderId="14" xfId="0" applyNumberFormat="1" applyFont="1" applyBorder="1" applyAlignment="1" applyProtection="1">
      <alignment horizontal="right"/>
      <protection hidden="1"/>
    </xf>
    <xf numFmtId="183" fontId="7" fillId="2" borderId="14" xfId="0" applyNumberFormat="1" applyFont="1" applyFill="1" applyBorder="1" applyAlignment="1" applyProtection="1">
      <alignment horizontal="right"/>
      <protection hidden="1"/>
    </xf>
    <xf numFmtId="183" fontId="7" fillId="0" borderId="11" xfId="0" applyNumberFormat="1" applyFont="1" applyBorder="1" applyAlignment="1" applyProtection="1">
      <alignment horizontal="right"/>
      <protection hidden="1"/>
    </xf>
    <xf numFmtId="183" fontId="7" fillId="2" borderId="11" xfId="0" applyNumberFormat="1" applyFont="1" applyFill="1" applyBorder="1" applyAlignment="1" applyProtection="1">
      <alignment horizontal="right"/>
      <protection hidden="1"/>
    </xf>
    <xf numFmtId="183" fontId="7" fillId="0" borderId="15" xfId="0" applyNumberFormat="1" applyFont="1" applyBorder="1" applyAlignment="1" applyProtection="1">
      <alignment horizontal="right"/>
      <protection hidden="1"/>
    </xf>
    <xf numFmtId="180" fontId="62" fillId="6" borderId="91" xfId="0" applyNumberFormat="1" applyFont="1" applyFill="1" applyBorder="1" applyProtection="1">
      <protection locked="0"/>
    </xf>
    <xf numFmtId="38" fontId="7" fillId="2" borderId="80" xfId="5" applyNumberFormat="1" applyFont="1" applyFill="1" applyBorder="1" applyAlignment="1" applyProtection="1">
      <alignment horizontal="right"/>
      <protection hidden="1"/>
    </xf>
    <xf numFmtId="179" fontId="70" fillId="6" borderId="23" xfId="8" applyNumberFormat="1" applyFont="1" applyFill="1" applyBorder="1" applyAlignment="1" applyProtection="1">
      <alignment horizontal="right"/>
      <protection locked="0"/>
    </xf>
    <xf numFmtId="38" fontId="7" fillId="2" borderId="59" xfId="5" applyNumberFormat="1" applyFont="1" applyFill="1" applyBorder="1" applyAlignment="1" applyProtection="1">
      <alignment horizontal="right"/>
      <protection hidden="1"/>
    </xf>
    <xf numFmtId="0" fontId="7" fillId="2" borderId="128" xfId="0" applyFont="1" applyFill="1" applyBorder="1" applyProtection="1">
      <protection hidden="1"/>
    </xf>
    <xf numFmtId="0" fontId="7" fillId="2" borderId="2" xfId="0" applyFont="1" applyFill="1" applyBorder="1" applyProtection="1">
      <protection hidden="1"/>
    </xf>
    <xf numFmtId="0" fontId="7" fillId="2" borderId="85" xfId="0" applyFont="1" applyFill="1" applyBorder="1" applyProtection="1">
      <protection hidden="1"/>
    </xf>
    <xf numFmtId="0" fontId="7" fillId="2" borderId="3" xfId="0" applyFont="1" applyFill="1" applyBorder="1" applyProtection="1">
      <protection hidden="1"/>
    </xf>
    <xf numFmtId="0" fontId="7" fillId="2" borderId="6" xfId="0" applyFont="1" applyFill="1" applyBorder="1" applyProtection="1">
      <protection hidden="1"/>
    </xf>
    <xf numFmtId="38" fontId="70" fillId="4" borderId="85" xfId="13" applyNumberFormat="1" applyFont="1" applyFill="1" applyBorder="1" applyAlignment="1" applyProtection="1">
      <alignment horizontal="right"/>
      <protection hidden="1"/>
    </xf>
    <xf numFmtId="38" fontId="70" fillId="4" borderId="2" xfId="13" applyNumberFormat="1" applyFont="1" applyFill="1" applyBorder="1" applyAlignment="1" applyProtection="1">
      <alignment horizontal="right"/>
      <protection hidden="1"/>
    </xf>
    <xf numFmtId="38" fontId="70" fillId="4" borderId="3" xfId="13" applyNumberFormat="1" applyFont="1" applyFill="1" applyBorder="1" applyAlignment="1" applyProtection="1">
      <alignment horizontal="right"/>
      <protection hidden="1"/>
    </xf>
    <xf numFmtId="38" fontId="70" fillId="2" borderId="19" xfId="13" applyNumberFormat="1" applyFont="1" applyFill="1" applyBorder="1" applyAlignment="1" applyProtection="1">
      <alignment horizontal="right"/>
      <protection hidden="1"/>
    </xf>
    <xf numFmtId="38" fontId="70" fillId="2" borderId="20" xfId="13" applyNumberFormat="1" applyFont="1" applyFill="1" applyBorder="1" applyAlignment="1" applyProtection="1">
      <alignment horizontal="right"/>
      <protection hidden="1"/>
    </xf>
    <xf numFmtId="38" fontId="70" fillId="2" borderId="86" xfId="0" applyNumberFormat="1" applyFont="1" applyFill="1" applyBorder="1" applyAlignment="1" applyProtection="1">
      <alignment horizontal="right"/>
      <protection hidden="1"/>
    </xf>
    <xf numFmtId="38" fontId="70" fillId="2" borderId="91" xfId="0" applyNumberFormat="1" applyFont="1" applyFill="1" applyBorder="1" applyAlignment="1" applyProtection="1">
      <alignment horizontal="right"/>
      <protection hidden="1"/>
    </xf>
    <xf numFmtId="38" fontId="70" fillId="2" borderId="94" xfId="0" applyNumberFormat="1" applyFont="1" applyFill="1" applyBorder="1" applyAlignment="1" applyProtection="1">
      <alignment horizontal="right"/>
      <protection hidden="1"/>
    </xf>
    <xf numFmtId="0" fontId="5" fillId="2" borderId="127" xfId="0" applyFont="1" applyFill="1" applyBorder="1" applyAlignment="1" applyProtection="1">
      <alignment vertical="center"/>
      <protection hidden="1"/>
    </xf>
    <xf numFmtId="180" fontId="7" fillId="2" borderId="19" xfId="8" applyNumberFormat="1" applyFont="1" applyFill="1" applyBorder="1" applyAlignment="1" applyProtection="1">
      <alignment horizontal="right" vertical="center"/>
      <protection hidden="1"/>
    </xf>
    <xf numFmtId="180" fontId="7" fillId="2" borderId="0" xfId="8" applyNumberFormat="1" applyFont="1" applyFill="1" applyBorder="1" applyAlignment="1" applyProtection="1">
      <alignment horizontal="right" vertical="center"/>
      <protection hidden="1"/>
    </xf>
    <xf numFmtId="180" fontId="7" fillId="2" borderId="19" xfId="0" applyNumberFormat="1" applyFont="1" applyFill="1" applyBorder="1" applyProtection="1">
      <protection hidden="1"/>
    </xf>
    <xf numFmtId="180" fontId="7" fillId="2" borderId="14" xfId="0" applyNumberFormat="1" applyFont="1" applyFill="1" applyBorder="1" applyProtection="1">
      <protection hidden="1"/>
    </xf>
    <xf numFmtId="9" fontId="7" fillId="2" borderId="19" xfId="8" applyNumberFormat="1" applyFont="1" applyFill="1" applyBorder="1" applyAlignment="1" applyProtection="1">
      <alignment horizontal="right" vertical="center"/>
      <protection hidden="1"/>
    </xf>
    <xf numFmtId="9" fontId="7" fillId="2" borderId="0" xfId="8" applyNumberFormat="1" applyFont="1" applyFill="1" applyBorder="1" applyAlignment="1" applyProtection="1">
      <alignment horizontal="right" vertical="center"/>
      <protection hidden="1"/>
    </xf>
    <xf numFmtId="9" fontId="7" fillId="2" borderId="19" xfId="0" applyNumberFormat="1" applyFont="1" applyFill="1" applyBorder="1" applyAlignment="1" applyProtection="1">
      <alignment vertical="center"/>
      <protection hidden="1"/>
    </xf>
    <xf numFmtId="9" fontId="7" fillId="2" borderId="14" xfId="0" applyNumberFormat="1" applyFont="1" applyFill="1" applyBorder="1" applyAlignment="1" applyProtection="1">
      <alignment vertical="center"/>
      <protection hidden="1"/>
    </xf>
    <xf numFmtId="38" fontId="7" fillId="2" borderId="19" xfId="13" applyNumberFormat="1" applyFont="1" applyFill="1" applyBorder="1" applyAlignment="1" applyProtection="1">
      <alignment horizontal="right" vertical="center"/>
      <protection hidden="1"/>
    </xf>
    <xf numFmtId="38" fontId="7" fillId="2" borderId="0" xfId="13" applyNumberFormat="1" applyFont="1" applyFill="1" applyBorder="1" applyAlignment="1" applyProtection="1">
      <alignment horizontal="right" vertical="center"/>
      <protection hidden="1"/>
    </xf>
    <xf numFmtId="38" fontId="7" fillId="2" borderId="14" xfId="13" applyNumberFormat="1" applyFont="1" applyFill="1" applyBorder="1" applyAlignment="1" applyProtection="1">
      <alignment horizontal="right" vertical="center"/>
      <protection hidden="1"/>
    </xf>
    <xf numFmtId="38" fontId="70" fillId="4" borderId="19" xfId="13" applyNumberFormat="1" applyFont="1" applyFill="1" applyBorder="1" applyAlignment="1" applyProtection="1">
      <alignment horizontal="right" vertical="center"/>
      <protection hidden="1"/>
    </xf>
    <xf numFmtId="38" fontId="70" fillId="4" borderId="0" xfId="13" applyNumberFormat="1" applyFont="1" applyFill="1" applyBorder="1" applyAlignment="1" applyProtection="1">
      <alignment horizontal="right" vertical="center"/>
      <protection hidden="1"/>
    </xf>
    <xf numFmtId="38" fontId="70" fillId="0" borderId="19" xfId="13" applyNumberFormat="1" applyFont="1" applyFill="1" applyBorder="1" applyAlignment="1" applyProtection="1">
      <alignment horizontal="right" vertical="center"/>
      <protection hidden="1"/>
    </xf>
    <xf numFmtId="38" fontId="70" fillId="0" borderId="14" xfId="13" applyNumberFormat="1" applyFont="1" applyFill="1" applyBorder="1" applyAlignment="1" applyProtection="1">
      <alignment horizontal="right" vertical="center"/>
      <protection hidden="1"/>
    </xf>
    <xf numFmtId="180" fontId="79" fillId="2" borderId="127" xfId="0" applyNumberFormat="1" applyFont="1" applyFill="1" applyBorder="1" applyAlignment="1" applyProtection="1">
      <alignment horizontal="right" vertical="center"/>
      <protection hidden="1"/>
    </xf>
    <xf numFmtId="180" fontId="79" fillId="2" borderId="10" xfId="0" applyNumberFormat="1" applyFont="1" applyFill="1" applyBorder="1" applyAlignment="1" applyProtection="1">
      <alignment horizontal="right" vertical="center"/>
      <protection hidden="1"/>
    </xf>
    <xf numFmtId="180" fontId="79" fillId="2" borderId="12" xfId="0" applyNumberFormat="1" applyFont="1" applyFill="1" applyBorder="1" applyAlignment="1" applyProtection="1">
      <alignment horizontal="right" vertical="center"/>
      <protection hidden="1"/>
    </xf>
    <xf numFmtId="0" fontId="71" fillId="2" borderId="85" xfId="0" applyFont="1" applyFill="1" applyBorder="1" applyProtection="1">
      <protection hidden="1"/>
    </xf>
    <xf numFmtId="181" fontId="69" fillId="2" borderId="94" xfId="0" applyNumberFormat="1" applyFont="1" applyFill="1" applyBorder="1" applyProtection="1">
      <protection hidden="1"/>
    </xf>
    <xf numFmtId="180" fontId="7" fillId="0" borderId="20" xfId="8" applyNumberFormat="1" applyFont="1" applyBorder="1" applyProtection="1">
      <protection hidden="1"/>
    </xf>
    <xf numFmtId="181" fontId="7" fillId="0" borderId="0" xfId="0" applyNumberFormat="1" applyFont="1" applyBorder="1" applyAlignment="1" applyProtection="1">
      <alignment horizontal="right"/>
      <protection hidden="1"/>
    </xf>
    <xf numFmtId="181" fontId="7" fillId="0" borderId="14" xfId="0" applyNumberFormat="1" applyFont="1" applyBorder="1" applyAlignment="1" applyProtection="1">
      <alignment horizontal="right"/>
      <protection hidden="1"/>
    </xf>
    <xf numFmtId="181" fontId="7" fillId="0" borderId="0" xfId="0" applyNumberFormat="1" applyFont="1" applyFill="1" applyBorder="1" applyAlignment="1" applyProtection="1">
      <alignment horizontal="right"/>
      <protection hidden="1"/>
    </xf>
    <xf numFmtId="180" fontId="7" fillId="0" borderId="22" xfId="8" applyNumberFormat="1" applyFont="1" applyBorder="1" applyProtection="1">
      <protection hidden="1"/>
    </xf>
    <xf numFmtId="181" fontId="7" fillId="0" borderId="11" xfId="0" applyNumberFormat="1" applyFont="1" applyBorder="1" applyAlignment="1" applyProtection="1">
      <alignment horizontal="right"/>
      <protection hidden="1"/>
    </xf>
    <xf numFmtId="181" fontId="7" fillId="0" borderId="15" xfId="0" applyNumberFormat="1" applyFont="1" applyBorder="1" applyAlignment="1" applyProtection="1">
      <alignment horizontal="right"/>
      <protection hidden="1"/>
    </xf>
    <xf numFmtId="180" fontId="62" fillId="6" borderId="20" xfId="8" applyNumberFormat="1" applyFont="1" applyFill="1" applyBorder="1" applyProtection="1">
      <protection locked="0"/>
    </xf>
    <xf numFmtId="0" fontId="70" fillId="2" borderId="23" xfId="8" applyNumberFormat="1" applyFont="1" applyFill="1" applyBorder="1" applyAlignment="1" applyProtection="1">
      <alignment horizontal="center"/>
      <protection hidden="1"/>
    </xf>
    <xf numFmtId="9" fontId="70" fillId="6" borderId="23" xfId="8" applyNumberFormat="1" applyFont="1" applyFill="1" applyBorder="1" applyAlignment="1" applyProtection="1">
      <alignment horizontal="center" vertical="center" wrapText="1"/>
      <protection locked="0"/>
    </xf>
    <xf numFmtId="0" fontId="70" fillId="2" borderId="25" xfId="0" applyFont="1" applyFill="1" applyBorder="1" applyAlignment="1" applyProtection="1">
      <alignment horizontal="right"/>
      <protection hidden="1"/>
    </xf>
    <xf numFmtId="9" fontId="70" fillId="6" borderId="25" xfId="8" applyNumberFormat="1" applyFont="1" applyFill="1" applyBorder="1" applyAlignment="1" applyProtection="1">
      <alignment horizontal="center" vertical="center" wrapText="1"/>
      <protection locked="0"/>
    </xf>
    <xf numFmtId="0" fontId="7" fillId="0" borderId="94" xfId="0" applyFont="1" applyFill="1" applyBorder="1" applyAlignment="1" applyProtection="1">
      <alignment horizontal="right" vertical="center"/>
      <protection hidden="1"/>
    </xf>
    <xf numFmtId="38" fontId="70" fillId="2" borderId="4" xfId="0" applyNumberFormat="1" applyFont="1" applyFill="1" applyBorder="1" applyProtection="1">
      <protection hidden="1"/>
    </xf>
    <xf numFmtId="38" fontId="70" fillId="2" borderId="2" xfId="13" applyNumberFormat="1" applyFont="1" applyFill="1" applyBorder="1" applyAlignment="1" applyProtection="1">
      <alignment horizontal="right"/>
      <protection hidden="1"/>
    </xf>
    <xf numFmtId="38" fontId="70" fillId="2" borderId="0" xfId="13" applyNumberFormat="1" applyFont="1" applyFill="1" applyBorder="1" applyAlignment="1" applyProtection="1">
      <alignment horizontal="right"/>
      <protection hidden="1"/>
    </xf>
    <xf numFmtId="180" fontId="90" fillId="4" borderId="19" xfId="13" applyNumberFormat="1" applyFont="1" applyFill="1" applyBorder="1" applyAlignment="1" applyProtection="1">
      <alignment horizontal="right"/>
      <protection locked="0"/>
    </xf>
    <xf numFmtId="180" fontId="90" fillId="4" borderId="0" xfId="13" applyNumberFormat="1" applyFont="1" applyFill="1" applyBorder="1" applyAlignment="1" applyProtection="1">
      <alignment horizontal="right"/>
      <protection locked="0"/>
    </xf>
    <xf numFmtId="180" fontId="90" fillId="4" borderId="20" xfId="13" applyNumberFormat="1" applyFont="1" applyFill="1" applyBorder="1" applyAlignment="1" applyProtection="1">
      <alignment horizontal="right"/>
      <protection locked="0"/>
    </xf>
    <xf numFmtId="180" fontId="90" fillId="0" borderId="19" xfId="13" applyNumberFormat="1" applyFont="1" applyFill="1" applyBorder="1" applyAlignment="1" applyProtection="1">
      <alignment horizontal="right"/>
      <protection locked="0"/>
    </xf>
    <xf numFmtId="180" fontId="90" fillId="0" borderId="0" xfId="13" applyNumberFormat="1" applyFont="1" applyFill="1" applyBorder="1" applyAlignment="1" applyProtection="1">
      <alignment horizontal="right"/>
      <protection locked="0"/>
    </xf>
    <xf numFmtId="180" fontId="90" fillId="0" borderId="20" xfId="13" applyNumberFormat="1" applyFont="1" applyFill="1" applyBorder="1" applyAlignment="1" applyProtection="1">
      <alignment horizontal="right"/>
      <protection locked="0"/>
    </xf>
    <xf numFmtId="180" fontId="90" fillId="2" borderId="19" xfId="13" applyNumberFormat="1" applyFont="1" applyFill="1" applyBorder="1" applyAlignment="1" applyProtection="1">
      <alignment horizontal="right"/>
      <protection hidden="1"/>
    </xf>
    <xf numFmtId="38" fontId="70" fillId="4" borderId="19" xfId="13" applyNumberFormat="1" applyFont="1" applyFill="1" applyBorder="1" applyAlignment="1" applyProtection="1">
      <alignment horizontal="right"/>
      <protection hidden="1"/>
    </xf>
    <xf numFmtId="38" fontId="70" fillId="4" borderId="0" xfId="13" applyNumberFormat="1" applyFont="1" applyFill="1" applyBorder="1" applyAlignment="1" applyProtection="1">
      <alignment horizontal="right"/>
      <protection hidden="1"/>
    </xf>
    <xf numFmtId="38" fontId="70" fillId="4" borderId="20" xfId="13" applyNumberFormat="1" applyFont="1" applyFill="1" applyBorder="1" applyAlignment="1" applyProtection="1">
      <alignment horizontal="right"/>
      <protection hidden="1"/>
    </xf>
    <xf numFmtId="38" fontId="70" fillId="2" borderId="6" xfId="0" applyNumberFormat="1" applyFont="1" applyFill="1" applyBorder="1" applyAlignment="1" applyProtection="1">
      <alignment wrapText="1"/>
      <protection hidden="1"/>
    </xf>
    <xf numFmtId="38" fontId="70" fillId="4" borderId="86" xfId="0" applyNumberFormat="1" applyFont="1" applyFill="1" applyBorder="1" applyAlignment="1" applyProtection="1">
      <alignment horizontal="right"/>
      <protection hidden="1"/>
    </xf>
    <xf numFmtId="38" fontId="70" fillId="4" borderId="91" xfId="0" applyNumberFormat="1" applyFont="1" applyFill="1" applyBorder="1" applyAlignment="1" applyProtection="1">
      <alignment horizontal="right"/>
      <protection hidden="1"/>
    </xf>
    <xf numFmtId="38" fontId="70" fillId="4" borderId="94" xfId="0" applyNumberFormat="1" applyFont="1" applyFill="1" applyBorder="1" applyAlignment="1" applyProtection="1">
      <alignment horizontal="right"/>
      <protection hidden="1"/>
    </xf>
    <xf numFmtId="38" fontId="70" fillId="2" borderId="128" xfId="0" applyNumberFormat="1" applyFont="1" applyFill="1" applyBorder="1" applyAlignment="1" applyProtection="1">
      <alignment wrapText="1"/>
      <protection hidden="1"/>
    </xf>
    <xf numFmtId="38" fontId="70" fillId="4" borderId="85" xfId="0" applyNumberFormat="1" applyFont="1" applyFill="1" applyBorder="1" applyAlignment="1" applyProtection="1">
      <alignment horizontal="right"/>
      <protection hidden="1"/>
    </xf>
    <xf numFmtId="38" fontId="70" fillId="4" borderId="2" xfId="0" applyNumberFormat="1" applyFont="1" applyFill="1" applyBorder="1" applyAlignment="1" applyProtection="1">
      <alignment horizontal="right"/>
      <protection hidden="1"/>
    </xf>
    <xf numFmtId="38" fontId="70" fillId="4" borderId="3" xfId="0" applyNumberFormat="1" applyFont="1" applyFill="1" applyBorder="1" applyAlignment="1" applyProtection="1">
      <alignment horizontal="right"/>
      <protection hidden="1"/>
    </xf>
    <xf numFmtId="38" fontId="70" fillId="2" borderId="85" xfId="0" applyNumberFormat="1" applyFont="1" applyFill="1" applyBorder="1" applyAlignment="1" applyProtection="1">
      <alignment horizontal="right"/>
      <protection hidden="1"/>
    </xf>
    <xf numFmtId="38" fontId="70" fillId="2" borderId="2" xfId="0" applyNumberFormat="1" applyFont="1" applyFill="1" applyBorder="1" applyAlignment="1" applyProtection="1">
      <alignment horizontal="right"/>
      <protection hidden="1"/>
    </xf>
    <xf numFmtId="3" fontId="7" fillId="2" borderId="85" xfId="7" applyNumberFormat="1" applyFont="1" applyFill="1" applyBorder="1" applyAlignment="1" applyProtection="1">
      <alignment horizontal="right"/>
      <protection hidden="1"/>
    </xf>
    <xf numFmtId="0" fontId="7" fillId="4" borderId="19" xfId="0" applyFont="1" applyFill="1" applyBorder="1" applyAlignment="1" applyProtection="1">
      <alignment horizontal="right"/>
      <protection hidden="1"/>
    </xf>
    <xf numFmtId="0" fontId="7" fillId="4" borderId="0" xfId="0" applyFont="1" applyFill="1" applyBorder="1" applyAlignment="1" applyProtection="1">
      <alignment horizontal="right"/>
      <protection hidden="1"/>
    </xf>
    <xf numFmtId="38" fontId="7" fillId="4" borderId="20" xfId="0" applyNumberFormat="1" applyFont="1" applyFill="1" applyBorder="1" applyAlignment="1" applyProtection="1">
      <alignment horizontal="right"/>
      <protection hidden="1"/>
    </xf>
    <xf numFmtId="38" fontId="7" fillId="2" borderId="19" xfId="0" applyNumberFormat="1" applyFont="1" applyFill="1" applyBorder="1" applyAlignment="1" applyProtection="1">
      <alignment horizontal="right"/>
      <protection hidden="1"/>
    </xf>
    <xf numFmtId="0" fontId="7" fillId="2" borderId="0" xfId="0" applyFont="1" applyFill="1" applyBorder="1" applyAlignment="1" applyProtection="1">
      <alignment horizontal="right"/>
      <protection hidden="1"/>
    </xf>
    <xf numFmtId="0" fontId="7" fillId="2" borderId="19" xfId="0" applyFont="1" applyFill="1" applyBorder="1" applyAlignment="1" applyProtection="1">
      <alignment horizontal="right"/>
      <protection hidden="1"/>
    </xf>
    <xf numFmtId="183" fontId="62" fillId="2" borderId="21" xfId="0" applyNumberFormat="1" applyFont="1" applyFill="1" applyBorder="1" applyAlignment="1" applyProtection="1">
      <alignment horizontal="right"/>
      <protection hidden="1"/>
    </xf>
    <xf numFmtId="181" fontId="62" fillId="2" borderId="132" xfId="13" applyNumberFormat="1" applyFont="1" applyFill="1" applyBorder="1" applyAlignment="1" applyProtection="1">
      <alignment horizontal="right" vertical="center"/>
      <protection hidden="1"/>
    </xf>
    <xf numFmtId="181" fontId="7" fillId="0" borderId="132" xfId="13" applyNumberFormat="1" applyFont="1" applyFill="1" applyBorder="1" applyAlignment="1" applyProtection="1">
      <alignment horizontal="right" vertical="center"/>
      <protection hidden="1"/>
    </xf>
    <xf numFmtId="185" fontId="75" fillId="0" borderId="117" xfId="10" applyNumberFormat="1" applyFont="1" applyFill="1" applyBorder="1" applyAlignment="1" applyProtection="1">
      <alignment horizontal="right"/>
      <protection hidden="1"/>
    </xf>
    <xf numFmtId="185" fontId="5" fillId="0" borderId="0" xfId="10" applyNumberFormat="1" applyFont="1" applyBorder="1" applyAlignment="1" applyProtection="1">
      <alignment horizontal="left" vertical="center" indent="1"/>
      <protection hidden="1"/>
    </xf>
    <xf numFmtId="0" fontId="7" fillId="3" borderId="0" xfId="0" applyNumberFormat="1" applyFont="1" applyFill="1" applyBorder="1" applyProtection="1">
      <protection hidden="1"/>
    </xf>
    <xf numFmtId="184" fontId="7" fillId="3" borderId="0" xfId="0" applyNumberFormat="1" applyFont="1" applyFill="1" applyBorder="1" applyAlignment="1" applyProtection="1">
      <alignment horizontal="left"/>
      <protection hidden="1"/>
    </xf>
    <xf numFmtId="0" fontId="65" fillId="18" borderId="0" xfId="9" applyFont="1" applyFill="1" applyAlignment="1">
      <alignment vertical="center"/>
    </xf>
    <xf numFmtId="0" fontId="65" fillId="0" borderId="0" xfId="9" applyAlignment="1">
      <alignment vertical="center"/>
    </xf>
    <xf numFmtId="0" fontId="65" fillId="0" borderId="0" xfId="9"/>
    <xf numFmtId="0" fontId="91" fillId="15" borderId="0" xfId="9" applyNumberFormat="1" applyFont="1" applyFill="1"/>
    <xf numFmtId="0" fontId="93" fillId="15" borderId="0" xfId="9" applyFont="1" applyFill="1"/>
    <xf numFmtId="0" fontId="21" fillId="15" borderId="0" xfId="9" applyFont="1" applyFill="1"/>
    <xf numFmtId="191" fontId="21" fillId="15" borderId="0" xfId="9" applyNumberFormat="1" applyFont="1" applyFill="1"/>
    <xf numFmtId="0" fontId="92" fillId="0" borderId="0" xfId="9" applyFont="1"/>
    <xf numFmtId="0" fontId="7" fillId="0" borderId="0" xfId="9" applyFont="1"/>
    <xf numFmtId="0" fontId="7" fillId="0" borderId="4" xfId="9" applyFont="1" applyBorder="1"/>
    <xf numFmtId="0" fontId="7" fillId="0" borderId="32" xfId="9" quotePrefix="1" applyFont="1" applyBorder="1" applyAlignment="1">
      <alignment vertical="center"/>
    </xf>
    <xf numFmtId="201" fontId="7" fillId="0" borderId="32" xfId="9" applyNumberFormat="1" applyFont="1" applyBorder="1" applyAlignment="1">
      <alignment vertical="center"/>
    </xf>
    <xf numFmtId="201" fontId="94" fillId="0" borderId="32" xfId="9" applyNumberFormat="1" applyFont="1" applyBorder="1" applyAlignment="1">
      <alignment vertical="center"/>
    </xf>
    <xf numFmtId="0" fontId="7" fillId="0" borderId="32" xfId="9" applyFont="1" applyBorder="1" applyAlignment="1">
      <alignment vertical="center"/>
    </xf>
    <xf numFmtId="182" fontId="7" fillId="0" borderId="32" xfId="9" applyNumberFormat="1" applyFont="1" applyBorder="1"/>
    <xf numFmtId="0" fontId="7" fillId="0" borderId="32" xfId="9" applyFont="1" applyBorder="1"/>
    <xf numFmtId="200" fontId="7" fillId="0" borderId="33" xfId="9" applyNumberFormat="1" applyFont="1" applyBorder="1" applyAlignment="1">
      <alignment vertical="center"/>
    </xf>
    <xf numFmtId="182" fontId="7" fillId="0" borderId="36" xfId="9" applyNumberFormat="1" applyFont="1" applyBorder="1"/>
    <xf numFmtId="200" fontId="7" fillId="0" borderId="34" xfId="9" applyNumberFormat="1" applyFont="1" applyBorder="1" applyAlignment="1">
      <alignment vertical="center"/>
    </xf>
    <xf numFmtId="0" fontId="7" fillId="0" borderId="89" xfId="9" quotePrefix="1" applyFont="1" applyBorder="1" applyAlignment="1">
      <alignment vertical="center"/>
    </xf>
    <xf numFmtId="201" fontId="7" fillId="0" borderId="89" xfId="9" applyNumberFormat="1" applyFont="1" applyBorder="1" applyAlignment="1">
      <alignment vertical="center"/>
    </xf>
    <xf numFmtId="201" fontId="94" fillId="0" borderId="89" xfId="9" applyNumberFormat="1" applyFont="1" applyBorder="1" applyAlignment="1">
      <alignment vertical="center"/>
    </xf>
    <xf numFmtId="0" fontId="7" fillId="0" borderId="89" xfId="9" applyFont="1" applyBorder="1"/>
    <xf numFmtId="182" fontId="7" fillId="0" borderId="90" xfId="9" applyNumberFormat="1" applyFont="1" applyBorder="1"/>
    <xf numFmtId="200" fontId="95" fillId="19" borderId="133" xfId="9" applyNumberFormat="1" applyFont="1" applyFill="1" applyBorder="1" applyAlignment="1">
      <alignment horizontal="center" vertical="center" wrapText="1"/>
    </xf>
    <xf numFmtId="0" fontId="95" fillId="19" borderId="104" xfId="9" applyFont="1" applyFill="1" applyBorder="1" applyAlignment="1">
      <alignment horizontal="center" vertical="center" wrapText="1"/>
    </xf>
    <xf numFmtId="201" fontId="95" fillId="19" borderId="104" xfId="9" applyNumberFormat="1" applyFont="1" applyFill="1" applyBorder="1" applyAlignment="1">
      <alignment horizontal="center" vertical="center" wrapText="1"/>
    </xf>
    <xf numFmtId="0" fontId="95" fillId="19" borderId="105" xfId="9" applyFont="1" applyFill="1" applyBorder="1" applyAlignment="1">
      <alignment horizontal="center" vertical="center" wrapText="1"/>
    </xf>
    <xf numFmtId="0" fontId="7" fillId="18" borderId="4" xfId="9" applyFont="1" applyFill="1" applyBorder="1" applyAlignment="1">
      <alignment vertical="center"/>
    </xf>
    <xf numFmtId="182" fontId="7" fillId="20" borderId="0" xfId="9" applyNumberFormat="1" applyFont="1" applyFill="1" applyBorder="1" applyAlignment="1">
      <alignment vertical="center"/>
    </xf>
    <xf numFmtId="182" fontId="7" fillId="20" borderId="14" xfId="9" applyNumberFormat="1" applyFont="1" applyFill="1" applyBorder="1" applyAlignment="1">
      <alignment vertical="center"/>
    </xf>
    <xf numFmtId="10" fontId="7" fillId="0" borderId="0" xfId="9" applyNumberFormat="1" applyFont="1" applyBorder="1"/>
    <xf numFmtId="10" fontId="7" fillId="0" borderId="14" xfId="9" applyNumberFormat="1" applyFont="1" applyBorder="1"/>
    <xf numFmtId="0" fontId="7" fillId="18" borderId="7" xfId="9" applyFont="1" applyFill="1" applyBorder="1" applyAlignment="1">
      <alignment vertical="center"/>
    </xf>
    <xf numFmtId="182" fontId="7" fillId="20" borderId="11" xfId="9" applyNumberFormat="1" applyFont="1" applyFill="1" applyBorder="1"/>
    <xf numFmtId="182" fontId="7" fillId="20" borderId="15" xfId="9" applyNumberFormat="1" applyFont="1" applyFill="1" applyBorder="1"/>
    <xf numFmtId="0" fontId="62" fillId="0" borderId="37" xfId="9" applyFont="1" applyFill="1" applyBorder="1" applyAlignment="1" applyProtection="1">
      <alignment horizontal="right"/>
      <protection hidden="1"/>
    </xf>
    <xf numFmtId="0" fontId="62" fillId="0" borderId="88" xfId="9" applyFont="1" applyFill="1" applyBorder="1" applyAlignment="1" applyProtection="1">
      <alignment horizontal="right"/>
      <protection hidden="1"/>
    </xf>
    <xf numFmtId="38" fontId="7" fillId="21" borderId="32" xfId="14" applyNumberFormat="1" applyFont="1" applyFill="1" applyBorder="1" applyAlignment="1" applyProtection="1">
      <alignment horizontal="right"/>
      <protection hidden="1"/>
    </xf>
    <xf numFmtId="38" fontId="7" fillId="2" borderId="32" xfId="14" applyNumberFormat="1" applyFont="1" applyFill="1" applyBorder="1" applyAlignment="1" applyProtection="1">
      <alignment horizontal="right"/>
      <protection hidden="1"/>
    </xf>
    <xf numFmtId="38" fontId="7" fillId="2" borderId="36" xfId="14" applyNumberFormat="1" applyFont="1" applyFill="1" applyBorder="1" applyAlignment="1" applyProtection="1">
      <alignment horizontal="right"/>
      <protection hidden="1"/>
    </xf>
    <xf numFmtId="180" fontId="7" fillId="4" borderId="32" xfId="14" applyNumberFormat="1" applyFont="1" applyFill="1" applyBorder="1" applyAlignment="1" applyProtection="1">
      <alignment horizontal="right"/>
      <protection hidden="1"/>
    </xf>
    <xf numFmtId="180" fontId="7" fillId="2" borderId="32" xfId="14" applyNumberFormat="1" applyFont="1" applyFill="1" applyBorder="1" applyAlignment="1" applyProtection="1">
      <alignment horizontal="right"/>
      <protection hidden="1"/>
    </xf>
    <xf numFmtId="180" fontId="7" fillId="2" borderId="36" xfId="14" applyNumberFormat="1" applyFont="1" applyFill="1" applyBorder="1" applyAlignment="1" applyProtection="1">
      <alignment horizontal="right"/>
      <protection hidden="1"/>
    </xf>
    <xf numFmtId="38" fontId="7" fillId="22" borderId="113" xfId="14" applyNumberFormat="1" applyFont="1" applyFill="1" applyBorder="1" applyAlignment="1" applyProtection="1">
      <alignment horizontal="right"/>
      <protection hidden="1"/>
    </xf>
    <xf numFmtId="38" fontId="7" fillId="22" borderId="41" xfId="14" applyNumberFormat="1" applyFont="1" applyFill="1" applyBorder="1" applyAlignment="1" applyProtection="1">
      <alignment horizontal="right"/>
      <protection hidden="1"/>
    </xf>
    <xf numFmtId="180" fontId="7" fillId="23" borderId="32" xfId="14" applyNumberFormat="1" applyFont="1" applyFill="1" applyBorder="1" applyAlignment="1" applyProtection="1">
      <alignment horizontal="right"/>
      <protection hidden="1"/>
    </xf>
    <xf numFmtId="180" fontId="7" fillId="6" borderId="32" xfId="14" applyNumberFormat="1" applyFont="1" applyFill="1" applyBorder="1" applyAlignment="1" applyProtection="1">
      <alignment horizontal="right"/>
      <protection hidden="1"/>
    </xf>
    <xf numFmtId="180" fontId="7" fillId="6" borderId="36" xfId="14" applyNumberFormat="1" applyFont="1" applyFill="1" applyBorder="1" applyAlignment="1" applyProtection="1">
      <alignment horizontal="right"/>
      <protection hidden="1"/>
    </xf>
    <xf numFmtId="38" fontId="7" fillId="2" borderId="89" xfId="9" applyNumberFormat="1" applyFont="1" applyFill="1" applyBorder="1" applyAlignment="1" applyProtection="1">
      <alignment horizontal="right"/>
      <protection hidden="1"/>
    </xf>
    <xf numFmtId="38" fontId="7" fillId="0" borderId="89" xfId="9" applyNumberFormat="1" applyFont="1" applyFill="1" applyBorder="1" applyAlignment="1" applyProtection="1">
      <alignment horizontal="right"/>
      <protection hidden="1"/>
    </xf>
    <xf numFmtId="38" fontId="7" fillId="0" borderId="90" xfId="9" applyNumberFormat="1" applyFont="1" applyFill="1" applyBorder="1" applyAlignment="1" applyProtection="1">
      <alignment horizontal="right"/>
      <protection hidden="1"/>
    </xf>
    <xf numFmtId="0" fontId="7" fillId="15" borderId="0" xfId="9" applyNumberFormat="1" applyFont="1" applyFill="1"/>
    <xf numFmtId="0" fontId="96" fillId="15" borderId="0" xfId="9" applyFont="1" applyFill="1"/>
    <xf numFmtId="0" fontId="7" fillId="15" borderId="0" xfId="9" applyFont="1" applyFill="1"/>
    <xf numFmtId="38" fontId="7" fillId="23" borderId="32" xfId="14" applyNumberFormat="1" applyFont="1" applyFill="1" applyBorder="1" applyAlignment="1" applyProtection="1">
      <alignment horizontal="right"/>
      <protection hidden="1"/>
    </xf>
    <xf numFmtId="38" fontId="7" fillId="24" borderId="32" xfId="14" applyNumberFormat="1" applyFont="1" applyFill="1" applyBorder="1" applyAlignment="1" applyProtection="1">
      <alignment horizontal="right"/>
      <protection hidden="1"/>
    </xf>
    <xf numFmtId="38" fontId="7" fillId="24" borderId="36" xfId="14" applyNumberFormat="1" applyFont="1" applyFill="1" applyBorder="1" applyAlignment="1" applyProtection="1">
      <alignment horizontal="right"/>
      <protection hidden="1"/>
    </xf>
    <xf numFmtId="180" fontId="7" fillId="24" borderId="32" xfId="14" applyNumberFormat="1" applyFont="1" applyFill="1" applyBorder="1" applyAlignment="1" applyProtection="1">
      <alignment horizontal="right"/>
      <protection hidden="1"/>
    </xf>
    <xf numFmtId="180" fontId="7" fillId="24" borderId="36" xfId="14" applyNumberFormat="1" applyFont="1" applyFill="1" applyBorder="1" applyAlignment="1" applyProtection="1">
      <alignment horizontal="right"/>
      <protection hidden="1"/>
    </xf>
    <xf numFmtId="38" fontId="7" fillId="0" borderId="32" xfId="14" applyNumberFormat="1" applyFont="1" applyFill="1" applyBorder="1" applyAlignment="1" applyProtection="1">
      <alignment horizontal="right"/>
      <protection hidden="1"/>
    </xf>
    <xf numFmtId="38" fontId="7" fillId="0" borderId="36" xfId="14" applyNumberFormat="1" applyFont="1" applyFill="1" applyBorder="1" applyAlignment="1" applyProtection="1">
      <alignment horizontal="right"/>
      <protection hidden="1"/>
    </xf>
    <xf numFmtId="0" fontId="97" fillId="19" borderId="28" xfId="9" applyFont="1" applyFill="1" applyBorder="1" applyAlignment="1" applyProtection="1">
      <alignment horizontal="right"/>
      <protection locked="0"/>
    </xf>
    <xf numFmtId="0" fontId="48" fillId="19" borderId="28" xfId="9" applyFont="1" applyFill="1" applyBorder="1" applyAlignment="1" applyProtection="1">
      <alignment horizontal="right"/>
      <protection locked="0"/>
    </xf>
    <xf numFmtId="0" fontId="48" fillId="19" borderId="29" xfId="9" applyFont="1" applyFill="1" applyBorder="1" applyAlignment="1" applyProtection="1">
      <alignment horizontal="right"/>
      <protection locked="0"/>
    </xf>
    <xf numFmtId="0" fontId="7" fillId="19" borderId="10" xfId="9" applyFont="1" applyFill="1" applyBorder="1"/>
    <xf numFmtId="0" fontId="7" fillId="19" borderId="12" xfId="9" applyFont="1" applyFill="1" applyBorder="1"/>
    <xf numFmtId="38" fontId="5" fillId="0" borderId="49" xfId="10" applyNumberFormat="1" applyFont="1" applyBorder="1" applyAlignment="1" applyProtection="1">
      <alignment horizontal="left" vertical="center"/>
      <protection hidden="1"/>
    </xf>
    <xf numFmtId="183" fontId="70" fillId="0" borderId="89" xfId="0" applyNumberFormat="1" applyFont="1" applyFill="1" applyBorder="1" applyAlignment="1" applyProtection="1">
      <alignment horizontal="right" vertical="center"/>
      <protection hidden="1"/>
    </xf>
    <xf numFmtId="38" fontId="19" fillId="0" borderId="49" xfId="0" applyNumberFormat="1" applyFont="1" applyFill="1" applyBorder="1" applyAlignment="1" applyProtection="1">
      <alignment horizontal="left" vertical="center"/>
      <protection hidden="1"/>
    </xf>
    <xf numFmtId="38" fontId="5" fillId="0" borderId="49" xfId="10" applyNumberFormat="1" applyFont="1" applyFill="1" applyBorder="1" applyAlignment="1" applyProtection="1">
      <alignment horizontal="left" vertical="center" indent="2"/>
      <protection hidden="1"/>
    </xf>
    <xf numFmtId="0" fontId="5" fillId="0" borderId="49" xfId="10" applyFont="1" applyFill="1" applyBorder="1" applyAlignment="1" applyProtection="1">
      <alignment horizontal="left" vertical="center" indent="2"/>
      <protection hidden="1"/>
    </xf>
    <xf numFmtId="185" fontId="5" fillId="0" borderId="49" xfId="10" applyNumberFormat="1" applyFont="1" applyBorder="1" applyAlignment="1" applyProtection="1">
      <alignment horizontal="left"/>
      <protection hidden="1"/>
    </xf>
    <xf numFmtId="185" fontId="5" fillId="0" borderId="49" xfId="10" applyNumberFormat="1" applyFont="1" applyFill="1" applyBorder="1" applyAlignment="1" applyProtection="1">
      <alignment horizontal="left"/>
      <protection hidden="1"/>
    </xf>
    <xf numFmtId="185" fontId="5" fillId="0" borderId="49" xfId="10" applyNumberFormat="1" applyFont="1" applyBorder="1" applyAlignment="1" applyProtection="1">
      <alignment horizontal="left" indent="1"/>
      <protection hidden="1"/>
    </xf>
    <xf numFmtId="0" fontId="5" fillId="0" borderId="49" xfId="10" applyFont="1" applyFill="1" applyBorder="1" applyAlignment="1" applyProtection="1">
      <alignment horizontal="left" indent="1"/>
      <protection hidden="1"/>
    </xf>
    <xf numFmtId="0" fontId="5" fillId="0" borderId="49" xfId="10" applyFont="1" applyBorder="1" applyAlignment="1" applyProtection="1">
      <alignment horizontal="left" indent="1"/>
      <protection hidden="1"/>
    </xf>
    <xf numFmtId="0" fontId="5" fillId="0" borderId="49" xfId="10" applyFont="1" applyFill="1" applyBorder="1" applyAlignment="1" applyProtection="1">
      <alignment vertical="center"/>
      <protection hidden="1"/>
    </xf>
    <xf numFmtId="180" fontId="7" fillId="6" borderId="32" xfId="10" applyNumberFormat="1" applyFont="1" applyFill="1" applyBorder="1" applyAlignment="1" applyProtection="1">
      <alignment horizontal="right" vertical="center"/>
      <protection locked="0"/>
    </xf>
    <xf numFmtId="0" fontId="5" fillId="0" borderId="49" xfId="10" applyFont="1" applyFill="1" applyBorder="1" applyAlignment="1" applyProtection="1">
      <alignment horizontal="left" vertical="center"/>
      <protection hidden="1"/>
    </xf>
    <xf numFmtId="9" fontId="7" fillId="4" borderId="32" xfId="8" applyFont="1" applyFill="1" applyBorder="1" applyAlignment="1" applyProtection="1">
      <alignment horizontal="right" vertical="center"/>
      <protection hidden="1"/>
    </xf>
    <xf numFmtId="9" fontId="7" fillId="0" borderId="32" xfId="8" applyFont="1" applyFill="1" applyBorder="1" applyAlignment="1" applyProtection="1">
      <alignment horizontal="right" vertical="center"/>
      <protection hidden="1"/>
    </xf>
    <xf numFmtId="180" fontId="7" fillId="4" borderId="32" xfId="8" applyNumberFormat="1" applyFont="1" applyFill="1" applyBorder="1" applyAlignment="1" applyProtection="1">
      <alignment horizontal="right" vertical="center"/>
      <protection hidden="1"/>
    </xf>
    <xf numFmtId="180" fontId="7" fillId="4" borderId="32" xfId="10" applyNumberFormat="1" applyFont="1" applyFill="1" applyBorder="1" applyAlignment="1" applyProtection="1">
      <alignment horizontal="right" vertical="center"/>
      <protection hidden="1"/>
    </xf>
    <xf numFmtId="180" fontId="7" fillId="0" borderId="32" xfId="8" applyNumberFormat="1" applyFont="1" applyFill="1" applyBorder="1" applyAlignment="1" applyProtection="1">
      <alignment horizontal="right" vertical="center"/>
      <protection hidden="1"/>
    </xf>
    <xf numFmtId="38" fontId="5" fillId="0" borderId="49" xfId="10" applyNumberFormat="1" applyFont="1" applyFill="1" applyBorder="1" applyAlignment="1" applyProtection="1">
      <alignment horizontal="left"/>
      <protection hidden="1"/>
    </xf>
    <xf numFmtId="182" fontId="7" fillId="6" borderId="32" xfId="8" applyNumberFormat="1" applyFont="1" applyFill="1" applyBorder="1" applyAlignment="1" applyProtection="1">
      <alignment horizontal="right"/>
      <protection locked="0"/>
    </xf>
    <xf numFmtId="10" fontId="98" fillId="0" borderId="1" xfId="8" applyNumberFormat="1" applyFont="1" applyFill="1" applyBorder="1" applyAlignment="1" applyProtection="1">
      <alignment horizontal="center" vertical="center" wrapText="1"/>
      <protection hidden="1"/>
    </xf>
    <xf numFmtId="10" fontId="98" fillId="0" borderId="1" xfId="0" applyNumberFormat="1" applyFont="1" applyFill="1" applyBorder="1" applyAlignment="1" applyProtection="1">
      <alignment horizontal="center" vertical="center" wrapText="1"/>
      <protection hidden="1"/>
    </xf>
    <xf numFmtId="14" fontId="70" fillId="0" borderId="0" xfId="0" applyNumberFormat="1" applyFont="1" applyFill="1" applyBorder="1" applyAlignment="1" applyProtection="1">
      <alignment horizontal="center" vertical="center" wrapText="1"/>
      <protection hidden="1"/>
    </xf>
    <xf numFmtId="9" fontId="70" fillId="0" borderId="0" xfId="0" applyNumberFormat="1" applyFont="1" applyFill="1" applyBorder="1" applyAlignment="1" applyProtection="1">
      <alignment horizontal="center" vertical="center" wrapText="1"/>
      <protection locked="0"/>
    </xf>
    <xf numFmtId="10" fontId="70" fillId="0" borderId="0" xfId="0" applyNumberFormat="1" applyFont="1" applyFill="1" applyBorder="1" applyAlignment="1" applyProtection="1">
      <alignment horizontal="center" vertical="center" wrapText="1"/>
      <protection hidden="1"/>
    </xf>
    <xf numFmtId="180"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pplyProtection="1">
      <alignment horizontal="left" vertical="center"/>
      <protection hidden="1"/>
    </xf>
    <xf numFmtId="182" fontId="19" fillId="0" borderId="1" xfId="0" applyNumberFormat="1" applyFont="1" applyFill="1" applyBorder="1" applyAlignment="1" applyProtection="1">
      <alignment horizontal="center" vertical="center" wrapText="1"/>
      <protection hidden="1"/>
    </xf>
    <xf numFmtId="0" fontId="12" fillId="7" borderId="27" xfId="0" applyFont="1" applyFill="1" applyBorder="1" applyAlignment="1" applyProtection="1">
      <alignment vertical="center"/>
      <protection hidden="1"/>
    </xf>
    <xf numFmtId="0" fontId="29" fillId="7" borderId="28" xfId="0" applyFont="1" applyFill="1" applyBorder="1" applyAlignment="1" applyProtection="1">
      <alignment vertical="center"/>
      <protection hidden="1"/>
    </xf>
    <xf numFmtId="0" fontId="27" fillId="7" borderId="28" xfId="0" applyFont="1" applyFill="1" applyBorder="1" applyAlignment="1" applyProtection="1">
      <alignment vertical="center"/>
      <protection hidden="1"/>
    </xf>
    <xf numFmtId="9" fontId="7" fillId="24" borderId="1" xfId="0" applyNumberFormat="1" applyFont="1" applyFill="1" applyBorder="1" applyAlignment="1" applyProtection="1">
      <alignment horizontal="center" vertical="center" wrapText="1"/>
      <protection locked="0"/>
    </xf>
    <xf numFmtId="38" fontId="7" fillId="4" borderId="101" xfId="4" applyNumberFormat="1" applyFont="1" applyFill="1" applyBorder="1" applyAlignment="1" applyProtection="1">
      <alignment horizontal="right" vertical="center"/>
      <protection hidden="1"/>
    </xf>
    <xf numFmtId="38" fontId="7" fillId="4" borderId="135" xfId="0" applyNumberFormat="1" applyFont="1" applyFill="1" applyBorder="1" applyAlignment="1" applyProtection="1">
      <alignment vertical="center"/>
      <protection hidden="1"/>
    </xf>
    <xf numFmtId="38" fontId="7" fillId="0" borderId="89" xfId="0" applyNumberFormat="1" applyFont="1" applyFill="1" applyBorder="1" applyAlignment="1" applyProtection="1">
      <alignment vertical="center"/>
      <protection hidden="1"/>
    </xf>
    <xf numFmtId="38" fontId="7" fillId="0" borderId="90" xfId="0" applyNumberFormat="1" applyFont="1" applyFill="1" applyBorder="1" applyAlignment="1" applyProtection="1">
      <alignment vertical="center"/>
      <protection hidden="1"/>
    </xf>
    <xf numFmtId="38" fontId="7" fillId="21" borderId="32" xfId="0" applyNumberFormat="1" applyFont="1" applyFill="1" applyBorder="1" applyAlignment="1" applyProtection="1">
      <alignment vertical="center"/>
      <protection hidden="1"/>
    </xf>
    <xf numFmtId="40" fontId="7" fillId="21" borderId="32" xfId="0" applyNumberFormat="1" applyFont="1" applyFill="1" applyBorder="1" applyAlignment="1" applyProtection="1">
      <alignment vertical="center"/>
      <protection hidden="1"/>
    </xf>
    <xf numFmtId="40" fontId="7" fillId="21" borderId="89" xfId="0" applyNumberFormat="1" applyFont="1" applyFill="1" applyBorder="1" applyAlignment="1" applyProtection="1">
      <alignment vertical="center"/>
      <protection hidden="1"/>
    </xf>
    <xf numFmtId="40" fontId="7" fillId="0" borderId="32" xfId="0" applyNumberFormat="1" applyFont="1" applyFill="1" applyBorder="1" applyAlignment="1" applyProtection="1">
      <alignment vertical="center"/>
      <protection hidden="1"/>
    </xf>
    <xf numFmtId="40" fontId="7" fillId="0" borderId="89" xfId="0" applyNumberFormat="1" applyFont="1" applyFill="1" applyBorder="1" applyAlignment="1" applyProtection="1">
      <alignment vertical="center"/>
      <protection hidden="1"/>
    </xf>
    <xf numFmtId="38" fontId="62" fillId="0" borderId="125" xfId="0" applyNumberFormat="1" applyFont="1" applyFill="1" applyBorder="1" applyAlignment="1" applyProtection="1">
      <alignment horizontal="right" vertical="center"/>
      <protection hidden="1"/>
    </xf>
    <xf numFmtId="38" fontId="7" fillId="21" borderId="68" xfId="0" applyNumberFormat="1" applyFont="1" applyFill="1" applyBorder="1" applyAlignment="1" applyProtection="1">
      <alignment vertical="center"/>
      <protection hidden="1"/>
    </xf>
    <xf numFmtId="40" fontId="7" fillId="21" borderId="68" xfId="0" applyNumberFormat="1" applyFont="1" applyFill="1" applyBorder="1" applyAlignment="1" applyProtection="1">
      <alignment vertical="center"/>
      <protection hidden="1"/>
    </xf>
    <xf numFmtId="0" fontId="24" fillId="0" borderId="136" xfId="0" applyFont="1" applyFill="1" applyBorder="1" applyAlignment="1">
      <alignment vertical="center"/>
    </xf>
    <xf numFmtId="186" fontId="5" fillId="0" borderId="137" xfId="0" applyNumberFormat="1" applyFont="1" applyFill="1" applyBorder="1" applyAlignment="1" applyProtection="1">
      <alignment horizontal="left" vertical="center"/>
      <protection hidden="1"/>
    </xf>
    <xf numFmtId="186" fontId="5" fillId="0" borderId="138" xfId="0" applyNumberFormat="1" applyFont="1" applyFill="1" applyBorder="1" applyAlignment="1" applyProtection="1">
      <alignment horizontal="left" vertical="center"/>
      <protection hidden="1"/>
    </xf>
    <xf numFmtId="186" fontId="21" fillId="0" borderId="137" xfId="0" applyNumberFormat="1" applyFont="1" applyFill="1" applyBorder="1" applyAlignment="1" applyProtection="1">
      <alignment horizontal="left" vertical="center"/>
      <protection hidden="1"/>
    </xf>
    <xf numFmtId="38" fontId="70" fillId="0" borderId="11" xfId="0" applyNumberFormat="1" applyFont="1" applyFill="1" applyBorder="1" applyAlignment="1" applyProtection="1">
      <alignment horizontal="right" vertical="center"/>
      <protection hidden="1"/>
    </xf>
    <xf numFmtId="38" fontId="70" fillId="0" borderId="15" xfId="0" applyNumberFormat="1" applyFont="1" applyFill="1" applyBorder="1" applyAlignment="1" applyProtection="1">
      <alignment horizontal="right" vertical="center"/>
      <protection hidden="1"/>
    </xf>
    <xf numFmtId="0" fontId="65" fillId="0" borderId="0" xfId="9" applyFont="1" applyAlignment="1"/>
    <xf numFmtId="0" fontId="101" fillId="0" borderId="0" xfId="9" applyFont="1" applyBorder="1" applyAlignment="1">
      <alignment horizontal="left" vertical="center"/>
    </xf>
    <xf numFmtId="0" fontId="65" fillId="0" borderId="0" xfId="9" applyAlignment="1"/>
    <xf numFmtId="199" fontId="5" fillId="0" borderId="16" xfId="0" applyNumberFormat="1" applyFont="1" applyFill="1" applyBorder="1" applyAlignment="1" applyProtection="1">
      <alignment horizontal="left" vertical="center" indent="1"/>
      <protection hidden="1"/>
    </xf>
    <xf numFmtId="0" fontId="99" fillId="0" borderId="0" xfId="9" applyFont="1" applyBorder="1" applyAlignment="1">
      <alignment vertical="center"/>
    </xf>
    <xf numFmtId="0" fontId="65" fillId="0" borderId="0" xfId="9" applyFont="1" applyAlignment="1">
      <alignment vertical="center"/>
    </xf>
    <xf numFmtId="0" fontId="65" fillId="0" borderId="0" xfId="9" applyBorder="1" applyAlignment="1">
      <alignment vertical="center"/>
    </xf>
    <xf numFmtId="38" fontId="19" fillId="0" borderId="49" xfId="0" applyNumberFormat="1" applyFont="1" applyFill="1" applyBorder="1" applyAlignment="1" applyProtection="1">
      <alignment horizontal="left" vertical="center" wrapText="1" indent="1"/>
      <protection hidden="1"/>
    </xf>
    <xf numFmtId="0" fontId="29" fillId="0" borderId="0" xfId="0" applyFont="1" applyAlignment="1" applyProtection="1">
      <alignment horizontal="left" vertical="center" indent="1"/>
      <protection hidden="1"/>
    </xf>
    <xf numFmtId="0" fontId="7" fillId="0" borderId="113" xfId="10" applyFont="1" applyFill="1" applyBorder="1" applyAlignment="1" applyProtection="1">
      <alignment horizontal="left" vertical="center" indent="1"/>
      <protection hidden="1"/>
    </xf>
    <xf numFmtId="0" fontId="7" fillId="0" borderId="68" xfId="10" applyFont="1" applyFill="1" applyBorder="1" applyAlignment="1" applyProtection="1">
      <alignment horizontal="left" vertical="center" indent="1"/>
      <protection hidden="1"/>
    </xf>
    <xf numFmtId="184" fontId="7" fillId="2" borderId="32" xfId="10" applyNumberFormat="1" applyFont="1" applyFill="1" applyBorder="1" applyAlignment="1" applyProtection="1">
      <alignment horizontal="left" vertical="center" indent="1"/>
      <protection hidden="1"/>
    </xf>
    <xf numFmtId="0" fontId="0" fillId="0" borderId="0" xfId="0" applyAlignment="1" applyProtection="1">
      <alignment horizontal="left" vertical="center" indent="1"/>
      <protection hidden="1"/>
    </xf>
    <xf numFmtId="0" fontId="0" fillId="0" borderId="0" xfId="0" applyAlignment="1">
      <alignment horizontal="left" vertical="center" indent="1"/>
    </xf>
    <xf numFmtId="185" fontId="5" fillId="0" borderId="49" xfId="10" applyNumberFormat="1" applyFont="1" applyFill="1" applyBorder="1" applyAlignment="1" applyProtection="1">
      <alignment horizontal="left" indent="1"/>
      <protection hidden="1"/>
    </xf>
    <xf numFmtId="182" fontId="7" fillId="6" borderId="36" xfId="8" applyNumberFormat="1" applyFont="1" applyFill="1" applyBorder="1" applyAlignment="1" applyProtection="1">
      <alignment horizontal="right"/>
      <protection locked="0"/>
    </xf>
    <xf numFmtId="180" fontId="79" fillId="4" borderId="68" xfId="0" applyNumberFormat="1" applyFont="1" applyFill="1" applyBorder="1" applyAlignment="1" applyProtection="1">
      <alignment horizontal="right" vertical="center"/>
      <protection hidden="1"/>
    </xf>
    <xf numFmtId="185" fontId="5" fillId="0" borderId="16" xfId="10" applyNumberFormat="1" applyFont="1" applyFill="1" applyBorder="1" applyAlignment="1" applyProtection="1">
      <alignment horizontal="left" vertical="center" indent="1"/>
      <protection hidden="1"/>
    </xf>
    <xf numFmtId="186" fontId="5" fillId="0" borderId="16" xfId="0" applyNumberFormat="1" applyFont="1" applyFill="1" applyBorder="1" applyAlignment="1" applyProtection="1">
      <alignment vertical="center"/>
      <protection hidden="1"/>
    </xf>
    <xf numFmtId="38" fontId="7" fillId="4" borderId="68" xfId="4" applyNumberFormat="1" applyFont="1" applyFill="1" applyBorder="1" applyAlignment="1" applyProtection="1">
      <alignment horizontal="right" vertical="center"/>
      <protection hidden="1"/>
    </xf>
    <xf numFmtId="10" fontId="70" fillId="0" borderId="126" xfId="0" applyNumberFormat="1" applyFont="1" applyFill="1" applyBorder="1" applyAlignment="1" applyProtection="1">
      <alignment horizontal="center" vertical="center" wrapText="1"/>
      <protection locked="0"/>
    </xf>
    <xf numFmtId="38" fontId="7" fillId="2" borderId="3" xfId="0" applyNumberFormat="1" applyFont="1" applyFill="1" applyBorder="1" applyAlignment="1" applyProtection="1">
      <alignment horizontal="left" vertical="center"/>
      <protection hidden="1"/>
    </xf>
    <xf numFmtId="0" fontId="83" fillId="0" borderId="20" xfId="0" applyFont="1" applyBorder="1" applyAlignment="1" applyProtection="1">
      <alignment horizontal="left" vertical="center"/>
      <protection hidden="1"/>
    </xf>
    <xf numFmtId="38" fontId="70" fillId="4" borderId="2" xfId="13" applyNumberFormat="1" applyFont="1" applyFill="1" applyBorder="1" applyAlignment="1" applyProtection="1">
      <alignment horizontal="right" vertical="center"/>
      <protection hidden="1"/>
    </xf>
    <xf numFmtId="38" fontId="70" fillId="4" borderId="3" xfId="13" applyNumberFormat="1" applyFont="1" applyFill="1" applyBorder="1" applyAlignment="1" applyProtection="1">
      <alignment horizontal="right" vertical="center"/>
      <protection hidden="1"/>
    </xf>
    <xf numFmtId="0" fontId="5" fillId="2" borderId="23" xfId="0" applyFont="1" applyFill="1" applyBorder="1" applyAlignment="1" applyProtection="1">
      <alignment horizontal="right"/>
      <protection hidden="1"/>
    </xf>
    <xf numFmtId="0" fontId="19" fillId="2" borderId="128" xfId="0" applyFont="1" applyFill="1" applyBorder="1" applyProtection="1">
      <protection hidden="1"/>
    </xf>
    <xf numFmtId="179" fontId="70" fillId="6" borderId="2" xfId="8" applyNumberFormat="1" applyFont="1" applyFill="1" applyBorder="1" applyAlignment="1" applyProtection="1">
      <alignment horizontal="right"/>
      <protection locked="0"/>
    </xf>
    <xf numFmtId="9" fontId="19" fillId="0" borderId="2" xfId="8" applyNumberFormat="1" applyFont="1" applyFill="1" applyBorder="1" applyAlignment="1" applyProtection="1">
      <alignment horizontal="center" vertical="center" wrapText="1"/>
      <protection locked="0"/>
    </xf>
    <xf numFmtId="0" fontId="7" fillId="0" borderId="10" xfId="0" applyFont="1" applyBorder="1" applyProtection="1">
      <protection hidden="1"/>
    </xf>
    <xf numFmtId="0" fontId="24" fillId="0" borderId="10" xfId="0" applyFont="1" applyBorder="1"/>
    <xf numFmtId="0" fontId="24" fillId="0" borderId="0" xfId="0" applyFont="1" applyAlignment="1" applyProtection="1">
      <alignment wrapText="1"/>
      <protection hidden="1"/>
    </xf>
    <xf numFmtId="180" fontId="70" fillId="0" borderId="23" xfId="8" applyNumberFormat="1" applyFont="1" applyFill="1" applyBorder="1" applyAlignment="1" applyProtection="1">
      <alignment horizontal="right"/>
      <protection hidden="1"/>
    </xf>
    <xf numFmtId="9" fontId="7" fillId="6" borderId="25" xfId="0" applyNumberFormat="1" applyFont="1" applyFill="1" applyBorder="1" applyProtection="1">
      <protection locked="0"/>
    </xf>
    <xf numFmtId="0" fontId="70" fillId="2" borderId="8" xfId="0" applyFont="1" applyFill="1" applyBorder="1" applyAlignment="1" applyProtection="1">
      <alignment horizontal="center" vertical="center"/>
      <protection hidden="1"/>
    </xf>
    <xf numFmtId="10" fontId="70" fillId="2" borderId="23" xfId="8" applyNumberFormat="1" applyFont="1" applyFill="1" applyBorder="1" applyAlignment="1" applyProtection="1">
      <alignment horizontal="center" vertical="center"/>
      <protection hidden="1"/>
    </xf>
    <xf numFmtId="0" fontId="5" fillId="0" borderId="2" xfId="0" applyFont="1" applyBorder="1" applyAlignment="1" applyProtection="1">
      <alignment horizontal="center" vertical="center" wrapText="1"/>
      <protection hidden="1"/>
    </xf>
    <xf numFmtId="0" fontId="5" fillId="0" borderId="5" xfId="0" applyFont="1" applyBorder="1" applyAlignment="1" applyProtection="1">
      <alignment horizontal="center" vertical="center" wrapText="1"/>
      <protection hidden="1"/>
    </xf>
    <xf numFmtId="0" fontId="71" fillId="2" borderId="2" xfId="0" applyFont="1" applyFill="1" applyBorder="1" applyProtection="1">
      <protection hidden="1"/>
    </xf>
    <xf numFmtId="180" fontId="90" fillId="2" borderId="0" xfId="13" applyNumberFormat="1" applyFont="1" applyFill="1" applyBorder="1" applyAlignment="1" applyProtection="1">
      <alignment horizontal="right"/>
      <protection hidden="1"/>
    </xf>
    <xf numFmtId="3" fontId="7" fillId="2" borderId="2" xfId="7" applyNumberFormat="1" applyFont="1" applyFill="1" applyBorder="1" applyAlignment="1" applyProtection="1">
      <alignment horizontal="right"/>
      <protection hidden="1"/>
    </xf>
    <xf numFmtId="180" fontId="90" fillId="2" borderId="0" xfId="0" applyNumberFormat="1" applyFont="1" applyFill="1" applyBorder="1" applyAlignment="1" applyProtection="1">
      <alignment horizontal="right"/>
      <protection hidden="1"/>
    </xf>
    <xf numFmtId="1" fontId="7" fillId="2" borderId="2" xfId="7" applyNumberFormat="1" applyFont="1" applyFill="1" applyBorder="1" applyAlignment="1" applyProtection="1">
      <alignment horizontal="right"/>
      <protection hidden="1"/>
    </xf>
    <xf numFmtId="3" fontId="7" fillId="2" borderId="141" xfId="7" applyNumberFormat="1" applyFont="1" applyFill="1" applyBorder="1" applyAlignment="1" applyProtection="1">
      <alignment horizontal="right"/>
      <protection hidden="1"/>
    </xf>
    <xf numFmtId="0" fontId="7" fillId="2" borderId="129" xfId="0" applyFont="1" applyFill="1" applyBorder="1" applyAlignment="1" applyProtection="1">
      <alignment horizontal="right"/>
      <protection hidden="1"/>
    </xf>
    <xf numFmtId="0" fontId="24" fillId="2" borderId="142" xfId="0" applyFont="1" applyFill="1" applyBorder="1" applyAlignment="1" applyProtection="1">
      <alignment horizontal="right"/>
      <protection hidden="1"/>
    </xf>
    <xf numFmtId="38" fontId="19" fillId="2" borderId="4" xfId="0" applyNumberFormat="1" applyFont="1" applyFill="1" applyBorder="1" applyProtection="1">
      <protection hidden="1"/>
    </xf>
    <xf numFmtId="38" fontId="70" fillId="2" borderId="85" xfId="13" applyNumberFormat="1" applyFont="1" applyFill="1" applyBorder="1" applyAlignment="1" applyProtection="1">
      <alignment horizontal="right"/>
      <protection hidden="1"/>
    </xf>
    <xf numFmtId="38" fontId="70" fillId="2" borderId="3" xfId="13" applyNumberFormat="1" applyFont="1" applyFill="1" applyBorder="1" applyAlignment="1" applyProtection="1">
      <alignment horizontal="right"/>
      <protection hidden="1"/>
    </xf>
    <xf numFmtId="180" fontId="90" fillId="2" borderId="19" xfId="0" applyNumberFormat="1" applyFont="1" applyFill="1" applyBorder="1" applyAlignment="1" applyProtection="1">
      <alignment horizontal="right"/>
      <protection hidden="1"/>
    </xf>
    <xf numFmtId="38" fontId="70" fillId="0" borderId="3" xfId="13" applyNumberFormat="1" applyFont="1" applyFill="1" applyBorder="1" applyAlignment="1" applyProtection="1">
      <alignment horizontal="right" vertical="center"/>
      <protection hidden="1"/>
    </xf>
    <xf numFmtId="0" fontId="5" fillId="2" borderId="85" xfId="0" applyFont="1" applyFill="1" applyBorder="1" applyProtection="1">
      <protection hidden="1"/>
    </xf>
    <xf numFmtId="1" fontId="7" fillId="2" borderId="85" xfId="7" applyNumberFormat="1" applyFont="1" applyFill="1" applyBorder="1" applyAlignment="1" applyProtection="1">
      <alignment horizontal="right"/>
      <protection hidden="1"/>
    </xf>
    <xf numFmtId="0" fontId="7" fillId="2" borderId="141" xfId="0" applyFont="1" applyFill="1" applyBorder="1" applyProtection="1">
      <protection hidden="1"/>
    </xf>
    <xf numFmtId="0" fontId="7" fillId="2" borderId="123" xfId="0" applyFont="1" applyFill="1" applyBorder="1" applyAlignment="1" applyProtection="1">
      <alignment horizontal="right" vertical="center"/>
      <protection hidden="1"/>
    </xf>
    <xf numFmtId="38" fontId="70" fillId="2" borderId="129" xfId="13" applyNumberFormat="1" applyFont="1" applyFill="1" applyBorder="1" applyAlignment="1" applyProtection="1">
      <alignment horizontal="right"/>
      <protection hidden="1"/>
    </xf>
    <xf numFmtId="180" fontId="90" fillId="2" borderId="129" xfId="0" applyNumberFormat="1" applyFont="1" applyFill="1" applyBorder="1" applyAlignment="1" applyProtection="1">
      <alignment horizontal="right"/>
      <protection hidden="1"/>
    </xf>
    <xf numFmtId="38" fontId="70" fillId="2" borderId="123" xfId="0" applyNumberFormat="1" applyFont="1" applyFill="1" applyBorder="1" applyAlignment="1" applyProtection="1">
      <alignment horizontal="right"/>
      <protection hidden="1"/>
    </xf>
    <xf numFmtId="0" fontId="47" fillId="7" borderId="29" xfId="0" applyFont="1" applyFill="1" applyBorder="1" applyProtection="1">
      <protection locked="0"/>
    </xf>
    <xf numFmtId="0" fontId="106" fillId="0" borderId="0" xfId="0" applyFont="1" applyProtection="1">
      <protection locked="0"/>
    </xf>
    <xf numFmtId="179" fontId="7" fillId="4" borderId="32" xfId="14" applyNumberFormat="1" applyFont="1" applyFill="1" applyBorder="1" applyAlignment="1" applyProtection="1">
      <alignment horizontal="right"/>
      <protection hidden="1"/>
    </xf>
    <xf numFmtId="179" fontId="7" fillId="2" borderId="32" xfId="14" applyNumberFormat="1" applyFont="1" applyFill="1" applyBorder="1" applyAlignment="1" applyProtection="1">
      <alignment horizontal="right"/>
      <protection hidden="1"/>
    </xf>
    <xf numFmtId="179" fontId="7" fillId="2" borderId="36" xfId="14" applyNumberFormat="1" applyFont="1" applyFill="1" applyBorder="1" applyAlignment="1" applyProtection="1">
      <alignment horizontal="right"/>
      <protection hidden="1"/>
    </xf>
    <xf numFmtId="179" fontId="7" fillId="0" borderId="32" xfId="14" applyNumberFormat="1" applyFont="1" applyFill="1" applyBorder="1" applyAlignment="1" applyProtection="1">
      <alignment horizontal="right"/>
      <protection hidden="1"/>
    </xf>
    <xf numFmtId="179" fontId="7" fillId="0" borderId="36" xfId="14" applyNumberFormat="1" applyFont="1" applyFill="1" applyBorder="1" applyAlignment="1" applyProtection="1">
      <alignment horizontal="right"/>
      <protection hidden="1"/>
    </xf>
    <xf numFmtId="180" fontId="7" fillId="0" borderId="32" xfId="14" applyNumberFormat="1" applyFont="1" applyFill="1" applyBorder="1" applyAlignment="1" applyProtection="1">
      <alignment horizontal="right"/>
      <protection hidden="1"/>
    </xf>
    <xf numFmtId="180" fontId="7" fillId="0" borderId="36" xfId="14" applyNumberFormat="1" applyFont="1" applyFill="1" applyBorder="1" applyAlignment="1" applyProtection="1">
      <alignment horizontal="right"/>
      <protection hidden="1"/>
    </xf>
    <xf numFmtId="38" fontId="7" fillId="26" borderId="32" xfId="10" applyNumberFormat="1" applyFont="1" applyFill="1" applyBorder="1" applyAlignment="1" applyProtection="1">
      <alignment horizontal="right" vertical="center"/>
      <protection hidden="1"/>
    </xf>
    <xf numFmtId="38" fontId="7" fillId="26" borderId="36" xfId="10" applyNumberFormat="1" applyFont="1" applyFill="1" applyBorder="1" applyAlignment="1" applyProtection="1">
      <alignment horizontal="right" vertical="center"/>
      <protection hidden="1"/>
    </xf>
    <xf numFmtId="180" fontId="7" fillId="26" borderId="32" xfId="8" applyNumberFormat="1" applyFont="1" applyFill="1" applyBorder="1" applyAlignment="1" applyProtection="1">
      <alignment horizontal="right" vertical="center"/>
      <protection hidden="1"/>
    </xf>
    <xf numFmtId="180" fontId="7" fillId="26" borderId="36" xfId="8" applyNumberFormat="1" applyFont="1" applyFill="1" applyBorder="1" applyAlignment="1" applyProtection="1">
      <alignment horizontal="right" vertical="center"/>
      <protection hidden="1"/>
    </xf>
    <xf numFmtId="38" fontId="7" fillId="26" borderId="32" xfId="10" applyNumberFormat="1" applyFont="1" applyFill="1" applyBorder="1" applyAlignment="1" applyProtection="1">
      <alignment horizontal="right" vertical="center"/>
      <protection locked="0"/>
    </xf>
    <xf numFmtId="180" fontId="7" fillId="26" borderId="32" xfId="10" applyNumberFormat="1" applyFont="1" applyFill="1" applyBorder="1" applyAlignment="1" applyProtection="1">
      <alignment horizontal="right" vertical="center"/>
      <protection hidden="1"/>
    </xf>
    <xf numFmtId="184" fontId="7" fillId="26" borderId="32" xfId="10" applyNumberFormat="1" applyFont="1" applyFill="1" applyBorder="1" applyAlignment="1" applyProtection="1">
      <alignment horizontal="right" vertical="center"/>
      <protection hidden="1"/>
    </xf>
    <xf numFmtId="9" fontId="7" fillId="24" borderId="32" xfId="10" applyNumberFormat="1" applyFont="1" applyFill="1" applyBorder="1" applyAlignment="1" applyProtection="1">
      <alignment horizontal="right" vertical="center"/>
      <protection hidden="1"/>
    </xf>
    <xf numFmtId="38" fontId="7" fillId="26" borderId="32" xfId="10" applyNumberFormat="1" applyFont="1" applyFill="1" applyBorder="1" applyAlignment="1" applyProtection="1">
      <alignment horizontal="right"/>
      <protection hidden="1"/>
    </xf>
    <xf numFmtId="38" fontId="7" fillId="26" borderId="36" xfId="10" applyNumberFormat="1" applyFont="1" applyFill="1" applyBorder="1" applyAlignment="1" applyProtection="1">
      <alignment horizontal="right"/>
      <protection hidden="1"/>
    </xf>
    <xf numFmtId="191" fontId="7" fillId="26" borderId="32" xfId="10" applyNumberFormat="1" applyFont="1" applyFill="1" applyBorder="1" applyAlignment="1" applyProtection="1">
      <alignment horizontal="right"/>
      <protection hidden="1"/>
    </xf>
    <xf numFmtId="180" fontId="7" fillId="26" borderId="32" xfId="8" applyNumberFormat="1" applyFont="1" applyFill="1" applyBorder="1" applyAlignment="1" applyProtection="1">
      <alignment horizontal="right"/>
      <protection hidden="1"/>
    </xf>
    <xf numFmtId="180" fontId="7" fillId="26" borderId="32" xfId="10" applyNumberFormat="1" applyFont="1" applyFill="1" applyBorder="1" applyAlignment="1" applyProtection="1">
      <alignment horizontal="right"/>
      <protection hidden="1"/>
    </xf>
    <xf numFmtId="180" fontId="7" fillId="26" borderId="36" xfId="8" applyNumberFormat="1" applyFont="1" applyFill="1" applyBorder="1" applyAlignment="1" applyProtection="1">
      <alignment horizontal="right"/>
      <protection hidden="1"/>
    </xf>
    <xf numFmtId="9" fontId="7" fillId="4" borderId="32" xfId="10" applyNumberFormat="1" applyFont="1" applyFill="1" applyBorder="1" applyAlignment="1" applyProtection="1">
      <alignment horizontal="right" vertical="center"/>
      <protection hidden="1"/>
    </xf>
    <xf numFmtId="180" fontId="7" fillId="4" borderId="68" xfId="10" applyNumberFormat="1" applyFont="1" applyFill="1" applyBorder="1" applyAlignment="1" applyProtection="1">
      <alignment horizontal="right"/>
      <protection hidden="1"/>
    </xf>
    <xf numFmtId="38" fontId="7" fillId="26" borderId="32" xfId="10" applyNumberFormat="1" applyFont="1" applyFill="1" applyBorder="1" applyAlignment="1" applyProtection="1">
      <alignment horizontal="right"/>
      <protection locked="0"/>
    </xf>
    <xf numFmtId="0" fontId="65" fillId="0" borderId="0" xfId="0" applyFont="1"/>
    <xf numFmtId="180" fontId="7" fillId="26" borderId="32" xfId="0" applyNumberFormat="1" applyFont="1" applyFill="1" applyBorder="1" applyAlignment="1" applyProtection="1">
      <alignment horizontal="right" vertical="center"/>
      <protection hidden="1"/>
    </xf>
    <xf numFmtId="38" fontId="7" fillId="24" borderId="32" xfId="10" applyNumberFormat="1" applyFont="1" applyFill="1" applyBorder="1" applyAlignment="1" applyProtection="1">
      <alignment horizontal="right"/>
      <protection hidden="1"/>
    </xf>
    <xf numFmtId="38" fontId="7" fillId="24" borderId="36" xfId="10" applyNumberFormat="1" applyFont="1" applyFill="1" applyBorder="1" applyAlignment="1" applyProtection="1">
      <alignment horizontal="right"/>
      <protection hidden="1"/>
    </xf>
    <xf numFmtId="38" fontId="19" fillId="0" borderId="7" xfId="0" applyNumberFormat="1" applyFont="1" applyFill="1" applyBorder="1" applyAlignment="1" applyProtection="1">
      <alignment horizontal="left" vertical="center" indent="1"/>
      <protection hidden="1"/>
    </xf>
    <xf numFmtId="0" fontId="5" fillId="0" borderId="0" xfId="10" applyFont="1" applyFill="1" applyBorder="1" applyAlignment="1" applyProtection="1">
      <alignment horizontal="left" vertical="center"/>
      <protection hidden="1"/>
    </xf>
    <xf numFmtId="0" fontId="5" fillId="0" borderId="119" xfId="10" applyFont="1" applyFill="1" applyBorder="1" applyAlignment="1" applyProtection="1">
      <alignment horizontal="left" vertical="center" indent="1"/>
      <protection hidden="1"/>
    </xf>
    <xf numFmtId="180" fontId="7" fillId="4" borderId="32" xfId="0" applyNumberFormat="1" applyFont="1" applyFill="1" applyBorder="1" applyAlignment="1" applyProtection="1">
      <alignment horizontal="right" vertical="center"/>
      <protection hidden="1"/>
    </xf>
    <xf numFmtId="180" fontId="79" fillId="0" borderId="68" xfId="10" applyNumberFormat="1" applyFont="1" applyFill="1" applyBorder="1" applyAlignment="1" applyProtection="1">
      <alignment horizontal="right" vertical="center"/>
      <protection hidden="1"/>
    </xf>
    <xf numFmtId="184" fontId="7" fillId="0" borderId="68" xfId="10" applyNumberFormat="1" applyFont="1" applyFill="1" applyBorder="1" applyAlignment="1" applyProtection="1">
      <alignment horizontal="right" vertical="center"/>
      <protection hidden="1"/>
    </xf>
    <xf numFmtId="184" fontId="7" fillId="0" borderId="68" xfId="10" applyNumberFormat="1" applyFont="1" applyFill="1" applyBorder="1" applyAlignment="1" applyProtection="1">
      <alignment vertical="center"/>
      <protection hidden="1"/>
    </xf>
    <xf numFmtId="38" fontId="7" fillId="0" borderId="68" xfId="10" applyNumberFormat="1" applyFont="1" applyFill="1" applyBorder="1" applyProtection="1">
      <protection hidden="1"/>
    </xf>
    <xf numFmtId="38" fontId="7" fillId="0" borderId="113" xfId="10" applyNumberFormat="1" applyFont="1" applyFill="1" applyBorder="1" applyProtection="1">
      <protection hidden="1"/>
    </xf>
    <xf numFmtId="38" fontId="7" fillId="2" borderId="113" xfId="10" applyNumberFormat="1" applyFont="1" applyFill="1" applyBorder="1" applyAlignment="1" applyProtection="1">
      <alignment horizontal="right"/>
      <protection hidden="1"/>
    </xf>
    <xf numFmtId="38" fontId="7" fillId="0" borderId="68" xfId="10" applyNumberFormat="1" applyFont="1" applyFill="1" applyBorder="1" applyAlignment="1" applyProtection="1">
      <alignment horizontal="left"/>
      <protection hidden="1"/>
    </xf>
    <xf numFmtId="180" fontId="7" fillId="6" borderId="36" xfId="8" applyNumberFormat="1" applyFont="1" applyFill="1" applyBorder="1" applyAlignment="1" applyProtection="1">
      <alignment horizontal="right"/>
      <protection locked="0"/>
    </xf>
    <xf numFmtId="38" fontId="7" fillId="6" borderId="36" xfId="10" applyNumberFormat="1" applyFont="1" applyFill="1" applyBorder="1" applyAlignment="1" applyProtection="1">
      <alignment horizontal="right"/>
      <protection locked="0"/>
    </xf>
    <xf numFmtId="38" fontId="7" fillId="26" borderId="36" xfId="10" applyNumberFormat="1" applyFont="1" applyFill="1" applyBorder="1" applyAlignment="1" applyProtection="1">
      <alignment horizontal="right" vertical="center"/>
      <protection locked="0"/>
    </xf>
    <xf numFmtId="184" fontId="76" fillId="21" borderId="39" xfId="4" applyNumberFormat="1" applyFont="1" applyFill="1" applyBorder="1" applyAlignment="1" applyProtection="1">
      <alignment horizontal="right" vertical="center"/>
      <protection hidden="1"/>
    </xf>
    <xf numFmtId="184" fontId="7" fillId="21" borderId="32" xfId="0" applyNumberFormat="1" applyFont="1" applyFill="1" applyBorder="1" applyAlignment="1" applyProtection="1">
      <alignment horizontal="right" vertical="center"/>
      <protection hidden="1"/>
    </xf>
    <xf numFmtId="0" fontId="69" fillId="0" borderId="15" xfId="0" applyFont="1" applyBorder="1" applyAlignment="1" applyProtection="1">
      <alignment vertical="center"/>
      <protection hidden="1"/>
    </xf>
    <xf numFmtId="10" fontId="7" fillId="0" borderId="14" xfId="0" applyNumberFormat="1" applyFont="1" applyFill="1" applyBorder="1" applyAlignment="1" applyProtection="1">
      <alignment vertical="center"/>
      <protection hidden="1"/>
    </xf>
    <xf numFmtId="0" fontId="5" fillId="0" borderId="0" xfId="0" applyFont="1" applyFill="1" applyBorder="1" applyAlignment="1" applyProtection="1">
      <alignment vertical="center"/>
      <protection hidden="1"/>
    </xf>
    <xf numFmtId="180" fontId="7" fillId="26" borderId="32" xfId="10" applyNumberFormat="1" applyFont="1" applyFill="1" applyBorder="1" applyAlignment="1" applyProtection="1">
      <alignment horizontal="right" vertical="center"/>
      <protection locked="0"/>
    </xf>
    <xf numFmtId="38" fontId="7" fillId="26" borderId="32" xfId="0" applyNumberFormat="1" applyFont="1" applyFill="1" applyBorder="1" applyAlignment="1" applyProtection="1">
      <alignment horizontal="right" vertical="center"/>
      <protection hidden="1"/>
    </xf>
    <xf numFmtId="177" fontId="7" fillId="25" borderId="32" xfId="0" applyNumberFormat="1" applyFont="1" applyFill="1" applyBorder="1" applyAlignment="1" applyProtection="1">
      <alignment horizontal="center"/>
      <protection locked="0"/>
    </xf>
    <xf numFmtId="38" fontId="7" fillId="23" borderId="68" xfId="10" applyNumberFormat="1" applyFont="1" applyFill="1" applyBorder="1" applyAlignment="1" applyProtection="1">
      <alignment horizontal="right"/>
      <protection hidden="1"/>
    </xf>
    <xf numFmtId="38" fontId="7" fillId="23" borderId="32" xfId="10" applyNumberFormat="1" applyFont="1" applyFill="1" applyBorder="1" applyAlignment="1" applyProtection="1">
      <alignment horizontal="right"/>
      <protection hidden="1"/>
    </xf>
    <xf numFmtId="0" fontId="83" fillId="0" borderId="0" xfId="0" applyFont="1" applyBorder="1" applyProtection="1">
      <protection hidden="1"/>
    </xf>
    <xf numFmtId="38" fontId="7" fillId="0" borderId="0" xfId="0" applyNumberFormat="1" applyFont="1" applyFill="1" applyBorder="1" applyAlignment="1" applyProtection="1">
      <alignment horizontal="right" vertical="center"/>
      <protection hidden="1"/>
    </xf>
    <xf numFmtId="38" fontId="7" fillId="2" borderId="0" xfId="0" applyNumberFormat="1" applyFont="1" applyFill="1" applyBorder="1" applyAlignment="1" applyProtection="1">
      <alignment horizontal="right" vertical="center"/>
      <protection hidden="1"/>
    </xf>
    <xf numFmtId="38" fontId="7" fillId="0" borderId="99" xfId="0" applyNumberFormat="1" applyFont="1" applyFill="1" applyBorder="1" applyAlignment="1" applyProtection="1">
      <alignment horizontal="right" vertical="center"/>
      <protection hidden="1"/>
    </xf>
    <xf numFmtId="38" fontId="7" fillId="0" borderId="0" xfId="0" applyNumberFormat="1" applyFont="1" applyBorder="1" applyAlignment="1" applyProtection="1">
      <alignment horizontal="right" vertical="center"/>
      <protection hidden="1"/>
    </xf>
    <xf numFmtId="0" fontId="32" fillId="0" borderId="0" xfId="12" applyAlignment="1" applyProtection="1">
      <alignment vertical="center"/>
      <protection hidden="1"/>
    </xf>
    <xf numFmtId="0" fontId="32" fillId="0" borderId="0" xfId="12" applyFill="1" applyBorder="1" applyAlignment="1" applyProtection="1">
      <alignment vertical="center"/>
      <protection hidden="1"/>
    </xf>
    <xf numFmtId="0" fontId="107" fillId="7" borderId="27" xfId="0" applyFont="1" applyFill="1" applyBorder="1" applyAlignment="1" applyProtection="1">
      <alignment vertical="center"/>
      <protection locked="0"/>
    </xf>
    <xf numFmtId="38" fontId="7" fillId="0" borderId="68" xfId="4" applyNumberFormat="1" applyFont="1" applyFill="1" applyBorder="1" applyAlignment="1" applyProtection="1">
      <alignment horizontal="right" vertical="center"/>
      <protection hidden="1"/>
    </xf>
    <xf numFmtId="0" fontId="107" fillId="7" borderId="28" xfId="0" applyFont="1" applyFill="1" applyBorder="1" applyAlignment="1" applyProtection="1">
      <alignment vertical="center"/>
      <protection locked="0"/>
    </xf>
    <xf numFmtId="181" fontId="7" fillId="21" borderId="89" xfId="0" applyNumberFormat="1" applyFont="1" applyFill="1" applyBorder="1" applyAlignment="1" applyProtection="1">
      <alignment vertical="center"/>
      <protection hidden="1"/>
    </xf>
    <xf numFmtId="181" fontId="7" fillId="21" borderId="117" xfId="0" applyNumberFormat="1" applyFont="1" applyFill="1" applyBorder="1" applyAlignment="1" applyProtection="1">
      <alignment vertical="center"/>
      <protection hidden="1"/>
    </xf>
    <xf numFmtId="186" fontId="7" fillId="0" borderId="143" xfId="0" applyNumberFormat="1" applyFont="1" applyFill="1" applyBorder="1" applyAlignment="1" applyProtection="1">
      <alignment horizontal="left" vertical="center"/>
      <protection hidden="1"/>
    </xf>
    <xf numFmtId="186" fontId="7" fillId="0" borderId="137" xfId="0" applyNumberFormat="1" applyFont="1" applyFill="1" applyBorder="1" applyAlignment="1" applyProtection="1">
      <alignment horizontal="left" vertical="center"/>
      <protection hidden="1"/>
    </xf>
    <xf numFmtId="186" fontId="7" fillId="0" borderId="138" xfId="0" applyNumberFormat="1" applyFont="1" applyFill="1" applyBorder="1" applyAlignment="1" applyProtection="1">
      <alignment horizontal="left" vertical="center" wrapText="1"/>
      <protection hidden="1"/>
    </xf>
    <xf numFmtId="180" fontId="7" fillId="21" borderId="32" xfId="14" applyNumberFormat="1" applyFont="1" applyFill="1" applyBorder="1" applyAlignment="1" applyProtection="1">
      <alignment horizontal="right"/>
      <protection hidden="1"/>
    </xf>
    <xf numFmtId="0" fontId="65" fillId="0" borderId="14" xfId="9" applyBorder="1"/>
    <xf numFmtId="0" fontId="4" fillId="16" borderId="23" xfId="0" applyFont="1" applyFill="1" applyBorder="1" applyAlignment="1"/>
    <xf numFmtId="0" fontId="4" fillId="0" borderId="0" xfId="0" applyFont="1" applyFill="1" applyBorder="1" applyAlignment="1">
      <alignment horizontal="center"/>
    </xf>
    <xf numFmtId="0" fontId="7" fillId="0" borderId="0" xfId="11" applyFont="1" applyFill="1" applyBorder="1" applyAlignment="1"/>
    <xf numFmtId="0" fontId="4" fillId="0" borderId="0" xfId="0" applyFont="1" applyFill="1" applyBorder="1" applyAlignment="1"/>
    <xf numFmtId="0" fontId="7" fillId="0" borderId="0" xfId="11" applyFont="1" applyFill="1" applyBorder="1" applyAlignment="1">
      <alignment vertical="center"/>
    </xf>
    <xf numFmtId="0" fontId="7" fillId="0" borderId="0" xfId="11" applyFont="1" applyFill="1" applyBorder="1">
      <alignment vertical="center"/>
    </xf>
    <xf numFmtId="0" fontId="65" fillId="0" borderId="0" xfId="11" applyFill="1" applyBorder="1">
      <alignment vertical="center"/>
    </xf>
    <xf numFmtId="196" fontId="81" fillId="24" borderId="0" xfId="11" applyNumberFormat="1" applyFont="1" applyFill="1" applyBorder="1" applyAlignment="1" applyProtection="1">
      <alignment horizontal="center"/>
      <protection locked="0"/>
    </xf>
    <xf numFmtId="14" fontId="7" fillId="13" borderId="37" xfId="11" applyNumberFormat="1" applyFont="1" applyFill="1" applyBorder="1" applyAlignment="1">
      <alignment horizontal="center" vertical="center"/>
    </xf>
    <xf numFmtId="14" fontId="7" fillId="13" borderId="61" xfId="11" applyNumberFormat="1" applyFont="1" applyFill="1" applyBorder="1" applyAlignment="1">
      <alignment horizontal="center" vertical="center"/>
    </xf>
    <xf numFmtId="38" fontId="70" fillId="2" borderId="32" xfId="11" applyNumberFormat="1" applyFont="1" applyFill="1" applyBorder="1" applyAlignment="1" applyProtection="1">
      <alignment horizontal="right" vertical="center"/>
      <protection locked="0"/>
    </xf>
    <xf numFmtId="38" fontId="70" fillId="2" borderId="67" xfId="11" applyNumberFormat="1" applyFont="1" applyFill="1" applyBorder="1" applyAlignment="1" applyProtection="1">
      <alignment horizontal="right" vertical="center"/>
      <protection locked="0"/>
    </xf>
    <xf numFmtId="38" fontId="70" fillId="2" borderId="70" xfId="11" applyNumberFormat="1" applyFont="1" applyFill="1" applyBorder="1" applyAlignment="1" applyProtection="1">
      <alignment horizontal="right" vertical="center"/>
      <protection locked="0"/>
    </xf>
    <xf numFmtId="38" fontId="70" fillId="2" borderId="72" xfId="11" applyNumberFormat="1" applyFont="1" applyFill="1" applyBorder="1" applyAlignment="1" applyProtection="1">
      <alignment horizontal="right" vertical="center"/>
      <protection locked="0"/>
    </xf>
    <xf numFmtId="38" fontId="7" fillId="23" borderId="68" xfId="11" applyNumberFormat="1" applyFont="1" applyFill="1" applyBorder="1" applyAlignment="1">
      <alignment horizontal="right"/>
    </xf>
    <xf numFmtId="0" fontId="7" fillId="2" borderId="144" xfId="11" applyFont="1" applyFill="1" applyBorder="1" applyAlignment="1">
      <alignment horizontal="left" indent="1"/>
    </xf>
    <xf numFmtId="0" fontId="7" fillId="2" borderId="145" xfId="11" applyFont="1" applyFill="1" applyBorder="1" applyAlignment="1">
      <alignment horizontal="left" indent="1"/>
    </xf>
    <xf numFmtId="38" fontId="7" fillId="23" borderId="146" xfId="11" applyNumberFormat="1" applyFont="1" applyFill="1" applyBorder="1" applyAlignment="1">
      <alignment horizontal="right"/>
    </xf>
    <xf numFmtId="38" fontId="70" fillId="2" borderId="78" xfId="11" applyNumberFormat="1" applyFont="1" applyFill="1" applyBorder="1" applyAlignment="1" applyProtection="1">
      <alignment horizontal="right" vertical="center"/>
      <protection locked="0"/>
    </xf>
    <xf numFmtId="38" fontId="70" fillId="2" borderId="79" xfId="11" applyNumberFormat="1" applyFont="1" applyFill="1" applyBorder="1" applyAlignment="1" applyProtection="1">
      <alignment horizontal="right" vertical="center"/>
      <protection locked="0"/>
    </xf>
    <xf numFmtId="38" fontId="7" fillId="21" borderId="50" xfId="11" applyNumberFormat="1" applyFont="1" applyFill="1" applyBorder="1" applyAlignment="1">
      <alignment horizontal="right"/>
    </xf>
    <xf numFmtId="38" fontId="70" fillId="2" borderId="51" xfId="11" applyNumberFormat="1" applyFont="1" applyFill="1" applyBorder="1" applyAlignment="1" applyProtection="1">
      <alignment horizontal="right" vertical="center"/>
      <protection locked="0"/>
    </xf>
    <xf numFmtId="38" fontId="70" fillId="2" borderId="52" xfId="11" applyNumberFormat="1" applyFont="1" applyFill="1" applyBorder="1" applyAlignment="1" applyProtection="1">
      <alignment horizontal="right" vertical="center"/>
      <protection locked="0"/>
    </xf>
    <xf numFmtId="0" fontId="7" fillId="2" borderId="147" xfId="11" applyFont="1" applyFill="1" applyBorder="1" applyAlignment="1">
      <alignment horizontal="left" indent="1"/>
    </xf>
    <xf numFmtId="38" fontId="7" fillId="23" borderId="110" xfId="11" applyNumberFormat="1" applyFont="1" applyFill="1" applyBorder="1" applyAlignment="1">
      <alignment horizontal="right"/>
    </xf>
    <xf numFmtId="38" fontId="70" fillId="2" borderId="96" xfId="11" applyNumberFormat="1" applyFont="1" applyFill="1" applyBorder="1" applyAlignment="1" applyProtection="1">
      <alignment horizontal="right" vertical="center"/>
      <protection locked="0"/>
    </xf>
    <xf numFmtId="38" fontId="70" fillId="2" borderId="148" xfId="11" applyNumberFormat="1" applyFont="1" applyFill="1" applyBorder="1" applyAlignment="1" applyProtection="1">
      <alignment horizontal="right" vertical="center"/>
      <protection locked="0"/>
    </xf>
    <xf numFmtId="0" fontId="69" fillId="12" borderId="50" xfId="11" applyNumberFormat="1" applyFont="1" applyFill="1" applyBorder="1" applyAlignment="1">
      <alignment horizontal="center" vertical="center"/>
    </xf>
    <xf numFmtId="14" fontId="7" fillId="13" borderId="51" xfId="11" applyNumberFormat="1" applyFont="1" applyFill="1" applyBorder="1" applyAlignment="1">
      <alignment horizontal="center" vertical="center"/>
    </xf>
    <xf numFmtId="14" fontId="7" fillId="13" borderId="52" xfId="11" applyNumberFormat="1" applyFont="1" applyFill="1" applyBorder="1" applyAlignment="1">
      <alignment horizontal="center" vertical="center"/>
    </xf>
    <xf numFmtId="38" fontId="70" fillId="24" borderId="32" xfId="11" applyNumberFormat="1" applyFont="1" applyFill="1" applyBorder="1" applyAlignment="1" applyProtection="1">
      <alignment horizontal="right" vertical="center"/>
      <protection locked="0"/>
    </xf>
    <xf numFmtId="38" fontId="70" fillId="24" borderId="67" xfId="11" applyNumberFormat="1" applyFont="1" applyFill="1" applyBorder="1" applyAlignment="1" applyProtection="1">
      <alignment horizontal="right" vertical="center"/>
      <protection locked="0"/>
    </xf>
    <xf numFmtId="38" fontId="7" fillId="2" borderId="70" xfId="11" applyNumberFormat="1" applyFont="1" applyFill="1" applyBorder="1" applyAlignment="1">
      <alignment horizontal="right"/>
    </xf>
    <xf numFmtId="38" fontId="7" fillId="2" borderId="72" xfId="11" applyNumberFormat="1" applyFont="1" applyFill="1" applyBorder="1" applyAlignment="1">
      <alignment horizontal="right"/>
    </xf>
    <xf numFmtId="38" fontId="70" fillId="24" borderId="96" xfId="11" applyNumberFormat="1" applyFont="1" applyFill="1" applyBorder="1" applyAlignment="1" applyProtection="1">
      <alignment horizontal="right" vertical="center"/>
      <protection locked="0"/>
    </xf>
    <xf numFmtId="38" fontId="70" fillId="24" borderId="148" xfId="11" applyNumberFormat="1" applyFont="1" applyFill="1" applyBorder="1" applyAlignment="1" applyProtection="1">
      <alignment horizontal="right" vertical="center"/>
      <protection locked="0"/>
    </xf>
    <xf numFmtId="0" fontId="7" fillId="2" borderId="94" xfId="11" applyFont="1" applyFill="1" applyBorder="1" applyAlignment="1">
      <alignment horizontal="right"/>
    </xf>
    <xf numFmtId="38" fontId="70" fillId="24" borderId="78" xfId="11" applyNumberFormat="1" applyFont="1" applyFill="1" applyBorder="1" applyAlignment="1" applyProtection="1">
      <alignment horizontal="right" vertical="center"/>
      <protection locked="0"/>
    </xf>
    <xf numFmtId="38" fontId="70" fillId="24" borderId="79" xfId="11" applyNumberFormat="1" applyFont="1" applyFill="1" applyBorder="1" applyAlignment="1" applyProtection="1">
      <alignment horizontal="right" vertical="center"/>
      <protection locked="0"/>
    </xf>
    <xf numFmtId="38" fontId="7" fillId="2" borderId="51" xfId="11" applyNumberFormat="1" applyFont="1" applyFill="1" applyBorder="1" applyAlignment="1">
      <alignment horizontal="right"/>
    </xf>
    <xf numFmtId="38" fontId="7" fillId="2" borderId="52" xfId="11" applyNumberFormat="1" applyFont="1" applyFill="1" applyBorder="1" applyAlignment="1">
      <alignment horizontal="right"/>
    </xf>
    <xf numFmtId="38" fontId="70" fillId="24" borderId="32" xfId="11" applyNumberFormat="1" applyFont="1" applyFill="1" applyBorder="1" applyAlignment="1" applyProtection="1">
      <alignment vertical="center"/>
      <protection locked="0"/>
    </xf>
    <xf numFmtId="38" fontId="70" fillId="24" borderId="67" xfId="11" applyNumberFormat="1" applyFont="1" applyFill="1" applyBorder="1" applyAlignment="1" applyProtection="1">
      <alignment vertical="center"/>
      <protection locked="0"/>
    </xf>
    <xf numFmtId="38" fontId="70" fillId="24" borderId="96" xfId="11" applyNumberFormat="1" applyFont="1" applyFill="1" applyBorder="1" applyAlignment="1" applyProtection="1">
      <alignment vertical="center"/>
      <protection locked="0"/>
    </xf>
    <xf numFmtId="38" fontId="70" fillId="24" borderId="148" xfId="11" applyNumberFormat="1" applyFont="1" applyFill="1" applyBorder="1" applyAlignment="1" applyProtection="1">
      <alignment vertical="center"/>
      <protection locked="0"/>
    </xf>
    <xf numFmtId="38" fontId="70" fillId="24" borderId="78" xfId="11" applyNumberFormat="1" applyFont="1" applyFill="1" applyBorder="1" applyAlignment="1" applyProtection="1">
      <alignment vertical="center"/>
      <protection locked="0"/>
    </xf>
    <xf numFmtId="38" fontId="70" fillId="24" borderId="79" xfId="11" applyNumberFormat="1" applyFont="1" applyFill="1" applyBorder="1" applyAlignment="1" applyProtection="1">
      <alignment vertical="center"/>
      <protection locked="0"/>
    </xf>
    <xf numFmtId="38" fontId="7" fillId="2" borderId="51" xfId="11" applyNumberFormat="1" applyFont="1" applyFill="1" applyBorder="1" applyAlignment="1"/>
    <xf numFmtId="38" fontId="7" fillId="2" borderId="52" xfId="11" applyNumberFormat="1" applyFont="1" applyFill="1" applyBorder="1" applyAlignment="1"/>
    <xf numFmtId="38" fontId="7" fillId="23" borderId="110" xfId="11" applyNumberFormat="1" applyFont="1" applyFill="1" applyBorder="1" applyAlignment="1"/>
    <xf numFmtId="38" fontId="7" fillId="23" borderId="68" xfId="11" applyNumberFormat="1" applyFont="1" applyFill="1" applyBorder="1" applyAlignment="1"/>
    <xf numFmtId="38" fontId="7" fillId="23" borderId="146" xfId="11" applyNumberFormat="1" applyFont="1" applyFill="1" applyBorder="1" applyAlignment="1"/>
    <xf numFmtId="38" fontId="7" fillId="21" borderId="50" xfId="11" applyNumberFormat="1" applyFont="1" applyFill="1" applyBorder="1" applyAlignment="1"/>
    <xf numFmtId="38" fontId="70" fillId="6" borderId="32" xfId="11" applyNumberFormat="1" applyFont="1" applyFill="1" applyBorder="1" applyAlignment="1" applyProtection="1">
      <alignment horizontal="right" vertical="center"/>
      <protection locked="0"/>
    </xf>
    <xf numFmtId="38" fontId="70" fillId="6" borderId="67" xfId="11" applyNumberFormat="1" applyFont="1" applyFill="1" applyBorder="1" applyAlignment="1" applyProtection="1">
      <alignment horizontal="right" vertical="center"/>
      <protection locked="0"/>
    </xf>
    <xf numFmtId="38" fontId="70" fillId="6" borderId="96" xfId="11" applyNumberFormat="1" applyFont="1" applyFill="1" applyBorder="1" applyAlignment="1" applyProtection="1">
      <alignment horizontal="right" vertical="center"/>
      <protection locked="0"/>
    </xf>
    <xf numFmtId="38" fontId="70" fillId="6" borderId="148" xfId="11" applyNumberFormat="1" applyFont="1" applyFill="1" applyBorder="1" applyAlignment="1" applyProtection="1">
      <alignment horizontal="right" vertical="center"/>
      <protection locked="0"/>
    </xf>
    <xf numFmtId="38" fontId="70" fillId="6" borderId="78" xfId="11" applyNumberFormat="1" applyFont="1" applyFill="1" applyBorder="1" applyAlignment="1" applyProtection="1">
      <alignment horizontal="right" vertical="center"/>
      <protection locked="0"/>
    </xf>
    <xf numFmtId="38" fontId="70" fillId="6" borderId="79" xfId="11" applyNumberFormat="1" applyFont="1" applyFill="1" applyBorder="1" applyAlignment="1" applyProtection="1">
      <alignment horizontal="right" vertical="center"/>
      <protection locked="0"/>
    </xf>
    <xf numFmtId="0" fontId="69" fillId="12" borderId="48" xfId="11" applyNumberFormat="1" applyFont="1" applyFill="1" applyBorder="1" applyAlignment="1">
      <alignment horizontal="center" vertical="center"/>
    </xf>
    <xf numFmtId="194" fontId="7" fillId="2" borderId="69" xfId="11" applyNumberFormat="1" applyFont="1" applyFill="1" applyBorder="1" applyAlignment="1">
      <alignment horizontal="right" vertical="center"/>
    </xf>
    <xf numFmtId="195" fontId="70" fillId="2" borderId="70" xfId="11" applyNumberFormat="1" applyFont="1" applyFill="1" applyBorder="1" applyAlignment="1" applyProtection="1">
      <alignment horizontal="right" vertical="center"/>
      <protection locked="0"/>
    </xf>
    <xf numFmtId="195" fontId="70" fillId="2" borderId="72" xfId="11" applyNumberFormat="1" applyFont="1" applyFill="1" applyBorder="1" applyAlignment="1" applyProtection="1">
      <alignment horizontal="right" vertical="center"/>
      <protection locked="0"/>
    </xf>
    <xf numFmtId="38" fontId="7" fillId="2" borderId="58" xfId="11" applyNumberFormat="1" applyFont="1" applyFill="1" applyBorder="1" applyAlignment="1">
      <alignment horizontal="right" vertical="center"/>
    </xf>
    <xf numFmtId="38" fontId="70" fillId="21" borderId="50" xfId="11" applyNumberFormat="1" applyFont="1" applyFill="1" applyBorder="1" applyAlignment="1" applyProtection="1">
      <alignment horizontal="right" vertical="center"/>
      <protection locked="0"/>
    </xf>
    <xf numFmtId="38" fontId="70" fillId="2" borderId="69" xfId="11" applyNumberFormat="1" applyFont="1" applyFill="1" applyBorder="1" applyAlignment="1" applyProtection="1">
      <alignment horizontal="right" vertical="center"/>
      <protection locked="0"/>
    </xf>
    <xf numFmtId="38" fontId="7" fillId="2" borderId="48" xfId="11" applyNumberFormat="1" applyFont="1" applyFill="1" applyBorder="1" applyAlignment="1">
      <alignment horizontal="right" vertical="center"/>
    </xf>
    <xf numFmtId="38" fontId="7" fillId="2" borderId="37" xfId="11" applyNumberFormat="1" applyFont="1" applyFill="1" applyBorder="1" applyAlignment="1">
      <alignment horizontal="right"/>
    </xf>
    <xf numFmtId="38" fontId="7" fillId="2" borderId="61" xfId="11" applyNumberFormat="1" applyFont="1" applyFill="1" applyBorder="1" applyAlignment="1">
      <alignment horizontal="right"/>
    </xf>
    <xf numFmtId="38" fontId="7" fillId="6" borderId="69" xfId="11" applyNumberFormat="1" applyFont="1" applyFill="1" applyBorder="1" applyAlignment="1">
      <alignment horizontal="right" vertical="center"/>
    </xf>
    <xf numFmtId="0" fontId="12" fillId="0" borderId="20" xfId="0" applyFont="1" applyFill="1" applyBorder="1" applyAlignment="1">
      <alignment vertical="center"/>
    </xf>
    <xf numFmtId="0" fontId="86" fillId="0" borderId="20" xfId="0" applyFont="1" applyFill="1" applyBorder="1" applyAlignment="1">
      <alignment vertical="center"/>
    </xf>
    <xf numFmtId="0" fontId="100" fillId="0" borderId="0" xfId="9" applyFont="1" applyFill="1" applyBorder="1" applyAlignment="1">
      <alignment vertical="center"/>
    </xf>
    <xf numFmtId="0" fontId="12" fillId="7" borderId="29" xfId="0" applyFont="1" applyFill="1" applyBorder="1" applyAlignment="1" applyProtection="1">
      <alignment vertical="center"/>
      <protection locked="0"/>
    </xf>
    <xf numFmtId="202" fontId="104" fillId="0" borderId="32" xfId="9" applyNumberFormat="1" applyFont="1" applyBorder="1" applyAlignment="1">
      <alignment vertical="center"/>
    </xf>
    <xf numFmtId="202" fontId="104" fillId="0" borderId="36" xfId="9" applyNumberFormat="1" applyFont="1" applyBorder="1" applyAlignment="1">
      <alignment vertical="center"/>
    </xf>
    <xf numFmtId="202" fontId="104" fillId="0" borderId="150" xfId="9" applyNumberFormat="1" applyFont="1" applyBorder="1" applyAlignment="1">
      <alignment vertical="center"/>
    </xf>
    <xf numFmtId="202" fontId="104" fillId="0" borderId="151" xfId="9" applyNumberFormat="1" applyFont="1" applyBorder="1" applyAlignment="1">
      <alignment vertical="center"/>
    </xf>
    <xf numFmtId="202" fontId="104" fillId="0" borderId="96" xfId="9" applyNumberFormat="1" applyFont="1" applyBorder="1" applyAlignment="1">
      <alignment vertical="center"/>
    </xf>
    <xf numFmtId="202" fontId="104" fillId="0" borderId="38" xfId="9" applyNumberFormat="1" applyFont="1" applyBorder="1" applyAlignment="1">
      <alignment vertical="center"/>
    </xf>
    <xf numFmtId="0" fontId="109" fillId="0" borderId="152" xfId="9" applyFont="1" applyFill="1" applyBorder="1" applyAlignment="1">
      <alignment horizontal="center" vertical="center"/>
    </xf>
    <xf numFmtId="0" fontId="109" fillId="0" borderId="51" xfId="9" applyFont="1" applyFill="1" applyBorder="1" applyAlignment="1">
      <alignment horizontal="right" vertical="center"/>
    </xf>
    <xf numFmtId="0" fontId="109" fillId="0" borderId="153" xfId="9" applyFont="1" applyFill="1" applyBorder="1" applyAlignment="1">
      <alignment horizontal="right" vertical="center"/>
    </xf>
    <xf numFmtId="0" fontId="109" fillId="0" borderId="50" xfId="9" applyFont="1" applyFill="1" applyBorder="1" applyAlignment="1">
      <alignment horizontal="right" vertical="center"/>
    </xf>
    <xf numFmtId="0" fontId="109" fillId="0" borderId="52" xfId="9" applyFont="1" applyFill="1" applyBorder="1" applyAlignment="1">
      <alignment horizontal="center" vertical="center"/>
    </xf>
    <xf numFmtId="0" fontId="104" fillId="0" borderId="148" xfId="9" applyFont="1" applyBorder="1" applyAlignment="1">
      <alignment vertical="center"/>
    </xf>
    <xf numFmtId="0" fontId="104" fillId="0" borderId="67" xfId="9" applyFont="1" applyBorder="1" applyAlignment="1">
      <alignment vertical="center"/>
    </xf>
    <xf numFmtId="0" fontId="104" fillId="0" borderId="155" xfId="9" applyFont="1" applyBorder="1" applyAlignment="1">
      <alignment vertical="center"/>
    </xf>
    <xf numFmtId="0" fontId="12" fillId="27" borderId="27" xfId="0" applyFont="1" applyFill="1" applyBorder="1" applyAlignment="1" applyProtection="1">
      <alignment vertical="center"/>
      <protection locked="0"/>
    </xf>
    <xf numFmtId="0" fontId="65" fillId="0" borderId="14" xfId="9" applyBorder="1" applyAlignment="1">
      <alignment vertical="center"/>
    </xf>
    <xf numFmtId="0" fontId="110" fillId="0" borderId="35" xfId="9" applyFont="1" applyFill="1" applyBorder="1" applyAlignment="1">
      <alignment vertical="center"/>
    </xf>
    <xf numFmtId="0" fontId="110" fillId="0" borderId="33" xfId="9" applyFont="1" applyFill="1" applyBorder="1" applyAlignment="1">
      <alignment vertical="center"/>
    </xf>
    <xf numFmtId="0" fontId="111" fillId="0" borderId="34" xfId="9" applyFont="1" applyFill="1" applyBorder="1" applyAlignment="1">
      <alignment vertical="center"/>
    </xf>
    <xf numFmtId="0" fontId="111" fillId="0" borderId="60" xfId="9" applyFont="1" applyFill="1" applyBorder="1" applyAlignment="1">
      <alignment vertical="center"/>
    </xf>
    <xf numFmtId="0" fontId="111" fillId="0" borderId="156" xfId="9" applyFont="1" applyFill="1" applyBorder="1" applyAlignment="1">
      <alignment vertical="center"/>
    </xf>
    <xf numFmtId="0" fontId="111" fillId="0" borderId="40" xfId="9" applyFont="1" applyFill="1" applyBorder="1" applyAlignment="1">
      <alignment vertical="center"/>
    </xf>
    <xf numFmtId="0" fontId="111" fillId="0" borderId="41" xfId="9" applyFont="1" applyFill="1" applyBorder="1" applyAlignment="1">
      <alignment vertical="center"/>
    </xf>
    <xf numFmtId="0" fontId="111" fillId="0" borderId="42" xfId="9" applyFont="1" applyFill="1" applyBorder="1" applyAlignment="1">
      <alignment vertical="center"/>
    </xf>
    <xf numFmtId="0" fontId="111" fillId="0" borderId="43" xfId="9" applyFont="1" applyFill="1" applyBorder="1" applyAlignment="1">
      <alignment vertical="center"/>
    </xf>
    <xf numFmtId="0" fontId="103" fillId="0" borderId="167" xfId="9" applyFont="1" applyBorder="1" applyAlignment="1">
      <alignment horizontal="center" vertical="center"/>
    </xf>
    <xf numFmtId="0" fontId="103" fillId="0" borderId="168" xfId="9" applyFont="1" applyBorder="1" applyAlignment="1">
      <alignment horizontal="center" vertical="center"/>
    </xf>
    <xf numFmtId="0" fontId="112" fillId="0" borderId="169" xfId="9" applyFont="1" applyFill="1" applyBorder="1" applyAlignment="1">
      <alignment horizontal="center" vertical="center"/>
    </xf>
    <xf numFmtId="0" fontId="112" fillId="0" borderId="171" xfId="9" applyFont="1" applyFill="1" applyBorder="1" applyAlignment="1">
      <alignment horizontal="center" vertical="center"/>
    </xf>
    <xf numFmtId="0" fontId="102" fillId="0" borderId="172" xfId="9" applyFont="1" applyBorder="1" applyAlignment="1">
      <alignment horizontal="center" vertical="center"/>
    </xf>
    <xf numFmtId="0" fontId="103" fillId="0" borderId="166" xfId="9" applyFont="1" applyBorder="1" applyAlignment="1">
      <alignment horizontal="center" vertical="center"/>
    </xf>
    <xf numFmtId="0" fontId="112" fillId="0" borderId="176" xfId="9" applyFont="1" applyFill="1" applyBorder="1" applyAlignment="1">
      <alignment horizontal="center" vertical="center"/>
    </xf>
    <xf numFmtId="0" fontId="103" fillId="0" borderId="177" xfId="9" applyFont="1" applyBorder="1" applyAlignment="1">
      <alignment horizontal="center" vertical="center"/>
    </xf>
    <xf numFmtId="0" fontId="103" fillId="0" borderId="182" xfId="9" applyFont="1" applyBorder="1" applyAlignment="1">
      <alignment horizontal="center" vertical="center"/>
    </xf>
    <xf numFmtId="0" fontId="103" fillId="0" borderId="186" xfId="9" applyFont="1" applyBorder="1" applyAlignment="1">
      <alignment horizontal="center" vertical="center"/>
    </xf>
    <xf numFmtId="14" fontId="12" fillId="7" borderId="29" xfId="0" applyNumberFormat="1" applyFont="1" applyFill="1" applyBorder="1" applyAlignment="1" applyProtection="1">
      <alignment vertical="center"/>
      <protection locked="0"/>
    </xf>
    <xf numFmtId="202" fontId="104" fillId="21" borderId="110" xfId="9" applyNumberFormat="1" applyFont="1" applyFill="1" applyBorder="1" applyAlignment="1">
      <alignment vertical="center"/>
    </xf>
    <xf numFmtId="202" fontId="104" fillId="21" borderId="68" xfId="9" applyNumberFormat="1" applyFont="1" applyFill="1" applyBorder="1" applyAlignment="1">
      <alignment vertical="center"/>
    </xf>
    <xf numFmtId="202" fontId="104" fillId="21" borderId="154" xfId="9" applyNumberFormat="1" applyFont="1" applyFill="1" applyBorder="1" applyAlignment="1">
      <alignment vertical="center"/>
    </xf>
    <xf numFmtId="49" fontId="103" fillId="23" borderId="173" xfId="9" applyNumberFormat="1" applyFont="1" applyFill="1" applyBorder="1" applyAlignment="1">
      <alignment horizontal="center" vertical="center"/>
    </xf>
    <xf numFmtId="49" fontId="103" fillId="23" borderId="174" xfId="9" applyNumberFormat="1" applyFont="1" applyFill="1" applyBorder="1" applyAlignment="1">
      <alignment horizontal="center" vertical="center"/>
    </xf>
    <xf numFmtId="0" fontId="103" fillId="25" borderId="178" xfId="9" applyFont="1" applyFill="1" applyBorder="1" applyAlignment="1">
      <alignment horizontal="center" vertical="center" wrapText="1"/>
    </xf>
    <xf numFmtId="203" fontId="103" fillId="25" borderId="178" xfId="9" applyNumberFormat="1" applyFont="1" applyFill="1" applyBorder="1" applyAlignment="1">
      <alignment horizontal="right" vertical="center"/>
    </xf>
    <xf numFmtId="203" fontId="103" fillId="25" borderId="163" xfId="9" applyNumberFormat="1" applyFont="1" applyFill="1" applyBorder="1" applyAlignment="1">
      <alignment horizontal="right" vertical="center"/>
    </xf>
    <xf numFmtId="203" fontId="103" fillId="25" borderId="164" xfId="9" applyNumberFormat="1" applyFont="1" applyFill="1" applyBorder="1" applyAlignment="1">
      <alignment horizontal="right" vertical="center"/>
    </xf>
    <xf numFmtId="203" fontId="103" fillId="25" borderId="165" xfId="9" applyNumberFormat="1" applyFont="1" applyFill="1" applyBorder="1" applyAlignment="1">
      <alignment horizontal="right" vertical="center"/>
    </xf>
    <xf numFmtId="203" fontId="103" fillId="25" borderId="183" xfId="9" applyNumberFormat="1" applyFont="1" applyFill="1" applyBorder="1" applyAlignment="1">
      <alignment horizontal="right" vertical="center"/>
    </xf>
    <xf numFmtId="203" fontId="103" fillId="25" borderId="187" xfId="9" applyNumberFormat="1" applyFont="1" applyFill="1" applyBorder="1" applyAlignment="1">
      <alignment horizontal="right" vertical="center"/>
    </xf>
    <xf numFmtId="0" fontId="103" fillId="25" borderId="179" xfId="9" applyFont="1" applyFill="1" applyBorder="1" applyAlignment="1">
      <alignment horizontal="center" vertical="center"/>
    </xf>
    <xf numFmtId="203" fontId="103" fillId="25" borderId="184" xfId="9" applyNumberFormat="1" applyFont="1" applyFill="1" applyBorder="1" applyAlignment="1">
      <alignment horizontal="right" vertical="center"/>
    </xf>
    <xf numFmtId="203" fontId="103" fillId="25" borderId="179" xfId="9" applyNumberFormat="1" applyFont="1" applyFill="1" applyBorder="1" applyAlignment="1">
      <alignment horizontal="right" vertical="center"/>
    </xf>
    <xf numFmtId="203" fontId="103" fillId="25" borderId="157" xfId="9" applyNumberFormat="1" applyFont="1" applyFill="1" applyBorder="1" applyAlignment="1">
      <alignment horizontal="right" vertical="center"/>
    </xf>
    <xf numFmtId="203" fontId="103" fillId="25" borderId="158" xfId="9" applyNumberFormat="1" applyFont="1" applyFill="1" applyBorder="1" applyAlignment="1">
      <alignment horizontal="right" vertical="center"/>
    </xf>
    <xf numFmtId="203" fontId="103" fillId="25" borderId="159" xfId="9" applyNumberFormat="1" applyFont="1" applyFill="1" applyBorder="1" applyAlignment="1">
      <alignment horizontal="right" vertical="center"/>
    </xf>
    <xf numFmtId="203" fontId="103" fillId="25" borderId="188" xfId="9" applyNumberFormat="1" applyFont="1" applyFill="1" applyBorder="1" applyAlignment="1">
      <alignment horizontal="right" vertical="center"/>
    </xf>
    <xf numFmtId="49" fontId="103" fillId="21" borderId="175" xfId="9" applyNumberFormat="1" applyFont="1" applyFill="1" applyBorder="1" applyAlignment="1">
      <alignment horizontal="center" vertical="center"/>
    </xf>
    <xf numFmtId="0" fontId="103" fillId="25" borderId="180" xfId="9" applyFont="1" applyFill="1" applyBorder="1" applyAlignment="1">
      <alignment horizontal="center" vertical="center"/>
    </xf>
    <xf numFmtId="203" fontId="103" fillId="25" borderId="185" xfId="9" applyNumberFormat="1" applyFont="1" applyFill="1" applyBorder="1" applyAlignment="1">
      <alignment horizontal="right" vertical="center"/>
    </xf>
    <xf numFmtId="203" fontId="103" fillId="25" borderId="180" xfId="9" applyNumberFormat="1" applyFont="1" applyFill="1" applyBorder="1" applyAlignment="1">
      <alignment horizontal="right" vertical="center"/>
    </xf>
    <xf numFmtId="203" fontId="103" fillId="25" borderId="160" xfId="9" applyNumberFormat="1" applyFont="1" applyFill="1" applyBorder="1" applyAlignment="1">
      <alignment horizontal="right" vertical="center"/>
    </xf>
    <xf numFmtId="203" fontId="103" fillId="25" borderId="161" xfId="9" applyNumberFormat="1" applyFont="1" applyFill="1" applyBorder="1" applyAlignment="1">
      <alignment horizontal="right" vertical="center"/>
    </xf>
    <xf numFmtId="203" fontId="103" fillId="25" borderId="162" xfId="9" applyNumberFormat="1" applyFont="1" applyFill="1" applyBorder="1" applyAlignment="1">
      <alignment horizontal="right" vertical="center"/>
    </xf>
    <xf numFmtId="203" fontId="103" fillId="25" borderId="189" xfId="9" applyNumberFormat="1" applyFont="1" applyFill="1" applyBorder="1" applyAlignment="1">
      <alignment horizontal="right" vertical="center"/>
    </xf>
    <xf numFmtId="0" fontId="4" fillId="0" borderId="152" xfId="9" applyFont="1" applyFill="1" applyBorder="1" applyAlignment="1">
      <alignment vertical="center"/>
    </xf>
    <xf numFmtId="0" fontId="4" fillId="0" borderId="52" xfId="9" applyFont="1" applyFill="1" applyBorder="1" applyAlignment="1">
      <alignment vertical="center"/>
    </xf>
    <xf numFmtId="0" fontId="4" fillId="0" borderId="50" xfId="9" applyFont="1" applyFill="1" applyBorder="1" applyAlignment="1">
      <alignment vertical="center"/>
    </xf>
    <xf numFmtId="0" fontId="4" fillId="0" borderId="51" xfId="9" applyFont="1" applyFill="1" applyBorder="1" applyAlignment="1">
      <alignment vertical="center"/>
    </xf>
    <xf numFmtId="0" fontId="4" fillId="0" borderId="153" xfId="9" applyFont="1" applyFill="1" applyBorder="1" applyAlignment="1">
      <alignment vertical="center"/>
    </xf>
    <xf numFmtId="49" fontId="113" fillId="21" borderId="95" xfId="9" applyNumberFormat="1" applyFont="1" applyFill="1" applyBorder="1" applyAlignment="1">
      <alignment vertical="center"/>
    </xf>
    <xf numFmtId="0" fontId="113" fillId="25" borderId="148" xfId="9" applyFont="1" applyFill="1" applyBorder="1" applyAlignment="1">
      <alignment vertical="center"/>
    </xf>
    <xf numFmtId="203" fontId="113" fillId="25" borderId="110" xfId="9" applyNumberFormat="1" applyFont="1" applyFill="1" applyBorder="1" applyAlignment="1">
      <alignment vertical="center"/>
    </xf>
    <xf numFmtId="203" fontId="113" fillId="25" borderId="96" xfId="9" applyNumberFormat="1" applyFont="1" applyFill="1" applyBorder="1" applyAlignment="1">
      <alignment vertical="center"/>
    </xf>
    <xf numFmtId="203" fontId="113" fillId="25" borderId="38" xfId="9" applyNumberFormat="1" applyFont="1" applyFill="1" applyBorder="1" applyAlignment="1">
      <alignment vertical="center"/>
    </xf>
    <xf numFmtId="49" fontId="113" fillId="21" borderId="33" xfId="9" applyNumberFormat="1" applyFont="1" applyFill="1" applyBorder="1" applyAlignment="1">
      <alignment vertical="center"/>
    </xf>
    <xf numFmtId="0" fontId="113" fillId="25" borderId="67" xfId="9" applyFont="1" applyFill="1" applyBorder="1" applyAlignment="1">
      <alignment vertical="center"/>
    </xf>
    <xf numFmtId="203" fontId="113" fillId="25" borderId="68" xfId="9" applyNumberFormat="1" applyFont="1" applyFill="1" applyBorder="1" applyAlignment="1">
      <alignment vertical="center"/>
    </xf>
    <xf numFmtId="203" fontId="113" fillId="25" borderId="32" xfId="9" applyNumberFormat="1" applyFont="1" applyFill="1" applyBorder="1" applyAlignment="1">
      <alignment vertical="center"/>
    </xf>
    <xf numFmtId="203" fontId="113" fillId="25" borderId="36" xfId="9" applyNumberFormat="1" applyFont="1" applyFill="1" applyBorder="1" applyAlignment="1">
      <alignment vertical="center"/>
    </xf>
    <xf numFmtId="49" fontId="113" fillId="21" borderId="149" xfId="9" applyNumberFormat="1" applyFont="1" applyFill="1" applyBorder="1" applyAlignment="1">
      <alignment vertical="center"/>
    </xf>
    <xf numFmtId="0" fontId="113" fillId="25" borderId="155" xfId="9" applyFont="1" applyFill="1" applyBorder="1" applyAlignment="1">
      <alignment vertical="center"/>
    </xf>
    <xf numFmtId="203" fontId="113" fillId="25" borderId="154" xfId="9" applyNumberFormat="1" applyFont="1" applyFill="1" applyBorder="1" applyAlignment="1">
      <alignment vertical="center"/>
    </xf>
    <xf numFmtId="203" fontId="113" fillId="25" borderId="150" xfId="9" applyNumberFormat="1" applyFont="1" applyFill="1" applyBorder="1" applyAlignment="1">
      <alignment vertical="center"/>
    </xf>
    <xf numFmtId="203" fontId="113" fillId="25" borderId="151" xfId="9" applyNumberFormat="1" applyFont="1" applyFill="1" applyBorder="1" applyAlignment="1">
      <alignment vertical="center"/>
    </xf>
    <xf numFmtId="0" fontId="4" fillId="0" borderId="156" xfId="9" applyFont="1" applyFill="1" applyBorder="1" applyAlignment="1">
      <alignment horizontal="center" vertical="center"/>
    </xf>
    <xf numFmtId="0" fontId="5" fillId="0" borderId="77" xfId="9" applyFont="1" applyFill="1" applyBorder="1" applyAlignment="1">
      <alignment horizontal="center" vertical="center"/>
    </xf>
    <xf numFmtId="0" fontId="5" fillId="0" borderId="78" xfId="9" applyFont="1" applyFill="1" applyBorder="1" applyAlignment="1">
      <alignment horizontal="center" vertical="center"/>
    </xf>
    <xf numFmtId="0" fontId="5" fillId="0" borderId="79" xfId="9" applyFont="1" applyFill="1" applyBorder="1" applyAlignment="1">
      <alignment horizontal="center" vertical="center"/>
    </xf>
    <xf numFmtId="0" fontId="5" fillId="0" borderId="111" xfId="9" applyFont="1" applyFill="1" applyBorder="1" applyAlignment="1">
      <alignment horizontal="center" vertical="center"/>
    </xf>
    <xf numFmtId="49" fontId="113" fillId="21" borderId="35" xfId="9" applyNumberFormat="1" applyFont="1" applyFill="1" applyBorder="1" applyAlignment="1">
      <alignment horizontal="center" vertical="center"/>
    </xf>
    <xf numFmtId="0" fontId="113" fillId="25" borderId="61" xfId="9" applyFont="1" applyFill="1" applyBorder="1" applyAlignment="1">
      <alignment vertical="center"/>
    </xf>
    <xf numFmtId="181" fontId="113" fillId="25" borderId="118" xfId="9" applyNumberFormat="1" applyFont="1" applyFill="1" applyBorder="1" applyAlignment="1">
      <alignment horizontal="right" vertical="center"/>
    </xf>
    <xf numFmtId="181" fontId="113" fillId="25" borderId="48" xfId="9" applyNumberFormat="1" applyFont="1" applyFill="1" applyBorder="1" applyAlignment="1">
      <alignment horizontal="right" vertical="center"/>
    </xf>
    <xf numFmtId="181" fontId="113" fillId="0" borderId="37" xfId="9" applyNumberFormat="1" applyFont="1" applyBorder="1" applyAlignment="1">
      <alignment horizontal="right" vertical="center"/>
    </xf>
    <xf numFmtId="181" fontId="113" fillId="0" borderId="61" xfId="9" applyNumberFormat="1" applyFont="1" applyBorder="1" applyAlignment="1">
      <alignment horizontal="right" vertical="center"/>
    </xf>
    <xf numFmtId="184" fontId="113" fillId="25" borderId="48" xfId="9" applyNumberFormat="1" applyFont="1" applyFill="1" applyBorder="1" applyAlignment="1">
      <alignment vertical="center"/>
    </xf>
    <xf numFmtId="184" fontId="113" fillId="0" borderId="37" xfId="9" applyNumberFormat="1" applyFont="1" applyBorder="1" applyAlignment="1">
      <alignment vertical="center"/>
    </xf>
    <xf numFmtId="184" fontId="113" fillId="0" borderId="61" xfId="9" applyNumberFormat="1" applyFont="1" applyBorder="1" applyAlignment="1">
      <alignment vertical="center"/>
    </xf>
    <xf numFmtId="49" fontId="113" fillId="21" borderId="33" xfId="9" applyNumberFormat="1" applyFont="1" applyFill="1" applyBorder="1" applyAlignment="1">
      <alignment horizontal="center" vertical="center"/>
    </xf>
    <xf numFmtId="0" fontId="113" fillId="25" borderId="67" xfId="9" applyFont="1" applyFill="1" applyBorder="1" applyAlignment="1">
      <alignment vertical="center" wrapText="1"/>
    </xf>
    <xf numFmtId="181" fontId="113" fillId="25" borderId="113" xfId="9" applyNumberFormat="1" applyFont="1" applyFill="1" applyBorder="1" applyAlignment="1">
      <alignment horizontal="right" vertical="center"/>
    </xf>
    <xf numFmtId="181" fontId="113" fillId="25" borderId="39" xfId="9" applyNumberFormat="1" applyFont="1" applyFill="1" applyBorder="1" applyAlignment="1">
      <alignment horizontal="right" vertical="center"/>
    </xf>
    <xf numFmtId="184" fontId="113" fillId="25" borderId="39" xfId="9" applyNumberFormat="1" applyFont="1" applyFill="1" applyBorder="1" applyAlignment="1">
      <alignment vertical="center"/>
    </xf>
    <xf numFmtId="184" fontId="113" fillId="0" borderId="32" xfId="9" applyNumberFormat="1" applyFont="1" applyBorder="1" applyAlignment="1">
      <alignment vertical="center"/>
    </xf>
    <xf numFmtId="184" fontId="113" fillId="0" borderId="67" xfId="9" applyNumberFormat="1" applyFont="1" applyBorder="1" applyAlignment="1">
      <alignment vertical="center"/>
    </xf>
    <xf numFmtId="181" fontId="113" fillId="0" borderId="32" xfId="9" applyNumberFormat="1" applyFont="1" applyBorder="1" applyAlignment="1">
      <alignment horizontal="right" vertical="center"/>
    </xf>
    <xf numFmtId="181" fontId="113" fillId="0" borderId="67" xfId="9" applyNumberFormat="1" applyFont="1" applyBorder="1" applyAlignment="1">
      <alignment horizontal="right" vertical="center"/>
    </xf>
    <xf numFmtId="49" fontId="113" fillId="21" borderId="191" xfId="9" applyNumberFormat="1" applyFont="1" applyFill="1" applyBorder="1" applyAlignment="1">
      <alignment horizontal="center" vertical="center"/>
    </xf>
    <xf numFmtId="0" fontId="113" fillId="25" borderId="72" xfId="9" applyFont="1" applyFill="1" applyBorder="1" applyAlignment="1">
      <alignment vertical="center" wrapText="1"/>
    </xf>
    <xf numFmtId="181" fontId="113" fillId="25" borderId="195" xfId="9" applyNumberFormat="1" applyFont="1" applyFill="1" applyBorder="1" applyAlignment="1">
      <alignment horizontal="right" vertical="center"/>
    </xf>
    <xf numFmtId="181" fontId="113" fillId="25" borderId="69" xfId="9" applyNumberFormat="1" applyFont="1" applyFill="1" applyBorder="1" applyAlignment="1">
      <alignment horizontal="right" vertical="center"/>
    </xf>
    <xf numFmtId="181" fontId="113" fillId="0" borderId="70" xfId="9" applyNumberFormat="1" applyFont="1" applyBorder="1" applyAlignment="1">
      <alignment horizontal="right" vertical="center"/>
    </xf>
    <xf numFmtId="181" fontId="113" fillId="0" borderId="72" xfId="9" applyNumberFormat="1" applyFont="1" applyBorder="1" applyAlignment="1">
      <alignment horizontal="right" vertical="center"/>
    </xf>
    <xf numFmtId="184" fontId="113" fillId="25" borderId="69" xfId="9" applyNumberFormat="1" applyFont="1" applyFill="1" applyBorder="1" applyAlignment="1">
      <alignment vertical="center"/>
    </xf>
    <xf numFmtId="184" fontId="113" fillId="0" borderId="70" xfId="9" applyNumberFormat="1" applyFont="1" applyBorder="1" applyAlignment="1">
      <alignment vertical="center"/>
    </xf>
    <xf numFmtId="184" fontId="113" fillId="0" borderId="72" xfId="9" applyNumberFormat="1" applyFont="1" applyBorder="1" applyAlignment="1">
      <alignment vertical="center"/>
    </xf>
    <xf numFmtId="49" fontId="113" fillId="21" borderId="152" xfId="9" applyNumberFormat="1" applyFont="1" applyFill="1" applyBorder="1" applyAlignment="1">
      <alignment horizontal="center" vertical="center"/>
    </xf>
    <xf numFmtId="0" fontId="113" fillId="25" borderId="52" xfId="9" applyFont="1" applyFill="1" applyBorder="1" applyAlignment="1">
      <alignment vertical="center"/>
    </xf>
    <xf numFmtId="181" fontId="113" fillId="25" borderId="23" xfId="9" applyNumberFormat="1" applyFont="1" applyFill="1" applyBorder="1" applyAlignment="1">
      <alignment horizontal="right" vertical="center"/>
    </xf>
    <xf numFmtId="181" fontId="113" fillId="25" borderId="58" xfId="9" applyNumberFormat="1" applyFont="1" applyFill="1" applyBorder="1" applyAlignment="1">
      <alignment horizontal="right" vertical="center"/>
    </xf>
    <xf numFmtId="181" fontId="113" fillId="0" borderId="51" xfId="9" applyNumberFormat="1" applyFont="1" applyBorder="1" applyAlignment="1">
      <alignment horizontal="right" vertical="center"/>
    </xf>
    <xf numFmtId="181" fontId="113" fillId="0" borderId="52" xfId="9" applyNumberFormat="1" applyFont="1" applyBorder="1" applyAlignment="1">
      <alignment horizontal="right" vertical="center"/>
    </xf>
    <xf numFmtId="183" fontId="113" fillId="25" borderId="58" xfId="9" applyNumberFormat="1" applyFont="1" applyFill="1" applyBorder="1" applyAlignment="1">
      <alignment vertical="center"/>
    </xf>
    <xf numFmtId="183" fontId="113" fillId="0" borderId="51" xfId="9" applyNumberFormat="1" applyFont="1" applyBorder="1" applyAlignment="1">
      <alignment vertical="center"/>
    </xf>
    <xf numFmtId="183" fontId="113" fillId="0" borderId="52" xfId="9" applyNumberFormat="1" applyFont="1" applyBorder="1" applyAlignment="1">
      <alignment vertical="center"/>
    </xf>
    <xf numFmtId="49" fontId="113" fillId="21" borderId="192" xfId="9" applyNumberFormat="1" applyFont="1" applyFill="1" applyBorder="1" applyAlignment="1">
      <alignment horizontal="center" vertical="center"/>
    </xf>
    <xf numFmtId="190" fontId="113" fillId="25" borderId="194" xfId="9" applyNumberFormat="1" applyFont="1" applyFill="1" applyBorder="1" applyAlignment="1">
      <alignment vertical="center"/>
    </xf>
    <xf numFmtId="183" fontId="113" fillId="25" borderId="139" xfId="9" applyNumberFormat="1" applyFont="1" applyFill="1" applyBorder="1" applyAlignment="1">
      <alignment horizontal="center" vertical="center"/>
    </xf>
    <xf numFmtId="181" fontId="113" fillId="25" borderId="196" xfId="9" applyNumberFormat="1" applyFont="1" applyFill="1" applyBorder="1" applyAlignment="1">
      <alignment vertical="center"/>
    </xf>
    <xf numFmtId="181" fontId="113" fillId="0" borderId="193" xfId="9" applyNumberFormat="1" applyFont="1" applyBorder="1" applyAlignment="1">
      <alignment vertical="center"/>
    </xf>
    <xf numFmtId="181" fontId="113" fillId="0" borderId="194" xfId="9" applyNumberFormat="1" applyFont="1" applyBorder="1" applyAlignment="1">
      <alignment vertical="center"/>
    </xf>
    <xf numFmtId="184" fontId="113" fillId="25" borderId="196" xfId="9" applyNumberFormat="1" applyFont="1" applyFill="1" applyBorder="1" applyAlignment="1">
      <alignment vertical="center"/>
    </xf>
    <xf numFmtId="184" fontId="113" fillId="0" borderId="193" xfId="9" applyNumberFormat="1" applyFont="1" applyBorder="1" applyAlignment="1">
      <alignment vertical="center"/>
    </xf>
    <xf numFmtId="184" fontId="113" fillId="0" borderId="194" xfId="9" applyNumberFormat="1" applyFont="1" applyBorder="1" applyAlignment="1">
      <alignment vertical="center"/>
    </xf>
    <xf numFmtId="181" fontId="7" fillId="0" borderId="59" xfId="5" applyNumberFormat="1" applyFont="1" applyFill="1" applyBorder="1" applyAlignment="1" applyProtection="1">
      <alignment horizontal="right"/>
      <protection locked="0"/>
    </xf>
    <xf numFmtId="181" fontId="114" fillId="0" borderId="67" xfId="9" applyNumberFormat="1" applyFont="1" applyBorder="1" applyAlignment="1">
      <alignment horizontal="right" vertical="center"/>
    </xf>
    <xf numFmtId="181" fontId="114" fillId="0" borderId="32" xfId="9" applyNumberFormat="1" applyFont="1" applyBorder="1" applyAlignment="1">
      <alignment horizontal="right" vertical="center"/>
    </xf>
    <xf numFmtId="177" fontId="113" fillId="25" borderId="41" xfId="9" applyNumberFormat="1" applyFont="1" applyFill="1" applyBorder="1" applyAlignment="1">
      <alignment vertical="center"/>
    </xf>
    <xf numFmtId="177" fontId="113" fillId="25" borderId="197" xfId="9" applyNumberFormat="1" applyFont="1" applyFill="1" applyBorder="1" applyAlignment="1">
      <alignment vertical="center"/>
    </xf>
    <xf numFmtId="177" fontId="113" fillId="25" borderId="24" xfId="9" applyNumberFormat="1" applyFont="1" applyFill="1" applyBorder="1" applyAlignment="1">
      <alignment vertical="center"/>
    </xf>
    <xf numFmtId="177" fontId="113" fillId="25" borderId="198" xfId="9" applyNumberFormat="1" applyFont="1" applyFill="1" applyBorder="1" applyAlignment="1">
      <alignment vertical="center"/>
    </xf>
    <xf numFmtId="177" fontId="113" fillId="25" borderId="156" xfId="9" applyNumberFormat="1" applyFont="1" applyFill="1" applyBorder="1" applyAlignment="1">
      <alignment vertical="center"/>
    </xf>
    <xf numFmtId="38" fontId="7" fillId="25" borderId="68" xfId="0" applyNumberFormat="1" applyFont="1" applyFill="1" applyBorder="1" applyAlignment="1" applyProtection="1">
      <alignment vertical="center"/>
      <protection hidden="1"/>
    </xf>
    <xf numFmtId="38" fontId="7" fillId="25" borderId="32" xfId="0" applyNumberFormat="1" applyFont="1" applyFill="1" applyBorder="1" applyAlignment="1" applyProtection="1">
      <alignment vertical="center"/>
      <protection hidden="1"/>
    </xf>
    <xf numFmtId="0" fontId="107" fillId="7" borderId="92" xfId="0" applyFont="1" applyFill="1" applyBorder="1" applyAlignment="1" applyProtection="1">
      <alignment vertical="center"/>
      <protection locked="0"/>
    </xf>
    <xf numFmtId="0" fontId="107" fillId="7" borderId="47" xfId="0" applyFont="1" applyFill="1" applyBorder="1" applyAlignment="1" applyProtection="1">
      <alignment vertical="center"/>
      <protection locked="0"/>
    </xf>
    <xf numFmtId="0" fontId="111" fillId="15" borderId="0" xfId="9" applyNumberFormat="1" applyFont="1" applyFill="1"/>
    <xf numFmtId="0" fontId="4" fillId="0" borderId="35" xfId="9" applyNumberFormat="1" applyFont="1" applyFill="1" applyBorder="1" applyProtection="1">
      <protection hidden="1"/>
    </xf>
    <xf numFmtId="0" fontId="4" fillId="0" borderId="33" xfId="10" applyNumberFormat="1" applyFont="1" applyBorder="1" applyProtection="1">
      <protection hidden="1"/>
    </xf>
    <xf numFmtId="0" fontId="18" fillId="0" borderId="33" xfId="9" applyNumberFormat="1" applyFont="1" applyBorder="1" applyAlignment="1">
      <alignment horizontal="right" vertical="center"/>
    </xf>
    <xf numFmtId="0" fontId="4" fillId="0" borderId="33" xfId="9" applyNumberFormat="1" applyFont="1" applyBorder="1" applyAlignment="1">
      <alignment horizontal="left" vertical="center"/>
    </xf>
    <xf numFmtId="0" fontId="4" fillId="22" borderId="49" xfId="9" applyNumberFormat="1" applyFont="1" applyFill="1" applyBorder="1" applyAlignment="1" applyProtection="1">
      <alignment horizontal="left"/>
      <protection hidden="1"/>
    </xf>
    <xf numFmtId="0" fontId="4" fillId="0" borderId="34" xfId="9" applyNumberFormat="1" applyFont="1" applyFill="1" applyBorder="1" applyProtection="1">
      <protection hidden="1"/>
    </xf>
    <xf numFmtId="0" fontId="5" fillId="0" borderId="108" xfId="0" applyFont="1" applyFill="1" applyBorder="1" applyAlignment="1" applyProtection="1">
      <alignment vertical="center"/>
      <protection hidden="1"/>
    </xf>
    <xf numFmtId="38" fontId="19" fillId="0" borderId="49" xfId="13" applyNumberFormat="1" applyFont="1" applyFill="1" applyBorder="1" applyAlignment="1" applyProtection="1">
      <alignment horizontal="left" vertical="center"/>
      <protection hidden="1"/>
    </xf>
    <xf numFmtId="38" fontId="19" fillId="0" borderId="119" xfId="0" applyNumberFormat="1" applyFont="1" applyFill="1" applyBorder="1" applyAlignment="1" applyProtection="1">
      <alignment horizontal="left" vertical="center" indent="1"/>
      <protection hidden="1"/>
    </xf>
    <xf numFmtId="0" fontId="65" fillId="0" borderId="108" xfId="0" applyFont="1" applyFill="1" applyBorder="1" applyAlignment="1" applyProtection="1">
      <alignment vertical="center"/>
      <protection hidden="1"/>
    </xf>
    <xf numFmtId="38" fontId="5" fillId="0" borderId="49" xfId="10" applyNumberFormat="1" applyFont="1" applyFill="1" applyBorder="1" applyAlignment="1" applyProtection="1">
      <alignment vertical="center"/>
      <protection hidden="1"/>
    </xf>
    <xf numFmtId="180" fontId="5" fillId="0" borderId="49" xfId="8" applyNumberFormat="1" applyFont="1" applyFill="1" applyBorder="1" applyAlignment="1" applyProtection="1">
      <alignment horizontal="left" vertical="center" indent="2"/>
      <protection hidden="1"/>
    </xf>
    <xf numFmtId="180" fontId="5" fillId="0" borderId="49" xfId="8" applyNumberFormat="1" applyFont="1" applyFill="1" applyBorder="1" applyAlignment="1" applyProtection="1">
      <alignment horizontal="left" vertical="center"/>
      <protection hidden="1"/>
    </xf>
    <xf numFmtId="0" fontId="65" fillId="0" borderId="49" xfId="0" applyFont="1" applyFill="1" applyBorder="1" applyAlignment="1" applyProtection="1">
      <alignment horizontal="left" vertical="center"/>
      <protection hidden="1"/>
    </xf>
    <xf numFmtId="0" fontId="5" fillId="0" borderId="49" xfId="0" applyFont="1" applyFill="1" applyBorder="1" applyProtection="1">
      <protection hidden="1"/>
    </xf>
    <xf numFmtId="185" fontId="5" fillId="0" borderId="49" xfId="10" applyNumberFormat="1" applyFont="1" applyBorder="1" applyProtection="1">
      <protection hidden="1"/>
    </xf>
    <xf numFmtId="0" fontId="5" fillId="0" borderId="49" xfId="10" applyFont="1" applyBorder="1" applyAlignment="1" applyProtection="1">
      <alignment horizontal="left"/>
      <protection hidden="1"/>
    </xf>
    <xf numFmtId="185" fontId="116" fillId="0" borderId="49" xfId="10" applyNumberFormat="1" applyFont="1" applyBorder="1" applyProtection="1">
      <protection hidden="1"/>
    </xf>
    <xf numFmtId="0" fontId="117" fillId="0" borderId="119" xfId="10" applyFont="1" applyFill="1" applyBorder="1" applyProtection="1">
      <protection hidden="1"/>
    </xf>
    <xf numFmtId="181" fontId="5" fillId="0" borderId="49" xfId="10" applyNumberFormat="1" applyFont="1" applyFill="1" applyBorder="1" applyAlignment="1" applyProtection="1">
      <alignment horizontal="left" indent="2"/>
      <protection hidden="1"/>
    </xf>
    <xf numFmtId="184" fontId="5" fillId="0" borderId="49" xfId="10" applyNumberFormat="1" applyFont="1" applyFill="1" applyBorder="1" applyAlignment="1" applyProtection="1">
      <alignment horizontal="left" indent="2"/>
      <protection hidden="1"/>
    </xf>
    <xf numFmtId="181" fontId="5" fillId="0" borderId="49" xfId="10" applyNumberFormat="1" applyFont="1" applyFill="1" applyBorder="1" applyAlignment="1" applyProtection="1">
      <alignment horizontal="left"/>
      <protection hidden="1"/>
    </xf>
    <xf numFmtId="181" fontId="5" fillId="0" borderId="49" xfId="10" applyNumberFormat="1" applyFont="1" applyBorder="1" applyAlignment="1" applyProtection="1">
      <alignment horizontal="left"/>
      <protection hidden="1"/>
    </xf>
    <xf numFmtId="181" fontId="117" fillId="0" borderId="49" xfId="10" applyNumberFormat="1" applyFont="1" applyBorder="1" applyAlignment="1" applyProtection="1">
      <alignment horizontal="left"/>
      <protection hidden="1"/>
    </xf>
    <xf numFmtId="181" fontId="5" fillId="0" borderId="49" xfId="10" applyNumberFormat="1" applyFont="1" applyFill="1" applyBorder="1" applyAlignment="1" applyProtection="1">
      <alignment horizontal="left" indent="1"/>
      <protection hidden="1"/>
    </xf>
    <xf numFmtId="184" fontId="5" fillId="0" borderId="49" xfId="10" applyNumberFormat="1" applyFont="1" applyFill="1" applyBorder="1" applyAlignment="1" applyProtection="1">
      <alignment horizontal="left" indent="1"/>
      <protection hidden="1"/>
    </xf>
    <xf numFmtId="0" fontId="5" fillId="2" borderId="49" xfId="10" applyFont="1" applyFill="1" applyBorder="1" applyAlignment="1" applyProtection="1">
      <alignment horizontal="left" indent="2"/>
      <protection hidden="1"/>
    </xf>
    <xf numFmtId="0" fontId="5" fillId="0" borderId="49" xfId="10" applyFont="1" applyBorder="1" applyAlignment="1" applyProtection="1">
      <alignment horizontal="left" indent="2"/>
      <protection hidden="1"/>
    </xf>
    <xf numFmtId="38" fontId="5" fillId="0" borderId="49" xfId="10" applyNumberFormat="1" applyFont="1" applyBorder="1" applyAlignment="1" applyProtection="1">
      <alignment horizontal="left" indent="1"/>
      <protection hidden="1"/>
    </xf>
    <xf numFmtId="38" fontId="5" fillId="0" borderId="49" xfId="10" applyNumberFormat="1" applyFont="1" applyFill="1" applyBorder="1" applyAlignment="1" applyProtection="1">
      <alignment horizontal="left" indent="1"/>
      <protection hidden="1"/>
    </xf>
    <xf numFmtId="38" fontId="5" fillId="0" borderId="49" xfId="10" applyNumberFormat="1" applyFont="1" applyBorder="1" applyAlignment="1" applyProtection="1">
      <alignment horizontal="left" indent="2"/>
      <protection hidden="1"/>
    </xf>
    <xf numFmtId="38" fontId="5" fillId="0" borderId="119" xfId="10" applyNumberFormat="1" applyFont="1" applyBorder="1" applyAlignment="1" applyProtection="1">
      <alignment horizontal="left"/>
      <protection hidden="1"/>
    </xf>
    <xf numFmtId="38" fontId="5" fillId="0" borderId="49" xfId="10" applyNumberFormat="1" applyFont="1" applyBorder="1" applyAlignment="1" applyProtection="1">
      <alignment horizontal="left"/>
      <protection hidden="1"/>
    </xf>
    <xf numFmtId="183" fontId="5" fillId="0" borderId="49" xfId="10" applyNumberFormat="1" applyFont="1" applyBorder="1" applyAlignment="1" applyProtection="1">
      <alignment horizontal="left" indent="1"/>
      <protection hidden="1"/>
    </xf>
    <xf numFmtId="0" fontId="5" fillId="0" borderId="119" xfId="10" applyFont="1" applyBorder="1" applyAlignment="1" applyProtection="1">
      <alignment horizontal="left"/>
      <protection hidden="1"/>
    </xf>
    <xf numFmtId="38" fontId="5" fillId="0" borderId="49" xfId="10" applyNumberFormat="1" applyFont="1" applyFill="1" applyBorder="1" applyAlignment="1" applyProtection="1">
      <alignment horizontal="left" indent="2"/>
      <protection hidden="1"/>
    </xf>
    <xf numFmtId="38" fontId="5" fillId="0" borderId="7" xfId="10" applyNumberFormat="1" applyFont="1" applyFill="1" applyBorder="1" applyProtection="1">
      <protection hidden="1"/>
    </xf>
    <xf numFmtId="0" fontId="5" fillId="0" borderId="49" xfId="10" applyNumberFormat="1" applyFont="1" applyFill="1" applyBorder="1" applyProtection="1">
      <protection hidden="1"/>
    </xf>
    <xf numFmtId="185" fontId="5" fillId="0" borderId="49" xfId="10" applyNumberFormat="1" applyFont="1" applyBorder="1" applyAlignment="1" applyProtection="1">
      <protection hidden="1"/>
    </xf>
    <xf numFmtId="185" fontId="5" fillId="0" borderId="49" xfId="10" applyNumberFormat="1" applyFont="1" applyFill="1" applyBorder="1" applyAlignment="1" applyProtection="1">
      <protection hidden="1"/>
    </xf>
    <xf numFmtId="185" fontId="4" fillId="0" borderId="49" xfId="10" applyNumberFormat="1" applyFont="1" applyBorder="1" applyAlignment="1" applyProtection="1">
      <alignment horizontal="left"/>
      <protection hidden="1"/>
    </xf>
    <xf numFmtId="0" fontId="65" fillId="0" borderId="49" xfId="0" applyFont="1" applyBorder="1" applyProtection="1">
      <protection hidden="1"/>
    </xf>
    <xf numFmtId="185" fontId="4" fillId="0" borderId="49" xfId="10" applyNumberFormat="1" applyFont="1" applyBorder="1" applyAlignment="1" applyProtection="1">
      <protection hidden="1"/>
    </xf>
    <xf numFmtId="185" fontId="117" fillId="0" borderId="119" xfId="10" applyNumberFormat="1" applyFont="1" applyFill="1" applyBorder="1" applyProtection="1">
      <protection hidden="1"/>
    </xf>
    <xf numFmtId="0" fontId="5" fillId="0" borderId="45" xfId="0" applyFont="1" applyBorder="1" applyProtection="1">
      <protection hidden="1"/>
    </xf>
    <xf numFmtId="0" fontId="5" fillId="0" borderId="49" xfId="0" applyFont="1" applyBorder="1" applyAlignment="1" applyProtection="1">
      <alignment horizontal="left"/>
      <protection hidden="1"/>
    </xf>
    <xf numFmtId="0" fontId="5" fillId="0" borderId="49" xfId="0" applyFont="1" applyBorder="1" applyAlignment="1" applyProtection="1">
      <alignment horizontal="left" indent="1"/>
      <protection hidden="1"/>
    </xf>
    <xf numFmtId="0" fontId="5" fillId="0" borderId="49" xfId="0" applyFont="1" applyBorder="1" applyAlignment="1" applyProtection="1">
      <protection hidden="1"/>
    </xf>
    <xf numFmtId="0" fontId="5" fillId="0" borderId="49" xfId="0" applyFont="1" applyBorder="1" applyProtection="1">
      <protection hidden="1"/>
    </xf>
    <xf numFmtId="0" fontId="5" fillId="0" borderId="119" xfId="0" applyFont="1" applyBorder="1" applyProtection="1">
      <protection hidden="1"/>
    </xf>
    <xf numFmtId="0" fontId="71" fillId="0" borderId="0" xfId="0" applyFont="1" applyFill="1" applyBorder="1" applyAlignment="1" applyProtection="1">
      <alignment horizontal="right" vertical="center" wrapText="1"/>
      <protection hidden="1"/>
    </xf>
    <xf numFmtId="177" fontId="71" fillId="0" borderId="0" xfId="0" applyNumberFormat="1" applyFont="1" applyFill="1" applyBorder="1" applyAlignment="1" applyProtection="1">
      <alignment horizontal="right" vertical="center"/>
      <protection hidden="1"/>
    </xf>
    <xf numFmtId="0" fontId="19" fillId="0" borderId="16" xfId="0" applyFont="1" applyFill="1" applyBorder="1" applyAlignment="1" applyProtection="1">
      <alignment horizontal="center" vertical="center" wrapText="1"/>
      <protection hidden="1"/>
    </xf>
    <xf numFmtId="10" fontId="19" fillId="0" borderId="1" xfId="8" applyNumberFormat="1" applyFont="1" applyFill="1" applyBorder="1" applyAlignment="1" applyProtection="1">
      <alignment horizontal="center" vertical="center" wrapText="1"/>
      <protection hidden="1"/>
    </xf>
    <xf numFmtId="0" fontId="5" fillId="0" borderId="1" xfId="0" applyFont="1" applyFill="1" applyBorder="1" applyAlignment="1" applyProtection="1">
      <alignment vertical="center"/>
      <protection hidden="1"/>
    </xf>
    <xf numFmtId="9" fontId="19" fillId="0" borderId="80" xfId="8" applyNumberFormat="1" applyFont="1" applyFill="1" applyBorder="1" applyAlignment="1" applyProtection="1">
      <alignment horizontal="center" vertical="center" wrapText="1"/>
      <protection hidden="1"/>
    </xf>
    <xf numFmtId="0" fontId="5" fillId="0" borderId="1" xfId="0" applyFont="1" applyFill="1" applyBorder="1" applyAlignment="1" applyProtection="1">
      <alignment horizontal="center" vertical="center" wrapText="1"/>
      <protection hidden="1"/>
    </xf>
    <xf numFmtId="0" fontId="118" fillId="0" borderId="126" xfId="0" applyFont="1" applyBorder="1" applyAlignment="1" applyProtection="1">
      <alignment horizontal="center" vertical="center" wrapText="1"/>
      <protection hidden="1"/>
    </xf>
    <xf numFmtId="0" fontId="5" fillId="2" borderId="4" xfId="0" applyFont="1" applyFill="1" applyBorder="1" applyAlignment="1" applyProtection="1">
      <alignment horizontal="left" vertical="center"/>
      <protection hidden="1"/>
    </xf>
    <xf numFmtId="0" fontId="5" fillId="2" borderId="0" xfId="0" applyFont="1" applyFill="1" applyBorder="1" applyAlignment="1" applyProtection="1">
      <alignment horizontal="left" vertical="center"/>
      <protection hidden="1"/>
    </xf>
    <xf numFmtId="0" fontId="5" fillId="2" borderId="86" xfId="0" applyFont="1" applyFill="1" applyBorder="1" applyAlignment="1" applyProtection="1">
      <alignment vertical="center"/>
      <protection hidden="1"/>
    </xf>
    <xf numFmtId="0" fontId="5" fillId="2" borderId="91" xfId="0" applyFont="1" applyFill="1" applyBorder="1" applyAlignment="1" applyProtection="1">
      <alignment vertical="center"/>
      <protection hidden="1"/>
    </xf>
    <xf numFmtId="0" fontId="5" fillId="2" borderId="94" xfId="0" applyFont="1" applyFill="1" applyBorder="1" applyAlignment="1" applyProtection="1">
      <alignment vertical="center"/>
      <protection hidden="1"/>
    </xf>
    <xf numFmtId="0" fontId="5" fillId="2" borderId="19" xfId="0" applyFont="1" applyFill="1" applyBorder="1" applyAlignment="1" applyProtection="1">
      <alignment vertical="center"/>
      <protection hidden="1"/>
    </xf>
    <xf numFmtId="0" fontId="5" fillId="2" borderId="0" xfId="0" applyFont="1" applyFill="1" applyBorder="1" applyAlignment="1" applyProtection="1">
      <alignment vertical="center"/>
      <protection hidden="1"/>
    </xf>
    <xf numFmtId="0" fontId="5" fillId="2" borderId="28" xfId="0" applyFont="1" applyFill="1" applyBorder="1" applyAlignment="1" applyProtection="1">
      <alignment vertical="center"/>
      <protection hidden="1"/>
    </xf>
    <xf numFmtId="0" fontId="5" fillId="2" borderId="10" xfId="0" applyFont="1" applyFill="1" applyBorder="1" applyAlignment="1" applyProtection="1">
      <alignment vertical="center"/>
      <protection hidden="1"/>
    </xf>
    <xf numFmtId="0" fontId="5" fillId="2" borderId="14" xfId="0" applyFont="1" applyFill="1" applyBorder="1" applyAlignment="1" applyProtection="1">
      <alignment vertical="center"/>
      <protection hidden="1"/>
    </xf>
    <xf numFmtId="0" fontId="5" fillId="2" borderId="6" xfId="0" applyFont="1" applyFill="1" applyBorder="1" applyAlignment="1" applyProtection="1">
      <alignment horizontal="left" vertical="center"/>
      <protection hidden="1"/>
    </xf>
    <xf numFmtId="186" fontId="5" fillId="2" borderId="128" xfId="0" applyNumberFormat="1" applyFont="1" applyFill="1" applyBorder="1" applyAlignment="1" applyProtection="1">
      <alignment vertical="center"/>
      <protection hidden="1"/>
    </xf>
    <xf numFmtId="186" fontId="5" fillId="2" borderId="4" xfId="0" applyNumberFormat="1" applyFont="1" applyFill="1" applyBorder="1" applyAlignment="1" applyProtection="1">
      <alignment horizontal="left" vertical="center" indent="1"/>
      <protection hidden="1"/>
    </xf>
    <xf numFmtId="186" fontId="5" fillId="2" borderId="4" xfId="0" applyNumberFormat="1" applyFont="1" applyFill="1" applyBorder="1" applyAlignment="1" applyProtection="1">
      <alignment vertical="center"/>
      <protection hidden="1"/>
    </xf>
    <xf numFmtId="10" fontId="5" fillId="2" borderId="4" xfId="0" applyNumberFormat="1" applyFont="1" applyFill="1" applyBorder="1" applyAlignment="1" applyProtection="1">
      <alignment horizontal="left" vertical="center" indent="1"/>
      <protection hidden="1"/>
    </xf>
    <xf numFmtId="0" fontId="5" fillId="0" borderId="4" xfId="0" applyFont="1" applyBorder="1" applyAlignment="1" applyProtection="1">
      <alignment horizontal="left" vertical="center" indent="1"/>
      <protection hidden="1"/>
    </xf>
    <xf numFmtId="38" fontId="19" fillId="2" borderId="128" xfId="0" applyNumberFormat="1" applyFont="1" applyFill="1" applyBorder="1" applyAlignment="1" applyProtection="1">
      <alignment vertical="center"/>
      <protection hidden="1"/>
    </xf>
    <xf numFmtId="10" fontId="5" fillId="2" borderId="4" xfId="8" applyNumberFormat="1" applyFont="1" applyFill="1" applyBorder="1" applyAlignment="1" applyProtection="1">
      <alignment horizontal="left" vertical="center" indent="1"/>
      <protection hidden="1"/>
    </xf>
    <xf numFmtId="38" fontId="19" fillId="2" borderId="4" xfId="0" applyNumberFormat="1" applyFont="1" applyFill="1" applyBorder="1" applyAlignment="1" applyProtection="1">
      <alignment vertical="center"/>
      <protection hidden="1"/>
    </xf>
    <xf numFmtId="10" fontId="5" fillId="2" borderId="9" xfId="8" applyNumberFormat="1" applyFont="1" applyFill="1" applyBorder="1" applyAlignment="1" applyProtection="1">
      <alignment vertical="center"/>
      <protection hidden="1"/>
    </xf>
    <xf numFmtId="0" fontId="5" fillId="0" borderId="7" xfId="0" applyFont="1" applyBorder="1" applyAlignment="1" applyProtection="1">
      <alignment horizontal="left" vertical="center" indent="1"/>
      <protection hidden="1"/>
    </xf>
    <xf numFmtId="38" fontId="19" fillId="2" borderId="7" xfId="0" applyNumberFormat="1" applyFont="1" applyFill="1" applyBorder="1" applyAlignment="1" applyProtection="1">
      <alignment vertical="center" wrapText="1"/>
      <protection hidden="1"/>
    </xf>
    <xf numFmtId="0" fontId="5" fillId="2" borderId="8" xfId="7" applyFont="1" applyFill="1" applyBorder="1" applyAlignment="1" applyProtection="1">
      <alignment horizontal="left" vertical="center"/>
      <protection hidden="1"/>
    </xf>
    <xf numFmtId="0" fontId="5" fillId="2" borderId="31" xfId="7" applyFont="1" applyFill="1" applyBorder="1" applyAlignment="1" applyProtection="1">
      <alignment horizontal="left" vertical="center"/>
      <protection hidden="1"/>
    </xf>
    <xf numFmtId="2" fontId="5" fillId="2" borderId="1" xfId="7" applyNumberFormat="1" applyFont="1" applyFill="1" applyBorder="1" applyAlignment="1" applyProtection="1">
      <alignment horizontal="center" vertical="center"/>
      <protection hidden="1"/>
    </xf>
    <xf numFmtId="15" fontId="5" fillId="2" borderId="24" xfId="7" applyNumberFormat="1" applyFont="1" applyFill="1" applyBorder="1" applyAlignment="1" applyProtection="1">
      <alignment horizontal="center" vertical="center"/>
      <protection hidden="1"/>
    </xf>
    <xf numFmtId="0" fontId="119" fillId="0" borderId="128" xfId="7" applyFont="1" applyFill="1" applyBorder="1" applyAlignment="1" applyProtection="1">
      <alignment vertical="center"/>
      <protection hidden="1"/>
    </xf>
    <xf numFmtId="0" fontId="119" fillId="0" borderId="3" xfId="7" applyFont="1" applyFill="1" applyBorder="1" applyAlignment="1" applyProtection="1">
      <alignment vertical="center"/>
      <protection hidden="1"/>
    </xf>
    <xf numFmtId="0" fontId="119" fillId="0" borderId="4" xfId="7" applyFont="1" applyFill="1" applyBorder="1" applyAlignment="1" applyProtection="1">
      <alignment vertical="center"/>
      <protection hidden="1"/>
    </xf>
    <xf numFmtId="0" fontId="119" fillId="0" borderId="20" xfId="7" applyFont="1" applyFill="1" applyBorder="1" applyAlignment="1" applyProtection="1">
      <alignment vertical="center"/>
      <protection hidden="1"/>
    </xf>
    <xf numFmtId="0" fontId="119" fillId="2" borderId="4" xfId="7" applyFont="1" applyFill="1" applyBorder="1" applyAlignment="1" applyProtection="1">
      <alignment horizontal="left" vertical="center"/>
      <protection hidden="1"/>
    </xf>
    <xf numFmtId="0" fontId="119" fillId="2" borderId="20" xfId="7" applyFont="1" applyFill="1" applyBorder="1" applyAlignment="1" applyProtection="1">
      <alignment vertical="center"/>
      <protection hidden="1"/>
    </xf>
    <xf numFmtId="0" fontId="119" fillId="2" borderId="4" xfId="7" applyFont="1" applyFill="1" applyBorder="1" applyAlignment="1" applyProtection="1">
      <alignment vertical="center"/>
      <protection hidden="1"/>
    </xf>
    <xf numFmtId="0" fontId="120" fillId="2" borderId="20" xfId="0" applyFont="1" applyFill="1" applyBorder="1" applyAlignment="1" applyProtection="1">
      <alignment vertical="center"/>
      <protection hidden="1"/>
    </xf>
    <xf numFmtId="0" fontId="119" fillId="2" borderId="4" xfId="7" applyFont="1" applyFill="1" applyBorder="1" applyAlignment="1" applyProtection="1">
      <alignment horizontal="left" vertical="center" indent="1"/>
      <protection hidden="1"/>
    </xf>
    <xf numFmtId="0" fontId="119" fillId="0" borderId="4" xfId="7" applyFont="1" applyFill="1" applyBorder="1" applyAlignment="1" applyProtection="1">
      <alignment horizontal="left" vertical="center" indent="1"/>
      <protection hidden="1"/>
    </xf>
    <xf numFmtId="0" fontId="120" fillId="0" borderId="20" xfId="0" applyFont="1" applyFill="1" applyBorder="1" applyAlignment="1" applyProtection="1">
      <alignment vertical="center"/>
      <protection hidden="1"/>
    </xf>
    <xf numFmtId="0" fontId="119" fillId="0" borderId="4" xfId="7" applyFont="1" applyFill="1" applyBorder="1" applyAlignment="1" applyProtection="1">
      <alignment horizontal="left" vertical="center" indent="2"/>
      <protection hidden="1"/>
    </xf>
    <xf numFmtId="0" fontId="121" fillId="2" borderId="7" xfId="7" applyFont="1" applyFill="1" applyBorder="1" applyAlignment="1" applyProtection="1">
      <alignment vertical="center"/>
      <protection hidden="1"/>
    </xf>
    <xf numFmtId="0" fontId="121" fillId="2" borderId="22" xfId="7" applyFont="1" applyFill="1" applyBorder="1" applyAlignment="1" applyProtection="1">
      <alignment vertical="center"/>
      <protection hidden="1"/>
    </xf>
    <xf numFmtId="0" fontId="119" fillId="0" borderId="7" xfId="7" applyFont="1" applyFill="1" applyBorder="1" applyAlignment="1" applyProtection="1">
      <alignment horizontal="left" vertical="center"/>
      <protection hidden="1"/>
    </xf>
    <xf numFmtId="14" fontId="119" fillId="0" borderId="130" xfId="7" applyNumberFormat="1" applyFont="1" applyFill="1" applyBorder="1" applyAlignment="1" applyProtection="1">
      <alignment horizontal="left" vertical="center"/>
      <protection hidden="1"/>
    </xf>
    <xf numFmtId="0" fontId="121" fillId="0" borderId="4" xfId="0" applyFont="1" applyBorder="1" applyAlignment="1" applyProtection="1">
      <alignment horizontal="center"/>
      <protection hidden="1"/>
    </xf>
    <xf numFmtId="0" fontId="122" fillId="0" borderId="3" xfId="0" applyFont="1" applyFill="1" applyBorder="1" applyProtection="1">
      <protection hidden="1"/>
    </xf>
    <xf numFmtId="0" fontId="122" fillId="0" borderId="2" xfId="0" applyFont="1" applyFill="1" applyBorder="1" applyProtection="1">
      <protection hidden="1"/>
    </xf>
    <xf numFmtId="0" fontId="119" fillId="0" borderId="2" xfId="0" applyFont="1" applyBorder="1" applyProtection="1">
      <protection hidden="1"/>
    </xf>
    <xf numFmtId="0" fontId="121" fillId="0" borderId="2" xfId="0" applyFont="1" applyBorder="1" applyProtection="1">
      <protection hidden="1"/>
    </xf>
    <xf numFmtId="0" fontId="122" fillId="0" borderId="5" xfId="0" applyFont="1" applyFill="1" applyBorder="1" applyProtection="1">
      <protection hidden="1"/>
    </xf>
    <xf numFmtId="204" fontId="24" fillId="0" borderId="0" xfId="0" applyNumberFormat="1" applyFont="1" applyProtection="1">
      <protection hidden="1"/>
    </xf>
    <xf numFmtId="0" fontId="24" fillId="0" borderId="11" xfId="0" applyFont="1" applyFill="1" applyBorder="1" applyAlignment="1" applyProtection="1">
      <alignment horizontal="right"/>
      <protection hidden="1"/>
    </xf>
    <xf numFmtId="0" fontId="24" fillId="0" borderId="22" xfId="0" applyFont="1" applyFill="1" applyBorder="1" applyAlignment="1" applyProtection="1">
      <alignment horizontal="right"/>
      <protection hidden="1"/>
    </xf>
    <xf numFmtId="38" fontId="70" fillId="2" borderId="6" xfId="0" applyNumberFormat="1" applyFont="1" applyFill="1" applyBorder="1" applyProtection="1">
      <protection hidden="1"/>
    </xf>
    <xf numFmtId="0" fontId="7" fillId="4" borderId="86" xfId="0" applyFont="1" applyFill="1" applyBorder="1" applyAlignment="1" applyProtection="1">
      <alignment horizontal="right"/>
      <protection hidden="1"/>
    </xf>
    <xf numFmtId="0" fontId="7" fillId="4" borderId="91" xfId="0" applyFont="1" applyFill="1" applyBorder="1" applyAlignment="1" applyProtection="1">
      <alignment horizontal="right"/>
      <protection hidden="1"/>
    </xf>
    <xf numFmtId="0" fontId="24" fillId="4" borderId="94" xfId="0" applyFont="1" applyFill="1" applyBorder="1" applyAlignment="1" applyProtection="1">
      <alignment horizontal="right"/>
      <protection hidden="1"/>
    </xf>
    <xf numFmtId="38" fontId="7" fillId="2" borderId="86" xfId="0" applyNumberFormat="1" applyFont="1" applyFill="1" applyBorder="1" applyAlignment="1" applyProtection="1">
      <alignment horizontal="right"/>
      <protection hidden="1"/>
    </xf>
    <xf numFmtId="0" fontId="24" fillId="2" borderId="91" xfId="0" applyFont="1" applyFill="1" applyBorder="1" applyAlignment="1" applyProtection="1">
      <alignment horizontal="right"/>
      <protection hidden="1"/>
    </xf>
    <xf numFmtId="0" fontId="24" fillId="2" borderId="86" xfId="0" applyFont="1" applyFill="1" applyBorder="1" applyAlignment="1" applyProtection="1">
      <alignment horizontal="right"/>
      <protection hidden="1"/>
    </xf>
    <xf numFmtId="0" fontId="24" fillId="2" borderId="123" xfId="0" applyFont="1" applyFill="1" applyBorder="1" applyAlignment="1" applyProtection="1">
      <alignment horizontal="right"/>
      <protection hidden="1"/>
    </xf>
    <xf numFmtId="9" fontId="62" fillId="6" borderId="91" xfId="0" applyNumberFormat="1" applyFont="1" applyFill="1" applyBorder="1" applyProtection="1">
      <protection locked="0"/>
    </xf>
    <xf numFmtId="0" fontId="5" fillId="0" borderId="49" xfId="10" applyFont="1" applyFill="1" applyBorder="1" applyAlignment="1" applyProtection="1">
      <alignment horizontal="left" vertical="center" indent="3"/>
      <protection hidden="1"/>
    </xf>
    <xf numFmtId="38" fontId="5" fillId="0" borderId="49" xfId="10" applyNumberFormat="1" applyFont="1" applyFill="1" applyBorder="1" applyAlignment="1" applyProtection="1">
      <alignment horizontal="left" vertical="center" indent="3"/>
      <protection hidden="1"/>
    </xf>
    <xf numFmtId="9" fontId="7" fillId="5" borderId="32" xfId="10" applyNumberFormat="1" applyFont="1" applyFill="1" applyBorder="1" applyAlignment="1" applyProtection="1">
      <alignment horizontal="right" vertical="center"/>
      <protection locked="0"/>
    </xf>
    <xf numFmtId="38" fontId="7" fillId="0" borderId="68" xfId="10" applyNumberFormat="1" applyFont="1" applyFill="1" applyBorder="1" applyAlignment="1" applyProtection="1">
      <alignment horizontal="right"/>
      <protection locked="0"/>
    </xf>
    <xf numFmtId="184" fontId="7" fillId="21" borderId="32" xfId="10" applyNumberFormat="1" applyFont="1" applyFill="1" applyBorder="1" applyAlignment="1" applyProtection="1">
      <alignment horizontal="right" vertical="center"/>
      <protection locked="0"/>
    </xf>
    <xf numFmtId="184" fontId="7" fillId="0" borderId="32" xfId="10" applyNumberFormat="1" applyFont="1" applyFill="1" applyBorder="1" applyAlignment="1" applyProtection="1">
      <alignment horizontal="right" vertical="center"/>
      <protection locked="0"/>
    </xf>
    <xf numFmtId="184" fontId="7" fillId="21" borderId="32" xfId="10" applyNumberFormat="1" applyFont="1" applyFill="1" applyBorder="1" applyAlignment="1" applyProtection="1">
      <alignment horizontal="right" vertical="center"/>
      <protection hidden="1"/>
    </xf>
    <xf numFmtId="38" fontId="7" fillId="21" borderId="32" xfId="0" applyNumberFormat="1" applyFont="1" applyFill="1" applyBorder="1" applyAlignment="1" applyProtection="1">
      <alignment horizontal="right" vertical="center"/>
      <protection hidden="1"/>
    </xf>
    <xf numFmtId="0" fontId="5" fillId="0" borderId="16" xfId="0" applyFont="1" applyFill="1" applyBorder="1" applyAlignment="1" applyProtection="1">
      <alignment vertical="center"/>
      <protection hidden="1"/>
    </xf>
    <xf numFmtId="38" fontId="7" fillId="21" borderId="68" xfId="10" applyNumberFormat="1" applyFont="1" applyFill="1" applyBorder="1" applyAlignment="1" applyProtection="1">
      <alignment horizontal="right"/>
      <protection hidden="1"/>
    </xf>
    <xf numFmtId="38" fontId="7" fillId="21" borderId="32" xfId="10" applyNumberFormat="1" applyFont="1" applyFill="1" applyBorder="1" applyAlignment="1" applyProtection="1">
      <alignment horizontal="right"/>
      <protection hidden="1"/>
    </xf>
    <xf numFmtId="38" fontId="7" fillId="0" borderId="40" xfId="0" applyNumberFormat="1" applyFont="1" applyFill="1" applyBorder="1" applyAlignment="1" applyProtection="1">
      <alignment horizontal="right" vertical="center"/>
      <protection hidden="1"/>
    </xf>
    <xf numFmtId="38" fontId="7" fillId="0" borderId="40" xfId="4" applyNumberFormat="1" applyFont="1" applyFill="1" applyBorder="1" applyAlignment="1" applyProtection="1">
      <alignment horizontal="right" vertical="center"/>
      <protection hidden="1"/>
    </xf>
    <xf numFmtId="180" fontId="79" fillId="26" borderId="32" xfId="8" applyNumberFormat="1" applyFont="1" applyFill="1" applyBorder="1" applyAlignment="1" applyProtection="1">
      <alignment horizontal="right" vertical="center"/>
      <protection locked="0"/>
    </xf>
    <xf numFmtId="180" fontId="79" fillId="26" borderId="36" xfId="8" applyNumberFormat="1" applyFont="1" applyFill="1" applyBorder="1" applyAlignment="1" applyProtection="1">
      <alignment horizontal="right" vertical="center"/>
      <protection locked="0"/>
    </xf>
    <xf numFmtId="180" fontId="79" fillId="26" borderId="32" xfId="10" applyNumberFormat="1" applyFont="1" applyFill="1" applyBorder="1" applyAlignment="1" applyProtection="1">
      <alignment horizontal="right" vertical="center"/>
      <protection locked="0"/>
    </xf>
    <xf numFmtId="180" fontId="79" fillId="26" borderId="36" xfId="10" applyNumberFormat="1" applyFont="1" applyFill="1" applyBorder="1" applyAlignment="1" applyProtection="1">
      <alignment horizontal="right" vertical="center"/>
      <protection locked="0"/>
    </xf>
    <xf numFmtId="184" fontId="7" fillId="26" borderId="32" xfId="10" applyNumberFormat="1" applyFont="1" applyFill="1" applyBorder="1" applyAlignment="1" applyProtection="1">
      <alignment horizontal="right" vertical="center"/>
      <protection locked="0"/>
    </xf>
    <xf numFmtId="184" fontId="7" fillId="26" borderId="36" xfId="10" applyNumberFormat="1" applyFont="1" applyFill="1" applyBorder="1" applyAlignment="1" applyProtection="1">
      <alignment horizontal="right" vertical="center"/>
      <protection locked="0"/>
    </xf>
    <xf numFmtId="180" fontId="79" fillId="26" borderId="32" xfId="0" applyNumberFormat="1" applyFont="1" applyFill="1" applyBorder="1" applyAlignment="1" applyProtection="1">
      <alignment horizontal="right" vertical="center"/>
      <protection locked="0"/>
    </xf>
    <xf numFmtId="180" fontId="79" fillId="26" borderId="36" xfId="0" applyNumberFormat="1" applyFont="1" applyFill="1" applyBorder="1" applyAlignment="1" applyProtection="1">
      <alignment horizontal="right" vertical="center"/>
      <protection locked="0"/>
    </xf>
    <xf numFmtId="191" fontId="79" fillId="26" borderId="32" xfId="10" applyNumberFormat="1" applyFont="1" applyFill="1" applyBorder="1" applyAlignment="1" applyProtection="1">
      <alignment horizontal="right" vertical="center"/>
      <protection locked="0"/>
    </xf>
    <xf numFmtId="191" fontId="79" fillId="26" borderId="36" xfId="10" applyNumberFormat="1" applyFont="1" applyFill="1" applyBorder="1" applyAlignment="1" applyProtection="1">
      <alignment horizontal="right" vertical="center"/>
      <protection locked="0"/>
    </xf>
    <xf numFmtId="180" fontId="7" fillId="26" borderId="32" xfId="8" applyNumberFormat="1" applyFont="1" applyFill="1" applyBorder="1" applyAlignment="1" applyProtection="1">
      <alignment horizontal="right" vertical="center"/>
      <protection locked="0"/>
    </xf>
    <xf numFmtId="180" fontId="7" fillId="26" borderId="36" xfId="8" applyNumberFormat="1" applyFont="1" applyFill="1" applyBorder="1" applyAlignment="1" applyProtection="1">
      <alignment horizontal="right" vertical="center"/>
      <protection locked="0"/>
    </xf>
    <xf numFmtId="180" fontId="79" fillId="0" borderId="86" xfId="0" applyNumberFormat="1" applyFont="1" applyFill="1" applyBorder="1" applyAlignment="1" applyProtection="1">
      <alignment horizontal="right" vertical="center"/>
      <protection hidden="1"/>
    </xf>
    <xf numFmtId="180" fontId="79" fillId="0" borderId="91" xfId="0" applyNumberFormat="1" applyFont="1" applyFill="1" applyBorder="1" applyAlignment="1" applyProtection="1">
      <alignment horizontal="right" vertical="center"/>
      <protection hidden="1"/>
    </xf>
    <xf numFmtId="184" fontId="7" fillId="4" borderId="68" xfId="8" applyNumberFormat="1" applyFont="1" applyFill="1" applyBorder="1" applyAlignment="1" applyProtection="1">
      <alignment horizontal="right"/>
      <protection hidden="1"/>
    </xf>
    <xf numFmtId="184" fontId="7" fillId="26" borderId="32" xfId="8" applyNumberFormat="1" applyFont="1" applyFill="1" applyBorder="1" applyAlignment="1" applyProtection="1">
      <alignment horizontal="right"/>
      <protection hidden="1"/>
    </xf>
    <xf numFmtId="184" fontId="7" fillId="26" borderId="32" xfId="10" applyNumberFormat="1" applyFont="1" applyFill="1" applyBorder="1" applyAlignment="1" applyProtection="1">
      <alignment horizontal="right"/>
      <protection hidden="1"/>
    </xf>
    <xf numFmtId="0" fontId="62" fillId="0" borderId="62" xfId="0" applyNumberFormat="1" applyFont="1" applyFill="1" applyBorder="1" applyAlignment="1" applyProtection="1">
      <alignment horizontal="right" vertical="center"/>
      <protection hidden="1"/>
    </xf>
    <xf numFmtId="0" fontId="62" fillId="0" borderId="37" xfId="0" applyNumberFormat="1" applyFont="1" applyFill="1" applyBorder="1" applyAlignment="1" applyProtection="1">
      <alignment horizontal="right" vertical="center"/>
      <protection hidden="1"/>
    </xf>
    <xf numFmtId="38" fontId="19" fillId="0" borderId="0" xfId="0" applyNumberFormat="1" applyFont="1" applyFill="1" applyBorder="1" applyAlignment="1" applyProtection="1">
      <alignment horizontal="left" vertical="center"/>
      <protection hidden="1"/>
    </xf>
    <xf numFmtId="0" fontId="5" fillId="2" borderId="0" xfId="0" applyFont="1" applyFill="1" applyBorder="1" applyAlignment="1" applyProtection="1">
      <alignment horizontal="left" vertical="center" indent="1"/>
      <protection hidden="1"/>
    </xf>
    <xf numFmtId="185" fontId="5" fillId="0" borderId="0" xfId="10" applyNumberFormat="1" applyFont="1" applyFill="1" applyBorder="1" applyAlignment="1" applyProtection="1">
      <alignment vertical="center"/>
      <protection hidden="1"/>
    </xf>
    <xf numFmtId="185" fontId="5" fillId="0" borderId="0" xfId="10" applyNumberFormat="1" applyFont="1" applyBorder="1" applyAlignment="1" applyProtection="1">
      <alignment horizontal="left" vertical="center" indent="2"/>
      <protection hidden="1"/>
    </xf>
    <xf numFmtId="185" fontId="5" fillId="0" borderId="0" xfId="10" applyNumberFormat="1" applyFont="1" applyBorder="1" applyAlignment="1" applyProtection="1">
      <alignment vertical="center"/>
      <protection hidden="1"/>
    </xf>
    <xf numFmtId="185" fontId="5" fillId="0" borderId="0" xfId="10" applyNumberFormat="1" applyFont="1" applyBorder="1" applyAlignment="1" applyProtection="1">
      <alignment horizontal="left" vertical="center"/>
      <protection hidden="1"/>
    </xf>
    <xf numFmtId="0" fontId="5" fillId="0" borderId="0" xfId="0" applyFont="1" applyBorder="1" applyAlignment="1" applyProtection="1">
      <alignment vertical="center"/>
      <protection hidden="1"/>
    </xf>
    <xf numFmtId="185" fontId="5" fillId="0" borderId="0" xfId="10" applyNumberFormat="1" applyFont="1" applyFill="1" applyBorder="1" applyAlignment="1" applyProtection="1">
      <alignment horizontal="left" vertical="center" indent="1"/>
      <protection hidden="1"/>
    </xf>
    <xf numFmtId="38" fontId="19" fillId="0" borderId="0" xfId="0" applyNumberFormat="1" applyFont="1" applyFill="1" applyBorder="1" applyAlignment="1" applyProtection="1">
      <alignment horizontal="left" vertical="center" indent="1"/>
      <protection hidden="1"/>
    </xf>
    <xf numFmtId="185" fontId="5" fillId="0" borderId="99" xfId="10" applyNumberFormat="1" applyFont="1" applyBorder="1" applyAlignment="1" applyProtection="1">
      <alignment vertical="center"/>
      <protection hidden="1"/>
    </xf>
    <xf numFmtId="0" fontId="5" fillId="0" borderId="0" xfId="0" applyFont="1" applyBorder="1" applyAlignment="1" applyProtection="1">
      <alignment horizontal="left" vertical="center"/>
      <protection hidden="1"/>
    </xf>
    <xf numFmtId="184" fontId="7" fillId="23" borderId="32" xfId="10" applyNumberFormat="1" applyFont="1" applyFill="1" applyBorder="1" applyAlignment="1" applyProtection="1">
      <alignment horizontal="right" vertical="center"/>
      <protection locked="0"/>
    </xf>
    <xf numFmtId="184" fontId="7" fillId="24" borderId="32" xfId="10" applyNumberFormat="1" applyFont="1" applyFill="1" applyBorder="1" applyAlignment="1" applyProtection="1">
      <alignment horizontal="right" vertical="center"/>
      <protection locked="0"/>
    </xf>
    <xf numFmtId="184" fontId="7" fillId="24" borderId="40" xfId="10" applyNumberFormat="1" applyFont="1" applyFill="1" applyBorder="1" applyAlignment="1" applyProtection="1">
      <alignment horizontal="right" vertical="center"/>
      <protection locked="0"/>
    </xf>
    <xf numFmtId="184" fontId="7" fillId="23" borderId="32" xfId="10" applyNumberFormat="1" applyFont="1" applyFill="1" applyBorder="1" applyAlignment="1" applyProtection="1">
      <alignment horizontal="right" vertical="center"/>
      <protection hidden="1"/>
    </xf>
    <xf numFmtId="184" fontId="7" fillId="24" borderId="32" xfId="10" applyNumberFormat="1" applyFont="1" applyFill="1" applyBorder="1" applyAlignment="1" applyProtection="1">
      <alignment horizontal="right" vertical="center"/>
      <protection hidden="1"/>
    </xf>
    <xf numFmtId="184" fontId="7" fillId="24" borderId="40" xfId="10" applyNumberFormat="1" applyFont="1" applyFill="1" applyBorder="1" applyAlignment="1" applyProtection="1">
      <alignment horizontal="right" vertical="center"/>
      <protection hidden="1"/>
    </xf>
    <xf numFmtId="38" fontId="7" fillId="24" borderId="32" xfId="10" applyNumberFormat="1" applyFont="1" applyFill="1" applyBorder="1" applyAlignment="1" applyProtection="1">
      <alignment horizontal="right" vertical="center"/>
      <protection locked="0"/>
    </xf>
    <xf numFmtId="184" fontId="7" fillId="0" borderId="47" xfId="0" applyNumberFormat="1" applyFont="1" applyFill="1" applyBorder="1" applyAlignment="1" applyProtection="1">
      <alignment vertical="center"/>
      <protection hidden="1"/>
    </xf>
    <xf numFmtId="0" fontId="62" fillId="0" borderId="60" xfId="0" applyFont="1" applyFill="1" applyBorder="1" applyAlignment="1" applyProtection="1">
      <alignment horizontal="right" vertical="center"/>
      <protection hidden="1"/>
    </xf>
    <xf numFmtId="10" fontId="7" fillId="0" borderId="40" xfId="0" applyNumberFormat="1" applyFont="1" applyFill="1" applyBorder="1" applyAlignment="1" applyProtection="1">
      <alignment vertical="center"/>
      <protection hidden="1"/>
    </xf>
    <xf numFmtId="181" fontId="7" fillId="0" borderId="40" xfId="0" applyNumberFormat="1" applyFont="1" applyFill="1" applyBorder="1" applyAlignment="1" applyProtection="1">
      <alignment vertical="center"/>
      <protection hidden="1"/>
    </xf>
    <xf numFmtId="181" fontId="7" fillId="0" borderId="40" xfId="10" applyNumberFormat="1" applyFont="1" applyFill="1" applyBorder="1" applyAlignment="1" applyProtection="1">
      <alignment horizontal="right" vertical="center"/>
      <protection hidden="1"/>
    </xf>
    <xf numFmtId="10" fontId="7" fillId="2" borderId="40" xfId="0" applyNumberFormat="1" applyFont="1" applyFill="1" applyBorder="1" applyAlignment="1" applyProtection="1">
      <alignment vertical="center"/>
      <protection hidden="1"/>
    </xf>
    <xf numFmtId="3" fontId="7" fillId="2" borderId="40" xfId="8" applyNumberFormat="1" applyFont="1" applyFill="1" applyBorder="1" applyAlignment="1" applyProtection="1">
      <alignment horizontal="right" vertical="center"/>
      <protection hidden="1"/>
    </xf>
    <xf numFmtId="177" fontId="7" fillId="2" borderId="40" xfId="8" applyNumberFormat="1" applyFont="1" applyFill="1" applyBorder="1" applyAlignment="1" applyProtection="1">
      <alignment horizontal="right" vertical="center"/>
      <protection hidden="1"/>
    </xf>
    <xf numFmtId="177" fontId="7" fillId="2" borderId="40" xfId="0" applyNumberFormat="1" applyFont="1" applyFill="1" applyBorder="1" applyAlignment="1" applyProtection="1">
      <alignment horizontal="right" vertical="center"/>
      <protection hidden="1"/>
    </xf>
    <xf numFmtId="3" fontId="7" fillId="0" borderId="113" xfId="8" applyNumberFormat="1" applyFont="1" applyFill="1" applyBorder="1" applyAlignment="1" applyProtection="1">
      <alignment horizontal="right" vertical="center"/>
      <protection hidden="1"/>
    </xf>
    <xf numFmtId="183" fontId="7" fillId="0" borderId="40" xfId="0" applyNumberFormat="1" applyFont="1" applyFill="1" applyBorder="1" applyAlignment="1" applyProtection="1">
      <alignment horizontal="right" vertical="center"/>
      <protection hidden="1"/>
    </xf>
    <xf numFmtId="10" fontId="7" fillId="2" borderId="40" xfId="8" applyNumberFormat="1" applyFont="1" applyFill="1" applyBorder="1" applyAlignment="1" applyProtection="1">
      <alignment horizontal="right" vertical="center"/>
      <protection hidden="1"/>
    </xf>
    <xf numFmtId="180" fontId="79" fillId="2" borderId="40" xfId="8" applyNumberFormat="1" applyFont="1" applyFill="1" applyBorder="1" applyAlignment="1" applyProtection="1">
      <alignment horizontal="right" vertical="center"/>
      <protection hidden="1"/>
    </xf>
    <xf numFmtId="180" fontId="79" fillId="0" borderId="40" xfId="8" applyNumberFormat="1" applyFont="1" applyFill="1" applyBorder="1" applyAlignment="1" applyProtection="1">
      <alignment horizontal="right" vertical="center"/>
      <protection hidden="1"/>
    </xf>
    <xf numFmtId="181" fontId="7" fillId="2" borderId="40" xfId="8" applyNumberFormat="1" applyFont="1" applyFill="1" applyBorder="1" applyAlignment="1" applyProtection="1">
      <alignment horizontal="right" vertical="center"/>
      <protection hidden="1"/>
    </xf>
    <xf numFmtId="181" fontId="7" fillId="2" borderId="40" xfId="0" applyNumberFormat="1" applyFont="1" applyFill="1" applyBorder="1" applyAlignment="1" applyProtection="1">
      <alignment horizontal="right" vertical="center"/>
      <protection hidden="1"/>
    </xf>
    <xf numFmtId="177" fontId="7" fillId="0" borderId="40" xfId="0" applyNumberFormat="1" applyFont="1" applyFill="1" applyBorder="1" applyAlignment="1" applyProtection="1">
      <alignment horizontal="right" vertical="center"/>
      <protection hidden="1"/>
    </xf>
    <xf numFmtId="177" fontId="7" fillId="0" borderId="101" xfId="0" applyNumberFormat="1" applyFont="1" applyFill="1" applyBorder="1" applyAlignment="1" applyProtection="1">
      <alignment horizontal="right" vertical="center"/>
      <protection hidden="1"/>
    </xf>
    <xf numFmtId="177" fontId="7" fillId="0" borderId="42" xfId="8" applyNumberFormat="1" applyFont="1" applyFill="1" applyBorder="1" applyAlignment="1" applyProtection="1">
      <alignment horizontal="right" vertical="center"/>
      <protection hidden="1"/>
    </xf>
    <xf numFmtId="0" fontId="24" fillId="0" borderId="4" xfId="0" applyFont="1" applyFill="1" applyBorder="1" applyAlignment="1" applyProtection="1">
      <alignment vertical="center"/>
      <protection hidden="1"/>
    </xf>
    <xf numFmtId="0" fontId="3" fillId="0" borderId="4" xfId="0" applyFont="1" applyFill="1" applyBorder="1" applyAlignment="1" applyProtection="1">
      <alignment vertical="center"/>
      <protection hidden="1"/>
    </xf>
    <xf numFmtId="0" fontId="17" fillId="0" borderId="4" xfId="0" applyFont="1" applyBorder="1" applyAlignment="1" applyProtection="1">
      <alignment vertical="center"/>
      <protection hidden="1"/>
    </xf>
    <xf numFmtId="0" fontId="17" fillId="0" borderId="4" xfId="0" applyFont="1" applyFill="1" applyBorder="1" applyAlignment="1" applyProtection="1">
      <alignment vertical="center"/>
      <protection hidden="1"/>
    </xf>
    <xf numFmtId="184" fontId="7" fillId="0" borderId="10" xfId="4" applyNumberFormat="1" applyFont="1" applyFill="1" applyBorder="1" applyAlignment="1" applyProtection="1">
      <alignment horizontal="right" vertical="center"/>
      <protection hidden="1"/>
    </xf>
    <xf numFmtId="0" fontId="69" fillId="0" borderId="11" xfId="0" applyFont="1" applyBorder="1" applyAlignment="1" applyProtection="1">
      <alignment vertical="center"/>
      <protection hidden="1"/>
    </xf>
    <xf numFmtId="10" fontId="7" fillId="0" borderId="47" xfId="0" applyNumberFormat="1" applyFont="1" applyFill="1" applyBorder="1" applyAlignment="1" applyProtection="1">
      <alignment vertical="center"/>
      <protection hidden="1"/>
    </xf>
    <xf numFmtId="0" fontId="69" fillId="0" borderId="2" xfId="0" applyFont="1" applyBorder="1" applyAlignment="1" applyProtection="1">
      <alignment vertical="center"/>
      <protection hidden="1"/>
    </xf>
    <xf numFmtId="0" fontId="7" fillId="0" borderId="199" xfId="0" applyFont="1" applyFill="1" applyBorder="1" applyAlignment="1" applyProtection="1">
      <alignment horizontal="right" vertical="center"/>
      <protection hidden="1"/>
    </xf>
    <xf numFmtId="38" fontId="7" fillId="0" borderId="40" xfId="0" applyNumberFormat="1" applyFont="1" applyFill="1" applyBorder="1" applyAlignment="1" applyProtection="1">
      <alignment vertical="center"/>
      <protection hidden="1"/>
    </xf>
    <xf numFmtId="38" fontId="7" fillId="0" borderId="113" xfId="0" applyNumberFormat="1" applyFont="1" applyFill="1" applyBorder="1" applyAlignment="1" applyProtection="1">
      <alignment horizontal="right" vertical="center"/>
      <protection hidden="1"/>
    </xf>
    <xf numFmtId="38" fontId="7" fillId="2" borderId="113" xfId="0" applyNumberFormat="1" applyFont="1" applyFill="1" applyBorder="1" applyAlignment="1" applyProtection="1">
      <alignment horizontal="right" vertical="center"/>
      <protection hidden="1"/>
    </xf>
    <xf numFmtId="38" fontId="7" fillId="0" borderId="42" xfId="0" applyNumberFormat="1" applyFont="1" applyFill="1" applyBorder="1" applyAlignment="1" applyProtection="1">
      <alignment horizontal="right" vertical="center"/>
      <protection hidden="1"/>
    </xf>
    <xf numFmtId="49" fontId="7" fillId="0" borderId="199" xfId="0" applyNumberFormat="1" applyFont="1" applyFill="1" applyBorder="1" applyAlignment="1" applyProtection="1">
      <alignment horizontal="right" vertical="center"/>
      <protection hidden="1"/>
    </xf>
    <xf numFmtId="38" fontId="7" fillId="0" borderId="40" xfId="0" applyNumberFormat="1" applyFont="1" applyBorder="1" applyAlignment="1" applyProtection="1">
      <alignment horizontal="right" vertical="center"/>
      <protection hidden="1"/>
    </xf>
    <xf numFmtId="38" fontId="75" fillId="0" borderId="42" xfId="0" applyNumberFormat="1" applyFont="1" applyFill="1" applyBorder="1" applyAlignment="1" applyProtection="1">
      <alignment horizontal="right" vertical="center"/>
      <protection hidden="1"/>
    </xf>
    <xf numFmtId="49" fontId="7" fillId="0" borderId="60" xfId="0" applyNumberFormat="1" applyFont="1" applyFill="1" applyBorder="1" applyAlignment="1" applyProtection="1">
      <alignment horizontal="right" vertical="center"/>
      <protection hidden="1"/>
    </xf>
    <xf numFmtId="38" fontId="7" fillId="2" borderId="40" xfId="4" applyNumberFormat="1" applyFont="1" applyFill="1" applyBorder="1" applyAlignment="1" applyProtection="1">
      <alignment horizontal="right" vertical="center"/>
      <protection hidden="1"/>
    </xf>
    <xf numFmtId="38" fontId="7" fillId="2" borderId="42" xfId="4" applyNumberFormat="1" applyFont="1" applyFill="1" applyBorder="1" applyAlignment="1" applyProtection="1">
      <alignment horizontal="right" vertical="center"/>
      <protection hidden="1"/>
    </xf>
    <xf numFmtId="0" fontId="24" fillId="0" borderId="4" xfId="0" applyFont="1" applyBorder="1" applyAlignment="1" applyProtection="1">
      <alignment horizontal="left" vertical="center"/>
      <protection hidden="1"/>
    </xf>
    <xf numFmtId="38" fontId="62" fillId="0" borderId="199" xfId="0" applyNumberFormat="1" applyFont="1" applyFill="1" applyBorder="1" applyAlignment="1" applyProtection="1">
      <alignment horizontal="right" vertical="center"/>
      <protection hidden="1"/>
    </xf>
    <xf numFmtId="40" fontId="7" fillId="0" borderId="40" xfId="0" applyNumberFormat="1" applyFont="1" applyFill="1" applyBorder="1" applyAlignment="1" applyProtection="1">
      <alignment vertical="center"/>
      <protection hidden="1"/>
    </xf>
    <xf numFmtId="40" fontId="7" fillId="0" borderId="42" xfId="0" applyNumberFormat="1" applyFont="1" applyFill="1" applyBorder="1" applyAlignment="1" applyProtection="1">
      <alignment vertical="center"/>
      <protection hidden="1"/>
    </xf>
    <xf numFmtId="0" fontId="62" fillId="0" borderId="60" xfId="0" applyNumberFormat="1" applyFont="1" applyFill="1" applyBorder="1" applyAlignment="1" applyProtection="1">
      <alignment horizontal="right" vertical="center"/>
      <protection hidden="1"/>
    </xf>
    <xf numFmtId="38" fontId="7" fillId="21" borderId="40" xfId="0" applyNumberFormat="1" applyFont="1" applyFill="1" applyBorder="1" applyAlignment="1" applyProtection="1">
      <alignment vertical="center"/>
      <protection hidden="1"/>
    </xf>
    <xf numFmtId="38" fontId="7" fillId="25" borderId="40" xfId="0" applyNumberFormat="1" applyFont="1" applyFill="1" applyBorder="1" applyAlignment="1" applyProtection="1">
      <alignment vertical="center"/>
      <protection hidden="1"/>
    </xf>
    <xf numFmtId="181" fontId="7" fillId="21" borderId="42" xfId="0" applyNumberFormat="1" applyFont="1" applyFill="1" applyBorder="1" applyAlignment="1" applyProtection="1">
      <alignment vertical="center"/>
      <protection hidden="1"/>
    </xf>
    <xf numFmtId="38" fontId="70" fillId="0" borderId="40" xfId="13" applyNumberFormat="1" applyFont="1" applyFill="1" applyBorder="1" applyAlignment="1" applyProtection="1">
      <alignment horizontal="right" vertical="center"/>
      <protection hidden="1"/>
    </xf>
    <xf numFmtId="38" fontId="7" fillId="0" borderId="40" xfId="13" applyNumberFormat="1" applyFont="1" applyFill="1" applyBorder="1" applyAlignment="1" applyProtection="1">
      <alignment horizontal="right" vertical="center"/>
      <protection hidden="1"/>
    </xf>
    <xf numFmtId="40" fontId="7" fillId="0" borderId="40" xfId="0" applyNumberFormat="1" applyFont="1" applyFill="1" applyBorder="1" applyAlignment="1" applyProtection="1">
      <alignment horizontal="right" vertical="center"/>
      <protection hidden="1"/>
    </xf>
    <xf numFmtId="183" fontId="70" fillId="0" borderId="42" xfId="0" applyNumberFormat="1" applyFont="1" applyFill="1" applyBorder="1" applyAlignment="1" applyProtection="1">
      <alignment horizontal="right" vertical="center"/>
      <protection hidden="1"/>
    </xf>
    <xf numFmtId="38" fontId="70" fillId="0" borderId="200" xfId="0" applyNumberFormat="1" applyFont="1" applyFill="1" applyBorder="1" applyAlignment="1" applyProtection="1">
      <alignment horizontal="right" vertical="center"/>
      <protection hidden="1"/>
    </xf>
    <xf numFmtId="0" fontId="29" fillId="0" borderId="4" xfId="0" applyFont="1" applyBorder="1" applyAlignment="1" applyProtection="1">
      <alignment vertical="center"/>
      <protection hidden="1"/>
    </xf>
    <xf numFmtId="38" fontId="24" fillId="0" borderId="4" xfId="0" applyNumberFormat="1" applyFont="1" applyFill="1" applyBorder="1" applyAlignment="1" applyProtection="1">
      <alignment vertical="center"/>
      <protection hidden="1"/>
    </xf>
    <xf numFmtId="0" fontId="7" fillId="0" borderId="60" xfId="0" applyFont="1" applyFill="1" applyBorder="1" applyAlignment="1" applyProtection="1">
      <alignment horizontal="right" vertical="center"/>
      <protection hidden="1"/>
    </xf>
    <xf numFmtId="38" fontId="7" fillId="26" borderId="40" xfId="10" applyNumberFormat="1" applyFont="1" applyFill="1" applyBorder="1" applyAlignment="1" applyProtection="1">
      <alignment horizontal="right" vertical="center"/>
      <protection locked="0"/>
    </xf>
    <xf numFmtId="180" fontId="7" fillId="2" borderId="40" xfId="10" applyNumberFormat="1" applyFont="1" applyFill="1" applyBorder="1" applyAlignment="1" applyProtection="1">
      <alignment horizontal="right" vertical="center"/>
      <protection hidden="1"/>
    </xf>
    <xf numFmtId="38" fontId="7" fillId="6" borderId="40" xfId="10" applyNumberFormat="1" applyFont="1" applyFill="1" applyBorder="1" applyAlignment="1" applyProtection="1">
      <alignment horizontal="right" vertical="center"/>
      <protection locked="0"/>
    </xf>
    <xf numFmtId="38" fontId="7" fillId="0" borderId="40" xfId="10" applyNumberFormat="1" applyFont="1" applyFill="1" applyBorder="1" applyAlignment="1" applyProtection="1">
      <alignment horizontal="right" vertical="center"/>
      <protection hidden="1"/>
    </xf>
    <xf numFmtId="38" fontId="7" fillId="2" borderId="40" xfId="10" applyNumberFormat="1" applyFont="1" applyFill="1" applyBorder="1" applyAlignment="1" applyProtection="1">
      <alignment horizontal="right" vertical="center"/>
      <protection hidden="1"/>
    </xf>
    <xf numFmtId="38" fontId="7" fillId="26" borderId="40" xfId="10" applyNumberFormat="1" applyFont="1" applyFill="1" applyBorder="1" applyAlignment="1" applyProtection="1">
      <alignment horizontal="right" vertical="center"/>
      <protection hidden="1"/>
    </xf>
    <xf numFmtId="180" fontId="7" fillId="26" borderId="40" xfId="8" applyNumberFormat="1" applyFont="1" applyFill="1" applyBorder="1" applyAlignment="1" applyProtection="1">
      <alignment horizontal="right" vertical="center"/>
      <protection hidden="1"/>
    </xf>
    <xf numFmtId="180" fontId="7" fillId="2" borderId="40" xfId="8" applyNumberFormat="1" applyFont="1" applyFill="1" applyBorder="1" applyAlignment="1" applyProtection="1">
      <alignment horizontal="right" vertical="center"/>
      <protection hidden="1"/>
    </xf>
    <xf numFmtId="180" fontId="7" fillId="26" borderId="40" xfId="10" applyNumberFormat="1" applyFont="1" applyFill="1" applyBorder="1" applyAlignment="1" applyProtection="1">
      <alignment horizontal="right" vertical="center"/>
      <protection locked="0"/>
    </xf>
    <xf numFmtId="0" fontId="7" fillId="0" borderId="40" xfId="10" applyFont="1" applyFill="1" applyBorder="1" applyAlignment="1" applyProtection="1">
      <alignment horizontal="right" vertical="center"/>
      <protection hidden="1"/>
    </xf>
    <xf numFmtId="184" fontId="7" fillId="26" borderId="40" xfId="10" applyNumberFormat="1" applyFont="1" applyFill="1" applyBorder="1" applyAlignment="1" applyProtection="1">
      <alignment horizontal="right" vertical="center"/>
      <protection hidden="1"/>
    </xf>
    <xf numFmtId="184" fontId="7" fillId="2" borderId="40" xfId="10" applyNumberFormat="1" applyFont="1" applyFill="1" applyBorder="1" applyAlignment="1" applyProtection="1">
      <alignment horizontal="right" vertical="center"/>
      <protection hidden="1"/>
    </xf>
    <xf numFmtId="179" fontId="7" fillId="0" borderId="40" xfId="10" applyNumberFormat="1" applyFont="1" applyFill="1" applyBorder="1" applyAlignment="1" applyProtection="1">
      <alignment horizontal="right" vertical="center"/>
      <protection hidden="1"/>
    </xf>
    <xf numFmtId="180" fontId="7" fillId="6" borderId="40" xfId="10" applyNumberFormat="1" applyFont="1" applyFill="1" applyBorder="1" applyAlignment="1" applyProtection="1">
      <alignment horizontal="right" vertical="center"/>
      <protection locked="0"/>
    </xf>
    <xf numFmtId="180" fontId="7" fillId="26" borderId="40" xfId="10" applyNumberFormat="1" applyFont="1" applyFill="1" applyBorder="1" applyAlignment="1" applyProtection="1">
      <alignment horizontal="right" vertical="center"/>
      <protection hidden="1"/>
    </xf>
    <xf numFmtId="184" fontId="7" fillId="0" borderId="40" xfId="10" applyNumberFormat="1" applyFont="1" applyFill="1" applyBorder="1" applyAlignment="1" applyProtection="1">
      <alignment horizontal="right" vertical="center"/>
      <protection locked="0"/>
    </xf>
    <xf numFmtId="184" fontId="7" fillId="2" borderId="40" xfId="10" applyNumberFormat="1" applyFont="1" applyFill="1" applyBorder="1" applyAlignment="1" applyProtection="1">
      <alignment horizontal="left" vertical="center" indent="1"/>
      <protection hidden="1"/>
    </xf>
    <xf numFmtId="38" fontId="7" fillId="24" borderId="40" xfId="10" applyNumberFormat="1" applyFont="1" applyFill="1" applyBorder="1" applyAlignment="1" applyProtection="1">
      <alignment horizontal="right" vertical="center"/>
      <protection locked="0"/>
    </xf>
    <xf numFmtId="9" fontId="7" fillId="0" borderId="40" xfId="8" applyFont="1" applyFill="1" applyBorder="1" applyAlignment="1" applyProtection="1">
      <alignment horizontal="right" vertical="center"/>
      <protection hidden="1"/>
    </xf>
    <xf numFmtId="180" fontId="7" fillId="0" borderId="40" xfId="8" applyNumberFormat="1" applyFont="1" applyFill="1" applyBorder="1" applyAlignment="1" applyProtection="1">
      <alignment horizontal="right" vertical="center"/>
      <protection hidden="1"/>
    </xf>
    <xf numFmtId="9" fontId="7" fillId="24" borderId="40" xfId="10" applyNumberFormat="1" applyFont="1" applyFill="1" applyBorder="1" applyAlignment="1" applyProtection="1">
      <alignment horizontal="right" vertical="center"/>
      <protection hidden="1"/>
    </xf>
    <xf numFmtId="180" fontId="7" fillId="26" borderId="40" xfId="0" applyNumberFormat="1" applyFont="1" applyFill="1" applyBorder="1" applyAlignment="1" applyProtection="1">
      <alignment horizontal="right" vertical="center"/>
      <protection hidden="1"/>
    </xf>
    <xf numFmtId="0" fontId="83" fillId="0" borderId="40" xfId="0" applyFont="1" applyFill="1" applyBorder="1" applyAlignment="1" applyProtection="1">
      <alignment horizontal="right" vertical="center"/>
      <protection hidden="1"/>
    </xf>
    <xf numFmtId="180" fontId="7" fillId="0" borderId="40" xfId="0" applyNumberFormat="1" applyFont="1" applyFill="1" applyBorder="1" applyAlignment="1" applyProtection="1">
      <alignment horizontal="right" vertical="center"/>
      <protection hidden="1"/>
    </xf>
    <xf numFmtId="38" fontId="7" fillId="26" borderId="40" xfId="0" applyNumberFormat="1" applyFont="1" applyFill="1" applyBorder="1" applyAlignment="1" applyProtection="1">
      <alignment horizontal="right" vertical="center"/>
      <protection hidden="1"/>
    </xf>
    <xf numFmtId="0" fontId="44" fillId="0" borderId="4" xfId="0" applyFont="1" applyBorder="1" applyAlignment="1" applyProtection="1">
      <alignment vertical="center"/>
      <protection hidden="1"/>
    </xf>
    <xf numFmtId="0" fontId="44" fillId="0" borderId="4" xfId="0" applyFont="1" applyFill="1" applyBorder="1" applyAlignment="1" applyProtection="1">
      <alignment vertical="center"/>
      <protection hidden="1"/>
    </xf>
    <xf numFmtId="38" fontId="29" fillId="0" borderId="4" xfId="0" applyNumberFormat="1" applyFont="1" applyBorder="1" applyAlignment="1" applyProtection="1">
      <alignment vertical="center"/>
      <protection hidden="1"/>
    </xf>
    <xf numFmtId="0" fontId="29" fillId="0" borderId="4" xfId="0" applyFont="1" applyBorder="1" applyAlignment="1" applyProtection="1">
      <alignment horizontal="left" vertical="center" indent="1"/>
      <protection hidden="1"/>
    </xf>
    <xf numFmtId="0" fontId="24" fillId="0" borderId="11" xfId="10" applyFont="1" applyBorder="1" applyProtection="1">
      <protection locked="0"/>
    </xf>
    <xf numFmtId="0" fontId="62" fillId="0" borderId="60" xfId="0" applyFont="1" applyFill="1" applyBorder="1" applyAlignment="1" applyProtection="1">
      <alignment horizontal="right"/>
      <protection hidden="1"/>
    </xf>
    <xf numFmtId="38" fontId="7" fillId="0" borderId="40" xfId="10" applyNumberFormat="1" applyFont="1" applyFill="1" applyBorder="1" applyAlignment="1" applyProtection="1">
      <alignment horizontal="right"/>
      <protection hidden="1"/>
    </xf>
    <xf numFmtId="38" fontId="62" fillId="0" borderId="40" xfId="10" applyNumberFormat="1" applyFont="1" applyFill="1" applyBorder="1" applyAlignment="1" applyProtection="1">
      <alignment horizontal="right"/>
      <protection hidden="1"/>
    </xf>
    <xf numFmtId="38" fontId="7" fillId="26" borderId="40" xfId="10" applyNumberFormat="1" applyFont="1" applyFill="1" applyBorder="1" applyAlignment="1" applyProtection="1">
      <alignment horizontal="right"/>
      <protection hidden="1"/>
    </xf>
    <xf numFmtId="38" fontId="70" fillId="0" borderId="40" xfId="13" applyNumberFormat="1" applyFont="1" applyFill="1" applyBorder="1" applyAlignment="1" applyProtection="1">
      <alignment horizontal="right"/>
      <protection hidden="1"/>
    </xf>
    <xf numFmtId="185" fontId="7" fillId="0" borderId="40" xfId="10" applyNumberFormat="1" applyFont="1" applyFill="1" applyBorder="1" applyAlignment="1" applyProtection="1">
      <alignment horizontal="right"/>
      <protection hidden="1"/>
    </xf>
    <xf numFmtId="185" fontId="75" fillId="0" borderId="120" xfId="10" applyNumberFormat="1" applyFont="1" applyFill="1" applyBorder="1" applyAlignment="1" applyProtection="1">
      <alignment horizontal="right"/>
      <protection hidden="1"/>
    </xf>
    <xf numFmtId="0" fontId="0" fillId="0" borderId="4" xfId="0" applyBorder="1" applyProtection="1">
      <protection hidden="1"/>
    </xf>
    <xf numFmtId="0" fontId="7" fillId="0" borderId="60" xfId="0" applyFont="1" applyFill="1" applyBorder="1" applyAlignment="1" applyProtection="1">
      <alignment horizontal="right"/>
      <protection hidden="1"/>
    </xf>
    <xf numFmtId="38" fontId="7" fillId="0" borderId="40" xfId="10" applyNumberFormat="1" applyFont="1" applyFill="1" applyBorder="1" applyAlignment="1" applyProtection="1">
      <alignment horizontal="right"/>
      <protection locked="0"/>
    </xf>
    <xf numFmtId="38" fontId="7" fillId="26" borderId="40" xfId="10" applyNumberFormat="1" applyFont="1" applyFill="1" applyBorder="1" applyAlignment="1" applyProtection="1">
      <alignment horizontal="right"/>
      <protection locked="0"/>
    </xf>
    <xf numFmtId="38" fontId="7" fillId="2" borderId="40" xfId="10" applyNumberFormat="1" applyFont="1" applyFill="1" applyBorder="1" applyAlignment="1" applyProtection="1">
      <alignment horizontal="right"/>
      <protection hidden="1"/>
    </xf>
    <xf numFmtId="191" fontId="7" fillId="26" borderId="40" xfId="10" applyNumberFormat="1" applyFont="1" applyFill="1" applyBorder="1" applyAlignment="1" applyProtection="1">
      <alignment horizontal="right"/>
      <protection hidden="1"/>
    </xf>
    <xf numFmtId="180" fontId="7" fillId="26" borderId="40" xfId="10" applyNumberFormat="1" applyFont="1" applyFill="1" applyBorder="1" applyAlignment="1" applyProtection="1">
      <alignment horizontal="right"/>
      <protection hidden="1"/>
    </xf>
    <xf numFmtId="184" fontId="7" fillId="26" borderId="40" xfId="10" applyNumberFormat="1" applyFont="1" applyFill="1" applyBorder="1" applyAlignment="1" applyProtection="1">
      <alignment horizontal="right"/>
      <protection hidden="1"/>
    </xf>
    <xf numFmtId="38" fontId="7" fillId="0" borderId="40" xfId="8" applyNumberFormat="1" applyFont="1" applyFill="1" applyBorder="1" applyAlignment="1" applyProtection="1">
      <alignment horizontal="right"/>
      <protection hidden="1"/>
    </xf>
    <xf numFmtId="38" fontId="75" fillId="0" borderId="40" xfId="10" applyNumberFormat="1" applyFont="1" applyBorder="1" applyAlignment="1" applyProtection="1">
      <alignment horizontal="right"/>
      <protection hidden="1"/>
    </xf>
    <xf numFmtId="38" fontId="7" fillId="0" borderId="40" xfId="10" applyNumberFormat="1" applyFont="1" applyBorder="1" applyAlignment="1" applyProtection="1">
      <alignment horizontal="right"/>
      <protection hidden="1"/>
    </xf>
    <xf numFmtId="191" fontId="7" fillId="2" borderId="40" xfId="10" applyNumberFormat="1" applyFont="1" applyFill="1" applyBorder="1" applyAlignment="1" applyProtection="1">
      <alignment horizontal="right"/>
      <protection hidden="1"/>
    </xf>
    <xf numFmtId="180" fontId="7" fillId="0" borderId="40" xfId="8" applyNumberFormat="1" applyFont="1" applyFill="1" applyBorder="1" applyAlignment="1" applyProtection="1">
      <alignment horizontal="right"/>
      <protection hidden="1"/>
    </xf>
    <xf numFmtId="180" fontId="7" fillId="26" borderId="40" xfId="8" applyNumberFormat="1" applyFont="1" applyFill="1" applyBorder="1" applyAlignment="1" applyProtection="1">
      <alignment horizontal="right"/>
      <protection hidden="1"/>
    </xf>
    <xf numFmtId="38" fontId="7" fillId="0" borderId="42" xfId="10" applyNumberFormat="1" applyFont="1" applyFill="1" applyBorder="1" applyAlignment="1" applyProtection="1">
      <alignment horizontal="right"/>
      <protection hidden="1"/>
    </xf>
    <xf numFmtId="49" fontId="7" fillId="0" borderId="60" xfId="0" applyNumberFormat="1" applyFont="1" applyFill="1" applyBorder="1" applyAlignment="1" applyProtection="1">
      <alignment horizontal="right"/>
      <protection hidden="1"/>
    </xf>
    <xf numFmtId="0" fontId="0" fillId="0" borderId="4" xfId="0" applyFill="1" applyBorder="1" applyProtection="1">
      <protection hidden="1"/>
    </xf>
    <xf numFmtId="49" fontId="7" fillId="0" borderId="199" xfId="0" applyNumberFormat="1" applyFont="1" applyBorder="1" applyAlignment="1" applyProtection="1">
      <alignment horizontal="right"/>
      <protection hidden="1"/>
    </xf>
    <xf numFmtId="38" fontId="7" fillId="2" borderId="40" xfId="0" applyNumberFormat="1" applyFont="1" applyFill="1" applyBorder="1" applyAlignment="1" applyProtection="1">
      <alignment horizontal="right"/>
      <protection hidden="1"/>
    </xf>
    <xf numFmtId="38" fontId="7" fillId="0" borderId="40" xfId="0" applyNumberFormat="1" applyFont="1" applyFill="1" applyBorder="1" applyAlignment="1" applyProtection="1">
      <alignment horizontal="right"/>
      <protection hidden="1"/>
    </xf>
    <xf numFmtId="38" fontId="7" fillId="0" borderId="40" xfId="0" applyNumberFormat="1" applyFont="1" applyFill="1" applyBorder="1" applyAlignment="1" applyProtection="1">
      <protection hidden="1"/>
    </xf>
    <xf numFmtId="38" fontId="7" fillId="0" borderId="40" xfId="0" applyNumberFormat="1" applyFont="1" applyBorder="1" applyAlignment="1" applyProtection="1">
      <alignment horizontal="right"/>
      <protection hidden="1"/>
    </xf>
    <xf numFmtId="38" fontId="7" fillId="2" borderId="42" xfId="0" applyNumberFormat="1" applyFont="1" applyFill="1" applyBorder="1" applyAlignment="1" applyProtection="1">
      <alignment horizontal="right"/>
      <protection hidden="1"/>
    </xf>
    <xf numFmtId="0" fontId="123" fillId="0" borderId="0" xfId="9" applyFont="1" applyFill="1" applyBorder="1" applyAlignment="1" applyProtection="1">
      <alignment vertical="center"/>
      <protection locked="0"/>
    </xf>
    <xf numFmtId="0" fontId="123" fillId="0" borderId="0" xfId="9" applyFont="1" applyFill="1" applyBorder="1" applyAlignment="1" applyProtection="1">
      <alignment horizontal="right" vertical="center"/>
      <protection locked="0"/>
    </xf>
    <xf numFmtId="0" fontId="123" fillId="0" borderId="0" xfId="9" applyFont="1" applyFill="1" applyBorder="1" applyAlignment="1">
      <alignment vertical="center"/>
    </xf>
    <xf numFmtId="0" fontId="124" fillId="0" borderId="0" xfId="9" applyFont="1" applyBorder="1" applyAlignment="1" applyProtection="1">
      <alignment vertical="center"/>
      <protection hidden="1"/>
    </xf>
    <xf numFmtId="0" fontId="124" fillId="0" borderId="0" xfId="9" applyFont="1" applyFill="1" applyBorder="1" applyAlignment="1" applyProtection="1">
      <alignment vertical="center"/>
      <protection hidden="1"/>
    </xf>
    <xf numFmtId="0" fontId="125" fillId="0" borderId="0" xfId="9" applyFont="1" applyFill="1" applyBorder="1" applyAlignment="1" applyProtection="1">
      <alignment vertical="center"/>
      <protection hidden="1"/>
    </xf>
    <xf numFmtId="0" fontId="126" fillId="0" borderId="0" xfId="9" applyFont="1" applyFill="1" applyBorder="1" applyAlignment="1" applyProtection="1">
      <alignment vertical="center"/>
      <protection hidden="1"/>
    </xf>
    <xf numFmtId="0" fontId="127" fillId="0" borderId="0" xfId="9" applyFont="1" applyBorder="1" applyAlignment="1" applyProtection="1">
      <alignment horizontal="right" vertical="center"/>
      <protection hidden="1"/>
    </xf>
    <xf numFmtId="0" fontId="128" fillId="0" borderId="0" xfId="9" applyFont="1" applyBorder="1" applyAlignment="1" applyProtection="1">
      <alignment horizontal="right" vertical="center"/>
      <protection hidden="1"/>
    </xf>
    <xf numFmtId="0" fontId="124" fillId="0" borderId="0" xfId="9" applyFont="1" applyBorder="1" applyAlignment="1">
      <alignment vertical="center"/>
    </xf>
    <xf numFmtId="0" fontId="127" fillId="0" borderId="0" xfId="9" applyFont="1" applyFill="1" applyBorder="1" applyAlignment="1" applyProtection="1">
      <alignment vertical="center"/>
      <protection hidden="1"/>
    </xf>
    <xf numFmtId="0" fontId="124" fillId="0" borderId="0" xfId="9" applyFont="1" applyBorder="1" applyAlignment="1" applyProtection="1">
      <alignment horizontal="right" vertical="center"/>
      <protection hidden="1"/>
    </xf>
    <xf numFmtId="0" fontId="130" fillId="9" borderId="98" xfId="9" applyFont="1" applyFill="1" applyBorder="1" applyAlignment="1" applyProtection="1">
      <alignment vertical="center"/>
      <protection hidden="1"/>
    </xf>
    <xf numFmtId="179" fontId="131" fillId="9" borderId="98" xfId="9" applyNumberFormat="1" applyFont="1" applyFill="1" applyBorder="1" applyAlignment="1" applyProtection="1">
      <alignment horizontal="right" vertical="center"/>
      <protection hidden="1"/>
    </xf>
    <xf numFmtId="38" fontId="132" fillId="0" borderId="0" xfId="9" applyNumberFormat="1" applyFont="1" applyFill="1" applyBorder="1" applyAlignment="1" applyProtection="1">
      <alignment horizontal="left" vertical="center"/>
      <protection hidden="1"/>
    </xf>
    <xf numFmtId="38" fontId="132" fillId="0" borderId="0" xfId="9" applyNumberFormat="1" applyFont="1" applyFill="1" applyBorder="1" applyAlignment="1" applyProtection="1">
      <alignment horizontal="right" vertical="center"/>
      <protection hidden="1"/>
    </xf>
    <xf numFmtId="0" fontId="133" fillId="0" borderId="0" xfId="9" applyFont="1" applyFill="1" applyBorder="1" applyAlignment="1" applyProtection="1">
      <alignment vertical="center"/>
      <protection hidden="1"/>
    </xf>
    <xf numFmtId="0" fontId="134" fillId="0" borderId="0" xfId="9" applyFont="1"/>
    <xf numFmtId="0" fontId="132" fillId="2" borderId="0" xfId="9" applyFont="1" applyFill="1" applyBorder="1" applyAlignment="1" applyProtection="1">
      <alignment horizontal="left" vertical="center" indent="1"/>
      <protection hidden="1"/>
    </xf>
    <xf numFmtId="38" fontId="135" fillId="0" borderId="0" xfId="9" applyNumberFormat="1" applyFont="1" applyFill="1" applyBorder="1" applyAlignment="1" applyProtection="1">
      <alignment horizontal="left" vertical="center"/>
      <protection hidden="1"/>
    </xf>
    <xf numFmtId="177" fontId="128" fillId="0" borderId="0" xfId="9" applyNumberFormat="1" applyFont="1" applyBorder="1" applyAlignment="1" applyProtection="1">
      <alignment horizontal="right" vertical="center"/>
      <protection hidden="1"/>
    </xf>
    <xf numFmtId="179" fontId="128" fillId="0" borderId="0" xfId="9" applyNumberFormat="1" applyFont="1" applyBorder="1" applyAlignment="1" applyProtection="1">
      <alignment horizontal="right" vertical="center"/>
      <protection hidden="1"/>
    </xf>
    <xf numFmtId="0" fontId="127" fillId="0" borderId="0" xfId="9" applyFont="1" applyBorder="1" applyAlignment="1" applyProtection="1">
      <alignment vertical="center"/>
      <protection hidden="1"/>
    </xf>
    <xf numFmtId="179" fontId="127" fillId="0" borderId="0" xfId="9" applyNumberFormat="1" applyFont="1" applyBorder="1" applyAlignment="1" applyProtection="1">
      <alignment vertical="center"/>
      <protection hidden="1"/>
    </xf>
    <xf numFmtId="0" fontId="128" fillId="0" borderId="0" xfId="9" applyFont="1" applyFill="1" applyBorder="1" applyAlignment="1" applyProtection="1">
      <alignment horizontal="right" vertical="center"/>
      <protection hidden="1"/>
    </xf>
    <xf numFmtId="179" fontId="132" fillId="0" borderId="0" xfId="9" applyNumberFormat="1" applyFont="1" applyFill="1" applyBorder="1" applyAlignment="1" applyProtection="1">
      <alignment horizontal="right" vertical="center"/>
      <protection hidden="1"/>
    </xf>
    <xf numFmtId="179" fontId="124" fillId="0" borderId="0" xfId="9" applyNumberFormat="1" applyFont="1" applyBorder="1" applyAlignment="1" applyProtection="1">
      <alignment horizontal="right" vertical="center"/>
      <protection hidden="1"/>
    </xf>
    <xf numFmtId="185" fontId="132" fillId="0" borderId="0" xfId="10" applyNumberFormat="1" applyFont="1" applyFill="1" applyBorder="1" applyAlignment="1" applyProtection="1">
      <alignment vertical="center"/>
      <protection hidden="1"/>
    </xf>
    <xf numFmtId="185" fontId="132" fillId="0" borderId="0" xfId="10" applyNumberFormat="1" applyFont="1" applyBorder="1" applyAlignment="1" applyProtection="1">
      <alignment horizontal="left" vertical="center" indent="1"/>
      <protection hidden="1"/>
    </xf>
    <xf numFmtId="185" fontId="132" fillId="0" borderId="0" xfId="10" applyNumberFormat="1" applyFont="1" applyBorder="1" applyAlignment="1" applyProtection="1">
      <alignment horizontal="left" vertical="center" indent="2"/>
      <protection hidden="1"/>
    </xf>
    <xf numFmtId="184" fontId="128" fillId="0" borderId="0" xfId="9" applyNumberFormat="1" applyFont="1" applyBorder="1" applyAlignment="1" applyProtection="1">
      <alignment horizontal="right" vertical="center"/>
      <protection hidden="1"/>
    </xf>
    <xf numFmtId="185" fontId="132" fillId="0" borderId="0" xfId="10" applyNumberFormat="1" applyFont="1" applyBorder="1" applyAlignment="1" applyProtection="1">
      <alignment vertical="center"/>
      <protection hidden="1"/>
    </xf>
    <xf numFmtId="185" fontId="128" fillId="0" borderId="0" xfId="9" applyNumberFormat="1" applyFont="1" applyBorder="1" applyAlignment="1" applyProtection="1">
      <alignment horizontal="right" vertical="center"/>
      <protection hidden="1"/>
    </xf>
    <xf numFmtId="185" fontId="132" fillId="0" borderId="0" xfId="10" applyNumberFormat="1" applyFont="1" applyFill="1" applyBorder="1" applyAlignment="1" applyProtection="1">
      <alignment horizontal="left" vertical="center" indent="1"/>
      <protection hidden="1"/>
    </xf>
    <xf numFmtId="0" fontId="124" fillId="10" borderId="0" xfId="9" applyFont="1" applyFill="1" applyBorder="1" applyAlignment="1" applyProtection="1">
      <alignment vertical="center"/>
      <protection hidden="1"/>
    </xf>
    <xf numFmtId="0" fontId="132" fillId="10" borderId="0" xfId="9" applyFont="1" applyFill="1" applyBorder="1" applyAlignment="1" applyProtection="1">
      <alignment vertical="center"/>
      <protection hidden="1"/>
    </xf>
    <xf numFmtId="38" fontId="132" fillId="10" borderId="0" xfId="9" applyNumberFormat="1" applyFont="1" applyFill="1" applyBorder="1" applyAlignment="1" applyProtection="1">
      <alignment vertical="center"/>
      <protection hidden="1"/>
    </xf>
    <xf numFmtId="0" fontId="124" fillId="10" borderId="0" xfId="9" applyFont="1" applyFill="1" applyBorder="1" applyAlignment="1">
      <alignment vertical="center"/>
    </xf>
    <xf numFmtId="0" fontId="124" fillId="10" borderId="0" xfId="9" applyFont="1" applyFill="1" applyBorder="1" applyAlignment="1" applyProtection="1">
      <alignment horizontal="right" vertical="center"/>
      <protection hidden="1"/>
    </xf>
    <xf numFmtId="0" fontId="128" fillId="10" borderId="0" xfId="9" applyFont="1" applyFill="1" applyBorder="1" applyAlignment="1" applyProtection="1">
      <alignment horizontal="right" vertical="center"/>
      <protection hidden="1"/>
    </xf>
    <xf numFmtId="0" fontId="132" fillId="10" borderId="99" xfId="9" applyFont="1" applyFill="1" applyBorder="1" applyAlignment="1" applyProtection="1">
      <alignment vertical="center"/>
      <protection hidden="1"/>
    </xf>
    <xf numFmtId="38" fontId="132" fillId="10" borderId="99" xfId="9" applyNumberFormat="1" applyFont="1" applyFill="1" applyBorder="1" applyAlignment="1" applyProtection="1">
      <alignment vertical="center"/>
      <protection hidden="1"/>
    </xf>
    <xf numFmtId="0" fontId="132" fillId="0" borderId="0" xfId="9" applyFont="1" applyBorder="1" applyAlignment="1" applyProtection="1">
      <alignment vertical="center"/>
      <protection hidden="1"/>
    </xf>
    <xf numFmtId="0" fontId="138" fillId="6" borderId="100" xfId="9" applyFont="1" applyFill="1" applyBorder="1" applyAlignment="1" applyProtection="1">
      <alignment vertical="center"/>
      <protection locked="0"/>
    </xf>
    <xf numFmtId="0" fontId="132" fillId="6" borderId="100" xfId="9" applyFont="1" applyFill="1" applyBorder="1" applyAlignment="1" applyProtection="1">
      <alignment vertical="center"/>
      <protection locked="0"/>
    </xf>
    <xf numFmtId="0" fontId="124" fillId="6" borderId="100" xfId="9" applyFont="1" applyFill="1" applyBorder="1" applyAlignment="1" applyProtection="1">
      <alignment vertical="center"/>
      <protection locked="0"/>
    </xf>
    <xf numFmtId="0" fontId="132" fillId="2" borderId="0" xfId="9" applyFont="1" applyFill="1" applyBorder="1" applyAlignment="1" applyProtection="1">
      <alignment vertical="center"/>
      <protection hidden="1"/>
    </xf>
    <xf numFmtId="0" fontId="124" fillId="2" borderId="0" xfId="9" applyFont="1" applyFill="1" applyBorder="1" applyAlignment="1" applyProtection="1">
      <alignment vertical="center"/>
      <protection hidden="1"/>
    </xf>
    <xf numFmtId="183" fontId="124" fillId="0" borderId="0" xfId="9" applyNumberFormat="1" applyFont="1" applyFill="1" applyBorder="1" applyAlignment="1" applyProtection="1">
      <alignment horizontal="right" vertical="center"/>
      <protection hidden="1"/>
    </xf>
    <xf numFmtId="38" fontId="132" fillId="0" borderId="0" xfId="9" applyNumberFormat="1" applyFont="1" applyBorder="1" applyAlignment="1" applyProtection="1">
      <alignment horizontal="right" vertical="center"/>
      <protection hidden="1"/>
    </xf>
    <xf numFmtId="181" fontId="124" fillId="0" borderId="0" xfId="9" applyNumberFormat="1" applyFont="1" applyFill="1" applyBorder="1" applyAlignment="1" applyProtection="1">
      <alignment horizontal="right" vertical="center"/>
      <protection hidden="1"/>
    </xf>
    <xf numFmtId="185" fontId="132" fillId="0" borderId="0" xfId="10" applyNumberFormat="1" applyFont="1" applyBorder="1" applyAlignment="1" applyProtection="1">
      <alignment horizontal="left" vertical="center"/>
      <protection hidden="1"/>
    </xf>
    <xf numFmtId="183" fontId="128" fillId="0" borderId="0" xfId="9" applyNumberFormat="1" applyFont="1" applyBorder="1" applyAlignment="1" applyProtection="1">
      <alignment horizontal="right" vertical="center"/>
      <protection hidden="1"/>
    </xf>
    <xf numFmtId="0" fontId="139" fillId="0" borderId="0" xfId="9" applyFont="1" applyFill="1" applyBorder="1" applyAlignment="1" applyProtection="1">
      <alignment vertical="center"/>
      <protection hidden="1"/>
    </xf>
    <xf numFmtId="0" fontId="124" fillId="0" borderId="0" xfId="9" applyFont="1" applyFill="1" applyBorder="1" applyAlignment="1" applyProtection="1">
      <alignment horizontal="right" vertical="center"/>
      <protection hidden="1"/>
    </xf>
    <xf numFmtId="49" fontId="128" fillId="0" borderId="0" xfId="9" applyNumberFormat="1" applyFont="1" applyBorder="1" applyAlignment="1" applyProtection="1">
      <alignment horizontal="right" vertical="center"/>
      <protection hidden="1"/>
    </xf>
    <xf numFmtId="183" fontId="128" fillId="0" borderId="0" xfId="9" applyNumberFormat="1" applyFont="1" applyFill="1" applyBorder="1" applyAlignment="1" applyProtection="1">
      <alignment horizontal="right" vertical="center"/>
      <protection hidden="1"/>
    </xf>
    <xf numFmtId="38" fontId="135" fillId="0" borderId="0" xfId="9" applyNumberFormat="1" applyFont="1" applyFill="1" applyBorder="1" applyAlignment="1" applyProtection="1">
      <alignment horizontal="left" vertical="center" indent="1"/>
      <protection hidden="1"/>
    </xf>
    <xf numFmtId="185" fontId="132" fillId="0" borderId="99" xfId="10" applyNumberFormat="1" applyFont="1" applyBorder="1" applyAlignment="1" applyProtection="1">
      <alignment vertical="center"/>
      <protection hidden="1"/>
    </xf>
    <xf numFmtId="185" fontId="135" fillId="0" borderId="0" xfId="10" applyNumberFormat="1" applyFont="1" applyBorder="1" applyAlignment="1" applyProtection="1">
      <alignment vertical="center"/>
      <protection hidden="1"/>
    </xf>
    <xf numFmtId="185" fontId="140" fillId="0" borderId="0" xfId="10" applyNumberFormat="1" applyFont="1" applyBorder="1" applyAlignment="1" applyProtection="1">
      <alignment vertical="center"/>
      <protection hidden="1"/>
    </xf>
    <xf numFmtId="184" fontId="132" fillId="0" borderId="0" xfId="9" applyNumberFormat="1" applyFont="1" applyFill="1" applyBorder="1" applyAlignment="1" applyProtection="1">
      <alignment horizontal="right" vertical="center"/>
      <protection hidden="1"/>
    </xf>
    <xf numFmtId="0" fontId="131" fillId="9" borderId="98" xfId="9" applyFont="1" applyFill="1" applyBorder="1" applyAlignment="1" applyProtection="1">
      <alignment vertical="center"/>
      <protection hidden="1"/>
    </xf>
    <xf numFmtId="0" fontId="140" fillId="0" borderId="0" xfId="9" applyFont="1" applyFill="1" applyBorder="1" applyAlignment="1" applyProtection="1">
      <alignment vertical="center"/>
      <protection hidden="1"/>
    </xf>
    <xf numFmtId="0" fontId="132" fillId="0" borderId="0" xfId="9" applyFont="1" applyFill="1" applyBorder="1" applyAlignment="1" applyProtection="1">
      <alignment horizontal="right" vertical="center"/>
      <protection hidden="1"/>
    </xf>
    <xf numFmtId="0" fontId="132" fillId="0" borderId="0" xfId="9" applyFont="1" applyFill="1" applyBorder="1" applyAlignment="1" applyProtection="1">
      <alignment horizontal="left" vertical="center"/>
      <protection hidden="1"/>
    </xf>
    <xf numFmtId="183" fontId="132" fillId="0" borderId="0" xfId="9" applyNumberFormat="1" applyFont="1" applyFill="1" applyBorder="1" applyAlignment="1" applyProtection="1">
      <alignment horizontal="right" vertical="center"/>
      <protection hidden="1"/>
    </xf>
    <xf numFmtId="182" fontId="128" fillId="0" borderId="0" xfId="9" applyNumberFormat="1" applyFont="1" applyBorder="1" applyAlignment="1" applyProtection="1">
      <alignment horizontal="right" vertical="center"/>
      <protection hidden="1"/>
    </xf>
    <xf numFmtId="0" fontId="132" fillId="0" borderId="0" xfId="9" applyFont="1" applyBorder="1" applyAlignment="1" applyProtection="1">
      <alignment horizontal="left" vertical="center"/>
      <protection hidden="1"/>
    </xf>
    <xf numFmtId="0" fontId="132" fillId="0" borderId="0" xfId="9" applyFont="1" applyFill="1" applyBorder="1" applyAlignment="1" applyProtection="1">
      <alignment vertical="center"/>
      <protection hidden="1"/>
    </xf>
    <xf numFmtId="179" fontId="124" fillId="0" borderId="0" xfId="9" applyNumberFormat="1" applyFont="1" applyFill="1" applyBorder="1" applyAlignment="1" applyProtection="1">
      <alignment horizontal="right" vertical="center"/>
      <protection hidden="1"/>
    </xf>
    <xf numFmtId="183" fontId="124" fillId="6" borderId="100" xfId="9" applyNumberFormat="1" applyFont="1" applyFill="1" applyBorder="1" applyAlignment="1" applyProtection="1">
      <alignment horizontal="right" vertical="center"/>
      <protection locked="0"/>
    </xf>
    <xf numFmtId="0" fontId="124" fillId="0" borderId="0" xfId="9" applyFont="1" applyFill="1" applyBorder="1" applyAlignment="1">
      <alignment vertical="center"/>
    </xf>
    <xf numFmtId="0" fontId="127" fillId="0" borderId="0" xfId="9" applyFont="1" applyBorder="1" applyAlignment="1">
      <alignment horizontal="right" vertical="center"/>
    </xf>
    <xf numFmtId="0" fontId="128" fillId="0" borderId="0" xfId="9" applyFont="1" applyBorder="1" applyAlignment="1">
      <alignment horizontal="right" vertical="center"/>
    </xf>
    <xf numFmtId="38" fontId="7" fillId="26" borderId="89" xfId="0" applyNumberFormat="1" applyFont="1" applyFill="1" applyBorder="1" applyAlignment="1" applyProtection="1">
      <alignment horizontal="right" vertical="center"/>
      <protection locked="0"/>
    </xf>
    <xf numFmtId="38" fontId="7" fillId="26" borderId="90" xfId="0" applyNumberFormat="1" applyFont="1" applyFill="1" applyBorder="1" applyAlignment="1" applyProtection="1">
      <alignment horizontal="right" vertical="center"/>
      <protection locked="0"/>
    </xf>
    <xf numFmtId="38" fontId="7" fillId="26" borderId="32" xfId="0" applyNumberFormat="1" applyFont="1" applyFill="1" applyBorder="1" applyAlignment="1" applyProtection="1">
      <alignment horizontal="right" vertical="center"/>
      <protection locked="0"/>
    </xf>
    <xf numFmtId="38" fontId="7" fillId="26" borderId="36" xfId="0" applyNumberFormat="1" applyFont="1" applyFill="1" applyBorder="1" applyAlignment="1" applyProtection="1">
      <alignment horizontal="right" vertical="center"/>
      <protection locked="0"/>
    </xf>
    <xf numFmtId="191" fontId="7" fillId="26" borderId="32" xfId="10" applyNumberFormat="1" applyFont="1" applyFill="1" applyBorder="1" applyAlignment="1" applyProtection="1">
      <alignment horizontal="right" vertical="center"/>
      <protection locked="0"/>
    </xf>
    <xf numFmtId="191" fontId="7" fillId="26" borderId="36" xfId="10" applyNumberFormat="1" applyFont="1" applyFill="1" applyBorder="1" applyAlignment="1" applyProtection="1">
      <alignment horizontal="right" vertical="center"/>
      <protection locked="0"/>
    </xf>
    <xf numFmtId="0" fontId="65" fillId="0" borderId="0" xfId="0" applyFont="1" applyProtection="1">
      <protection hidden="1"/>
    </xf>
    <xf numFmtId="0" fontId="7" fillId="3" borderId="4" xfId="0" applyFont="1" applyFill="1" applyBorder="1" applyAlignment="1" applyProtection="1">
      <alignment wrapText="1"/>
      <protection hidden="1"/>
    </xf>
    <xf numFmtId="0" fontId="7" fillId="0" borderId="0" xfId="0" applyFont="1" applyAlignment="1">
      <alignment wrapText="1"/>
    </xf>
    <xf numFmtId="0" fontId="7" fillId="0" borderId="14" xfId="0" applyFont="1" applyBorder="1" applyAlignment="1">
      <alignment wrapText="1"/>
    </xf>
    <xf numFmtId="0" fontId="7" fillId="3" borderId="4" xfId="0" applyFont="1" applyFill="1" applyBorder="1" applyAlignment="1" applyProtection="1">
      <alignment horizontal="left" wrapText="1"/>
      <protection hidden="1"/>
    </xf>
    <xf numFmtId="0" fontId="7" fillId="3" borderId="0" xfId="0" applyFont="1" applyFill="1" applyBorder="1" applyAlignment="1" applyProtection="1">
      <alignment horizontal="left" wrapText="1"/>
      <protection hidden="1"/>
    </xf>
    <xf numFmtId="0" fontId="7" fillId="3" borderId="14" xfId="0" applyFont="1" applyFill="1" applyBorder="1" applyAlignment="1" applyProtection="1">
      <alignment horizontal="left" wrapText="1"/>
      <protection hidden="1"/>
    </xf>
    <xf numFmtId="0" fontId="7" fillId="3" borderId="7" xfId="0" applyFont="1" applyFill="1" applyBorder="1" applyAlignment="1" applyProtection="1">
      <alignment horizontal="left" wrapText="1"/>
      <protection hidden="1"/>
    </xf>
    <xf numFmtId="0" fontId="7" fillId="3" borderId="11" xfId="0" applyFont="1" applyFill="1" applyBorder="1" applyAlignment="1" applyProtection="1">
      <alignment horizontal="left" wrapText="1"/>
      <protection hidden="1"/>
    </xf>
    <xf numFmtId="0" fontId="7" fillId="3" borderId="15" xfId="0" applyFont="1" applyFill="1" applyBorder="1" applyAlignment="1" applyProtection="1">
      <alignment horizontal="left" wrapText="1"/>
      <protection hidden="1"/>
    </xf>
    <xf numFmtId="0" fontId="136" fillId="2" borderId="99" xfId="9" applyFont="1" applyFill="1" applyBorder="1" applyAlignment="1" applyProtection="1">
      <alignment horizontal="left" vertical="center"/>
      <protection hidden="1"/>
    </xf>
    <xf numFmtId="0" fontId="137" fillId="2" borderId="99" xfId="9" applyFont="1" applyFill="1" applyBorder="1" applyAlignment="1" applyProtection="1">
      <alignment horizontal="left" vertical="center"/>
      <protection hidden="1"/>
    </xf>
    <xf numFmtId="38" fontId="135" fillId="0" borderId="134" xfId="9" applyNumberFormat="1" applyFont="1" applyFill="1" applyBorder="1" applyAlignment="1" applyProtection="1">
      <alignment vertical="center"/>
      <protection hidden="1"/>
    </xf>
    <xf numFmtId="0" fontId="129" fillId="2" borderId="99" xfId="9" applyFont="1" applyFill="1" applyBorder="1" applyAlignment="1" applyProtection="1">
      <alignment horizontal="left" vertical="center"/>
      <protection hidden="1"/>
    </xf>
    <xf numFmtId="0" fontId="77" fillId="2" borderId="99" xfId="0" applyFont="1" applyFill="1" applyBorder="1" applyAlignment="1" applyProtection="1">
      <alignment horizontal="left" vertical="center"/>
      <protection hidden="1"/>
    </xf>
    <xf numFmtId="0" fontId="19" fillId="0" borderId="134" xfId="0" applyFont="1" applyBorder="1" applyAlignment="1" applyProtection="1">
      <alignment horizontal="left" vertical="center"/>
      <protection hidden="1"/>
    </xf>
    <xf numFmtId="0" fontId="70" fillId="0" borderId="134" xfId="0" applyFont="1" applyBorder="1" applyAlignment="1" applyProtection="1">
      <alignment horizontal="left" vertical="center"/>
      <protection hidden="1"/>
    </xf>
    <xf numFmtId="0" fontId="72" fillId="2" borderId="99" xfId="0" applyFont="1" applyFill="1" applyBorder="1" applyAlignment="1" applyProtection="1">
      <alignment horizontal="left" vertical="center"/>
      <protection hidden="1"/>
    </xf>
    <xf numFmtId="38" fontId="19" fillId="0" borderId="134" xfId="0" applyNumberFormat="1" applyFont="1" applyFill="1" applyBorder="1" applyAlignment="1" applyProtection="1">
      <alignment vertical="center"/>
      <protection hidden="1"/>
    </xf>
    <xf numFmtId="38" fontId="70" fillId="0" borderId="134" xfId="0" applyNumberFormat="1" applyFont="1" applyFill="1" applyBorder="1" applyAlignment="1" applyProtection="1">
      <alignment vertical="center"/>
      <protection hidden="1"/>
    </xf>
    <xf numFmtId="0" fontId="19" fillId="0" borderId="134" xfId="0" applyFont="1" applyFill="1" applyBorder="1" applyAlignment="1" applyProtection="1">
      <alignment vertical="center"/>
      <protection hidden="1"/>
    </xf>
    <xf numFmtId="0" fontId="70" fillId="0" borderId="134" xfId="0" applyFont="1" applyFill="1" applyBorder="1" applyAlignment="1" applyProtection="1">
      <alignment vertical="center"/>
      <protection hidden="1"/>
    </xf>
    <xf numFmtId="185" fontId="19" fillId="0" borderId="134" xfId="10" applyNumberFormat="1" applyFont="1" applyBorder="1" applyAlignment="1" applyProtection="1">
      <alignment vertical="center"/>
      <protection hidden="1"/>
    </xf>
    <xf numFmtId="185" fontId="70" fillId="0" borderId="134" xfId="10" applyNumberFormat="1" applyFont="1" applyBorder="1" applyAlignment="1" applyProtection="1">
      <alignment vertical="center"/>
      <protection hidden="1"/>
    </xf>
    <xf numFmtId="0" fontId="12" fillId="17" borderId="91" xfId="0" applyFont="1" applyFill="1" applyBorder="1" applyAlignment="1">
      <alignment horizontal="center"/>
    </xf>
    <xf numFmtId="0" fontId="70" fillId="24" borderId="1" xfId="0" applyFont="1" applyFill="1" applyBorder="1" applyAlignment="1" applyProtection="1">
      <alignment horizontal="center" vertical="center" wrapText="1"/>
      <protection locked="0"/>
    </xf>
    <xf numFmtId="14" fontId="70" fillId="0" borderId="1" xfId="0" applyNumberFormat="1" applyFont="1" applyFill="1" applyBorder="1" applyAlignment="1" applyProtection="1">
      <alignment horizontal="center" vertical="center" wrapText="1"/>
      <protection hidden="1"/>
    </xf>
    <xf numFmtId="0" fontId="11" fillId="7" borderId="27" xfId="0" applyFont="1" applyFill="1" applyBorder="1" applyAlignment="1">
      <alignment horizontal="left"/>
    </xf>
    <xf numFmtId="0" fontId="11" fillId="7" borderId="28" xfId="0" applyFont="1" applyFill="1" applyBorder="1" applyAlignment="1">
      <alignment horizontal="left"/>
    </xf>
    <xf numFmtId="10" fontId="7" fillId="0" borderId="118" xfId="0" applyNumberFormat="1" applyFont="1" applyBorder="1" applyAlignment="1" applyProtection="1">
      <alignment horizontal="center" vertical="center"/>
      <protection hidden="1"/>
    </xf>
    <xf numFmtId="10" fontId="7" fillId="0" borderId="113" xfId="0" applyNumberFormat="1" applyFont="1" applyBorder="1" applyAlignment="1" applyProtection="1">
      <alignment horizontal="center" vertical="center"/>
      <protection hidden="1"/>
    </xf>
    <xf numFmtId="10" fontId="7" fillId="0" borderId="120" xfId="0" applyNumberFormat="1" applyFont="1" applyBorder="1" applyAlignment="1" applyProtection="1">
      <alignment horizontal="center" vertical="center"/>
      <protection hidden="1"/>
    </xf>
    <xf numFmtId="14" fontId="24" fillId="0" borderId="118" xfId="0" applyNumberFormat="1" applyFont="1" applyBorder="1" applyAlignment="1" applyProtection="1">
      <alignment horizontal="center" vertical="center"/>
      <protection hidden="1"/>
    </xf>
    <xf numFmtId="14" fontId="24" fillId="0" borderId="113" xfId="0" applyNumberFormat="1" applyFont="1" applyBorder="1" applyAlignment="1" applyProtection="1">
      <alignment horizontal="center" vertical="center"/>
      <protection hidden="1"/>
    </xf>
    <xf numFmtId="14" fontId="24" fillId="0" borderId="120" xfId="0" applyNumberFormat="1" applyFont="1" applyBorder="1" applyAlignment="1" applyProtection="1">
      <alignment horizontal="center" vertical="center"/>
      <protection hidden="1"/>
    </xf>
    <xf numFmtId="0" fontId="24" fillId="24" borderId="5" xfId="0" applyFont="1" applyFill="1" applyBorder="1" applyAlignment="1" applyProtection="1">
      <alignment horizontal="center" vertical="center"/>
      <protection hidden="1"/>
    </xf>
    <xf numFmtId="0" fontId="24" fillId="24" borderId="14" xfId="0" applyFont="1" applyFill="1" applyBorder="1" applyAlignment="1" applyProtection="1">
      <alignment horizontal="center" vertical="center"/>
      <protection hidden="1"/>
    </xf>
    <xf numFmtId="0" fontId="24" fillId="24" borderId="15" xfId="0" applyFont="1" applyFill="1" applyBorder="1" applyAlignment="1" applyProtection="1">
      <alignment horizontal="center" vertical="center"/>
      <protection hidden="1"/>
    </xf>
    <xf numFmtId="0" fontId="112" fillId="0" borderId="181" xfId="9" applyFont="1" applyFill="1" applyBorder="1" applyAlignment="1">
      <alignment horizontal="center" vertical="center"/>
    </xf>
    <xf numFmtId="0" fontId="112" fillId="0" borderId="170" xfId="9" applyFont="1" applyFill="1" applyBorder="1" applyAlignment="1">
      <alignment horizontal="center" vertical="center"/>
    </xf>
    <xf numFmtId="0" fontId="112" fillId="0" borderId="176" xfId="9" applyFont="1" applyFill="1" applyBorder="1" applyAlignment="1">
      <alignment horizontal="center" vertical="center"/>
    </xf>
    <xf numFmtId="0" fontId="104" fillId="0" borderId="95" xfId="9" applyFont="1" applyBorder="1" applyAlignment="1">
      <alignment vertical="center"/>
    </xf>
    <xf numFmtId="0" fontId="104" fillId="0" borderId="33" xfId="9" applyFont="1" applyBorder="1" applyAlignment="1">
      <alignment vertical="center"/>
    </xf>
    <xf numFmtId="0" fontId="104" fillId="0" borderId="149" xfId="9" applyFont="1" applyBorder="1" applyAlignment="1">
      <alignment vertical="center"/>
    </xf>
    <xf numFmtId="0" fontId="101" fillId="0" borderId="140" xfId="9" applyFont="1" applyBorder="1" applyAlignment="1">
      <alignment horizontal="left" vertical="center"/>
    </xf>
    <xf numFmtId="0" fontId="4" fillId="0" borderId="35" xfId="9" applyFont="1" applyFill="1" applyBorder="1" applyAlignment="1">
      <alignment horizontal="center" vertical="center"/>
    </xf>
    <xf numFmtId="0" fontId="5" fillId="0" borderId="190" xfId="9" applyFont="1" applyFill="1" applyBorder="1" applyAlignment="1">
      <alignment horizontal="center" vertical="center"/>
    </xf>
    <xf numFmtId="0" fontId="4" fillId="0" borderId="61" xfId="9" applyFont="1" applyFill="1" applyBorder="1" applyAlignment="1">
      <alignment vertical="center"/>
    </xf>
    <xf numFmtId="0" fontId="5" fillId="0" borderId="79" xfId="9" applyFont="1" applyFill="1" applyBorder="1" applyAlignment="1">
      <alignment vertical="center"/>
    </xf>
    <xf numFmtId="0" fontId="4" fillId="0" borderId="118" xfId="9" applyFont="1" applyFill="1" applyBorder="1" applyAlignment="1">
      <alignment horizontal="center" vertical="center" wrapText="1"/>
    </xf>
    <xf numFmtId="0" fontId="5" fillId="0" borderId="115" xfId="9" applyFont="1" applyFill="1" applyBorder="1" applyAlignment="1">
      <alignment horizontal="center" vertical="center" wrapText="1"/>
    </xf>
    <xf numFmtId="0" fontId="4" fillId="0" borderId="48" xfId="9" applyFont="1" applyFill="1" applyBorder="1" applyAlignment="1">
      <alignment horizontal="center" vertical="center"/>
    </xf>
    <xf numFmtId="0" fontId="4" fillId="0" borderId="37" xfId="9" applyFont="1" applyFill="1" applyBorder="1" applyAlignment="1">
      <alignment horizontal="center" vertical="center"/>
    </xf>
    <xf numFmtId="0" fontId="4" fillId="0" borderId="61" xfId="9" applyFont="1" applyFill="1" applyBorder="1" applyAlignment="1">
      <alignment horizontal="center" vertical="center"/>
    </xf>
  </cellXfs>
  <cellStyles count="15">
    <cellStyle name="_2" xfId="1"/>
    <cellStyle name="_ET_STYLE_NoName_00_" xfId="2"/>
    <cellStyle name="_苏宁电器" xfId="3"/>
    <cellStyle name="Comma_GISMO1" xfId="4"/>
    <cellStyle name="Comma_Test Valuation Parameters" xfId="5"/>
    <cellStyle name="Normal_CS40" xfId="6"/>
    <cellStyle name="Normal_Test Valuation Parameters" xfId="7"/>
    <cellStyle name="百分比" xfId="8" builtinId="5"/>
    <cellStyle name="常规" xfId="0" builtinId="0"/>
    <cellStyle name="常规 2 2" xfId="9"/>
    <cellStyle name="常规_大众公用模型" xfId="10"/>
    <cellStyle name="常规_模型修改页" xfId="11"/>
    <cellStyle name="超链接" xfId="12" builtinId="8"/>
    <cellStyle name="千位分隔" xfId="13" builtinId="3"/>
    <cellStyle name="千位分隔 2" xfId="14"/>
  </cellStyles>
  <dxfs count="2">
    <dxf>
      <font>
        <color rgb="FFFF0000"/>
      </font>
    </dxf>
    <dxf>
      <font>
        <color rgb="FFFF0000"/>
      </font>
    </dxf>
  </dxfs>
  <tableStyles count="0" defaultTableStyle="TableStyleMedium9" defaultPivotStyle="PivotStyleLight16"/>
  <colors>
    <mruColors>
      <color rgb="FF3333FF"/>
      <color rgb="FFCCECFF"/>
      <color rgb="FFFFFFCC"/>
      <color rgb="FFFFFF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79176FB0-B7F2-11CE-97EF-00AA006D2776}"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79176FB0-B7F2-11CE-97EF-00AA006D2776}" ax:persistence="persistStreamInit" r:id="rId1"/>
</file>

<file path=xl/activeX/activeX106.xml><?xml version="1.0" encoding="utf-8"?>
<ax:ocx xmlns:ax="http://schemas.microsoft.com/office/2006/activeX" xmlns:r="http://schemas.openxmlformats.org/officeDocument/2006/relationships" ax:classid="{79176FB0-B7F2-11CE-97EF-00AA006D2776}"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3469387755102042"/>
          <c:y val="0.29010238907849834"/>
          <c:w val="0.43673469387755115"/>
          <c:h val="0.36518771331058031"/>
        </c:manualLayout>
      </c:layout>
      <c:pieChart>
        <c:varyColors val="1"/>
        <c:ser>
          <c:idx val="0"/>
          <c:order val="0"/>
          <c:spPr>
            <a:solidFill>
              <a:srgbClr val="9999FF"/>
            </a:solidFill>
            <a:ln w="25400">
              <a:noFill/>
            </a:ln>
          </c:spPr>
          <c:dPt>
            <c:idx val="0"/>
            <c:bubble3D val="0"/>
            <c:spPr>
              <a:solidFill>
                <a:srgbClr val="000080"/>
              </a:solidFill>
              <a:ln w="25400">
                <a:noFill/>
              </a:ln>
            </c:spPr>
            <c:extLst xmlns:c16r2="http://schemas.microsoft.com/office/drawing/2015/06/chart">
              <c:ext xmlns:c16="http://schemas.microsoft.com/office/drawing/2014/chart" uri="{C3380CC4-5D6E-409C-BE32-E72D297353CC}">
                <c16:uniqueId val="{00000001-4E04-4707-8311-7852D8499DEF}"/>
              </c:ext>
            </c:extLst>
          </c:dPt>
          <c:dPt>
            <c:idx val="1"/>
            <c:bubble3D val="0"/>
            <c:spPr>
              <a:solidFill>
                <a:srgbClr val="FF6600"/>
              </a:solidFill>
              <a:ln w="25400">
                <a:noFill/>
              </a:ln>
            </c:spPr>
            <c:extLst xmlns:c16r2="http://schemas.microsoft.com/office/drawing/2015/06/chart">
              <c:ext xmlns:c16="http://schemas.microsoft.com/office/drawing/2014/chart" uri="{C3380CC4-5D6E-409C-BE32-E72D297353CC}">
                <c16:uniqueId val="{00000003-4E04-4707-8311-7852D8499DEF}"/>
              </c:ext>
            </c:extLst>
          </c:dPt>
          <c:dPt>
            <c:idx val="2"/>
            <c:bubble3D val="0"/>
            <c:spPr>
              <a:solidFill>
                <a:srgbClr val="0000FF"/>
              </a:solidFill>
              <a:ln w="25400">
                <a:noFill/>
              </a:ln>
            </c:spPr>
            <c:extLst xmlns:c16r2="http://schemas.microsoft.com/office/drawing/2015/06/chart">
              <c:ext xmlns:c16="http://schemas.microsoft.com/office/drawing/2014/chart" uri="{C3380CC4-5D6E-409C-BE32-E72D297353CC}">
                <c16:uniqueId val="{00000005-4E04-4707-8311-7852D8499DEF}"/>
              </c:ext>
            </c:extLst>
          </c:dPt>
          <c:dPt>
            <c:idx val="3"/>
            <c:bubble3D val="0"/>
            <c:spPr>
              <a:solidFill>
                <a:srgbClr val="FF9900"/>
              </a:solidFill>
              <a:ln w="25400">
                <a:noFill/>
              </a:ln>
            </c:spPr>
            <c:extLst xmlns:c16r2="http://schemas.microsoft.com/office/drawing/2015/06/chart">
              <c:ext xmlns:c16="http://schemas.microsoft.com/office/drawing/2014/chart" uri="{C3380CC4-5D6E-409C-BE32-E72D297353CC}">
                <c16:uniqueId val="{00000007-4E04-4707-8311-7852D8499DEF}"/>
              </c:ext>
            </c:extLst>
          </c:dPt>
          <c:dPt>
            <c:idx val="4"/>
            <c:bubble3D val="0"/>
            <c:spPr>
              <a:solidFill>
                <a:srgbClr val="3366FF"/>
              </a:solidFill>
              <a:ln w="25400">
                <a:noFill/>
              </a:ln>
            </c:spPr>
            <c:extLst xmlns:c16r2="http://schemas.microsoft.com/office/drawing/2015/06/chart">
              <c:ext xmlns:c16="http://schemas.microsoft.com/office/drawing/2014/chart" uri="{C3380CC4-5D6E-409C-BE32-E72D297353CC}">
                <c16:uniqueId val="{00000009-4E04-4707-8311-7852D8499DEF}"/>
              </c:ext>
            </c:extLst>
          </c:dPt>
          <c:dLbls>
            <c:dLbl>
              <c:idx val="0"/>
              <c:layout>
                <c:manualLayout>
                  <c:x val="5.8711661042369731E-2"/>
                  <c:y val="-5.7674701925058067E-3"/>
                </c:manualLayout>
              </c:layout>
              <c:numFmt formatCode="0%" sourceLinked="0"/>
              <c:spPr>
                <a:noFill/>
                <a:ln w="25400">
                  <a:noFill/>
                </a:ln>
              </c:spPr>
              <c:txPr>
                <a:bodyPr/>
                <a:lstStyle/>
                <a:p>
                  <a:pPr>
                    <a:defRPr sz="850" b="0" i="0" u="none" strike="noStrike" baseline="0">
                      <a:solidFill>
                        <a:srgbClr val="000000"/>
                      </a:solidFill>
                      <a:latin typeface="宋体"/>
                      <a:ea typeface="宋体"/>
                      <a:cs typeface="宋体"/>
                    </a:defRPr>
                  </a:pPr>
                  <a:endParaRPr lang="zh-CN"/>
                </a:p>
              </c:txPr>
              <c:dLblPos val="bestFit"/>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01-4E04-4707-8311-7852D8499DEF}"/>
                </c:ext>
                <c:ext xmlns:c15="http://schemas.microsoft.com/office/drawing/2012/chart" uri="{CE6537A1-D6FC-4f65-9D91-7224C49458BB}"/>
              </c:extLst>
            </c:dLbl>
            <c:dLbl>
              <c:idx val="1"/>
              <c:layout>
                <c:manualLayout>
                  <c:x val="5.0548395736247281E-2"/>
                  <c:y val="4.490356794137941E-2"/>
                </c:manualLayout>
              </c:layout>
              <c:numFmt formatCode="0%" sourceLinked="0"/>
              <c:spPr>
                <a:noFill/>
                <a:ln w="25400">
                  <a:noFill/>
                </a:ln>
              </c:spPr>
              <c:txPr>
                <a:bodyPr/>
                <a:lstStyle/>
                <a:p>
                  <a:pPr>
                    <a:defRPr sz="850" b="0" i="0" u="none" strike="noStrike" baseline="0">
                      <a:solidFill>
                        <a:srgbClr val="000000"/>
                      </a:solidFill>
                      <a:latin typeface="宋体"/>
                      <a:ea typeface="宋体"/>
                      <a:cs typeface="宋体"/>
                    </a:defRPr>
                  </a:pPr>
                  <a:endParaRPr lang="zh-CN"/>
                </a:p>
              </c:txPr>
              <c:dLblPos val="bestFit"/>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03-4E04-4707-8311-7852D8499DEF}"/>
                </c:ext>
                <c:ext xmlns:c15="http://schemas.microsoft.com/office/drawing/2012/chart" uri="{CE6537A1-D6FC-4f65-9D91-7224C49458BB}"/>
              </c:extLst>
            </c:dLbl>
            <c:dLbl>
              <c:idx val="2"/>
              <c:layout>
                <c:manualLayout>
                  <c:x val="-8.1843912368096849E-2"/>
                  <c:y val="2.4425752241720614E-2"/>
                </c:manualLayout>
              </c:layout>
              <c:numFmt formatCode="0%" sourceLinked="0"/>
              <c:spPr>
                <a:noFill/>
                <a:ln w="25400">
                  <a:noFill/>
                </a:ln>
              </c:spPr>
              <c:txPr>
                <a:bodyPr/>
                <a:lstStyle/>
                <a:p>
                  <a:pPr>
                    <a:defRPr sz="850" b="0" i="0" u="none" strike="noStrike" baseline="0">
                      <a:solidFill>
                        <a:srgbClr val="000000"/>
                      </a:solidFill>
                      <a:latin typeface="宋体"/>
                      <a:ea typeface="宋体"/>
                      <a:cs typeface="宋体"/>
                    </a:defRPr>
                  </a:pPr>
                  <a:endParaRPr lang="zh-CN"/>
                </a:p>
              </c:txPr>
              <c:dLblPos val="bestFit"/>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05-4E04-4707-8311-7852D8499DEF}"/>
                </c:ext>
                <c:ext xmlns:c15="http://schemas.microsoft.com/office/drawing/2012/chart" uri="{CE6537A1-D6FC-4f65-9D91-7224C49458BB}"/>
              </c:extLst>
            </c:dLbl>
            <c:dLbl>
              <c:idx val="3"/>
              <c:layout>
                <c:manualLayout>
                  <c:x val="-9.0007177674219271E-2"/>
                  <c:y val="4.8840038339917437E-2"/>
                </c:manualLayout>
              </c:layout>
              <c:numFmt formatCode="0%" sourceLinked="0"/>
              <c:spPr>
                <a:noFill/>
                <a:ln w="25400">
                  <a:noFill/>
                </a:ln>
              </c:spPr>
              <c:txPr>
                <a:bodyPr/>
                <a:lstStyle/>
                <a:p>
                  <a:pPr>
                    <a:defRPr sz="850" b="0" i="0" u="none" strike="noStrike" baseline="0">
                      <a:solidFill>
                        <a:srgbClr val="000000"/>
                      </a:solidFill>
                      <a:latin typeface="宋体"/>
                      <a:ea typeface="宋体"/>
                      <a:cs typeface="宋体"/>
                    </a:defRPr>
                  </a:pPr>
                  <a:endParaRPr lang="zh-CN"/>
                </a:p>
              </c:txPr>
              <c:dLblPos val="bestFit"/>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07-4E04-4707-8311-7852D8499DEF}"/>
                </c:ext>
                <c:ext xmlns:c15="http://schemas.microsoft.com/office/drawing/2012/chart" uri="{CE6537A1-D6FC-4f65-9D91-7224C49458BB}"/>
              </c:extLst>
            </c:dLbl>
            <c:numFmt formatCode="0%" sourceLinked="0"/>
            <c:spPr>
              <a:noFill/>
              <a:ln w="25400">
                <a:noFill/>
              </a:ln>
            </c:spPr>
            <c:txPr>
              <a:bodyPr wrap="square" lIns="38100" tIns="19050" rIns="38100" bIns="19050" anchor="ctr">
                <a:spAutoFit/>
              </a:bodyPr>
              <a:lstStyle/>
              <a:p>
                <a:pPr>
                  <a:defRPr sz="850" b="0" i="0" u="none" strike="noStrike" baseline="0">
                    <a:solidFill>
                      <a:srgbClr val="000000"/>
                    </a:solidFill>
                    <a:latin typeface="宋体"/>
                    <a:ea typeface="宋体"/>
                    <a:cs typeface="宋体"/>
                  </a:defRPr>
                </a:pPr>
                <a:endParaRPr lang="zh-CN"/>
              </a:p>
            </c:txPr>
            <c:dLblPos val="bestFit"/>
            <c:showLegendKey val="0"/>
            <c:showVal val="0"/>
            <c:showCatName val="1"/>
            <c:showSerName val="0"/>
            <c:showPercent val="1"/>
            <c:showBubbleSize val="0"/>
            <c:showLeaderLines val="1"/>
            <c:extLst xmlns:c16r2="http://schemas.microsoft.com/office/drawing/2015/06/chart">
              <c:ext xmlns:c15="http://schemas.microsoft.com/office/drawing/2012/chart" uri="{CE6537A1-D6FC-4f65-9D91-7224C49458BB}"/>
            </c:extLst>
          </c:dLbls>
          <c:cat>
            <c:strRef>
              <c:f>'Financial summary'!$B$8:$B$11</c:f>
              <c:strCache>
                <c:ptCount val="4"/>
                <c:pt idx="0">
                  <c:v>Product A</c:v>
                </c:pt>
                <c:pt idx="1">
                  <c:v>Product B</c:v>
                </c:pt>
                <c:pt idx="2">
                  <c:v>Product C</c:v>
                </c:pt>
                <c:pt idx="3">
                  <c:v>Product D</c:v>
                </c:pt>
              </c:strCache>
            </c:strRef>
          </c:cat>
          <c:val>
            <c:numRef>
              <c:f>'Financial summary'!$D$8:$D$11</c:f>
              <c:numCache>
                <c:formatCode>#,##0_);[Red]\(#,##0\)</c:formatCode>
                <c:ptCount val="4"/>
                <c:pt idx="0">
                  <c:v>1</c:v>
                </c:pt>
                <c:pt idx="1">
                  <c:v>1</c:v>
                </c:pt>
                <c:pt idx="2">
                  <c:v>1</c:v>
                </c:pt>
                <c:pt idx="3">
                  <c:v>1</c:v>
                </c:pt>
              </c:numCache>
            </c:numRef>
          </c:val>
          <c:extLst xmlns:c16r2="http://schemas.microsoft.com/office/drawing/2015/06/chart">
            <c:ext xmlns:c16="http://schemas.microsoft.com/office/drawing/2014/chart" uri="{C3380CC4-5D6E-409C-BE32-E72D297353CC}">
              <c16:uniqueId val="{0000000A-4E04-4707-8311-7852D8499DEF}"/>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9525">
      <a:noFill/>
    </a:ln>
  </c:spPr>
  <c:txPr>
    <a:bodyPr/>
    <a:lstStyle/>
    <a:p>
      <a:pPr>
        <a:defRPr sz="850" b="0" i="0" u="none" strike="noStrike" baseline="0">
          <a:solidFill>
            <a:srgbClr val="000000"/>
          </a:solidFill>
          <a:latin typeface="宋体"/>
          <a:ea typeface="宋体"/>
          <a:cs typeface="宋体"/>
        </a:defRPr>
      </a:pPr>
      <a:endParaRPr lang="zh-CN"/>
    </a:p>
  </c:txPr>
  <c:printSettings>
    <c:headerFooter alignWithMargins="0"/>
    <c:pageMargins b="1" l="0.75000000000000011" r="0.75000000000000011" t="1" header="0.5" footer="0.5"/>
    <c:pageSetup paperSize="9" orientation="landscape" horizontalDpi="-4"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5365994053266536"/>
          <c:y val="0.30662020905923354"/>
          <c:w val="0.39837556519771516"/>
          <c:h val="0.34146341463414637"/>
        </c:manualLayout>
      </c:layout>
      <c:pieChart>
        <c:varyColors val="1"/>
        <c:ser>
          <c:idx val="0"/>
          <c:order val="0"/>
          <c:spPr>
            <a:solidFill>
              <a:srgbClr val="9999FF"/>
            </a:solidFill>
            <a:ln w="25400">
              <a:noFill/>
            </a:ln>
          </c:spPr>
          <c:dPt>
            <c:idx val="0"/>
            <c:bubble3D val="0"/>
            <c:spPr>
              <a:solidFill>
                <a:srgbClr val="000080"/>
              </a:solidFill>
              <a:ln w="25400">
                <a:noFill/>
              </a:ln>
            </c:spPr>
            <c:extLst xmlns:c16r2="http://schemas.microsoft.com/office/drawing/2015/06/chart">
              <c:ext xmlns:c16="http://schemas.microsoft.com/office/drawing/2014/chart" uri="{C3380CC4-5D6E-409C-BE32-E72D297353CC}">
                <c16:uniqueId val="{00000001-FB9C-4F3E-B7CD-6A7B12851F34}"/>
              </c:ext>
            </c:extLst>
          </c:dPt>
          <c:dPt>
            <c:idx val="1"/>
            <c:bubble3D val="0"/>
            <c:spPr>
              <a:solidFill>
                <a:srgbClr val="FF6600"/>
              </a:solidFill>
              <a:ln w="25400">
                <a:noFill/>
              </a:ln>
            </c:spPr>
            <c:extLst xmlns:c16r2="http://schemas.microsoft.com/office/drawing/2015/06/chart">
              <c:ext xmlns:c16="http://schemas.microsoft.com/office/drawing/2014/chart" uri="{C3380CC4-5D6E-409C-BE32-E72D297353CC}">
                <c16:uniqueId val="{00000003-FB9C-4F3E-B7CD-6A7B12851F34}"/>
              </c:ext>
            </c:extLst>
          </c:dPt>
          <c:dPt>
            <c:idx val="2"/>
            <c:bubble3D val="0"/>
            <c:spPr>
              <a:solidFill>
                <a:srgbClr val="0000FF"/>
              </a:solidFill>
              <a:ln w="25400">
                <a:noFill/>
              </a:ln>
            </c:spPr>
            <c:extLst xmlns:c16r2="http://schemas.microsoft.com/office/drawing/2015/06/chart">
              <c:ext xmlns:c16="http://schemas.microsoft.com/office/drawing/2014/chart" uri="{C3380CC4-5D6E-409C-BE32-E72D297353CC}">
                <c16:uniqueId val="{00000005-FB9C-4F3E-B7CD-6A7B12851F34}"/>
              </c:ext>
            </c:extLst>
          </c:dPt>
          <c:dPt>
            <c:idx val="3"/>
            <c:bubble3D val="0"/>
            <c:spPr>
              <a:solidFill>
                <a:srgbClr val="FF9900"/>
              </a:solidFill>
              <a:ln w="25400">
                <a:noFill/>
              </a:ln>
            </c:spPr>
            <c:extLst xmlns:c16r2="http://schemas.microsoft.com/office/drawing/2015/06/chart">
              <c:ext xmlns:c16="http://schemas.microsoft.com/office/drawing/2014/chart" uri="{C3380CC4-5D6E-409C-BE32-E72D297353CC}">
                <c16:uniqueId val="{00000007-FB9C-4F3E-B7CD-6A7B12851F34}"/>
              </c:ext>
            </c:extLst>
          </c:dPt>
          <c:dPt>
            <c:idx val="4"/>
            <c:bubble3D val="0"/>
            <c:spPr>
              <a:solidFill>
                <a:srgbClr val="3366FF"/>
              </a:solidFill>
              <a:ln w="25400">
                <a:noFill/>
              </a:ln>
            </c:spPr>
            <c:extLst xmlns:c16r2="http://schemas.microsoft.com/office/drawing/2015/06/chart">
              <c:ext xmlns:c16="http://schemas.microsoft.com/office/drawing/2014/chart" uri="{C3380CC4-5D6E-409C-BE32-E72D297353CC}">
                <c16:uniqueId val="{00000009-FB9C-4F3E-B7CD-6A7B12851F34}"/>
              </c:ext>
            </c:extLst>
          </c:dPt>
          <c:dLbls>
            <c:dLbl>
              <c:idx val="0"/>
              <c:layout>
                <c:manualLayout>
                  <c:x val="6.5798666965766403E-2"/>
                  <c:y val="1.3406129111909793E-2"/>
                </c:manualLayout>
              </c:layout>
              <c:numFmt formatCode="0%" sourceLinked="0"/>
              <c:spPr>
                <a:noFill/>
                <a:ln w="25400">
                  <a:noFill/>
                </a:ln>
              </c:spPr>
              <c:txPr>
                <a:bodyPr/>
                <a:lstStyle/>
                <a:p>
                  <a:pPr>
                    <a:defRPr sz="975" b="0" i="0" u="none" strike="noStrike" baseline="0">
                      <a:solidFill>
                        <a:srgbClr val="000000"/>
                      </a:solidFill>
                      <a:latin typeface="宋体"/>
                      <a:ea typeface="宋体"/>
                      <a:cs typeface="宋体"/>
                    </a:defRPr>
                  </a:pPr>
                  <a:endParaRPr lang="zh-CN"/>
                </a:p>
              </c:txPr>
              <c:dLblPos val="bestFit"/>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01-FB9C-4F3E-B7CD-6A7B12851F34}"/>
                </c:ext>
                <c:ext xmlns:c15="http://schemas.microsoft.com/office/drawing/2012/chart" uri="{CE6537A1-D6FC-4f65-9D91-7224C49458BB}"/>
              </c:extLst>
            </c:dLbl>
            <c:dLbl>
              <c:idx val="1"/>
              <c:layout>
                <c:manualLayout>
                  <c:x val="8.2058894116693551E-2"/>
                  <c:y val="4.8661600226800876E-2"/>
                </c:manualLayout>
              </c:layout>
              <c:numFmt formatCode="0%" sourceLinked="0"/>
              <c:spPr>
                <a:noFill/>
                <a:ln w="25400">
                  <a:noFill/>
                </a:ln>
              </c:spPr>
              <c:txPr>
                <a:bodyPr/>
                <a:lstStyle/>
                <a:p>
                  <a:pPr>
                    <a:defRPr sz="975" b="0" i="0" u="none" strike="noStrike" baseline="0">
                      <a:solidFill>
                        <a:srgbClr val="000000"/>
                      </a:solidFill>
                      <a:latin typeface="宋体"/>
                      <a:ea typeface="宋体"/>
                      <a:cs typeface="宋体"/>
                    </a:defRPr>
                  </a:pPr>
                  <a:endParaRPr lang="zh-CN"/>
                </a:p>
              </c:txPr>
              <c:dLblPos val="bestFit"/>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03-FB9C-4F3E-B7CD-6A7B12851F34}"/>
                </c:ext>
                <c:ext xmlns:c15="http://schemas.microsoft.com/office/drawing/2012/chart" uri="{CE6537A1-D6FC-4f65-9D91-7224C49458BB}"/>
              </c:extLst>
            </c:dLbl>
            <c:dLbl>
              <c:idx val="2"/>
              <c:layout>
                <c:manualLayout>
                  <c:x val="-0.10442043923703849"/>
                  <c:y val="3.4724317996835716E-2"/>
                </c:manualLayout>
              </c:layout>
              <c:numFmt formatCode="0%" sourceLinked="0"/>
              <c:spPr>
                <a:noFill/>
                <a:ln w="25400">
                  <a:noFill/>
                </a:ln>
              </c:spPr>
              <c:txPr>
                <a:bodyPr/>
                <a:lstStyle/>
                <a:p>
                  <a:pPr>
                    <a:defRPr sz="975" b="0" i="0" u="none" strike="noStrike" baseline="0">
                      <a:solidFill>
                        <a:srgbClr val="000000"/>
                      </a:solidFill>
                      <a:latin typeface="宋体"/>
                      <a:ea typeface="宋体"/>
                      <a:cs typeface="宋体"/>
                    </a:defRPr>
                  </a:pPr>
                  <a:endParaRPr lang="zh-CN"/>
                </a:p>
              </c:txPr>
              <c:dLblPos val="bestFit"/>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05-FB9C-4F3E-B7CD-6A7B12851F34}"/>
                </c:ext>
                <c:ext xmlns:c15="http://schemas.microsoft.com/office/drawing/2012/chart" uri="{CE6537A1-D6FC-4f65-9D91-7224C49458BB}"/>
              </c:extLst>
            </c:dLbl>
            <c:dLbl>
              <c:idx val="3"/>
              <c:layout>
                <c:manualLayout>
                  <c:x val="-0.1003553824493067"/>
                  <c:y val="3.0827731899366207E-2"/>
                </c:manualLayout>
              </c:layout>
              <c:numFmt formatCode="0%" sourceLinked="0"/>
              <c:spPr>
                <a:noFill/>
                <a:ln w="25400">
                  <a:noFill/>
                </a:ln>
              </c:spPr>
              <c:txPr>
                <a:bodyPr/>
                <a:lstStyle/>
                <a:p>
                  <a:pPr>
                    <a:defRPr sz="975" b="0" i="0" u="none" strike="noStrike" baseline="0">
                      <a:solidFill>
                        <a:srgbClr val="000000"/>
                      </a:solidFill>
                      <a:latin typeface="宋体"/>
                      <a:ea typeface="宋体"/>
                      <a:cs typeface="宋体"/>
                    </a:defRPr>
                  </a:pPr>
                  <a:endParaRPr lang="zh-CN"/>
                </a:p>
              </c:txPr>
              <c:dLblPos val="bestFit"/>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07-FB9C-4F3E-B7CD-6A7B12851F34}"/>
                </c:ext>
                <c:ext xmlns:c15="http://schemas.microsoft.com/office/drawing/2012/chart" uri="{CE6537A1-D6FC-4f65-9D91-7224C49458BB}"/>
              </c:extLst>
            </c:dLbl>
            <c:dLbl>
              <c:idx val="4"/>
              <c:numFmt formatCode="0%" sourceLinked="0"/>
              <c:spPr>
                <a:noFill/>
                <a:ln w="25400">
                  <a:noFill/>
                </a:ln>
              </c:spPr>
              <c:txPr>
                <a:bodyPr/>
                <a:lstStyle/>
                <a:p>
                  <a:pPr>
                    <a:defRPr sz="975" b="0" i="0" u="none" strike="noStrike" baseline="0">
                      <a:solidFill>
                        <a:srgbClr val="000000"/>
                      </a:solidFill>
                      <a:latin typeface="宋体"/>
                      <a:ea typeface="宋体"/>
                      <a:cs typeface="宋体"/>
                    </a:defRPr>
                  </a:pPr>
                  <a:endParaRPr lang="zh-CN"/>
                </a:p>
              </c:txPr>
              <c:dLblPos val="bestFit"/>
              <c:showLegendKey val="0"/>
              <c:showVal val="0"/>
              <c:showCatName val="1"/>
              <c:showSerName val="0"/>
              <c:showPercent val="1"/>
              <c:showBubbleSize val="0"/>
            </c:dLbl>
            <c:numFmt formatCode="0%" sourceLinked="0"/>
            <c:spPr>
              <a:noFill/>
              <a:ln w="25400">
                <a:noFill/>
              </a:ln>
            </c:spPr>
            <c:txPr>
              <a:bodyPr wrap="square" lIns="38100" tIns="19050" rIns="38100" bIns="19050" anchor="ctr">
                <a:spAutoFit/>
              </a:bodyPr>
              <a:lstStyle/>
              <a:p>
                <a:pPr>
                  <a:defRPr sz="975" b="0" i="0" u="none" strike="noStrike" baseline="0">
                    <a:solidFill>
                      <a:srgbClr val="000000"/>
                    </a:solidFill>
                    <a:latin typeface="宋体"/>
                    <a:ea typeface="宋体"/>
                    <a:cs typeface="宋体"/>
                  </a:defRPr>
                </a:pPr>
                <a:endParaRPr lang="zh-CN"/>
              </a:p>
            </c:txPr>
            <c:dLblPos val="bestFit"/>
            <c:showLegendKey val="0"/>
            <c:showVal val="0"/>
            <c:showCatName val="1"/>
            <c:showSerName val="0"/>
            <c:showPercent val="1"/>
            <c:showBubbleSize val="0"/>
            <c:showLeaderLines val="1"/>
            <c:extLst xmlns:c16r2="http://schemas.microsoft.com/office/drawing/2015/06/chart">
              <c:ext xmlns:c15="http://schemas.microsoft.com/office/drawing/2012/chart" uri="{CE6537A1-D6FC-4f65-9D91-7224C49458BB}"/>
            </c:extLst>
          </c:dLbls>
          <c:cat>
            <c:strRef>
              <c:f>'Financial summary'!$B$15:$B$18</c:f>
              <c:strCache>
                <c:ptCount val="4"/>
                <c:pt idx="0">
                  <c:v>Product A</c:v>
                </c:pt>
                <c:pt idx="1">
                  <c:v>Product B</c:v>
                </c:pt>
                <c:pt idx="2">
                  <c:v>Product C</c:v>
                </c:pt>
                <c:pt idx="3">
                  <c:v>Product D</c:v>
                </c:pt>
              </c:strCache>
            </c:strRef>
          </c:cat>
          <c:val>
            <c:numRef>
              <c:f>'Financial summary'!$D$15:$D$18</c:f>
              <c:numCache>
                <c:formatCode>#,##0_);[Red]\(#,##0\)</c:formatCode>
                <c:ptCount val="4"/>
                <c:pt idx="0">
                  <c:v>1</c:v>
                </c:pt>
                <c:pt idx="1">
                  <c:v>1</c:v>
                </c:pt>
                <c:pt idx="2">
                  <c:v>1</c:v>
                </c:pt>
                <c:pt idx="3">
                  <c:v>1</c:v>
                </c:pt>
              </c:numCache>
            </c:numRef>
          </c:val>
          <c:extLst xmlns:c16r2="http://schemas.microsoft.com/office/drawing/2015/06/chart">
            <c:ext xmlns:c16="http://schemas.microsoft.com/office/drawing/2014/chart" uri="{C3380CC4-5D6E-409C-BE32-E72D297353CC}">
              <c16:uniqueId val="{0000000A-FB9C-4F3E-B7CD-6A7B12851F34}"/>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9525">
      <a:noFill/>
    </a:ln>
  </c:spPr>
  <c:txPr>
    <a:bodyPr/>
    <a:lstStyle/>
    <a:p>
      <a:pPr>
        <a:defRPr sz="825" b="0" i="0" u="none" strike="noStrike" baseline="0">
          <a:solidFill>
            <a:srgbClr val="000000"/>
          </a:solidFill>
          <a:latin typeface="宋体"/>
          <a:ea typeface="宋体"/>
          <a:cs typeface="宋体"/>
        </a:defRPr>
      </a:pPr>
      <a:endParaRPr lang="zh-CN"/>
    </a:p>
  </c:txPr>
  <c:printSettings>
    <c:headerFooter alignWithMargins="0"/>
    <c:pageMargins b="1" l="0.75000000000000011" r="0.750000000000000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414687399514891"/>
          <c:y val="5.1094981564676893E-2"/>
          <c:w val="0.81301135754635712"/>
          <c:h val="0.58394264645345029"/>
        </c:manualLayout>
      </c:layout>
      <c:lineChart>
        <c:grouping val="standard"/>
        <c:varyColors val="0"/>
        <c:ser>
          <c:idx val="2"/>
          <c:order val="2"/>
          <c:tx>
            <c:strRef>
              <c:f>'Financial summary'!$B$108</c:f>
              <c:strCache>
                <c:ptCount val="1"/>
                <c:pt idx="0">
                  <c:v>EBIT margin</c:v>
                </c:pt>
              </c:strCache>
            </c:strRef>
          </c:tx>
          <c:spPr>
            <a:ln w="25400">
              <a:solidFill>
                <a:srgbClr val="0000FF"/>
              </a:solidFill>
              <a:prstDash val="lgDash"/>
            </a:ln>
          </c:spPr>
          <c:marker>
            <c:symbol val="none"/>
          </c:marker>
          <c:cat>
            <c:strRef>
              <c:f>'Financial summary'!$C$97:$G$97</c:f>
              <c:strCache>
                <c:ptCount val="5"/>
                <c:pt idx="0">
                  <c:v>2018 </c:v>
                </c:pt>
                <c:pt idx="1">
                  <c:v>2019 </c:v>
                </c:pt>
                <c:pt idx="2">
                  <c:v>2020E</c:v>
                </c:pt>
                <c:pt idx="3">
                  <c:v>2021E</c:v>
                </c:pt>
                <c:pt idx="4">
                  <c:v>2022E</c:v>
                </c:pt>
              </c:strCache>
            </c:strRef>
          </c:cat>
          <c:val>
            <c:numRef>
              <c:f>'Financial summary'!$C$108:$G$108</c:f>
              <c:numCache>
                <c:formatCode>0.00_ </c:formatCode>
                <c:ptCount val="5"/>
                <c:pt idx="0">
                  <c:v>17.678213690108986</c:v>
                </c:pt>
                <c:pt idx="1">
                  <c:v>17.121196349259183</c:v>
                </c:pt>
                <c:pt idx="2">
                  <c:v>15.434907879221951</c:v>
                </c:pt>
                <c:pt idx="3">
                  <c:v>15.234758394101894</c:v>
                </c:pt>
                <c:pt idx="4">
                  <c:v>15.384309779593055</c:v>
                </c:pt>
              </c:numCache>
            </c:numRef>
          </c:val>
          <c:smooth val="0"/>
          <c:extLst xmlns:c16r2="http://schemas.microsoft.com/office/drawing/2015/06/chart">
            <c:ext xmlns:c16="http://schemas.microsoft.com/office/drawing/2014/chart" uri="{C3380CC4-5D6E-409C-BE32-E72D297353CC}">
              <c16:uniqueId val="{00000000-0EE5-43C7-A175-EB2F4BD3309B}"/>
            </c:ext>
          </c:extLst>
        </c:ser>
        <c:dLbls>
          <c:showLegendKey val="0"/>
          <c:showVal val="0"/>
          <c:showCatName val="0"/>
          <c:showSerName val="0"/>
          <c:showPercent val="0"/>
          <c:showBubbleSize val="0"/>
        </c:dLbls>
        <c:marker val="1"/>
        <c:smooth val="0"/>
        <c:axId val="-268075008"/>
        <c:axId val="-268103296"/>
      </c:lineChart>
      <c:lineChart>
        <c:grouping val="standard"/>
        <c:varyColors val="0"/>
        <c:ser>
          <c:idx val="0"/>
          <c:order val="0"/>
          <c:tx>
            <c:strRef>
              <c:f>'Financial summary'!$B$106</c:f>
              <c:strCache>
                <c:ptCount val="1"/>
                <c:pt idx="0">
                  <c:v>Gross margin</c:v>
                </c:pt>
              </c:strCache>
            </c:strRef>
          </c:tx>
          <c:spPr>
            <a:ln w="25400">
              <a:solidFill>
                <a:srgbClr val="000080"/>
              </a:solidFill>
              <a:prstDash val="solid"/>
            </a:ln>
          </c:spPr>
          <c:marker>
            <c:symbol val="none"/>
          </c:marker>
          <c:cat>
            <c:strRef>
              <c:f>'Financial summary'!$C$97:$G$97</c:f>
              <c:strCache>
                <c:ptCount val="5"/>
                <c:pt idx="0">
                  <c:v>2018 </c:v>
                </c:pt>
                <c:pt idx="1">
                  <c:v>2019 </c:v>
                </c:pt>
                <c:pt idx="2">
                  <c:v>2020E</c:v>
                </c:pt>
                <c:pt idx="3">
                  <c:v>2021E</c:v>
                </c:pt>
                <c:pt idx="4">
                  <c:v>2022E</c:v>
                </c:pt>
              </c:strCache>
            </c:strRef>
          </c:cat>
          <c:val>
            <c:numRef>
              <c:f>'Financial summary'!$C$106:$G$106</c:f>
              <c:numCache>
                <c:formatCode>0.00_ </c:formatCode>
                <c:ptCount val="5"/>
                <c:pt idx="0">
                  <c:v>19.667375452696501</c:v>
                </c:pt>
                <c:pt idx="1">
                  <c:v>20.364534280523451</c:v>
                </c:pt>
                <c:pt idx="2">
                  <c:v>20.316179094290064</c:v>
                </c:pt>
                <c:pt idx="3">
                  <c:v>20.116029609170006</c:v>
                </c:pt>
                <c:pt idx="4">
                  <c:v>20.265580994661171</c:v>
                </c:pt>
              </c:numCache>
            </c:numRef>
          </c:val>
          <c:smooth val="0"/>
          <c:extLst xmlns:c16r2="http://schemas.microsoft.com/office/drawing/2015/06/chart">
            <c:ext xmlns:c16="http://schemas.microsoft.com/office/drawing/2014/chart" uri="{C3380CC4-5D6E-409C-BE32-E72D297353CC}">
              <c16:uniqueId val="{00000001-0EE5-43C7-A175-EB2F4BD3309B}"/>
            </c:ext>
          </c:extLst>
        </c:ser>
        <c:ser>
          <c:idx val="1"/>
          <c:order val="1"/>
          <c:tx>
            <c:strRef>
              <c:f>'Financial summary'!$B$107</c:f>
              <c:strCache>
                <c:ptCount val="1"/>
                <c:pt idx="0">
                  <c:v>EBITDA margin</c:v>
                </c:pt>
              </c:strCache>
            </c:strRef>
          </c:tx>
          <c:spPr>
            <a:ln w="12700">
              <a:solidFill>
                <a:srgbClr val="FF6600"/>
              </a:solidFill>
              <a:prstDash val="solid"/>
            </a:ln>
          </c:spPr>
          <c:marker>
            <c:symbol val="none"/>
          </c:marker>
          <c:cat>
            <c:strRef>
              <c:f>'Financial summary'!$C$97:$G$97</c:f>
              <c:strCache>
                <c:ptCount val="5"/>
                <c:pt idx="0">
                  <c:v>2018 </c:v>
                </c:pt>
                <c:pt idx="1">
                  <c:v>2019 </c:v>
                </c:pt>
                <c:pt idx="2">
                  <c:v>2020E</c:v>
                </c:pt>
                <c:pt idx="3">
                  <c:v>2021E</c:v>
                </c:pt>
                <c:pt idx="4">
                  <c:v>2022E</c:v>
                </c:pt>
              </c:strCache>
            </c:strRef>
          </c:cat>
          <c:val>
            <c:numRef>
              <c:f>'Financial summary'!$C$107:$G$107</c:f>
              <c:numCache>
                <c:formatCode>0.00_ </c:formatCode>
                <c:ptCount val="5"/>
                <c:pt idx="0">
                  <c:v>19.597767026955854</c:v>
                </c:pt>
                <c:pt idx="1">
                  <c:v>18.871134118083113</c:v>
                </c:pt>
                <c:pt idx="2">
                  <c:v>16.567284731368879</c:v>
                </c:pt>
                <c:pt idx="3">
                  <c:v>16.367135246248822</c:v>
                </c:pt>
                <c:pt idx="4">
                  <c:v>16.516686631739983</c:v>
                </c:pt>
              </c:numCache>
            </c:numRef>
          </c:val>
          <c:smooth val="0"/>
          <c:extLst xmlns:c16r2="http://schemas.microsoft.com/office/drawing/2015/06/chart">
            <c:ext xmlns:c16="http://schemas.microsoft.com/office/drawing/2014/chart" uri="{C3380CC4-5D6E-409C-BE32-E72D297353CC}">
              <c16:uniqueId val="{00000002-0EE5-43C7-A175-EB2F4BD3309B}"/>
            </c:ext>
          </c:extLst>
        </c:ser>
        <c:dLbls>
          <c:showLegendKey val="0"/>
          <c:showVal val="0"/>
          <c:showCatName val="0"/>
          <c:showSerName val="0"/>
          <c:showPercent val="0"/>
          <c:showBubbleSize val="0"/>
        </c:dLbls>
        <c:marker val="1"/>
        <c:smooth val="0"/>
        <c:axId val="-268101664"/>
        <c:axId val="-268100576"/>
      </c:lineChart>
      <c:catAx>
        <c:axId val="-268075008"/>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宋体"/>
                <a:ea typeface="宋体"/>
                <a:cs typeface="宋体"/>
              </a:defRPr>
            </a:pPr>
            <a:endParaRPr lang="zh-CN"/>
          </a:p>
        </c:txPr>
        <c:crossAx val="-268103296"/>
        <c:crosses val="autoZero"/>
        <c:auto val="1"/>
        <c:lblAlgn val="ctr"/>
        <c:lblOffset val="100"/>
        <c:tickLblSkip val="1"/>
        <c:tickMarkSkip val="1"/>
        <c:noMultiLvlLbl val="0"/>
      </c:catAx>
      <c:valAx>
        <c:axId val="-268103296"/>
        <c:scaling>
          <c:orientation val="minMax"/>
        </c:scaling>
        <c:delete val="0"/>
        <c:axPos val="l"/>
        <c:numFmt formatCode="0_);[Red]\(0\)" sourceLinked="0"/>
        <c:majorTickMark val="in"/>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宋体"/>
                <a:ea typeface="宋体"/>
                <a:cs typeface="宋体"/>
              </a:defRPr>
            </a:pPr>
            <a:endParaRPr lang="zh-CN"/>
          </a:p>
        </c:txPr>
        <c:crossAx val="-268075008"/>
        <c:crosses val="autoZero"/>
        <c:crossBetween val="between"/>
      </c:valAx>
      <c:catAx>
        <c:axId val="-268101664"/>
        <c:scaling>
          <c:orientation val="minMax"/>
        </c:scaling>
        <c:delete val="1"/>
        <c:axPos val="t"/>
        <c:numFmt formatCode="General" sourceLinked="1"/>
        <c:majorTickMark val="out"/>
        <c:minorTickMark val="none"/>
        <c:tickLblPos val="nextTo"/>
        <c:crossAx val="-268100576"/>
        <c:crosses val="max"/>
        <c:auto val="1"/>
        <c:lblAlgn val="ctr"/>
        <c:lblOffset val="100"/>
        <c:noMultiLvlLbl val="0"/>
      </c:catAx>
      <c:valAx>
        <c:axId val="-268100576"/>
        <c:scaling>
          <c:orientation val="minMax"/>
        </c:scaling>
        <c:delete val="1"/>
        <c:axPos val="r"/>
        <c:numFmt formatCode="0.00_ " sourceLinked="1"/>
        <c:majorTickMark val="out"/>
        <c:minorTickMark val="none"/>
        <c:tickLblPos val="nextTo"/>
        <c:crossAx val="-268101664"/>
        <c:crosses val="max"/>
        <c:crossBetween val="between"/>
      </c:valAx>
      <c:spPr>
        <a:noFill/>
        <a:ln w="25400">
          <a:noFill/>
        </a:ln>
      </c:spPr>
    </c:plotArea>
    <c:legend>
      <c:legendPos val="r"/>
      <c:layout>
        <c:manualLayout>
          <c:xMode val="edge"/>
          <c:yMode val="edge"/>
          <c:x val="0.10162644303608391"/>
          <c:y val="0.85036649615878301"/>
          <c:w val="0.79675095491112391"/>
          <c:h val="0.1058394160583942"/>
        </c:manualLayout>
      </c:layout>
      <c:overlay val="0"/>
      <c:spPr>
        <a:solidFill>
          <a:srgbClr val="FFFFFF"/>
        </a:solidFill>
        <a:ln w="25400">
          <a:noFill/>
        </a:ln>
      </c:spPr>
      <c:txPr>
        <a:bodyPr/>
        <a:lstStyle/>
        <a:p>
          <a:pPr>
            <a:defRPr sz="550" b="0" i="0" u="none" strike="noStrike" baseline="0">
              <a:solidFill>
                <a:srgbClr val="000000"/>
              </a:solidFill>
              <a:latin typeface="宋体"/>
              <a:ea typeface="宋体"/>
              <a:cs typeface="宋体"/>
            </a:defRPr>
          </a:pPr>
          <a:endParaRPr lang="zh-CN"/>
        </a:p>
      </c:txPr>
    </c:legend>
    <c:plotVisOnly val="1"/>
    <c:dispBlanksAs val="gap"/>
    <c:showDLblsOverMax val="0"/>
  </c:chart>
  <c:spPr>
    <a:solidFill>
      <a:srgbClr val="FFFFFF"/>
    </a:solidFill>
    <a:ln w="9525">
      <a:noFill/>
    </a:ln>
  </c:spPr>
  <c:txPr>
    <a:bodyPr/>
    <a:lstStyle/>
    <a:p>
      <a:pPr>
        <a:defRPr sz="850" b="0" i="0" u="none" strike="noStrike" baseline="0">
          <a:solidFill>
            <a:srgbClr val="000000"/>
          </a:solidFill>
          <a:latin typeface="宋体"/>
          <a:ea typeface="宋体"/>
          <a:cs typeface="宋体"/>
        </a:defRPr>
      </a:pPr>
      <a:endParaRPr lang="zh-CN"/>
    </a:p>
  </c:txPr>
  <c:printSettings>
    <c:headerFooter alignWithMargins="0"/>
    <c:pageMargins b="1" l="0.75000000000000011" r="0.75000000000000011"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008181720741713"/>
          <c:y val="7.0370624893753245E-2"/>
          <c:w val="0.82520652790955251"/>
          <c:h val="0.67407651214016273"/>
        </c:manualLayout>
      </c:layout>
      <c:lineChart>
        <c:grouping val="standard"/>
        <c:varyColors val="0"/>
        <c:ser>
          <c:idx val="0"/>
          <c:order val="0"/>
          <c:tx>
            <c:strRef>
              <c:f>'Financial summary'!$B$104</c:f>
              <c:strCache>
                <c:ptCount val="1"/>
                <c:pt idx="0">
                  <c:v>ROIC</c:v>
                </c:pt>
              </c:strCache>
            </c:strRef>
          </c:tx>
          <c:spPr>
            <a:ln w="25400">
              <a:solidFill>
                <a:srgbClr val="000080"/>
              </a:solidFill>
              <a:prstDash val="solid"/>
            </a:ln>
          </c:spPr>
          <c:marker>
            <c:symbol val="none"/>
          </c:marker>
          <c:cat>
            <c:strRef>
              <c:f>'Financial summary'!$C$97:$G$97</c:f>
              <c:strCache>
                <c:ptCount val="5"/>
                <c:pt idx="0">
                  <c:v>2018 </c:v>
                </c:pt>
                <c:pt idx="1">
                  <c:v>2019 </c:v>
                </c:pt>
                <c:pt idx="2">
                  <c:v>2020E</c:v>
                </c:pt>
                <c:pt idx="3">
                  <c:v>2021E</c:v>
                </c:pt>
                <c:pt idx="4">
                  <c:v>2022E</c:v>
                </c:pt>
              </c:strCache>
            </c:strRef>
          </c:cat>
          <c:val>
            <c:numRef>
              <c:f>'Financial summary'!$C$104:$G$104</c:f>
              <c:numCache>
                <c:formatCode>0.00_ </c:formatCode>
                <c:ptCount val="5"/>
                <c:pt idx="0">
                  <c:v>14.463516119506798</c:v>
                </c:pt>
                <c:pt idx="1">
                  <c:v>19.384299582042459</c:v>
                </c:pt>
                <c:pt idx="2">
                  <c:v>19.078040528413894</c:v>
                </c:pt>
                <c:pt idx="3">
                  <c:v>18.548893896874734</c:v>
                </c:pt>
                <c:pt idx="4">
                  <c:v>18.959820865053079</c:v>
                </c:pt>
              </c:numCache>
            </c:numRef>
          </c:val>
          <c:smooth val="0"/>
          <c:extLst xmlns:c16r2="http://schemas.microsoft.com/office/drawing/2015/06/chart">
            <c:ext xmlns:c16="http://schemas.microsoft.com/office/drawing/2014/chart" uri="{C3380CC4-5D6E-409C-BE32-E72D297353CC}">
              <c16:uniqueId val="{00000000-A1AA-48CD-93EF-5E4487FB6531}"/>
            </c:ext>
          </c:extLst>
        </c:ser>
        <c:ser>
          <c:idx val="1"/>
          <c:order val="1"/>
          <c:tx>
            <c:strRef>
              <c:f>'Financial summary'!$B$105</c:f>
              <c:strCache>
                <c:ptCount val="1"/>
                <c:pt idx="0">
                  <c:v>ROE</c:v>
                </c:pt>
              </c:strCache>
            </c:strRef>
          </c:tx>
          <c:spPr>
            <a:ln w="12700">
              <a:solidFill>
                <a:srgbClr val="FF6600"/>
              </a:solidFill>
              <a:prstDash val="solid"/>
            </a:ln>
          </c:spPr>
          <c:marker>
            <c:symbol val="none"/>
          </c:marker>
          <c:cat>
            <c:strRef>
              <c:f>'Financial summary'!$C$97:$G$97</c:f>
              <c:strCache>
                <c:ptCount val="5"/>
                <c:pt idx="0">
                  <c:v>2018 </c:v>
                </c:pt>
                <c:pt idx="1">
                  <c:v>2019 </c:v>
                </c:pt>
                <c:pt idx="2">
                  <c:v>2020E</c:v>
                </c:pt>
                <c:pt idx="3">
                  <c:v>2021E</c:v>
                </c:pt>
                <c:pt idx="4">
                  <c:v>2022E</c:v>
                </c:pt>
              </c:strCache>
            </c:strRef>
          </c:cat>
          <c:val>
            <c:numRef>
              <c:f>'Financial summary'!$C$105:$G$105</c:f>
              <c:numCache>
                <c:formatCode>0.00_ </c:formatCode>
                <c:ptCount val="5"/>
                <c:pt idx="0">
                  <c:v>13.52669285414661</c:v>
                </c:pt>
                <c:pt idx="1">
                  <c:v>14.66766350136175</c:v>
                </c:pt>
                <c:pt idx="2">
                  <c:v>-28.083430300040551</c:v>
                </c:pt>
                <c:pt idx="3">
                  <c:v>-50.065927637330233</c:v>
                </c:pt>
                <c:pt idx="4">
                  <c:v>-99.104434715362387</c:v>
                </c:pt>
              </c:numCache>
            </c:numRef>
          </c:val>
          <c:smooth val="0"/>
          <c:extLst xmlns:c16r2="http://schemas.microsoft.com/office/drawing/2015/06/chart">
            <c:ext xmlns:c16="http://schemas.microsoft.com/office/drawing/2014/chart" uri="{C3380CC4-5D6E-409C-BE32-E72D297353CC}">
              <c16:uniqueId val="{00000001-A1AA-48CD-93EF-5E4487FB6531}"/>
            </c:ext>
          </c:extLst>
        </c:ser>
        <c:dLbls>
          <c:showLegendKey val="0"/>
          <c:showVal val="0"/>
          <c:showCatName val="0"/>
          <c:showSerName val="0"/>
          <c:showPercent val="0"/>
          <c:showBubbleSize val="0"/>
        </c:dLbls>
        <c:smooth val="0"/>
        <c:axId val="-268097856"/>
        <c:axId val="-268099488"/>
      </c:lineChart>
      <c:catAx>
        <c:axId val="-268097856"/>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宋体"/>
                <a:ea typeface="宋体"/>
                <a:cs typeface="宋体"/>
              </a:defRPr>
            </a:pPr>
            <a:endParaRPr lang="zh-CN"/>
          </a:p>
        </c:txPr>
        <c:crossAx val="-268099488"/>
        <c:crosses val="autoZero"/>
        <c:auto val="1"/>
        <c:lblAlgn val="ctr"/>
        <c:lblOffset val="100"/>
        <c:tickLblSkip val="1"/>
        <c:tickMarkSkip val="1"/>
        <c:noMultiLvlLbl val="0"/>
      </c:catAx>
      <c:valAx>
        <c:axId val="-268099488"/>
        <c:scaling>
          <c:orientation val="minMax"/>
        </c:scaling>
        <c:delete val="0"/>
        <c:axPos val="l"/>
        <c:numFmt formatCode="0_);[Red]\(0\)" sourceLinked="0"/>
        <c:majorTickMark val="in"/>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宋体"/>
                <a:ea typeface="宋体"/>
                <a:cs typeface="宋体"/>
              </a:defRPr>
            </a:pPr>
            <a:endParaRPr lang="zh-CN"/>
          </a:p>
        </c:txPr>
        <c:crossAx val="-268097856"/>
        <c:crosses val="autoZero"/>
        <c:crossBetween val="between"/>
      </c:valAx>
      <c:spPr>
        <a:noFill/>
        <a:ln w="25400">
          <a:noFill/>
        </a:ln>
      </c:spPr>
    </c:plotArea>
    <c:legend>
      <c:legendPos val="r"/>
      <c:layout>
        <c:manualLayout>
          <c:xMode val="edge"/>
          <c:yMode val="edge"/>
          <c:x val="0.32926957301069071"/>
          <c:y val="0.89629940701856714"/>
          <c:w val="0.4674813819004332"/>
          <c:h val="6.2963351803246859E-2"/>
        </c:manualLayout>
      </c:layout>
      <c:overlay val="0"/>
      <c:spPr>
        <a:solidFill>
          <a:srgbClr val="FFFFFF"/>
        </a:solidFill>
        <a:ln w="25400">
          <a:noFill/>
        </a:ln>
      </c:spPr>
      <c:txPr>
        <a:bodyPr/>
        <a:lstStyle/>
        <a:p>
          <a:pPr>
            <a:defRPr sz="780" b="0" i="0" u="none" strike="noStrike" baseline="0">
              <a:solidFill>
                <a:srgbClr val="000000"/>
              </a:solidFill>
              <a:latin typeface="宋体"/>
              <a:ea typeface="宋体"/>
              <a:cs typeface="宋体"/>
            </a:defRPr>
          </a:pPr>
          <a:endParaRPr lang="zh-CN"/>
        </a:p>
      </c:txPr>
    </c:legend>
    <c:plotVisOnly val="1"/>
    <c:dispBlanksAs val="gap"/>
    <c:showDLblsOverMax val="0"/>
  </c:chart>
  <c:spPr>
    <a:solidFill>
      <a:srgbClr val="FFFFFF"/>
    </a:solidFill>
    <a:ln w="9525">
      <a:noFill/>
    </a:ln>
  </c:spPr>
  <c:txPr>
    <a:bodyPr/>
    <a:lstStyle/>
    <a:p>
      <a:pPr>
        <a:defRPr sz="850" b="0" i="0" u="none" strike="noStrike" baseline="0">
          <a:solidFill>
            <a:srgbClr val="000000"/>
          </a:solidFill>
          <a:latin typeface="宋体"/>
          <a:ea typeface="宋体"/>
          <a:cs typeface="宋体"/>
        </a:defRPr>
      </a:pPr>
      <a:endParaRPr lang="zh-CN"/>
    </a:p>
  </c:txPr>
  <c:printSettings>
    <c:headerFooter alignWithMargins="0"/>
    <c:pageMargins b="1" l="0.75000000000000011" r="0.75000000000000011"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672170514557413"/>
          <c:y val="8.1481776192766905E-2"/>
          <c:w val="0.75819823858190061"/>
          <c:h val="0.75926200543260058"/>
        </c:manualLayout>
      </c:layout>
      <c:lineChart>
        <c:grouping val="standard"/>
        <c:varyColors val="0"/>
        <c:ser>
          <c:idx val="0"/>
          <c:order val="0"/>
          <c:tx>
            <c:strRef>
              <c:f>'Financial summary'!$B$109</c:f>
              <c:strCache>
                <c:ptCount val="1"/>
                <c:pt idx="0">
                  <c:v>Revenue growth (YoY)</c:v>
                </c:pt>
              </c:strCache>
            </c:strRef>
          </c:tx>
          <c:spPr>
            <a:ln w="25400">
              <a:solidFill>
                <a:srgbClr val="000080"/>
              </a:solidFill>
              <a:prstDash val="solid"/>
            </a:ln>
          </c:spPr>
          <c:marker>
            <c:symbol val="none"/>
          </c:marker>
          <c:cat>
            <c:strRef>
              <c:f>'Financial summary'!$C$97:$G$97</c:f>
              <c:strCache>
                <c:ptCount val="5"/>
                <c:pt idx="0">
                  <c:v>2018 </c:v>
                </c:pt>
                <c:pt idx="1">
                  <c:v>2019 </c:v>
                </c:pt>
                <c:pt idx="2">
                  <c:v>2020E</c:v>
                </c:pt>
                <c:pt idx="3">
                  <c:v>2021E</c:v>
                </c:pt>
                <c:pt idx="4">
                  <c:v>2022E</c:v>
                </c:pt>
              </c:strCache>
            </c:strRef>
          </c:cat>
          <c:val>
            <c:numRef>
              <c:f>'Financial summary'!$C$109:$G$109</c:f>
              <c:numCache>
                <c:formatCode>0.00_ </c:formatCode>
                <c:ptCount val="5"/>
                <c:pt idx="0">
                  <c:v>4.9033864924721504</c:v>
                </c:pt>
                <c:pt idx="1">
                  <c:v>32.609174934937421</c:v>
                </c:pt>
                <c:pt idx="2">
                  <c:v>0</c:v>
                </c:pt>
                <c:pt idx="3">
                  <c:v>0</c:v>
                </c:pt>
                <c:pt idx="4">
                  <c:v>0</c:v>
                </c:pt>
              </c:numCache>
            </c:numRef>
          </c:val>
          <c:smooth val="0"/>
          <c:extLst xmlns:c16r2="http://schemas.microsoft.com/office/drawing/2015/06/chart">
            <c:ext xmlns:c16="http://schemas.microsoft.com/office/drawing/2014/chart" uri="{C3380CC4-5D6E-409C-BE32-E72D297353CC}">
              <c16:uniqueId val="{00000000-6CBD-4F4D-82FE-0E3363FF055A}"/>
            </c:ext>
          </c:extLst>
        </c:ser>
        <c:ser>
          <c:idx val="1"/>
          <c:order val="1"/>
          <c:tx>
            <c:strRef>
              <c:f>'Financial summary'!$B$110</c:f>
              <c:strCache>
                <c:ptCount val="1"/>
                <c:pt idx="0">
                  <c:v>Net profit growth (YoY)</c:v>
                </c:pt>
              </c:strCache>
            </c:strRef>
          </c:tx>
          <c:spPr>
            <a:ln w="12700">
              <a:solidFill>
                <a:srgbClr val="FF6600"/>
              </a:solidFill>
              <a:prstDash val="solid"/>
            </a:ln>
          </c:spPr>
          <c:marker>
            <c:symbol val="none"/>
          </c:marker>
          <c:cat>
            <c:strRef>
              <c:f>'Financial summary'!$C$97:$G$97</c:f>
              <c:strCache>
                <c:ptCount val="5"/>
                <c:pt idx="0">
                  <c:v>2018 </c:v>
                </c:pt>
                <c:pt idx="1">
                  <c:v>2019 </c:v>
                </c:pt>
                <c:pt idx="2">
                  <c:v>2020E</c:v>
                </c:pt>
                <c:pt idx="3">
                  <c:v>2021E</c:v>
                </c:pt>
                <c:pt idx="4">
                  <c:v>2022E</c:v>
                </c:pt>
              </c:strCache>
            </c:strRef>
          </c:cat>
          <c:val>
            <c:numRef>
              <c:f>'Financial summary'!$C$110:$G$110</c:f>
              <c:numCache>
                <c:formatCode>0.00_ </c:formatCode>
                <c:ptCount val="5"/>
                <c:pt idx="0">
                  <c:v>28.377946953870996</c:v>
                </c:pt>
                <c:pt idx="1">
                  <c:v>27.394775617090538</c:v>
                </c:pt>
                <c:pt idx="2">
                  <c:v>-244.73201376453596</c:v>
                </c:pt>
                <c:pt idx="3">
                  <c:v>0</c:v>
                </c:pt>
                <c:pt idx="4">
                  <c:v>0</c:v>
                </c:pt>
              </c:numCache>
            </c:numRef>
          </c:val>
          <c:smooth val="0"/>
          <c:extLst xmlns:c16r2="http://schemas.microsoft.com/office/drawing/2015/06/chart">
            <c:ext xmlns:c16="http://schemas.microsoft.com/office/drawing/2014/chart" uri="{C3380CC4-5D6E-409C-BE32-E72D297353CC}">
              <c16:uniqueId val="{00000001-6CBD-4F4D-82FE-0E3363FF055A}"/>
            </c:ext>
          </c:extLst>
        </c:ser>
        <c:dLbls>
          <c:showLegendKey val="0"/>
          <c:showVal val="0"/>
          <c:showCatName val="0"/>
          <c:showSerName val="0"/>
          <c:showPercent val="0"/>
          <c:showBubbleSize val="0"/>
        </c:dLbls>
        <c:smooth val="0"/>
        <c:axId val="-268098400"/>
        <c:axId val="-268080448"/>
      </c:lineChart>
      <c:catAx>
        <c:axId val="-268098400"/>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宋体"/>
                <a:ea typeface="宋体"/>
                <a:cs typeface="宋体"/>
              </a:defRPr>
            </a:pPr>
            <a:endParaRPr lang="zh-CN"/>
          </a:p>
        </c:txPr>
        <c:crossAx val="-268080448"/>
        <c:crosses val="autoZero"/>
        <c:auto val="1"/>
        <c:lblAlgn val="ctr"/>
        <c:lblOffset val="100"/>
        <c:tickLblSkip val="1"/>
        <c:tickMarkSkip val="1"/>
        <c:noMultiLvlLbl val="0"/>
      </c:catAx>
      <c:valAx>
        <c:axId val="-268080448"/>
        <c:scaling>
          <c:orientation val="minMax"/>
        </c:scaling>
        <c:delete val="0"/>
        <c:axPos val="l"/>
        <c:numFmt formatCode="0_);[Red]\(0\)" sourceLinked="0"/>
        <c:majorTickMark val="in"/>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宋体"/>
                <a:ea typeface="宋体"/>
                <a:cs typeface="宋体"/>
              </a:defRPr>
            </a:pPr>
            <a:endParaRPr lang="zh-CN"/>
          </a:p>
        </c:txPr>
        <c:crossAx val="-268098400"/>
        <c:crosses val="autoZero"/>
        <c:crossBetween val="between"/>
      </c:valAx>
      <c:spPr>
        <a:noFill/>
        <a:ln w="25400">
          <a:noFill/>
        </a:ln>
      </c:spPr>
    </c:plotArea>
    <c:legend>
      <c:legendPos val="r"/>
      <c:layout>
        <c:manualLayout>
          <c:xMode val="edge"/>
          <c:yMode val="edge"/>
          <c:x val="7.3770491803278687E-2"/>
          <c:y val="0.88889199961115972"/>
          <c:w val="0.88524762273568258"/>
          <c:h val="6.2963351803246859E-2"/>
        </c:manualLayout>
      </c:layout>
      <c:overlay val="0"/>
      <c:spPr>
        <a:solidFill>
          <a:srgbClr val="FFFFFF"/>
        </a:solidFill>
        <a:ln w="25400">
          <a:noFill/>
        </a:ln>
      </c:spPr>
      <c:txPr>
        <a:bodyPr/>
        <a:lstStyle/>
        <a:p>
          <a:pPr>
            <a:defRPr sz="780" b="0" i="0" u="none" strike="noStrike" baseline="0">
              <a:solidFill>
                <a:srgbClr val="000000"/>
              </a:solidFill>
              <a:latin typeface="宋体"/>
              <a:ea typeface="宋体"/>
              <a:cs typeface="宋体"/>
            </a:defRPr>
          </a:pPr>
          <a:endParaRPr lang="zh-CN"/>
        </a:p>
      </c:txPr>
    </c:legend>
    <c:plotVisOnly val="1"/>
    <c:dispBlanksAs val="gap"/>
    <c:showDLblsOverMax val="0"/>
  </c:chart>
  <c:spPr>
    <a:solidFill>
      <a:srgbClr val="FFFFFF"/>
    </a:solidFill>
    <a:ln w="9525">
      <a:noFill/>
    </a:ln>
  </c:spPr>
  <c:txPr>
    <a:bodyPr/>
    <a:lstStyle/>
    <a:p>
      <a:pPr>
        <a:defRPr sz="850" b="0" i="0" u="none" strike="noStrike" baseline="0">
          <a:solidFill>
            <a:srgbClr val="000000"/>
          </a:solidFill>
          <a:latin typeface="宋体"/>
          <a:ea typeface="宋体"/>
          <a:cs typeface="宋体"/>
        </a:defRPr>
      </a:pPr>
      <a:endParaRPr lang="zh-CN"/>
    </a:p>
  </c:txPr>
  <c:printSettings>
    <c:headerFooter alignWithMargins="0"/>
    <c:pageMargins b="1" l="0.75000000000000011" r="0.75000000000000011"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524617228758223"/>
          <c:y val="5.185203939539712E-2"/>
          <c:w val="0.8114770337254934"/>
          <c:h val="0.733335985734902"/>
        </c:manualLayout>
      </c:layout>
      <c:lineChart>
        <c:grouping val="standard"/>
        <c:varyColors val="0"/>
        <c:ser>
          <c:idx val="0"/>
          <c:order val="0"/>
          <c:tx>
            <c:strRef>
              <c:f>'Financial summary'!$B$117</c:f>
              <c:strCache>
                <c:ptCount val="1"/>
                <c:pt idx="0">
                  <c:v>PE</c:v>
                </c:pt>
              </c:strCache>
            </c:strRef>
          </c:tx>
          <c:spPr>
            <a:ln w="25400">
              <a:solidFill>
                <a:srgbClr val="000080"/>
              </a:solidFill>
              <a:prstDash val="solid"/>
            </a:ln>
          </c:spPr>
          <c:marker>
            <c:symbol val="none"/>
          </c:marker>
          <c:cat>
            <c:strRef>
              <c:f>'Financial summary'!$C$97:$G$97</c:f>
              <c:strCache>
                <c:ptCount val="5"/>
                <c:pt idx="0">
                  <c:v>2018 </c:v>
                </c:pt>
                <c:pt idx="1">
                  <c:v>2019 </c:v>
                </c:pt>
                <c:pt idx="2">
                  <c:v>2020E</c:v>
                </c:pt>
                <c:pt idx="3">
                  <c:v>2021E</c:v>
                </c:pt>
                <c:pt idx="4">
                  <c:v>2022E</c:v>
                </c:pt>
              </c:strCache>
            </c:strRef>
          </c:cat>
          <c:val>
            <c:numRef>
              <c:f>'Financial summary'!$C$117:$G$117</c:f>
              <c:numCache>
                <c:formatCode>0.00_ </c:formatCode>
                <c:ptCount val="5"/>
                <c:pt idx="0">
                  <c:v>30.3852783702838</c:v>
                </c:pt>
                <c:pt idx="1">
                  <c:v>23.851275080237663</c:v>
                </c:pt>
                <c:pt idx="2">
                  <c:v>-16.47961253343799</c:v>
                </c:pt>
                <c:pt idx="3">
                  <c:v>-13.871932938869227</c:v>
                </c:pt>
                <c:pt idx="4">
                  <c:v>-13.95298388275252</c:v>
                </c:pt>
              </c:numCache>
            </c:numRef>
          </c:val>
          <c:smooth val="0"/>
          <c:extLst xmlns:c16r2="http://schemas.microsoft.com/office/drawing/2015/06/chart">
            <c:ext xmlns:c16="http://schemas.microsoft.com/office/drawing/2014/chart" uri="{C3380CC4-5D6E-409C-BE32-E72D297353CC}">
              <c16:uniqueId val="{00000000-BD0F-466C-AAA8-D87423258308}"/>
            </c:ext>
          </c:extLst>
        </c:ser>
        <c:ser>
          <c:idx val="1"/>
          <c:order val="1"/>
          <c:tx>
            <c:strRef>
              <c:f>'Financial summary'!$B$120</c:f>
              <c:strCache>
                <c:ptCount val="1"/>
                <c:pt idx="0">
                  <c:v>EV/EBITDA</c:v>
                </c:pt>
              </c:strCache>
            </c:strRef>
          </c:tx>
          <c:spPr>
            <a:ln w="12700">
              <a:solidFill>
                <a:srgbClr val="FF6600"/>
              </a:solidFill>
              <a:prstDash val="solid"/>
            </a:ln>
          </c:spPr>
          <c:marker>
            <c:symbol val="none"/>
          </c:marker>
          <c:cat>
            <c:strRef>
              <c:f>'Financial summary'!$C$97:$G$97</c:f>
              <c:strCache>
                <c:ptCount val="5"/>
                <c:pt idx="0">
                  <c:v>2018 </c:v>
                </c:pt>
                <c:pt idx="1">
                  <c:v>2019 </c:v>
                </c:pt>
                <c:pt idx="2">
                  <c:v>2020E</c:v>
                </c:pt>
                <c:pt idx="3">
                  <c:v>2021E</c:v>
                </c:pt>
                <c:pt idx="4">
                  <c:v>2022E</c:v>
                </c:pt>
              </c:strCache>
            </c:strRef>
          </c:cat>
          <c:val>
            <c:numRef>
              <c:f>'Financial summary'!$C$120:$G$120</c:f>
              <c:numCache>
                <c:formatCode>0.00_ </c:formatCode>
                <c:ptCount val="5"/>
                <c:pt idx="0">
                  <c:v>23.731649934569372</c:v>
                </c:pt>
                <c:pt idx="1">
                  <c:v>17.621616736366839</c:v>
                </c:pt>
                <c:pt idx="2">
                  <c:v>21.189045136993204</c:v>
                </c:pt>
                <c:pt idx="3">
                  <c:v>23.089903287238965</c:v>
                </c:pt>
                <c:pt idx="4">
                  <c:v>24.381531589130887</c:v>
                </c:pt>
              </c:numCache>
            </c:numRef>
          </c:val>
          <c:smooth val="0"/>
          <c:extLst xmlns:c16r2="http://schemas.microsoft.com/office/drawing/2015/06/chart">
            <c:ext xmlns:c16="http://schemas.microsoft.com/office/drawing/2014/chart" uri="{C3380CC4-5D6E-409C-BE32-E72D297353CC}">
              <c16:uniqueId val="{00000001-BD0F-466C-AAA8-D87423258308}"/>
            </c:ext>
          </c:extLst>
        </c:ser>
        <c:dLbls>
          <c:showLegendKey val="0"/>
          <c:showVal val="0"/>
          <c:showCatName val="0"/>
          <c:showSerName val="0"/>
          <c:showPercent val="0"/>
          <c:showBubbleSize val="0"/>
        </c:dLbls>
        <c:smooth val="0"/>
        <c:axId val="-268094592"/>
        <c:axId val="-268079904"/>
      </c:lineChart>
      <c:catAx>
        <c:axId val="-268094592"/>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宋体"/>
                <a:ea typeface="宋体"/>
                <a:cs typeface="宋体"/>
              </a:defRPr>
            </a:pPr>
            <a:endParaRPr lang="zh-CN"/>
          </a:p>
        </c:txPr>
        <c:crossAx val="-268079904"/>
        <c:crosses val="autoZero"/>
        <c:auto val="1"/>
        <c:lblAlgn val="ctr"/>
        <c:lblOffset val="100"/>
        <c:tickLblSkip val="1"/>
        <c:tickMarkSkip val="1"/>
        <c:noMultiLvlLbl val="0"/>
      </c:catAx>
      <c:valAx>
        <c:axId val="-268079904"/>
        <c:scaling>
          <c:orientation val="minMax"/>
        </c:scaling>
        <c:delete val="0"/>
        <c:axPos val="l"/>
        <c:numFmt formatCode="0_ " sourceLinked="0"/>
        <c:majorTickMark val="in"/>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宋体"/>
                <a:ea typeface="宋体"/>
                <a:cs typeface="宋体"/>
              </a:defRPr>
            </a:pPr>
            <a:endParaRPr lang="zh-CN"/>
          </a:p>
        </c:txPr>
        <c:crossAx val="-268094592"/>
        <c:crosses val="autoZero"/>
        <c:crossBetween val="between"/>
      </c:valAx>
      <c:spPr>
        <a:noFill/>
        <a:ln w="25400">
          <a:noFill/>
        </a:ln>
      </c:spPr>
    </c:plotArea>
    <c:legend>
      <c:legendPos val="r"/>
      <c:layout>
        <c:manualLayout>
          <c:xMode val="edge"/>
          <c:yMode val="edge"/>
          <c:x val="0.2827873155199862"/>
          <c:y val="0.89259570331486338"/>
          <c:w val="0.5942635859042209"/>
          <c:h val="6.2963351803246859E-2"/>
        </c:manualLayout>
      </c:layout>
      <c:overlay val="0"/>
      <c:spPr>
        <a:solidFill>
          <a:srgbClr val="FFFFFF"/>
        </a:solidFill>
        <a:ln w="25400">
          <a:noFill/>
        </a:ln>
      </c:spPr>
      <c:txPr>
        <a:bodyPr/>
        <a:lstStyle/>
        <a:p>
          <a:pPr>
            <a:defRPr sz="780" b="0" i="0" u="none" strike="noStrike" baseline="0">
              <a:solidFill>
                <a:srgbClr val="000000"/>
              </a:solidFill>
              <a:latin typeface="宋体"/>
              <a:ea typeface="宋体"/>
              <a:cs typeface="宋体"/>
            </a:defRPr>
          </a:pPr>
          <a:endParaRPr lang="zh-CN"/>
        </a:p>
      </c:txPr>
    </c:legend>
    <c:plotVisOnly val="1"/>
    <c:dispBlanksAs val="gap"/>
    <c:showDLblsOverMax val="0"/>
  </c:chart>
  <c:spPr>
    <a:solidFill>
      <a:srgbClr val="FFFFFF"/>
    </a:solidFill>
    <a:ln w="9525">
      <a:noFill/>
    </a:ln>
  </c:spPr>
  <c:txPr>
    <a:bodyPr/>
    <a:lstStyle/>
    <a:p>
      <a:pPr>
        <a:defRPr sz="850" b="0" i="0" u="none" strike="noStrike" baseline="0">
          <a:solidFill>
            <a:srgbClr val="000000"/>
          </a:solidFill>
          <a:latin typeface="宋体"/>
          <a:ea typeface="宋体"/>
          <a:cs typeface="宋体"/>
        </a:defRPr>
      </a:pPr>
      <a:endParaRPr lang="zh-CN"/>
    </a:p>
  </c:txPr>
  <c:printSettings>
    <c:headerFooter alignWithMargins="0"/>
    <c:pageMargins b="1" l="0.75000000000000011" r="0.75000000000000011"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590213143196776"/>
          <c:y val="6.3348416289592771E-2"/>
          <c:w val="0.70901781229550698"/>
          <c:h val="0.66968325791855221"/>
        </c:manualLayout>
      </c:layout>
      <c:barChart>
        <c:barDir val="col"/>
        <c:grouping val="clustered"/>
        <c:varyColors val="0"/>
        <c:ser>
          <c:idx val="0"/>
          <c:order val="0"/>
          <c:tx>
            <c:strRef>
              <c:f>'Financial summary'!$B$50</c:f>
              <c:strCache>
                <c:ptCount val="1"/>
                <c:pt idx="0">
                  <c:v>Cash flow from operating activities</c:v>
                </c:pt>
              </c:strCache>
            </c:strRef>
          </c:tx>
          <c:spPr>
            <a:solidFill>
              <a:srgbClr val="000080"/>
            </a:solidFill>
            <a:ln w="25400">
              <a:noFill/>
            </a:ln>
          </c:spPr>
          <c:invertIfNegative val="0"/>
          <c:cat>
            <c:strRef>
              <c:f>'Financial summary'!$C$43:$G$43</c:f>
              <c:strCache>
                <c:ptCount val="5"/>
                <c:pt idx="0">
                  <c:v>2018 </c:v>
                </c:pt>
                <c:pt idx="1">
                  <c:v>2019 </c:v>
                </c:pt>
                <c:pt idx="2">
                  <c:v>2020E</c:v>
                </c:pt>
                <c:pt idx="3">
                  <c:v>2021E</c:v>
                </c:pt>
                <c:pt idx="4">
                  <c:v>2022E</c:v>
                </c:pt>
              </c:strCache>
            </c:strRef>
          </c:cat>
          <c:val>
            <c:numRef>
              <c:f>'Financial summary'!$C$50:$G$50</c:f>
              <c:numCache>
                <c:formatCode>#,##0_);[Red]\(#,##0\)</c:formatCode>
                <c:ptCount val="5"/>
                <c:pt idx="0">
                  <c:v>169.57404037999999</c:v>
                </c:pt>
                <c:pt idx="1">
                  <c:v>434.94165099000003</c:v>
                </c:pt>
                <c:pt idx="2">
                  <c:v>1303.2606716906575</c:v>
                </c:pt>
                <c:pt idx="3">
                  <c:v>809.86751966137558</c:v>
                </c:pt>
                <c:pt idx="4">
                  <c:v>942.77298903490146</c:v>
                </c:pt>
              </c:numCache>
            </c:numRef>
          </c:val>
          <c:extLst xmlns:c16r2="http://schemas.microsoft.com/office/drawing/2015/06/chart">
            <c:ext xmlns:c16="http://schemas.microsoft.com/office/drawing/2014/chart" uri="{C3380CC4-5D6E-409C-BE32-E72D297353CC}">
              <c16:uniqueId val="{00000000-5934-4E99-B84E-AAB8A7399551}"/>
            </c:ext>
          </c:extLst>
        </c:ser>
        <c:ser>
          <c:idx val="1"/>
          <c:order val="1"/>
          <c:tx>
            <c:strRef>
              <c:f>'Financial summary'!$B$51</c:f>
              <c:strCache>
                <c:ptCount val="1"/>
                <c:pt idx="0">
                  <c:v>Capex</c:v>
                </c:pt>
              </c:strCache>
            </c:strRef>
          </c:tx>
          <c:spPr>
            <a:solidFill>
              <a:srgbClr val="FF6600"/>
            </a:solidFill>
            <a:ln w="25400">
              <a:noFill/>
            </a:ln>
          </c:spPr>
          <c:invertIfNegative val="0"/>
          <c:cat>
            <c:strRef>
              <c:f>'Financial summary'!$C$43:$G$43</c:f>
              <c:strCache>
                <c:ptCount val="5"/>
                <c:pt idx="0">
                  <c:v>2018 </c:v>
                </c:pt>
                <c:pt idx="1">
                  <c:v>2019 </c:v>
                </c:pt>
                <c:pt idx="2">
                  <c:v>2020E</c:v>
                </c:pt>
                <c:pt idx="3">
                  <c:v>2021E</c:v>
                </c:pt>
                <c:pt idx="4">
                  <c:v>2022E</c:v>
                </c:pt>
              </c:strCache>
            </c:strRef>
          </c:cat>
          <c:val>
            <c:numRef>
              <c:f>'Financial summary'!$C$51:$G$51</c:f>
              <c:numCache>
                <c:formatCode>#,##0_);[Red]\(#,##0\)</c:formatCode>
                <c:ptCount val="5"/>
                <c:pt idx="0">
                  <c:v>195.18588192000001</c:v>
                </c:pt>
                <c:pt idx="1">
                  <c:v>47.023880430000006</c:v>
                </c:pt>
                <c:pt idx="2">
                  <c:v>-66.626262619999991</c:v>
                </c:pt>
                <c:pt idx="3">
                  <c:v>-66.626262619999991</c:v>
                </c:pt>
                <c:pt idx="4">
                  <c:v>-66.626262619999991</c:v>
                </c:pt>
              </c:numCache>
            </c:numRef>
          </c:val>
          <c:extLst xmlns:c16r2="http://schemas.microsoft.com/office/drawing/2015/06/chart">
            <c:ext xmlns:c16="http://schemas.microsoft.com/office/drawing/2014/chart" uri="{C3380CC4-5D6E-409C-BE32-E72D297353CC}">
              <c16:uniqueId val="{00000001-5934-4E99-B84E-AAB8A7399551}"/>
            </c:ext>
          </c:extLst>
        </c:ser>
        <c:dLbls>
          <c:showLegendKey val="0"/>
          <c:showVal val="0"/>
          <c:showCatName val="0"/>
          <c:showSerName val="0"/>
          <c:showPercent val="0"/>
          <c:showBubbleSize val="0"/>
        </c:dLbls>
        <c:gapWidth val="150"/>
        <c:axId val="-268097312"/>
        <c:axId val="-268079360"/>
      </c:barChart>
      <c:catAx>
        <c:axId val="-268097312"/>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宋体"/>
                <a:ea typeface="宋体"/>
                <a:cs typeface="宋体"/>
              </a:defRPr>
            </a:pPr>
            <a:endParaRPr lang="zh-CN"/>
          </a:p>
        </c:txPr>
        <c:crossAx val="-268079360"/>
        <c:crosses val="autoZero"/>
        <c:auto val="1"/>
        <c:lblAlgn val="ctr"/>
        <c:lblOffset val="100"/>
        <c:tickLblSkip val="1"/>
        <c:tickMarkSkip val="1"/>
        <c:noMultiLvlLbl val="0"/>
      </c:catAx>
      <c:valAx>
        <c:axId val="-268079360"/>
        <c:scaling>
          <c:orientation val="minMax"/>
        </c:scaling>
        <c:delete val="0"/>
        <c:axPos val="l"/>
        <c:numFmt formatCode="#,##0_);[Red]\(#,##0\)" sourceLinked="1"/>
        <c:majorTickMark val="in"/>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宋体"/>
                <a:ea typeface="宋体"/>
                <a:cs typeface="宋体"/>
              </a:defRPr>
            </a:pPr>
            <a:endParaRPr lang="zh-CN"/>
          </a:p>
        </c:txPr>
        <c:crossAx val="-268097312"/>
        <c:crosses val="autoZero"/>
        <c:crossBetween val="between"/>
      </c:valAx>
      <c:spPr>
        <a:noFill/>
        <a:ln w="25400">
          <a:noFill/>
        </a:ln>
      </c:spPr>
    </c:plotArea>
    <c:legend>
      <c:legendPos val="r"/>
      <c:layout>
        <c:manualLayout>
          <c:xMode val="edge"/>
          <c:yMode val="edge"/>
          <c:x val="0.2827873155199862"/>
          <c:y val="0.84162895927601811"/>
          <c:w val="0.69262424164192593"/>
          <c:h val="8.1447963800905021E-2"/>
        </c:manualLayout>
      </c:layout>
      <c:overlay val="0"/>
      <c:spPr>
        <a:solidFill>
          <a:srgbClr val="FFFFFF"/>
        </a:solidFill>
        <a:ln w="25400">
          <a:noFill/>
        </a:ln>
      </c:spPr>
      <c:txPr>
        <a:bodyPr/>
        <a:lstStyle/>
        <a:p>
          <a:pPr>
            <a:defRPr sz="825" b="0" i="0" u="none" strike="noStrike" baseline="0">
              <a:solidFill>
                <a:srgbClr val="000000"/>
              </a:solidFill>
              <a:latin typeface="宋体"/>
              <a:ea typeface="宋体"/>
              <a:cs typeface="宋体"/>
            </a:defRPr>
          </a:pPr>
          <a:endParaRPr lang="zh-CN"/>
        </a:p>
      </c:txPr>
    </c:legend>
    <c:plotVisOnly val="1"/>
    <c:dispBlanksAs val="gap"/>
    <c:showDLblsOverMax val="0"/>
  </c:chart>
  <c:spPr>
    <a:solidFill>
      <a:srgbClr val="FFFFFF"/>
    </a:solidFill>
    <a:ln w="9525">
      <a:noFill/>
    </a:ln>
  </c:spPr>
  <c:txPr>
    <a:bodyPr/>
    <a:lstStyle/>
    <a:p>
      <a:pPr>
        <a:defRPr sz="900" b="0" i="0" u="none" strike="noStrike" baseline="0">
          <a:solidFill>
            <a:srgbClr val="000000"/>
          </a:solidFill>
          <a:latin typeface="宋体"/>
          <a:ea typeface="宋体"/>
          <a:cs typeface="宋体"/>
        </a:defRPr>
      </a:pPr>
      <a:endParaRPr lang="zh-CN"/>
    </a:p>
  </c:txPr>
  <c:printSettings>
    <c:headerFooter alignWithMargins="0"/>
    <c:pageMargins b="1" l="0.75000000000000011" r="0.75000000000000011"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3469387755102042"/>
          <c:y val="0.29010238907849834"/>
          <c:w val="0.43673469387755115"/>
          <c:h val="0.36518771331058031"/>
        </c:manualLayout>
      </c:layout>
      <c:pieChart>
        <c:varyColors val="1"/>
        <c:ser>
          <c:idx val="0"/>
          <c:order val="0"/>
          <c:spPr>
            <a:solidFill>
              <a:srgbClr val="9999FF"/>
            </a:solidFill>
            <a:ln w="25400">
              <a:noFill/>
            </a:ln>
          </c:spPr>
          <c:explosion val="5"/>
          <c:dPt>
            <c:idx val="0"/>
            <c:bubble3D val="0"/>
            <c:spPr>
              <a:solidFill>
                <a:srgbClr val="000080"/>
              </a:solidFill>
              <a:ln w="25400">
                <a:noFill/>
              </a:ln>
            </c:spPr>
          </c:dPt>
          <c:dPt>
            <c:idx val="1"/>
            <c:bubble3D val="0"/>
            <c:spPr>
              <a:solidFill>
                <a:srgbClr val="FF6600"/>
              </a:solidFill>
              <a:ln w="25400">
                <a:noFill/>
              </a:ln>
            </c:spPr>
          </c:dPt>
          <c:dPt>
            <c:idx val="2"/>
            <c:bubble3D val="0"/>
            <c:spPr>
              <a:solidFill>
                <a:srgbClr val="0000FF"/>
              </a:solidFill>
              <a:ln w="25400">
                <a:noFill/>
              </a:ln>
            </c:spPr>
          </c:dPt>
          <c:dPt>
            <c:idx val="3"/>
            <c:bubble3D val="0"/>
            <c:spPr>
              <a:solidFill>
                <a:srgbClr val="FF9900"/>
              </a:solidFill>
              <a:ln w="25400">
                <a:noFill/>
              </a:ln>
            </c:spPr>
          </c:dPt>
          <c:dPt>
            <c:idx val="4"/>
            <c:bubble3D val="0"/>
            <c:spPr>
              <a:solidFill>
                <a:srgbClr val="3366FF"/>
              </a:solidFill>
              <a:ln w="25400">
                <a:noFill/>
              </a:ln>
            </c:spPr>
          </c:dPt>
          <c:dLbls>
            <c:dLbl>
              <c:idx val="0"/>
              <c:layout>
                <c:manualLayout>
                  <c:x val="5.8711661042369731E-2"/>
                  <c:y val="-5.7674701925058067E-3"/>
                </c:manualLayout>
              </c:layout>
              <c:numFmt formatCode="0%" sourceLinked="0"/>
              <c:spPr>
                <a:noFill/>
                <a:ln w="25400">
                  <a:noFill/>
                </a:ln>
              </c:spPr>
              <c:txPr>
                <a:bodyPr/>
                <a:lstStyle/>
                <a:p>
                  <a:pPr>
                    <a:defRPr sz="975" b="0" i="0" u="none" strike="noStrike" baseline="0">
                      <a:solidFill>
                        <a:srgbClr val="000000"/>
                      </a:solidFill>
                      <a:latin typeface="宋体"/>
                      <a:ea typeface="宋体"/>
                      <a:cs typeface="宋体"/>
                    </a:defRPr>
                  </a:pPr>
                  <a:endParaRPr lang="zh-CN"/>
                </a:p>
              </c:txPr>
              <c:dLblPos val="bestFit"/>
              <c:showLegendKey val="0"/>
              <c:showVal val="0"/>
              <c:showCatName val="1"/>
              <c:showSerName val="0"/>
              <c:showPercent val="1"/>
              <c:showBubbleSize val="0"/>
              <c:extLst>
                <c:ext xmlns:c15="http://schemas.microsoft.com/office/drawing/2012/chart" uri="{CE6537A1-D6FC-4f65-9D91-7224C49458BB}"/>
              </c:extLst>
            </c:dLbl>
            <c:dLbl>
              <c:idx val="1"/>
              <c:layout>
                <c:manualLayout>
                  <c:x val="5.0548395736247281E-2"/>
                  <c:y val="4.490356794137941E-2"/>
                </c:manualLayout>
              </c:layout>
              <c:numFmt formatCode="0%" sourceLinked="0"/>
              <c:spPr>
                <a:noFill/>
                <a:ln w="25400">
                  <a:noFill/>
                </a:ln>
              </c:spPr>
              <c:txPr>
                <a:bodyPr/>
                <a:lstStyle/>
                <a:p>
                  <a:pPr>
                    <a:defRPr sz="975" b="0" i="0" u="none" strike="noStrike" baseline="0">
                      <a:solidFill>
                        <a:srgbClr val="000000"/>
                      </a:solidFill>
                      <a:latin typeface="宋体"/>
                      <a:ea typeface="宋体"/>
                      <a:cs typeface="宋体"/>
                    </a:defRPr>
                  </a:pPr>
                  <a:endParaRPr lang="zh-CN"/>
                </a:p>
              </c:txPr>
              <c:dLblPos val="bestFit"/>
              <c:showLegendKey val="0"/>
              <c:showVal val="0"/>
              <c:showCatName val="1"/>
              <c:showSerName val="0"/>
              <c:showPercent val="1"/>
              <c:showBubbleSize val="0"/>
              <c:extLst>
                <c:ext xmlns:c15="http://schemas.microsoft.com/office/drawing/2012/chart" uri="{CE6537A1-D6FC-4f65-9D91-7224C49458BB}"/>
              </c:extLst>
            </c:dLbl>
            <c:dLbl>
              <c:idx val="2"/>
              <c:layout>
                <c:manualLayout>
                  <c:x val="-8.1843912368096849E-2"/>
                  <c:y val="2.4425752241720614E-2"/>
                </c:manualLayout>
              </c:layout>
              <c:numFmt formatCode="0%" sourceLinked="0"/>
              <c:spPr>
                <a:noFill/>
                <a:ln w="25400">
                  <a:noFill/>
                </a:ln>
              </c:spPr>
              <c:txPr>
                <a:bodyPr/>
                <a:lstStyle/>
                <a:p>
                  <a:pPr>
                    <a:defRPr sz="975" b="0" i="0" u="none" strike="noStrike" baseline="0">
                      <a:solidFill>
                        <a:srgbClr val="000000"/>
                      </a:solidFill>
                      <a:latin typeface="宋体"/>
                      <a:ea typeface="宋体"/>
                      <a:cs typeface="宋体"/>
                    </a:defRPr>
                  </a:pPr>
                  <a:endParaRPr lang="zh-CN"/>
                </a:p>
              </c:txPr>
              <c:dLblPos val="bestFit"/>
              <c:showLegendKey val="0"/>
              <c:showVal val="0"/>
              <c:showCatName val="1"/>
              <c:showSerName val="0"/>
              <c:showPercent val="1"/>
              <c:showBubbleSize val="0"/>
              <c:extLst>
                <c:ext xmlns:c15="http://schemas.microsoft.com/office/drawing/2012/chart" uri="{CE6537A1-D6FC-4f65-9D91-7224C49458BB}"/>
              </c:extLst>
            </c:dLbl>
            <c:dLbl>
              <c:idx val="3"/>
              <c:layout>
                <c:manualLayout>
                  <c:x val="-9.0007177674219271E-2"/>
                  <c:y val="4.8840038339917437E-2"/>
                </c:manualLayout>
              </c:layout>
              <c:numFmt formatCode="0%" sourceLinked="0"/>
              <c:spPr>
                <a:noFill/>
                <a:ln w="25400">
                  <a:noFill/>
                </a:ln>
              </c:spPr>
              <c:txPr>
                <a:bodyPr/>
                <a:lstStyle/>
                <a:p>
                  <a:pPr>
                    <a:defRPr sz="975" b="0" i="0" u="none" strike="noStrike" baseline="0">
                      <a:solidFill>
                        <a:srgbClr val="000000"/>
                      </a:solidFill>
                      <a:latin typeface="宋体"/>
                      <a:ea typeface="宋体"/>
                      <a:cs typeface="宋体"/>
                    </a:defRPr>
                  </a:pPr>
                  <a:endParaRPr lang="zh-CN"/>
                </a:p>
              </c:txPr>
              <c:dLblPos val="bestFit"/>
              <c:showLegendKey val="0"/>
              <c:showVal val="0"/>
              <c:showCatName val="1"/>
              <c:showSerName val="0"/>
              <c:showPercent val="1"/>
              <c:showBubbleSize val="0"/>
              <c:extLst>
                <c:ext xmlns:c15="http://schemas.microsoft.com/office/drawing/2012/chart" uri="{CE6537A1-D6FC-4f65-9D91-7224C49458BB}"/>
              </c:extLst>
            </c:dLbl>
            <c:dLbl>
              <c:idx val="4"/>
              <c:layout>
                <c:manualLayout>
                  <c:x val="-5.6017140714553541E-2"/>
                  <c:y val="-1.5673218013102692E-2"/>
                </c:manualLayout>
              </c:layout>
              <c:dLblPos val="bestFit"/>
              <c:showLegendKey val="0"/>
              <c:showVal val="0"/>
              <c:showCatName val="1"/>
              <c:showSerName val="0"/>
              <c:showPercent val="1"/>
              <c:showBubbleSize val="0"/>
              <c:extLst>
                <c:ext xmlns:c15="http://schemas.microsoft.com/office/drawing/2012/chart" uri="{CE6537A1-D6FC-4f65-9D91-7224C49458BB}"/>
              </c:extLst>
            </c:dLbl>
            <c:numFmt formatCode="0%" sourceLinked="0"/>
            <c:spPr>
              <a:noFill/>
              <a:ln w="25400">
                <a:noFill/>
              </a:ln>
            </c:spPr>
            <c:txPr>
              <a:bodyPr wrap="square" lIns="38100" tIns="19050" rIns="38100" bIns="19050" anchor="ctr">
                <a:spAutoFit/>
              </a:bodyPr>
              <a:lstStyle/>
              <a:p>
                <a:pPr>
                  <a:defRPr sz="975" b="0" i="0" u="none" strike="noStrike" baseline="0">
                    <a:solidFill>
                      <a:srgbClr val="000000"/>
                    </a:solidFill>
                    <a:latin typeface="宋体"/>
                    <a:ea typeface="宋体"/>
                    <a:cs typeface="宋体"/>
                  </a:defRPr>
                </a:pPr>
                <a:endParaRPr lang="zh-CN"/>
              </a:p>
            </c:txPr>
            <c:dLblPos val="bestFit"/>
            <c:showLegendKey val="0"/>
            <c:showVal val="0"/>
            <c:showCatName val="1"/>
            <c:showSerName val="0"/>
            <c:showPercent val="1"/>
            <c:showBubbleSize val="0"/>
            <c:showLeaderLines val="1"/>
            <c:extLst>
              <c:ext xmlns:c15="http://schemas.microsoft.com/office/drawing/2012/chart" uri="{CE6537A1-D6FC-4f65-9D91-7224C49458BB}"/>
            </c:extLst>
          </c:dLbls>
          <c:cat>
            <c:strRef>
              <c:f>财务摘要!$B$8:$B$12</c:f>
              <c:strCache>
                <c:ptCount val="5"/>
                <c:pt idx="0">
                  <c:v>A产品</c:v>
                </c:pt>
                <c:pt idx="1">
                  <c:v>B产品</c:v>
                </c:pt>
                <c:pt idx="2">
                  <c:v>C产品</c:v>
                </c:pt>
                <c:pt idx="3">
                  <c:v>D产品</c:v>
                </c:pt>
                <c:pt idx="4">
                  <c:v>E产品</c:v>
                </c:pt>
              </c:strCache>
            </c:strRef>
          </c:cat>
          <c:val>
            <c:numRef>
              <c:f>财务摘要!$D$8:$D$12</c:f>
              <c:numCache>
                <c:formatCode>#,##0_);[Red]\(#,##0\)</c:formatCode>
                <c:ptCount val="5"/>
                <c:pt idx="0">
                  <c:v>1</c:v>
                </c:pt>
                <c:pt idx="1">
                  <c:v>1</c:v>
                </c:pt>
                <c:pt idx="2">
                  <c:v>1</c:v>
                </c:pt>
                <c:pt idx="3">
                  <c:v>1</c:v>
                </c:pt>
                <c:pt idx="4">
                  <c:v>1</c:v>
                </c:pt>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9525">
      <a:noFill/>
    </a:ln>
  </c:spPr>
  <c:txPr>
    <a:bodyPr/>
    <a:lstStyle/>
    <a:p>
      <a:pPr>
        <a:defRPr sz="850" b="0" i="0" u="none" strike="noStrike" baseline="0">
          <a:solidFill>
            <a:srgbClr val="000000"/>
          </a:solidFill>
          <a:latin typeface="宋体"/>
          <a:ea typeface="宋体"/>
          <a:cs typeface="宋体"/>
        </a:defRPr>
      </a:pPr>
      <a:endParaRPr lang="zh-CN"/>
    </a:p>
  </c:txPr>
  <c:printSettings>
    <c:headerFooter alignWithMargins="0"/>
    <c:pageMargins b="1" l="0.75000000000000011" r="0.75000000000000011" t="1" header="0.5" footer="0.5"/>
    <c:pageSetup paperSize="9" orientation="landscape" horizontalDpi="-4" verticalDpi="0"/>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5365994053266536"/>
          <c:y val="0.30662020905923354"/>
          <c:w val="0.39837556519771516"/>
          <c:h val="0.34146341463414637"/>
        </c:manualLayout>
      </c:layout>
      <c:pieChart>
        <c:varyColors val="1"/>
        <c:ser>
          <c:idx val="0"/>
          <c:order val="0"/>
          <c:spPr>
            <a:solidFill>
              <a:srgbClr val="9999FF"/>
            </a:solidFill>
            <a:ln w="25400">
              <a:noFill/>
            </a:ln>
          </c:spPr>
          <c:dPt>
            <c:idx val="0"/>
            <c:bubble3D val="0"/>
            <c:spPr>
              <a:solidFill>
                <a:srgbClr val="000080"/>
              </a:solidFill>
              <a:ln w="25400">
                <a:noFill/>
              </a:ln>
            </c:spPr>
          </c:dPt>
          <c:dPt>
            <c:idx val="1"/>
            <c:bubble3D val="0"/>
            <c:spPr>
              <a:solidFill>
                <a:srgbClr val="FF6600"/>
              </a:solidFill>
              <a:ln w="25400">
                <a:noFill/>
              </a:ln>
            </c:spPr>
          </c:dPt>
          <c:dPt>
            <c:idx val="2"/>
            <c:bubble3D val="0"/>
            <c:spPr>
              <a:solidFill>
                <a:srgbClr val="0000FF"/>
              </a:solidFill>
              <a:ln w="25400">
                <a:noFill/>
              </a:ln>
            </c:spPr>
          </c:dPt>
          <c:dPt>
            <c:idx val="3"/>
            <c:bubble3D val="0"/>
            <c:spPr>
              <a:solidFill>
                <a:srgbClr val="FF9900"/>
              </a:solidFill>
              <a:ln w="25400">
                <a:noFill/>
              </a:ln>
            </c:spPr>
          </c:dPt>
          <c:dPt>
            <c:idx val="4"/>
            <c:bubble3D val="0"/>
            <c:spPr>
              <a:solidFill>
                <a:srgbClr val="3366FF"/>
              </a:solidFill>
              <a:ln w="25400">
                <a:noFill/>
              </a:ln>
            </c:spPr>
          </c:dPt>
          <c:dLbls>
            <c:dLbl>
              <c:idx val="0"/>
              <c:layout>
                <c:manualLayout>
                  <c:x val="6.5798666965766403E-2"/>
                  <c:y val="1.3406129111909793E-2"/>
                </c:manualLayout>
              </c:layout>
              <c:numFmt formatCode="0%" sourceLinked="0"/>
              <c:spPr>
                <a:noFill/>
                <a:ln w="25400">
                  <a:noFill/>
                </a:ln>
              </c:spPr>
              <c:txPr>
                <a:bodyPr/>
                <a:lstStyle/>
                <a:p>
                  <a:pPr>
                    <a:defRPr sz="975" b="0" i="0" u="none" strike="noStrike" baseline="0">
                      <a:solidFill>
                        <a:srgbClr val="000000"/>
                      </a:solidFill>
                      <a:latin typeface="宋体"/>
                      <a:ea typeface="宋体"/>
                      <a:cs typeface="宋体"/>
                    </a:defRPr>
                  </a:pPr>
                  <a:endParaRPr lang="zh-CN"/>
                </a:p>
              </c:txPr>
              <c:dLblPos val="bestFit"/>
              <c:showLegendKey val="0"/>
              <c:showVal val="0"/>
              <c:showCatName val="1"/>
              <c:showSerName val="0"/>
              <c:showPercent val="1"/>
              <c:showBubbleSize val="0"/>
              <c:extLst>
                <c:ext xmlns:c15="http://schemas.microsoft.com/office/drawing/2012/chart" uri="{CE6537A1-D6FC-4f65-9D91-7224C49458BB}"/>
              </c:extLst>
            </c:dLbl>
            <c:dLbl>
              <c:idx val="1"/>
              <c:layout>
                <c:manualLayout>
                  <c:x val="8.2058894116693551E-2"/>
                  <c:y val="4.8661600226800876E-2"/>
                </c:manualLayout>
              </c:layout>
              <c:numFmt formatCode="0%" sourceLinked="0"/>
              <c:spPr>
                <a:noFill/>
                <a:ln w="25400">
                  <a:noFill/>
                </a:ln>
              </c:spPr>
              <c:txPr>
                <a:bodyPr/>
                <a:lstStyle/>
                <a:p>
                  <a:pPr>
                    <a:defRPr sz="975" b="0" i="0" u="none" strike="noStrike" baseline="0">
                      <a:solidFill>
                        <a:srgbClr val="000000"/>
                      </a:solidFill>
                      <a:latin typeface="宋体"/>
                      <a:ea typeface="宋体"/>
                      <a:cs typeface="宋体"/>
                    </a:defRPr>
                  </a:pPr>
                  <a:endParaRPr lang="zh-CN"/>
                </a:p>
              </c:txPr>
              <c:dLblPos val="bestFit"/>
              <c:showLegendKey val="0"/>
              <c:showVal val="0"/>
              <c:showCatName val="1"/>
              <c:showSerName val="0"/>
              <c:showPercent val="1"/>
              <c:showBubbleSize val="0"/>
              <c:extLst>
                <c:ext xmlns:c15="http://schemas.microsoft.com/office/drawing/2012/chart" uri="{CE6537A1-D6FC-4f65-9D91-7224C49458BB}"/>
              </c:extLst>
            </c:dLbl>
            <c:dLbl>
              <c:idx val="2"/>
              <c:layout>
                <c:manualLayout>
                  <c:x val="-0.10442043923703849"/>
                  <c:y val="3.4724317996835716E-2"/>
                </c:manualLayout>
              </c:layout>
              <c:numFmt formatCode="0%" sourceLinked="0"/>
              <c:spPr>
                <a:noFill/>
                <a:ln w="25400">
                  <a:noFill/>
                </a:ln>
              </c:spPr>
              <c:txPr>
                <a:bodyPr/>
                <a:lstStyle/>
                <a:p>
                  <a:pPr>
                    <a:defRPr sz="975" b="0" i="0" u="none" strike="noStrike" baseline="0">
                      <a:solidFill>
                        <a:srgbClr val="000000"/>
                      </a:solidFill>
                      <a:latin typeface="宋体"/>
                      <a:ea typeface="宋体"/>
                      <a:cs typeface="宋体"/>
                    </a:defRPr>
                  </a:pPr>
                  <a:endParaRPr lang="zh-CN"/>
                </a:p>
              </c:txPr>
              <c:dLblPos val="bestFit"/>
              <c:showLegendKey val="0"/>
              <c:showVal val="0"/>
              <c:showCatName val="1"/>
              <c:showSerName val="0"/>
              <c:showPercent val="1"/>
              <c:showBubbleSize val="0"/>
              <c:extLst>
                <c:ext xmlns:c15="http://schemas.microsoft.com/office/drawing/2012/chart" uri="{CE6537A1-D6FC-4f65-9D91-7224C49458BB}"/>
              </c:extLst>
            </c:dLbl>
            <c:dLbl>
              <c:idx val="3"/>
              <c:layout>
                <c:manualLayout>
                  <c:x val="-0.1003553824493067"/>
                  <c:y val="3.0827731899366207E-2"/>
                </c:manualLayout>
              </c:layout>
              <c:numFmt formatCode="0%" sourceLinked="0"/>
              <c:spPr>
                <a:noFill/>
                <a:ln w="25400">
                  <a:noFill/>
                </a:ln>
              </c:spPr>
              <c:txPr>
                <a:bodyPr/>
                <a:lstStyle/>
                <a:p>
                  <a:pPr>
                    <a:defRPr sz="975" b="0" i="0" u="none" strike="noStrike" baseline="0">
                      <a:solidFill>
                        <a:srgbClr val="000000"/>
                      </a:solidFill>
                      <a:latin typeface="宋体"/>
                      <a:ea typeface="宋体"/>
                      <a:cs typeface="宋体"/>
                    </a:defRPr>
                  </a:pPr>
                  <a:endParaRPr lang="zh-CN"/>
                </a:p>
              </c:txPr>
              <c:dLblPos val="bestFit"/>
              <c:showLegendKey val="0"/>
              <c:showVal val="0"/>
              <c:showCatName val="1"/>
              <c:showSerName val="0"/>
              <c:showPercent val="1"/>
              <c:showBubbleSize val="0"/>
              <c:extLst>
                <c:ext xmlns:c15="http://schemas.microsoft.com/office/drawing/2012/chart" uri="{CE6537A1-D6FC-4f65-9D91-7224C49458BB}"/>
              </c:extLst>
            </c:dLbl>
            <c:dLbl>
              <c:idx val="4"/>
              <c:layout>
                <c:manualLayout>
                  <c:x val="-5.0205065830185858E-2"/>
                  <c:y val="-4.1462434383202101E-2"/>
                </c:manualLayout>
              </c:layout>
              <c:numFmt formatCode="0%" sourceLinked="0"/>
              <c:spPr>
                <a:noFill/>
                <a:ln w="25400">
                  <a:noFill/>
                </a:ln>
              </c:spPr>
              <c:txPr>
                <a:bodyPr/>
                <a:lstStyle/>
                <a:p>
                  <a:pPr>
                    <a:defRPr sz="975" b="0" i="0" u="none" strike="noStrike" baseline="0">
                      <a:solidFill>
                        <a:srgbClr val="000000"/>
                      </a:solidFill>
                      <a:latin typeface="宋体"/>
                      <a:ea typeface="宋体"/>
                      <a:cs typeface="宋体"/>
                    </a:defRPr>
                  </a:pPr>
                  <a:endParaRPr lang="zh-CN"/>
                </a:p>
              </c:txPr>
              <c:dLblPos val="bestFit"/>
              <c:showLegendKey val="0"/>
              <c:showVal val="0"/>
              <c:showCatName val="1"/>
              <c:showSerName val="0"/>
              <c:showPercent val="1"/>
              <c:showBubbleSize val="0"/>
              <c:extLst>
                <c:ext xmlns:c15="http://schemas.microsoft.com/office/drawing/2012/chart" uri="{CE6537A1-D6FC-4f65-9D91-7224C49458BB}"/>
              </c:extLst>
            </c:dLbl>
            <c:numFmt formatCode="0%" sourceLinked="0"/>
            <c:spPr>
              <a:noFill/>
              <a:ln w="25400">
                <a:noFill/>
              </a:ln>
            </c:spPr>
            <c:txPr>
              <a:bodyPr wrap="square" lIns="38100" tIns="19050" rIns="38100" bIns="19050" anchor="ctr">
                <a:spAutoFit/>
              </a:bodyPr>
              <a:lstStyle/>
              <a:p>
                <a:pPr>
                  <a:defRPr sz="975" b="0" i="0" u="none" strike="noStrike" baseline="0">
                    <a:solidFill>
                      <a:srgbClr val="000000"/>
                    </a:solidFill>
                    <a:latin typeface="宋体"/>
                    <a:ea typeface="宋体"/>
                    <a:cs typeface="宋体"/>
                  </a:defRPr>
                </a:pPr>
                <a:endParaRPr lang="zh-CN"/>
              </a:p>
            </c:txPr>
            <c:dLblPos val="bestFit"/>
            <c:showLegendKey val="0"/>
            <c:showVal val="0"/>
            <c:showCatName val="1"/>
            <c:showSerName val="0"/>
            <c:showPercent val="1"/>
            <c:showBubbleSize val="0"/>
            <c:showLeaderLines val="1"/>
            <c:extLst>
              <c:ext xmlns:c15="http://schemas.microsoft.com/office/drawing/2012/chart" uri="{CE6537A1-D6FC-4f65-9D91-7224C49458BB}"/>
            </c:extLst>
          </c:dLbls>
          <c:cat>
            <c:strRef>
              <c:f>财务摘要!$B$15:$B$19</c:f>
              <c:strCache>
                <c:ptCount val="5"/>
                <c:pt idx="0">
                  <c:v>A产品</c:v>
                </c:pt>
                <c:pt idx="1">
                  <c:v>B产品</c:v>
                </c:pt>
                <c:pt idx="2">
                  <c:v>C产品</c:v>
                </c:pt>
                <c:pt idx="3">
                  <c:v>D产品</c:v>
                </c:pt>
                <c:pt idx="4">
                  <c:v>E产品</c:v>
                </c:pt>
              </c:strCache>
            </c:strRef>
          </c:cat>
          <c:val>
            <c:numRef>
              <c:f>财务摘要!$D$15:$D$19</c:f>
              <c:numCache>
                <c:formatCode>#,##0_);[Red]\(#,##0\)</c:formatCode>
                <c:ptCount val="5"/>
                <c:pt idx="0">
                  <c:v>1</c:v>
                </c:pt>
                <c:pt idx="1">
                  <c:v>1</c:v>
                </c:pt>
                <c:pt idx="2">
                  <c:v>1</c:v>
                </c:pt>
                <c:pt idx="3">
                  <c:v>1</c:v>
                </c:pt>
                <c:pt idx="4">
                  <c:v>1</c:v>
                </c:pt>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9525">
      <a:noFill/>
    </a:ln>
  </c:spPr>
  <c:txPr>
    <a:bodyPr/>
    <a:lstStyle/>
    <a:p>
      <a:pPr>
        <a:defRPr sz="825" b="0" i="0" u="none" strike="noStrike" baseline="0">
          <a:solidFill>
            <a:srgbClr val="000000"/>
          </a:solidFill>
          <a:latin typeface="宋体"/>
          <a:ea typeface="宋体"/>
          <a:cs typeface="宋体"/>
        </a:defRPr>
      </a:pPr>
      <a:endParaRPr lang="zh-CN"/>
    </a:p>
  </c:txPr>
  <c:printSettings>
    <c:headerFooter alignWithMargins="0"/>
    <c:pageMargins b="1" l="0.75000000000000011" r="0.75000000000000011"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414687399514891"/>
          <c:y val="5.1094981564676893E-2"/>
          <c:w val="0.81301135754635712"/>
          <c:h val="0.58394264645345029"/>
        </c:manualLayout>
      </c:layout>
      <c:lineChart>
        <c:grouping val="standard"/>
        <c:varyColors val="0"/>
        <c:ser>
          <c:idx val="2"/>
          <c:order val="2"/>
          <c:tx>
            <c:strRef>
              <c:f>财务摘要!$B$108</c:f>
              <c:strCache>
                <c:ptCount val="1"/>
                <c:pt idx="0">
                  <c:v>EBIT  Margin</c:v>
                </c:pt>
              </c:strCache>
            </c:strRef>
          </c:tx>
          <c:spPr>
            <a:ln w="25400">
              <a:solidFill>
                <a:srgbClr val="0000FF"/>
              </a:solidFill>
              <a:prstDash val="lgDash"/>
            </a:ln>
          </c:spPr>
          <c:marker>
            <c:symbol val="none"/>
          </c:marker>
          <c:cat>
            <c:strRef>
              <c:f>财务摘要!$C$97:$G$97</c:f>
              <c:strCache>
                <c:ptCount val="5"/>
                <c:pt idx="0">
                  <c:v>2018 </c:v>
                </c:pt>
                <c:pt idx="1">
                  <c:v>2019 </c:v>
                </c:pt>
                <c:pt idx="2">
                  <c:v>2020E</c:v>
                </c:pt>
                <c:pt idx="3">
                  <c:v>2021E</c:v>
                </c:pt>
                <c:pt idx="4">
                  <c:v>2022E</c:v>
                </c:pt>
              </c:strCache>
            </c:strRef>
          </c:cat>
          <c:val>
            <c:numRef>
              <c:f>财务摘要!$C$108:$G$108</c:f>
              <c:numCache>
                <c:formatCode>0.0_);[Red]\(0.0\)</c:formatCode>
                <c:ptCount val="5"/>
                <c:pt idx="0">
                  <c:v>17.678213690108986</c:v>
                </c:pt>
                <c:pt idx="1">
                  <c:v>17.121196349259183</c:v>
                </c:pt>
                <c:pt idx="2">
                  <c:v>15.434907879221951</c:v>
                </c:pt>
                <c:pt idx="3">
                  <c:v>15.234758394101894</c:v>
                </c:pt>
                <c:pt idx="4">
                  <c:v>15.384309779593055</c:v>
                </c:pt>
              </c:numCache>
            </c:numRef>
          </c:val>
          <c:smooth val="0"/>
        </c:ser>
        <c:dLbls>
          <c:showLegendKey val="0"/>
          <c:showVal val="0"/>
          <c:showCatName val="0"/>
          <c:showSerName val="0"/>
          <c:showPercent val="0"/>
          <c:showBubbleSize val="0"/>
        </c:dLbls>
        <c:marker val="1"/>
        <c:smooth val="0"/>
        <c:axId val="-268093504"/>
        <c:axId val="-268078272"/>
      </c:lineChart>
      <c:lineChart>
        <c:grouping val="standard"/>
        <c:varyColors val="0"/>
        <c:ser>
          <c:idx val="0"/>
          <c:order val="0"/>
          <c:tx>
            <c:strRef>
              <c:f>财务摘要!$B$106</c:f>
              <c:strCache>
                <c:ptCount val="1"/>
                <c:pt idx="0">
                  <c:v>毛利率</c:v>
                </c:pt>
              </c:strCache>
            </c:strRef>
          </c:tx>
          <c:spPr>
            <a:ln w="25400">
              <a:solidFill>
                <a:srgbClr val="000080"/>
              </a:solidFill>
              <a:prstDash val="solid"/>
            </a:ln>
          </c:spPr>
          <c:marker>
            <c:symbol val="none"/>
          </c:marker>
          <c:cat>
            <c:strRef>
              <c:f>财务摘要!$C$97:$G$97</c:f>
              <c:strCache>
                <c:ptCount val="5"/>
                <c:pt idx="0">
                  <c:v>2018 </c:v>
                </c:pt>
                <c:pt idx="1">
                  <c:v>2019 </c:v>
                </c:pt>
                <c:pt idx="2">
                  <c:v>2020E</c:v>
                </c:pt>
                <c:pt idx="3">
                  <c:v>2021E</c:v>
                </c:pt>
                <c:pt idx="4">
                  <c:v>2022E</c:v>
                </c:pt>
              </c:strCache>
            </c:strRef>
          </c:cat>
          <c:val>
            <c:numRef>
              <c:f>财务摘要!$C$106:$G$106</c:f>
              <c:numCache>
                <c:formatCode>0.0_);[Red]\(0.0\)</c:formatCode>
                <c:ptCount val="5"/>
                <c:pt idx="0">
                  <c:v>19.667375452696501</c:v>
                </c:pt>
                <c:pt idx="1">
                  <c:v>20.364534280523451</c:v>
                </c:pt>
                <c:pt idx="2">
                  <c:v>20.316179094290064</c:v>
                </c:pt>
                <c:pt idx="3">
                  <c:v>20.116029609170006</c:v>
                </c:pt>
                <c:pt idx="4">
                  <c:v>20.265580994661171</c:v>
                </c:pt>
              </c:numCache>
            </c:numRef>
          </c:val>
          <c:smooth val="0"/>
        </c:ser>
        <c:ser>
          <c:idx val="1"/>
          <c:order val="1"/>
          <c:tx>
            <c:strRef>
              <c:f>财务摘要!$B$107</c:f>
              <c:strCache>
                <c:ptCount val="1"/>
                <c:pt idx="0">
                  <c:v>EBITDA Margin</c:v>
                </c:pt>
              </c:strCache>
            </c:strRef>
          </c:tx>
          <c:spPr>
            <a:ln w="12700">
              <a:solidFill>
                <a:srgbClr val="FF6600"/>
              </a:solidFill>
              <a:prstDash val="solid"/>
            </a:ln>
          </c:spPr>
          <c:marker>
            <c:symbol val="none"/>
          </c:marker>
          <c:cat>
            <c:strRef>
              <c:f>财务摘要!$C$97:$G$97</c:f>
              <c:strCache>
                <c:ptCount val="5"/>
                <c:pt idx="0">
                  <c:v>2018 </c:v>
                </c:pt>
                <c:pt idx="1">
                  <c:v>2019 </c:v>
                </c:pt>
                <c:pt idx="2">
                  <c:v>2020E</c:v>
                </c:pt>
                <c:pt idx="3">
                  <c:v>2021E</c:v>
                </c:pt>
                <c:pt idx="4">
                  <c:v>2022E</c:v>
                </c:pt>
              </c:strCache>
            </c:strRef>
          </c:cat>
          <c:val>
            <c:numRef>
              <c:f>财务摘要!$C$107:$G$107</c:f>
              <c:numCache>
                <c:formatCode>0.0_);[Red]\(0.0\)</c:formatCode>
                <c:ptCount val="5"/>
                <c:pt idx="0">
                  <c:v>19.597767026955854</c:v>
                </c:pt>
                <c:pt idx="1">
                  <c:v>18.871134118083113</c:v>
                </c:pt>
                <c:pt idx="2">
                  <c:v>16.567284731368879</c:v>
                </c:pt>
                <c:pt idx="3">
                  <c:v>16.367135246248822</c:v>
                </c:pt>
                <c:pt idx="4">
                  <c:v>16.516686631739983</c:v>
                </c:pt>
              </c:numCache>
            </c:numRef>
          </c:val>
          <c:smooth val="0"/>
        </c:ser>
        <c:dLbls>
          <c:showLegendKey val="0"/>
          <c:showVal val="0"/>
          <c:showCatName val="0"/>
          <c:showSerName val="0"/>
          <c:showPercent val="0"/>
          <c:showBubbleSize val="0"/>
        </c:dLbls>
        <c:marker val="1"/>
        <c:smooth val="0"/>
        <c:axId val="-268077728"/>
        <c:axId val="-267761520"/>
      </c:lineChart>
      <c:catAx>
        <c:axId val="-268093504"/>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宋体"/>
                <a:ea typeface="宋体"/>
                <a:cs typeface="宋体"/>
              </a:defRPr>
            </a:pPr>
            <a:endParaRPr lang="zh-CN"/>
          </a:p>
        </c:txPr>
        <c:crossAx val="-268078272"/>
        <c:crosses val="autoZero"/>
        <c:auto val="1"/>
        <c:lblAlgn val="ctr"/>
        <c:lblOffset val="100"/>
        <c:tickLblSkip val="1"/>
        <c:tickMarkSkip val="1"/>
        <c:noMultiLvlLbl val="0"/>
      </c:catAx>
      <c:valAx>
        <c:axId val="-268078272"/>
        <c:scaling>
          <c:orientation val="minMax"/>
        </c:scaling>
        <c:delete val="0"/>
        <c:axPos val="l"/>
        <c:numFmt formatCode="0_);[Red]\(0\)" sourceLinked="0"/>
        <c:majorTickMark val="in"/>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宋体"/>
                <a:ea typeface="宋体"/>
                <a:cs typeface="宋体"/>
              </a:defRPr>
            </a:pPr>
            <a:endParaRPr lang="zh-CN"/>
          </a:p>
        </c:txPr>
        <c:crossAx val="-268093504"/>
        <c:crosses val="autoZero"/>
        <c:crossBetween val="between"/>
      </c:valAx>
      <c:catAx>
        <c:axId val="-268077728"/>
        <c:scaling>
          <c:orientation val="minMax"/>
        </c:scaling>
        <c:delete val="1"/>
        <c:axPos val="t"/>
        <c:numFmt formatCode="General" sourceLinked="1"/>
        <c:majorTickMark val="out"/>
        <c:minorTickMark val="none"/>
        <c:tickLblPos val="nextTo"/>
        <c:crossAx val="-267761520"/>
        <c:crosses val="max"/>
        <c:auto val="1"/>
        <c:lblAlgn val="ctr"/>
        <c:lblOffset val="100"/>
        <c:noMultiLvlLbl val="0"/>
      </c:catAx>
      <c:valAx>
        <c:axId val="-267761520"/>
        <c:scaling>
          <c:orientation val="minMax"/>
        </c:scaling>
        <c:delete val="1"/>
        <c:axPos val="r"/>
        <c:numFmt formatCode="0.0_);[Red]\(0.0\)" sourceLinked="1"/>
        <c:majorTickMark val="out"/>
        <c:minorTickMark val="none"/>
        <c:tickLblPos val="nextTo"/>
        <c:crossAx val="-268077728"/>
        <c:crosses val="max"/>
        <c:crossBetween val="between"/>
      </c:valAx>
      <c:spPr>
        <a:noFill/>
        <a:ln w="25400">
          <a:noFill/>
        </a:ln>
      </c:spPr>
    </c:plotArea>
    <c:legend>
      <c:legendPos val="r"/>
      <c:layout>
        <c:manualLayout>
          <c:xMode val="edge"/>
          <c:yMode val="edge"/>
          <c:x val="0.10162644303608391"/>
          <c:y val="0.85036649615878301"/>
          <c:w val="0.79675095491112391"/>
          <c:h val="0.1058394160583942"/>
        </c:manualLayout>
      </c:layout>
      <c:overlay val="0"/>
      <c:spPr>
        <a:solidFill>
          <a:srgbClr val="FFFFFF"/>
        </a:solidFill>
        <a:ln w="25400">
          <a:noFill/>
        </a:ln>
      </c:spPr>
      <c:txPr>
        <a:bodyPr/>
        <a:lstStyle/>
        <a:p>
          <a:pPr>
            <a:defRPr sz="550" b="0" i="0" u="none" strike="noStrike" baseline="0">
              <a:solidFill>
                <a:srgbClr val="000000"/>
              </a:solidFill>
              <a:latin typeface="宋体"/>
              <a:ea typeface="宋体"/>
              <a:cs typeface="宋体"/>
            </a:defRPr>
          </a:pPr>
          <a:endParaRPr lang="zh-CN"/>
        </a:p>
      </c:txPr>
    </c:legend>
    <c:plotVisOnly val="1"/>
    <c:dispBlanksAs val="gap"/>
    <c:showDLblsOverMax val="0"/>
  </c:chart>
  <c:spPr>
    <a:solidFill>
      <a:srgbClr val="FFFFFF"/>
    </a:solidFill>
    <a:ln w="9525">
      <a:noFill/>
    </a:ln>
  </c:spPr>
  <c:txPr>
    <a:bodyPr/>
    <a:lstStyle/>
    <a:p>
      <a:pPr>
        <a:defRPr sz="850" b="0" i="0" u="none" strike="noStrike" baseline="0">
          <a:solidFill>
            <a:srgbClr val="000000"/>
          </a:solidFill>
          <a:latin typeface="宋体"/>
          <a:ea typeface="宋体"/>
          <a:cs typeface="宋体"/>
        </a:defRPr>
      </a:pPr>
      <a:endParaRPr lang="zh-CN"/>
    </a:p>
  </c:txPr>
  <c:printSettings>
    <c:headerFooter alignWithMargins="0"/>
    <c:pageMargins b="1" l="0.75000000000000011" r="0.75000000000000011"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008181720741713"/>
          <c:y val="7.0370624893753245E-2"/>
          <c:w val="0.82520652790955251"/>
          <c:h val="0.67407651214016273"/>
        </c:manualLayout>
      </c:layout>
      <c:lineChart>
        <c:grouping val="standard"/>
        <c:varyColors val="0"/>
        <c:ser>
          <c:idx val="0"/>
          <c:order val="0"/>
          <c:tx>
            <c:strRef>
              <c:f>财务摘要!$B$104</c:f>
              <c:strCache>
                <c:ptCount val="1"/>
                <c:pt idx="0">
                  <c:v>ROIC</c:v>
                </c:pt>
              </c:strCache>
            </c:strRef>
          </c:tx>
          <c:spPr>
            <a:ln w="25400">
              <a:solidFill>
                <a:srgbClr val="000080"/>
              </a:solidFill>
              <a:prstDash val="solid"/>
            </a:ln>
          </c:spPr>
          <c:marker>
            <c:symbol val="none"/>
          </c:marker>
          <c:cat>
            <c:strRef>
              <c:f>财务摘要!$C$97:$G$97</c:f>
              <c:strCache>
                <c:ptCount val="5"/>
                <c:pt idx="0">
                  <c:v>2018 </c:v>
                </c:pt>
                <c:pt idx="1">
                  <c:v>2019 </c:v>
                </c:pt>
                <c:pt idx="2">
                  <c:v>2020E</c:v>
                </c:pt>
                <c:pt idx="3">
                  <c:v>2021E</c:v>
                </c:pt>
                <c:pt idx="4">
                  <c:v>2022E</c:v>
                </c:pt>
              </c:strCache>
            </c:strRef>
          </c:cat>
          <c:val>
            <c:numRef>
              <c:f>财务摘要!$C$104:$G$104</c:f>
              <c:numCache>
                <c:formatCode>0.0_);[Red]\(0.0\)</c:formatCode>
                <c:ptCount val="5"/>
                <c:pt idx="0">
                  <c:v>14.463516119506798</c:v>
                </c:pt>
                <c:pt idx="1">
                  <c:v>19.384299582042459</c:v>
                </c:pt>
                <c:pt idx="2">
                  <c:v>19.078040528413894</c:v>
                </c:pt>
                <c:pt idx="3">
                  <c:v>18.548893896874734</c:v>
                </c:pt>
                <c:pt idx="4">
                  <c:v>18.959820865053079</c:v>
                </c:pt>
              </c:numCache>
            </c:numRef>
          </c:val>
          <c:smooth val="0"/>
        </c:ser>
        <c:ser>
          <c:idx val="1"/>
          <c:order val="1"/>
          <c:tx>
            <c:strRef>
              <c:f>财务摘要!$B$105</c:f>
              <c:strCache>
                <c:ptCount val="1"/>
                <c:pt idx="0">
                  <c:v>ROE</c:v>
                </c:pt>
              </c:strCache>
            </c:strRef>
          </c:tx>
          <c:spPr>
            <a:ln w="12700">
              <a:solidFill>
                <a:srgbClr val="FF6600"/>
              </a:solidFill>
              <a:prstDash val="solid"/>
            </a:ln>
          </c:spPr>
          <c:marker>
            <c:symbol val="none"/>
          </c:marker>
          <c:cat>
            <c:strRef>
              <c:f>财务摘要!$C$97:$G$97</c:f>
              <c:strCache>
                <c:ptCount val="5"/>
                <c:pt idx="0">
                  <c:v>2018 </c:v>
                </c:pt>
                <c:pt idx="1">
                  <c:v>2019 </c:v>
                </c:pt>
                <c:pt idx="2">
                  <c:v>2020E</c:v>
                </c:pt>
                <c:pt idx="3">
                  <c:v>2021E</c:v>
                </c:pt>
                <c:pt idx="4">
                  <c:v>2022E</c:v>
                </c:pt>
              </c:strCache>
            </c:strRef>
          </c:cat>
          <c:val>
            <c:numRef>
              <c:f>财务摘要!$C$105:$G$105</c:f>
              <c:numCache>
                <c:formatCode>0.0_);[Red]\(0.0\)</c:formatCode>
                <c:ptCount val="5"/>
                <c:pt idx="0">
                  <c:v>13.52669285414661</c:v>
                </c:pt>
                <c:pt idx="1">
                  <c:v>14.66766350136175</c:v>
                </c:pt>
                <c:pt idx="2">
                  <c:v>-28.083430300040551</c:v>
                </c:pt>
                <c:pt idx="3">
                  <c:v>-50.065927637330233</c:v>
                </c:pt>
                <c:pt idx="4">
                  <c:v>-99.104434715362387</c:v>
                </c:pt>
              </c:numCache>
            </c:numRef>
          </c:val>
          <c:smooth val="0"/>
        </c:ser>
        <c:dLbls>
          <c:showLegendKey val="0"/>
          <c:showVal val="0"/>
          <c:showCatName val="0"/>
          <c:showSerName val="0"/>
          <c:showPercent val="0"/>
          <c:showBubbleSize val="0"/>
        </c:dLbls>
        <c:smooth val="0"/>
        <c:axId val="-267771312"/>
        <c:axId val="-267768592"/>
      </c:lineChart>
      <c:catAx>
        <c:axId val="-267771312"/>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宋体"/>
                <a:ea typeface="宋体"/>
                <a:cs typeface="宋体"/>
              </a:defRPr>
            </a:pPr>
            <a:endParaRPr lang="zh-CN"/>
          </a:p>
        </c:txPr>
        <c:crossAx val="-267768592"/>
        <c:crosses val="autoZero"/>
        <c:auto val="1"/>
        <c:lblAlgn val="ctr"/>
        <c:lblOffset val="100"/>
        <c:tickLblSkip val="1"/>
        <c:tickMarkSkip val="1"/>
        <c:noMultiLvlLbl val="0"/>
      </c:catAx>
      <c:valAx>
        <c:axId val="-267768592"/>
        <c:scaling>
          <c:orientation val="minMax"/>
        </c:scaling>
        <c:delete val="0"/>
        <c:axPos val="l"/>
        <c:numFmt formatCode="0_);[Red]\(0\)" sourceLinked="0"/>
        <c:majorTickMark val="in"/>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宋体"/>
                <a:ea typeface="宋体"/>
                <a:cs typeface="宋体"/>
              </a:defRPr>
            </a:pPr>
            <a:endParaRPr lang="zh-CN"/>
          </a:p>
        </c:txPr>
        <c:crossAx val="-267771312"/>
        <c:crosses val="autoZero"/>
        <c:crossBetween val="between"/>
      </c:valAx>
      <c:spPr>
        <a:noFill/>
        <a:ln w="25400">
          <a:noFill/>
        </a:ln>
      </c:spPr>
    </c:plotArea>
    <c:legend>
      <c:legendPos val="r"/>
      <c:layout>
        <c:manualLayout>
          <c:xMode val="edge"/>
          <c:yMode val="edge"/>
          <c:x val="0.32926957301069071"/>
          <c:y val="0.89629940701856714"/>
          <c:w val="0.4674813819004332"/>
          <c:h val="6.2963351803246859E-2"/>
        </c:manualLayout>
      </c:layout>
      <c:overlay val="0"/>
      <c:spPr>
        <a:solidFill>
          <a:srgbClr val="FFFFFF"/>
        </a:solidFill>
        <a:ln w="25400">
          <a:noFill/>
        </a:ln>
      </c:spPr>
      <c:txPr>
        <a:bodyPr/>
        <a:lstStyle/>
        <a:p>
          <a:pPr>
            <a:defRPr sz="780" b="0" i="0" u="none" strike="noStrike" baseline="0">
              <a:solidFill>
                <a:srgbClr val="000000"/>
              </a:solidFill>
              <a:latin typeface="宋体"/>
              <a:ea typeface="宋体"/>
              <a:cs typeface="宋体"/>
            </a:defRPr>
          </a:pPr>
          <a:endParaRPr lang="zh-CN"/>
        </a:p>
      </c:txPr>
    </c:legend>
    <c:plotVisOnly val="1"/>
    <c:dispBlanksAs val="gap"/>
    <c:showDLblsOverMax val="0"/>
  </c:chart>
  <c:spPr>
    <a:solidFill>
      <a:srgbClr val="FFFFFF"/>
    </a:solidFill>
    <a:ln w="9525">
      <a:noFill/>
    </a:ln>
  </c:spPr>
  <c:txPr>
    <a:bodyPr/>
    <a:lstStyle/>
    <a:p>
      <a:pPr>
        <a:defRPr sz="850" b="0" i="0" u="none" strike="noStrike" baseline="0">
          <a:solidFill>
            <a:srgbClr val="000000"/>
          </a:solidFill>
          <a:latin typeface="宋体"/>
          <a:ea typeface="宋体"/>
          <a:cs typeface="宋体"/>
        </a:defRPr>
      </a:pPr>
      <a:endParaRPr lang="zh-CN"/>
    </a:p>
  </c:txPr>
  <c:printSettings>
    <c:headerFooter alignWithMargins="0"/>
    <c:pageMargins b="1" l="0.75000000000000011" r="0.75000000000000011"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672170514557413"/>
          <c:y val="8.1481776192766905E-2"/>
          <c:w val="0.75819823858190061"/>
          <c:h val="0.75926200543260058"/>
        </c:manualLayout>
      </c:layout>
      <c:lineChart>
        <c:grouping val="standard"/>
        <c:varyColors val="0"/>
        <c:ser>
          <c:idx val="0"/>
          <c:order val="0"/>
          <c:tx>
            <c:strRef>
              <c:f>财务摘要!$B$109</c:f>
              <c:strCache>
                <c:ptCount val="1"/>
                <c:pt idx="0">
                  <c:v>营业总收入同比增长</c:v>
                </c:pt>
              </c:strCache>
            </c:strRef>
          </c:tx>
          <c:spPr>
            <a:ln w="25400">
              <a:solidFill>
                <a:srgbClr val="000080"/>
              </a:solidFill>
              <a:prstDash val="solid"/>
            </a:ln>
          </c:spPr>
          <c:marker>
            <c:symbol val="none"/>
          </c:marker>
          <c:cat>
            <c:strRef>
              <c:f>财务摘要!$C$97:$G$97</c:f>
              <c:strCache>
                <c:ptCount val="5"/>
                <c:pt idx="0">
                  <c:v>2018 </c:v>
                </c:pt>
                <c:pt idx="1">
                  <c:v>2019 </c:v>
                </c:pt>
                <c:pt idx="2">
                  <c:v>2020E</c:v>
                </c:pt>
                <c:pt idx="3">
                  <c:v>2021E</c:v>
                </c:pt>
                <c:pt idx="4">
                  <c:v>2022E</c:v>
                </c:pt>
              </c:strCache>
            </c:strRef>
          </c:cat>
          <c:val>
            <c:numRef>
              <c:f>财务摘要!$C$109:$G$109</c:f>
              <c:numCache>
                <c:formatCode>0.0_);[Red]\(0.0\)</c:formatCode>
                <c:ptCount val="5"/>
                <c:pt idx="0">
                  <c:v>4.9033864924721504</c:v>
                </c:pt>
                <c:pt idx="1">
                  <c:v>32.609174934937421</c:v>
                </c:pt>
                <c:pt idx="2">
                  <c:v>0</c:v>
                </c:pt>
                <c:pt idx="3">
                  <c:v>0</c:v>
                </c:pt>
                <c:pt idx="4">
                  <c:v>0</c:v>
                </c:pt>
              </c:numCache>
            </c:numRef>
          </c:val>
          <c:smooth val="0"/>
        </c:ser>
        <c:ser>
          <c:idx val="1"/>
          <c:order val="1"/>
          <c:tx>
            <c:strRef>
              <c:f>财务摘要!$B$110</c:f>
              <c:strCache>
                <c:ptCount val="1"/>
                <c:pt idx="0">
                  <c:v>归母净利润同比增长</c:v>
                </c:pt>
              </c:strCache>
            </c:strRef>
          </c:tx>
          <c:spPr>
            <a:ln w="12700">
              <a:solidFill>
                <a:srgbClr val="FF6600"/>
              </a:solidFill>
              <a:prstDash val="solid"/>
            </a:ln>
          </c:spPr>
          <c:marker>
            <c:symbol val="none"/>
          </c:marker>
          <c:cat>
            <c:strRef>
              <c:f>财务摘要!$C$97:$G$97</c:f>
              <c:strCache>
                <c:ptCount val="5"/>
                <c:pt idx="0">
                  <c:v>2018 </c:v>
                </c:pt>
                <c:pt idx="1">
                  <c:v>2019 </c:v>
                </c:pt>
                <c:pt idx="2">
                  <c:v>2020E</c:v>
                </c:pt>
                <c:pt idx="3">
                  <c:v>2021E</c:v>
                </c:pt>
                <c:pt idx="4">
                  <c:v>2022E</c:v>
                </c:pt>
              </c:strCache>
            </c:strRef>
          </c:cat>
          <c:val>
            <c:numRef>
              <c:f>财务摘要!$C$110:$G$110</c:f>
              <c:numCache>
                <c:formatCode>0.0_);[Red]\(0.0\)</c:formatCode>
                <c:ptCount val="5"/>
                <c:pt idx="0">
                  <c:v>28.377946953870996</c:v>
                </c:pt>
                <c:pt idx="1">
                  <c:v>27.394775617090538</c:v>
                </c:pt>
                <c:pt idx="2">
                  <c:v>-244.73201376453596</c:v>
                </c:pt>
                <c:pt idx="3">
                  <c:v>0</c:v>
                </c:pt>
                <c:pt idx="4">
                  <c:v>0</c:v>
                </c:pt>
              </c:numCache>
            </c:numRef>
          </c:val>
          <c:smooth val="0"/>
        </c:ser>
        <c:dLbls>
          <c:showLegendKey val="0"/>
          <c:showVal val="0"/>
          <c:showCatName val="0"/>
          <c:showSerName val="0"/>
          <c:showPercent val="0"/>
          <c:showBubbleSize val="0"/>
        </c:dLbls>
        <c:smooth val="0"/>
        <c:axId val="-267784368"/>
        <c:axId val="-267772400"/>
      </c:lineChart>
      <c:catAx>
        <c:axId val="-267784368"/>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宋体"/>
                <a:ea typeface="宋体"/>
                <a:cs typeface="宋体"/>
              </a:defRPr>
            </a:pPr>
            <a:endParaRPr lang="zh-CN"/>
          </a:p>
        </c:txPr>
        <c:crossAx val="-267772400"/>
        <c:crosses val="autoZero"/>
        <c:auto val="1"/>
        <c:lblAlgn val="ctr"/>
        <c:lblOffset val="100"/>
        <c:tickLblSkip val="1"/>
        <c:tickMarkSkip val="1"/>
        <c:noMultiLvlLbl val="0"/>
      </c:catAx>
      <c:valAx>
        <c:axId val="-267772400"/>
        <c:scaling>
          <c:orientation val="minMax"/>
        </c:scaling>
        <c:delete val="0"/>
        <c:axPos val="l"/>
        <c:numFmt formatCode="0_);[Red]\(0\)" sourceLinked="0"/>
        <c:majorTickMark val="in"/>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宋体"/>
                <a:ea typeface="宋体"/>
                <a:cs typeface="宋体"/>
              </a:defRPr>
            </a:pPr>
            <a:endParaRPr lang="zh-CN"/>
          </a:p>
        </c:txPr>
        <c:crossAx val="-267784368"/>
        <c:crosses val="autoZero"/>
        <c:crossBetween val="between"/>
      </c:valAx>
      <c:spPr>
        <a:noFill/>
        <a:ln w="25400">
          <a:noFill/>
        </a:ln>
      </c:spPr>
    </c:plotArea>
    <c:legend>
      <c:legendPos val="r"/>
      <c:layout>
        <c:manualLayout>
          <c:xMode val="edge"/>
          <c:yMode val="edge"/>
          <c:x val="7.3770491803278687E-2"/>
          <c:y val="0.88889199961115972"/>
          <c:w val="0.88524762273568258"/>
          <c:h val="6.2963351803246859E-2"/>
        </c:manualLayout>
      </c:layout>
      <c:overlay val="0"/>
      <c:spPr>
        <a:solidFill>
          <a:srgbClr val="FFFFFF"/>
        </a:solidFill>
        <a:ln w="25400">
          <a:noFill/>
        </a:ln>
      </c:spPr>
      <c:txPr>
        <a:bodyPr/>
        <a:lstStyle/>
        <a:p>
          <a:pPr>
            <a:defRPr sz="780" b="0" i="0" u="none" strike="noStrike" baseline="0">
              <a:solidFill>
                <a:srgbClr val="000000"/>
              </a:solidFill>
              <a:latin typeface="宋体"/>
              <a:ea typeface="宋体"/>
              <a:cs typeface="宋体"/>
            </a:defRPr>
          </a:pPr>
          <a:endParaRPr lang="zh-CN"/>
        </a:p>
      </c:txPr>
    </c:legend>
    <c:plotVisOnly val="1"/>
    <c:dispBlanksAs val="gap"/>
    <c:showDLblsOverMax val="0"/>
  </c:chart>
  <c:spPr>
    <a:solidFill>
      <a:srgbClr val="FFFFFF"/>
    </a:solidFill>
    <a:ln w="9525">
      <a:noFill/>
    </a:ln>
  </c:spPr>
  <c:txPr>
    <a:bodyPr/>
    <a:lstStyle/>
    <a:p>
      <a:pPr>
        <a:defRPr sz="850" b="0" i="0" u="none" strike="noStrike" baseline="0">
          <a:solidFill>
            <a:srgbClr val="000000"/>
          </a:solidFill>
          <a:latin typeface="宋体"/>
          <a:ea typeface="宋体"/>
          <a:cs typeface="宋体"/>
        </a:defRPr>
      </a:pPr>
      <a:endParaRPr lang="zh-CN"/>
    </a:p>
  </c:txPr>
  <c:printSettings>
    <c:headerFooter alignWithMargins="0"/>
    <c:pageMargins b="1" l="0.75000000000000011" r="0.75000000000000011"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524617228758223"/>
          <c:y val="5.185203939539712E-2"/>
          <c:w val="0.8114770337254934"/>
          <c:h val="0.733335985734902"/>
        </c:manualLayout>
      </c:layout>
      <c:lineChart>
        <c:grouping val="standard"/>
        <c:varyColors val="0"/>
        <c:ser>
          <c:idx val="0"/>
          <c:order val="0"/>
          <c:tx>
            <c:strRef>
              <c:f>财务摘要!$B$117</c:f>
              <c:strCache>
                <c:ptCount val="1"/>
                <c:pt idx="0">
                  <c:v>P/E</c:v>
                </c:pt>
              </c:strCache>
            </c:strRef>
          </c:tx>
          <c:spPr>
            <a:ln w="25400">
              <a:solidFill>
                <a:srgbClr val="000080"/>
              </a:solidFill>
              <a:prstDash val="solid"/>
            </a:ln>
          </c:spPr>
          <c:marker>
            <c:symbol val="none"/>
          </c:marker>
          <c:cat>
            <c:strRef>
              <c:f>财务摘要!$C$97:$G$97</c:f>
              <c:strCache>
                <c:ptCount val="5"/>
                <c:pt idx="0">
                  <c:v>2018 </c:v>
                </c:pt>
                <c:pt idx="1">
                  <c:v>2019 </c:v>
                </c:pt>
                <c:pt idx="2">
                  <c:v>2020E</c:v>
                </c:pt>
                <c:pt idx="3">
                  <c:v>2021E</c:v>
                </c:pt>
                <c:pt idx="4">
                  <c:v>2022E</c:v>
                </c:pt>
              </c:strCache>
            </c:strRef>
          </c:cat>
          <c:val>
            <c:numRef>
              <c:f>财务摘要!$C$117:$G$117</c:f>
              <c:numCache>
                <c:formatCode>0.0_ </c:formatCode>
                <c:ptCount val="5"/>
                <c:pt idx="0">
                  <c:v>30.3852783702838</c:v>
                </c:pt>
                <c:pt idx="1">
                  <c:v>23.851275080237663</c:v>
                </c:pt>
                <c:pt idx="2">
                  <c:v>-16.47961253343799</c:v>
                </c:pt>
                <c:pt idx="3">
                  <c:v>-13.871932938869227</c:v>
                </c:pt>
                <c:pt idx="4">
                  <c:v>-13.95298388275252</c:v>
                </c:pt>
              </c:numCache>
            </c:numRef>
          </c:val>
          <c:smooth val="0"/>
        </c:ser>
        <c:ser>
          <c:idx val="1"/>
          <c:order val="1"/>
          <c:tx>
            <c:strRef>
              <c:f>财务摘要!$B$120</c:f>
              <c:strCache>
                <c:ptCount val="1"/>
                <c:pt idx="0">
                  <c:v>EV/EBITDA</c:v>
                </c:pt>
              </c:strCache>
            </c:strRef>
          </c:tx>
          <c:spPr>
            <a:ln w="12700">
              <a:solidFill>
                <a:srgbClr val="FF6600"/>
              </a:solidFill>
              <a:prstDash val="solid"/>
            </a:ln>
          </c:spPr>
          <c:marker>
            <c:symbol val="none"/>
          </c:marker>
          <c:cat>
            <c:strRef>
              <c:f>财务摘要!$C$97:$G$97</c:f>
              <c:strCache>
                <c:ptCount val="5"/>
                <c:pt idx="0">
                  <c:v>2018 </c:v>
                </c:pt>
                <c:pt idx="1">
                  <c:v>2019 </c:v>
                </c:pt>
                <c:pt idx="2">
                  <c:v>2020E</c:v>
                </c:pt>
                <c:pt idx="3">
                  <c:v>2021E</c:v>
                </c:pt>
                <c:pt idx="4">
                  <c:v>2022E</c:v>
                </c:pt>
              </c:strCache>
            </c:strRef>
          </c:cat>
          <c:val>
            <c:numRef>
              <c:f>财务摘要!$C$120:$G$120</c:f>
              <c:numCache>
                <c:formatCode>0.0_ </c:formatCode>
                <c:ptCount val="5"/>
                <c:pt idx="0">
                  <c:v>23.731649934569372</c:v>
                </c:pt>
                <c:pt idx="1">
                  <c:v>17.621616736366839</c:v>
                </c:pt>
                <c:pt idx="2">
                  <c:v>21.189045136993204</c:v>
                </c:pt>
                <c:pt idx="3">
                  <c:v>23.089903287238965</c:v>
                </c:pt>
                <c:pt idx="4">
                  <c:v>24.381531589130887</c:v>
                </c:pt>
              </c:numCache>
            </c:numRef>
          </c:val>
          <c:smooth val="0"/>
        </c:ser>
        <c:dLbls>
          <c:showLegendKey val="0"/>
          <c:showVal val="0"/>
          <c:showCatName val="0"/>
          <c:showSerName val="0"/>
          <c:showPercent val="0"/>
          <c:showBubbleSize val="0"/>
        </c:dLbls>
        <c:smooth val="0"/>
        <c:axId val="-267779472"/>
        <c:axId val="-267780560"/>
      </c:lineChart>
      <c:catAx>
        <c:axId val="-267779472"/>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宋体"/>
                <a:ea typeface="宋体"/>
                <a:cs typeface="宋体"/>
              </a:defRPr>
            </a:pPr>
            <a:endParaRPr lang="zh-CN"/>
          </a:p>
        </c:txPr>
        <c:crossAx val="-267780560"/>
        <c:crosses val="autoZero"/>
        <c:auto val="1"/>
        <c:lblAlgn val="ctr"/>
        <c:lblOffset val="100"/>
        <c:tickLblSkip val="1"/>
        <c:tickMarkSkip val="1"/>
        <c:noMultiLvlLbl val="0"/>
      </c:catAx>
      <c:valAx>
        <c:axId val="-267780560"/>
        <c:scaling>
          <c:orientation val="minMax"/>
        </c:scaling>
        <c:delete val="0"/>
        <c:axPos val="l"/>
        <c:numFmt formatCode="0_ " sourceLinked="0"/>
        <c:majorTickMark val="in"/>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宋体"/>
                <a:ea typeface="宋体"/>
                <a:cs typeface="宋体"/>
              </a:defRPr>
            </a:pPr>
            <a:endParaRPr lang="zh-CN"/>
          </a:p>
        </c:txPr>
        <c:crossAx val="-267779472"/>
        <c:crosses val="autoZero"/>
        <c:crossBetween val="between"/>
      </c:valAx>
      <c:spPr>
        <a:noFill/>
        <a:ln w="25400">
          <a:noFill/>
        </a:ln>
      </c:spPr>
    </c:plotArea>
    <c:legend>
      <c:legendPos val="r"/>
      <c:layout>
        <c:manualLayout>
          <c:xMode val="edge"/>
          <c:yMode val="edge"/>
          <c:x val="0.2827873155199862"/>
          <c:y val="0.89259570331486338"/>
          <c:w val="0.5942635859042209"/>
          <c:h val="6.2963351803246859E-2"/>
        </c:manualLayout>
      </c:layout>
      <c:overlay val="0"/>
      <c:spPr>
        <a:solidFill>
          <a:srgbClr val="FFFFFF"/>
        </a:solidFill>
        <a:ln w="25400">
          <a:noFill/>
        </a:ln>
      </c:spPr>
      <c:txPr>
        <a:bodyPr/>
        <a:lstStyle/>
        <a:p>
          <a:pPr>
            <a:defRPr sz="780" b="0" i="0" u="none" strike="noStrike" baseline="0">
              <a:solidFill>
                <a:srgbClr val="000000"/>
              </a:solidFill>
              <a:latin typeface="宋体"/>
              <a:ea typeface="宋体"/>
              <a:cs typeface="宋体"/>
            </a:defRPr>
          </a:pPr>
          <a:endParaRPr lang="zh-CN"/>
        </a:p>
      </c:txPr>
    </c:legend>
    <c:plotVisOnly val="1"/>
    <c:dispBlanksAs val="gap"/>
    <c:showDLblsOverMax val="0"/>
  </c:chart>
  <c:spPr>
    <a:solidFill>
      <a:srgbClr val="FFFFFF"/>
    </a:solidFill>
    <a:ln w="9525">
      <a:noFill/>
    </a:ln>
  </c:spPr>
  <c:txPr>
    <a:bodyPr/>
    <a:lstStyle/>
    <a:p>
      <a:pPr>
        <a:defRPr sz="850" b="0" i="0" u="none" strike="noStrike" baseline="0">
          <a:solidFill>
            <a:srgbClr val="000000"/>
          </a:solidFill>
          <a:latin typeface="宋体"/>
          <a:ea typeface="宋体"/>
          <a:cs typeface="宋体"/>
        </a:defRPr>
      </a:pPr>
      <a:endParaRPr lang="zh-CN"/>
    </a:p>
  </c:txPr>
  <c:printSettings>
    <c:headerFooter alignWithMargins="0"/>
    <c:pageMargins b="1" l="0.75000000000000011" r="0.75000000000000011"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590213143196776"/>
          <c:y val="6.3348416289592771E-2"/>
          <c:w val="0.70901781229550698"/>
          <c:h val="0.66968325791855221"/>
        </c:manualLayout>
      </c:layout>
      <c:barChart>
        <c:barDir val="col"/>
        <c:grouping val="clustered"/>
        <c:varyColors val="0"/>
        <c:ser>
          <c:idx val="0"/>
          <c:order val="0"/>
          <c:tx>
            <c:strRef>
              <c:f>财务摘要!$B$50</c:f>
              <c:strCache>
                <c:ptCount val="1"/>
                <c:pt idx="0">
                  <c:v>经营活动现金流</c:v>
                </c:pt>
              </c:strCache>
            </c:strRef>
          </c:tx>
          <c:spPr>
            <a:solidFill>
              <a:srgbClr val="000080"/>
            </a:solidFill>
            <a:ln w="25400">
              <a:noFill/>
            </a:ln>
          </c:spPr>
          <c:invertIfNegative val="0"/>
          <c:cat>
            <c:strRef>
              <c:f>财务摘要!$C$43:$G$43</c:f>
              <c:strCache>
                <c:ptCount val="5"/>
                <c:pt idx="0">
                  <c:v>2018 </c:v>
                </c:pt>
                <c:pt idx="1">
                  <c:v>2019 </c:v>
                </c:pt>
                <c:pt idx="2">
                  <c:v>2020E</c:v>
                </c:pt>
                <c:pt idx="3">
                  <c:v>2021E</c:v>
                </c:pt>
                <c:pt idx="4">
                  <c:v>2022E</c:v>
                </c:pt>
              </c:strCache>
            </c:strRef>
          </c:cat>
          <c:val>
            <c:numRef>
              <c:f>财务摘要!$C$50:$G$50</c:f>
              <c:numCache>
                <c:formatCode>#,##0_);[Red]\(#,##0\)</c:formatCode>
                <c:ptCount val="5"/>
                <c:pt idx="0">
                  <c:v>169.57404037999999</c:v>
                </c:pt>
                <c:pt idx="1">
                  <c:v>434.94165099000003</c:v>
                </c:pt>
                <c:pt idx="2">
                  <c:v>1303.2606716906575</c:v>
                </c:pt>
                <c:pt idx="3">
                  <c:v>809.86751966137558</c:v>
                </c:pt>
                <c:pt idx="4">
                  <c:v>942.77298903490146</c:v>
                </c:pt>
              </c:numCache>
            </c:numRef>
          </c:val>
        </c:ser>
        <c:ser>
          <c:idx val="1"/>
          <c:order val="1"/>
          <c:tx>
            <c:strRef>
              <c:f>财务摘要!$B$51</c:f>
              <c:strCache>
                <c:ptCount val="1"/>
                <c:pt idx="0">
                  <c:v>资本开支</c:v>
                </c:pt>
              </c:strCache>
            </c:strRef>
          </c:tx>
          <c:spPr>
            <a:solidFill>
              <a:srgbClr val="FF6600"/>
            </a:solidFill>
            <a:ln w="25400">
              <a:noFill/>
            </a:ln>
          </c:spPr>
          <c:invertIfNegative val="0"/>
          <c:cat>
            <c:strRef>
              <c:f>财务摘要!$C$43:$G$43</c:f>
              <c:strCache>
                <c:ptCount val="5"/>
                <c:pt idx="0">
                  <c:v>2018 </c:v>
                </c:pt>
                <c:pt idx="1">
                  <c:v>2019 </c:v>
                </c:pt>
                <c:pt idx="2">
                  <c:v>2020E</c:v>
                </c:pt>
                <c:pt idx="3">
                  <c:v>2021E</c:v>
                </c:pt>
                <c:pt idx="4">
                  <c:v>2022E</c:v>
                </c:pt>
              </c:strCache>
            </c:strRef>
          </c:cat>
          <c:val>
            <c:numRef>
              <c:f>财务摘要!$C$51:$G$51</c:f>
              <c:numCache>
                <c:formatCode>#,##0_);[Red]\(#,##0\)</c:formatCode>
                <c:ptCount val="5"/>
                <c:pt idx="0">
                  <c:v>195.18588192000001</c:v>
                </c:pt>
                <c:pt idx="1">
                  <c:v>47.023880430000006</c:v>
                </c:pt>
                <c:pt idx="2">
                  <c:v>-66.626262619999991</c:v>
                </c:pt>
                <c:pt idx="3">
                  <c:v>-66.626262619999991</c:v>
                </c:pt>
                <c:pt idx="4">
                  <c:v>-66.626262619999991</c:v>
                </c:pt>
              </c:numCache>
            </c:numRef>
          </c:val>
        </c:ser>
        <c:dLbls>
          <c:showLegendKey val="0"/>
          <c:showVal val="0"/>
          <c:showCatName val="0"/>
          <c:showSerName val="0"/>
          <c:showPercent val="0"/>
          <c:showBubbleSize val="0"/>
        </c:dLbls>
        <c:gapWidth val="150"/>
        <c:axId val="-267770224"/>
        <c:axId val="-267778928"/>
      </c:barChart>
      <c:catAx>
        <c:axId val="-267770224"/>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宋体"/>
                <a:ea typeface="宋体"/>
                <a:cs typeface="宋体"/>
              </a:defRPr>
            </a:pPr>
            <a:endParaRPr lang="zh-CN"/>
          </a:p>
        </c:txPr>
        <c:crossAx val="-267778928"/>
        <c:crosses val="autoZero"/>
        <c:auto val="1"/>
        <c:lblAlgn val="ctr"/>
        <c:lblOffset val="100"/>
        <c:tickLblSkip val="1"/>
        <c:tickMarkSkip val="1"/>
        <c:noMultiLvlLbl val="0"/>
      </c:catAx>
      <c:valAx>
        <c:axId val="-267778928"/>
        <c:scaling>
          <c:orientation val="minMax"/>
        </c:scaling>
        <c:delete val="0"/>
        <c:axPos val="l"/>
        <c:numFmt formatCode="#,##0_);[Red]\(#,##0\)" sourceLinked="1"/>
        <c:majorTickMark val="in"/>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宋体"/>
                <a:ea typeface="宋体"/>
                <a:cs typeface="宋体"/>
              </a:defRPr>
            </a:pPr>
            <a:endParaRPr lang="zh-CN"/>
          </a:p>
        </c:txPr>
        <c:crossAx val="-267770224"/>
        <c:crosses val="autoZero"/>
        <c:crossBetween val="between"/>
      </c:valAx>
      <c:spPr>
        <a:noFill/>
        <a:ln w="25400">
          <a:noFill/>
        </a:ln>
      </c:spPr>
    </c:plotArea>
    <c:legend>
      <c:legendPos val="r"/>
      <c:layout>
        <c:manualLayout>
          <c:xMode val="edge"/>
          <c:yMode val="edge"/>
          <c:x val="0.2827873155199862"/>
          <c:y val="0.84162895927601811"/>
          <c:w val="0.69262424164192593"/>
          <c:h val="8.1447963800905021E-2"/>
        </c:manualLayout>
      </c:layout>
      <c:overlay val="0"/>
      <c:spPr>
        <a:solidFill>
          <a:srgbClr val="FFFFFF"/>
        </a:solidFill>
        <a:ln w="25400">
          <a:noFill/>
        </a:ln>
      </c:spPr>
      <c:txPr>
        <a:bodyPr/>
        <a:lstStyle/>
        <a:p>
          <a:pPr>
            <a:defRPr sz="825" b="0" i="0" u="none" strike="noStrike" baseline="0">
              <a:solidFill>
                <a:srgbClr val="000000"/>
              </a:solidFill>
              <a:latin typeface="宋体"/>
              <a:ea typeface="宋体"/>
              <a:cs typeface="宋体"/>
            </a:defRPr>
          </a:pPr>
          <a:endParaRPr lang="zh-CN"/>
        </a:p>
      </c:txPr>
    </c:legend>
    <c:plotVisOnly val="1"/>
    <c:dispBlanksAs val="gap"/>
    <c:showDLblsOverMax val="0"/>
  </c:chart>
  <c:spPr>
    <a:solidFill>
      <a:srgbClr val="FFFFFF"/>
    </a:solidFill>
    <a:ln w="9525">
      <a:noFill/>
    </a:ln>
  </c:spPr>
  <c:txPr>
    <a:bodyPr/>
    <a:lstStyle/>
    <a:p>
      <a:pPr>
        <a:defRPr sz="900" b="0" i="0" u="none" strike="noStrike" baseline="0">
          <a:solidFill>
            <a:srgbClr val="000000"/>
          </a:solidFill>
          <a:latin typeface="宋体"/>
          <a:ea typeface="宋体"/>
          <a:cs typeface="宋体"/>
        </a:defRPr>
      </a:pPr>
      <a:endParaRPr lang="zh-CN"/>
    </a:p>
  </c:txPr>
  <c:printSettings>
    <c:headerFooter alignWithMargins="0"/>
    <c:pageMargins b="1" l="0.75000000000000011" r="0.75000000000000011"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991974941021252E-2"/>
          <c:y val="0.18726660253760882"/>
          <c:w val="0.81536441796112835"/>
          <c:h val="0.64045178067862207"/>
        </c:manualLayout>
      </c:layout>
      <c:lineChart>
        <c:grouping val="standard"/>
        <c:varyColors val="0"/>
        <c:ser>
          <c:idx val="0"/>
          <c:order val="0"/>
          <c:tx>
            <c:strRef>
              <c:f>财务分析!$B$4</c:f>
              <c:strCache>
                <c:ptCount val="1"/>
                <c:pt idx="0">
                  <c:v> EBIT 率 </c:v>
                </c:pt>
              </c:strCache>
            </c:strRef>
          </c:tx>
          <c:spPr>
            <a:ln w="25400">
              <a:solidFill>
                <a:srgbClr val="00FFFF"/>
              </a:solidFill>
              <a:prstDash val="solid"/>
            </a:ln>
          </c:spPr>
          <c:marker>
            <c:symbol val="none"/>
          </c:marker>
          <c:cat>
            <c:strRef>
              <c:f>财务分析!$C$3:$L$3</c:f>
              <c:strCache>
                <c:ptCount val="10"/>
                <c:pt idx="0">
                  <c:v>2015</c:v>
                </c:pt>
                <c:pt idx="1">
                  <c:v>2016</c:v>
                </c:pt>
                <c:pt idx="2">
                  <c:v>2017</c:v>
                </c:pt>
                <c:pt idx="3">
                  <c:v>2018</c:v>
                </c:pt>
                <c:pt idx="4">
                  <c:v>2019</c:v>
                </c:pt>
                <c:pt idx="5">
                  <c:v>2020E</c:v>
                </c:pt>
                <c:pt idx="6">
                  <c:v>2021E</c:v>
                </c:pt>
                <c:pt idx="7">
                  <c:v>2022E</c:v>
                </c:pt>
                <c:pt idx="8">
                  <c:v>2023E</c:v>
                </c:pt>
                <c:pt idx="9">
                  <c:v>2024E</c:v>
                </c:pt>
              </c:strCache>
            </c:strRef>
          </c:cat>
          <c:val>
            <c:numRef>
              <c:f>财务分析!$C$4:$L$4</c:f>
              <c:numCache>
                <c:formatCode>#,##0.00_);[Red]\(#,##0.00\)</c:formatCode>
                <c:ptCount val="10"/>
                <c:pt idx="0">
                  <c:v>0.23519312542451326</c:v>
                </c:pt>
                <c:pt idx="1">
                  <c:v>0.25165477881368331</c:v>
                </c:pt>
                <c:pt idx="2">
                  <c:v>0.15035430588482976</c:v>
                </c:pt>
                <c:pt idx="3">
                  <c:v>0.17678213690108988</c:v>
                </c:pt>
                <c:pt idx="4">
                  <c:v>0.17121196349259182</c:v>
                </c:pt>
                <c:pt idx="5">
                  <c:v>0.15434907879221951</c:v>
                </c:pt>
                <c:pt idx="6">
                  <c:v>0.15234758394101894</c:v>
                </c:pt>
                <c:pt idx="7">
                  <c:v>0.15384309779593056</c:v>
                </c:pt>
                <c:pt idx="8">
                  <c:v>0.15351325350972297</c:v>
                </c:pt>
                <c:pt idx="9">
                  <c:v>0.15323464508222415</c:v>
                </c:pt>
              </c:numCache>
            </c:numRef>
          </c:val>
          <c:smooth val="0"/>
        </c:ser>
        <c:dLbls>
          <c:showLegendKey val="0"/>
          <c:showVal val="0"/>
          <c:showCatName val="0"/>
          <c:showSerName val="0"/>
          <c:showPercent val="0"/>
          <c:showBubbleSize val="0"/>
        </c:dLbls>
        <c:marker val="1"/>
        <c:smooth val="0"/>
        <c:axId val="-267778384"/>
        <c:axId val="-267759888"/>
      </c:lineChart>
      <c:lineChart>
        <c:grouping val="standard"/>
        <c:varyColors val="0"/>
        <c:ser>
          <c:idx val="1"/>
          <c:order val="1"/>
          <c:tx>
            <c:strRef>
              <c:f>财务分析!$B$5</c:f>
              <c:strCache>
                <c:ptCount val="1"/>
                <c:pt idx="0">
                  <c:v> EV/EBITDA </c:v>
                </c:pt>
              </c:strCache>
            </c:strRef>
          </c:tx>
          <c:spPr>
            <a:ln w="25400">
              <a:solidFill>
                <a:srgbClr val="FF00FF"/>
              </a:solidFill>
              <a:prstDash val="lgDash"/>
            </a:ln>
          </c:spPr>
          <c:marker>
            <c:symbol val="none"/>
          </c:marker>
          <c:cat>
            <c:strRef>
              <c:f>财务分析!$C$3:$L$3</c:f>
              <c:strCache>
                <c:ptCount val="10"/>
                <c:pt idx="0">
                  <c:v>2015</c:v>
                </c:pt>
                <c:pt idx="1">
                  <c:v>2016</c:v>
                </c:pt>
                <c:pt idx="2">
                  <c:v>2017</c:v>
                </c:pt>
                <c:pt idx="3">
                  <c:v>2018</c:v>
                </c:pt>
                <c:pt idx="4">
                  <c:v>2019</c:v>
                </c:pt>
                <c:pt idx="5">
                  <c:v>2020E</c:v>
                </c:pt>
                <c:pt idx="6">
                  <c:v>2021E</c:v>
                </c:pt>
                <c:pt idx="7">
                  <c:v>2022E</c:v>
                </c:pt>
                <c:pt idx="8">
                  <c:v>2023E</c:v>
                </c:pt>
                <c:pt idx="9">
                  <c:v>2024E</c:v>
                </c:pt>
              </c:strCache>
            </c:strRef>
          </c:cat>
          <c:val>
            <c:numRef>
              <c:f>财务分析!$C$5:$L$5</c:f>
              <c:numCache>
                <c:formatCode>#,##0.0_);[Red]\(#,##0.0\)</c:formatCode>
                <c:ptCount val="10"/>
                <c:pt idx="0">
                  <c:v>27.681534963676803</c:v>
                </c:pt>
                <c:pt idx="1">
                  <c:v>21.718886916383738</c:v>
                </c:pt>
                <c:pt idx="2">
                  <c:v>29.893676932267155</c:v>
                </c:pt>
                <c:pt idx="3">
                  <c:v>24.251476271727832</c:v>
                </c:pt>
                <c:pt idx="4">
                  <c:v>19.744998333349795</c:v>
                </c:pt>
                <c:pt idx="5">
                  <c:v>22.85896802918089</c:v>
                </c:pt>
                <c:pt idx="6">
                  <c:v>25.427530019344719</c:v>
                </c:pt>
                <c:pt idx="7">
                  <c:v>27.339414051528376</c:v>
                </c:pt>
                <c:pt idx="8">
                  <c:v>29.470226581232303</c:v>
                </c:pt>
                <c:pt idx="9">
                  <c:v>31.689412401851037</c:v>
                </c:pt>
              </c:numCache>
            </c:numRef>
          </c:val>
          <c:smooth val="0"/>
        </c:ser>
        <c:dLbls>
          <c:showLegendKey val="0"/>
          <c:showVal val="0"/>
          <c:showCatName val="0"/>
          <c:showSerName val="0"/>
          <c:showPercent val="0"/>
          <c:showBubbleSize val="0"/>
        </c:dLbls>
        <c:marker val="1"/>
        <c:smooth val="0"/>
        <c:axId val="-267756624"/>
        <c:axId val="-267776208"/>
      </c:lineChart>
      <c:catAx>
        <c:axId val="-267778384"/>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楷体_GB2312"/>
                <a:ea typeface="楷体_GB2312"/>
                <a:cs typeface="楷体_GB2312"/>
              </a:defRPr>
            </a:pPr>
            <a:endParaRPr lang="zh-CN"/>
          </a:p>
        </c:txPr>
        <c:crossAx val="-267759888"/>
        <c:crosses val="autoZero"/>
        <c:auto val="1"/>
        <c:lblAlgn val="ctr"/>
        <c:lblOffset val="100"/>
        <c:tickLblSkip val="1"/>
        <c:tickMarkSkip val="1"/>
        <c:noMultiLvlLbl val="0"/>
      </c:catAx>
      <c:valAx>
        <c:axId val="-267759888"/>
        <c:scaling>
          <c:orientation val="minMax"/>
        </c:scaling>
        <c:delete val="0"/>
        <c:axPos val="l"/>
        <c:numFmt formatCode="#,##0.00_);[Red]\(#,##0.00\)" sourceLinked="1"/>
        <c:majorTickMark val="in"/>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楷体_GB2312"/>
                <a:ea typeface="楷体_GB2312"/>
                <a:cs typeface="楷体_GB2312"/>
              </a:defRPr>
            </a:pPr>
            <a:endParaRPr lang="zh-CN"/>
          </a:p>
        </c:txPr>
        <c:crossAx val="-267778384"/>
        <c:crosses val="autoZero"/>
        <c:crossBetween val="between"/>
      </c:valAx>
      <c:catAx>
        <c:axId val="-267756624"/>
        <c:scaling>
          <c:orientation val="minMax"/>
        </c:scaling>
        <c:delete val="1"/>
        <c:axPos val="b"/>
        <c:numFmt formatCode="General" sourceLinked="1"/>
        <c:majorTickMark val="out"/>
        <c:minorTickMark val="none"/>
        <c:tickLblPos val="nextTo"/>
        <c:crossAx val="-267776208"/>
        <c:crosses val="autoZero"/>
        <c:auto val="1"/>
        <c:lblAlgn val="ctr"/>
        <c:lblOffset val="100"/>
        <c:noMultiLvlLbl val="0"/>
      </c:catAx>
      <c:valAx>
        <c:axId val="-267776208"/>
        <c:scaling>
          <c:orientation val="minMax"/>
        </c:scaling>
        <c:delete val="0"/>
        <c:axPos val="r"/>
        <c:numFmt formatCode="#,##0.0_);[Red]\(#,##0.0\)" sourceLinked="1"/>
        <c:majorTickMark val="in"/>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楷体_GB2312"/>
                <a:ea typeface="楷体_GB2312"/>
                <a:cs typeface="楷体_GB2312"/>
              </a:defRPr>
            </a:pPr>
            <a:endParaRPr lang="zh-CN"/>
          </a:p>
        </c:txPr>
        <c:crossAx val="-267756624"/>
        <c:crosses val="max"/>
        <c:crossBetween val="between"/>
      </c:valAx>
      <c:spPr>
        <a:noFill/>
        <a:ln w="25400">
          <a:noFill/>
        </a:ln>
      </c:spPr>
    </c:plotArea>
    <c:legend>
      <c:legendPos val="t"/>
      <c:layout>
        <c:manualLayout>
          <c:xMode val="edge"/>
          <c:yMode val="edge"/>
          <c:x val="0.35040459565195858"/>
          <c:y val="2.9962546816479401E-2"/>
          <c:w val="0.30053922504969899"/>
          <c:h val="7.8652078602534231E-2"/>
        </c:manualLayout>
      </c:layout>
      <c:overlay val="0"/>
      <c:spPr>
        <a:solidFill>
          <a:srgbClr val="FFFFFF"/>
        </a:solidFill>
        <a:ln w="25400">
          <a:noFill/>
        </a:ln>
      </c:spPr>
      <c:txPr>
        <a:bodyPr/>
        <a:lstStyle/>
        <a:p>
          <a:pPr>
            <a:defRPr sz="1035" b="0" i="0" u="none" strike="noStrike" baseline="0">
              <a:solidFill>
                <a:srgbClr val="000000"/>
              </a:solidFill>
              <a:latin typeface="楷体_GB2312"/>
              <a:ea typeface="楷体_GB2312"/>
              <a:cs typeface="楷体_GB2312"/>
            </a:defRPr>
          </a:pPr>
          <a:endParaRPr lang="zh-CN"/>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楷体_GB2312"/>
          <a:ea typeface="楷体_GB2312"/>
          <a:cs typeface="楷体_GB2312"/>
        </a:defRPr>
      </a:pPr>
      <a:endParaRPr lang="zh-CN"/>
    </a:p>
  </c:txPr>
  <c:printSettings>
    <c:headerFooter alignWithMargins="0"/>
    <c:pageMargins b="1" l="0.75000000000000011" r="0.75000000000000011" t="1" header="0.5" footer="0.5"/>
    <c:pageSetup orientation="portrait"/>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020422805621291"/>
          <c:y val="0.15932229760708691"/>
          <c:w val="0.87211000227200564"/>
          <c:h val="0.69491640445644276"/>
        </c:manualLayout>
      </c:layout>
      <c:barChart>
        <c:barDir val="col"/>
        <c:grouping val="clustered"/>
        <c:varyColors val="0"/>
        <c:ser>
          <c:idx val="0"/>
          <c:order val="0"/>
          <c:tx>
            <c:strRef>
              <c:f>利润表!$B$147</c:f>
              <c:strCache>
                <c:ptCount val="1"/>
                <c:pt idx="0">
                  <c:v> 一、营业总收入 </c:v>
                </c:pt>
              </c:strCache>
            </c:strRef>
          </c:tx>
          <c:spPr>
            <a:solidFill>
              <a:srgbClr val="00FFFF"/>
            </a:solidFill>
            <a:ln w="25400">
              <a:noFill/>
            </a:ln>
          </c:spPr>
          <c:invertIfNegative val="0"/>
          <c:cat>
            <c:strRef>
              <c:f>利润表!$I$146:$R$146</c:f>
              <c:strCache>
                <c:ptCount val="10"/>
                <c:pt idx="0">
                  <c:v>2015</c:v>
                </c:pt>
                <c:pt idx="1">
                  <c:v>2016</c:v>
                </c:pt>
                <c:pt idx="2">
                  <c:v>2017</c:v>
                </c:pt>
                <c:pt idx="3">
                  <c:v>2018</c:v>
                </c:pt>
                <c:pt idx="4">
                  <c:v>2019</c:v>
                </c:pt>
                <c:pt idx="5">
                  <c:v>2020E</c:v>
                </c:pt>
                <c:pt idx="6">
                  <c:v>2021E</c:v>
                </c:pt>
                <c:pt idx="7">
                  <c:v>2022E</c:v>
                </c:pt>
                <c:pt idx="8">
                  <c:v>2023E</c:v>
                </c:pt>
                <c:pt idx="9">
                  <c:v>2024E</c:v>
                </c:pt>
              </c:strCache>
            </c:strRef>
          </c:cat>
          <c:val>
            <c:numRef>
              <c:f>利润表!$I$147:$R$147</c:f>
              <c:numCache>
                <c:formatCode>_-* #,##0_-;[Red]\(#,##0\);_-* "-"_-;_-@_-</c:formatCode>
                <c:ptCount val="10"/>
                <c:pt idx="0">
                  <c:v>3332.8047714200002</c:v>
                </c:pt>
                <c:pt idx="1">
                  <c:v>3951.6072652299999</c:v>
                </c:pt>
                <c:pt idx="2">
                  <c:v>4584.9197615800003</c:v>
                </c:pt>
                <c:pt idx="3">
                  <c:v>4809.73609786</c:v>
                </c:pt>
                <c:pt idx="4">
                  <c:v>6378.1513559200002</c:v>
                </c:pt>
                <c:pt idx="5">
                  <c:v>6378.1513559200002</c:v>
                </c:pt>
                <c:pt idx="6">
                  <c:v>6378.1513559200002</c:v>
                </c:pt>
                <c:pt idx="7">
                  <c:v>6378.1513559200002</c:v>
                </c:pt>
                <c:pt idx="8">
                  <c:v>6378.1513559200002</c:v>
                </c:pt>
                <c:pt idx="9">
                  <c:v>6378.1513559200002</c:v>
                </c:pt>
              </c:numCache>
            </c:numRef>
          </c:val>
        </c:ser>
        <c:ser>
          <c:idx val="1"/>
          <c:order val="1"/>
          <c:tx>
            <c:strRef>
              <c:f>利润表!$B$148</c:f>
              <c:strCache>
                <c:ptCount val="1"/>
                <c:pt idx="0">
                  <c:v> 二、营业总成本 </c:v>
                </c:pt>
              </c:strCache>
            </c:strRef>
          </c:tx>
          <c:spPr>
            <a:solidFill>
              <a:srgbClr val="CC99FF"/>
            </a:solidFill>
            <a:ln w="25400">
              <a:noFill/>
            </a:ln>
          </c:spPr>
          <c:invertIfNegative val="0"/>
          <c:cat>
            <c:strRef>
              <c:f>利润表!$I$146:$R$146</c:f>
              <c:strCache>
                <c:ptCount val="10"/>
                <c:pt idx="0">
                  <c:v>2015</c:v>
                </c:pt>
                <c:pt idx="1">
                  <c:v>2016</c:v>
                </c:pt>
                <c:pt idx="2">
                  <c:v>2017</c:v>
                </c:pt>
                <c:pt idx="3">
                  <c:v>2018</c:v>
                </c:pt>
                <c:pt idx="4">
                  <c:v>2019</c:v>
                </c:pt>
                <c:pt idx="5">
                  <c:v>2020E</c:v>
                </c:pt>
                <c:pt idx="6">
                  <c:v>2021E</c:v>
                </c:pt>
                <c:pt idx="7">
                  <c:v>2022E</c:v>
                </c:pt>
                <c:pt idx="8">
                  <c:v>2023E</c:v>
                </c:pt>
                <c:pt idx="9">
                  <c:v>2024E</c:v>
                </c:pt>
              </c:strCache>
            </c:strRef>
          </c:cat>
          <c:val>
            <c:numRef>
              <c:f>利润表!$I$148:$R$148</c:f>
              <c:numCache>
                <c:formatCode>_-* #,##0_-;[Red]\(#,##0\);_-* "-"_-;_-@_-</c:formatCode>
                <c:ptCount val="10"/>
                <c:pt idx="0">
                  <c:v>2665.0461144999999</c:v>
                </c:pt>
                <c:pt idx="1">
                  <c:v>3029.2470500100003</c:v>
                </c:pt>
                <c:pt idx="2">
                  <c:v>3961.2420510700003</c:v>
                </c:pt>
                <c:pt idx="3">
                  <c:v>4331.7590222899998</c:v>
                </c:pt>
                <c:pt idx="4">
                  <c:v>5514.07059192</c:v>
                </c:pt>
                <c:pt idx="5">
                  <c:v>7884.1366412316775</c:v>
                </c:pt>
                <c:pt idx="6">
                  <c:v>8143.9739502080538</c:v>
                </c:pt>
                <c:pt idx="7">
                  <c:v>8134.435336486551</c:v>
                </c:pt>
                <c:pt idx="8">
                  <c:v>8136.5391332678682</c:v>
                </c:pt>
                <c:pt idx="9">
                  <c:v>8138.3161399874916</c:v>
                </c:pt>
              </c:numCache>
            </c:numRef>
          </c:val>
        </c:ser>
        <c:dLbls>
          <c:showLegendKey val="0"/>
          <c:showVal val="0"/>
          <c:showCatName val="0"/>
          <c:showSerName val="0"/>
          <c:showPercent val="0"/>
          <c:showBubbleSize val="0"/>
        </c:dLbls>
        <c:gapWidth val="150"/>
        <c:axId val="-267755536"/>
        <c:axId val="-223752656"/>
      </c:barChart>
      <c:catAx>
        <c:axId val="-267755536"/>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楷体_GB2312"/>
                <a:ea typeface="楷体_GB2312"/>
                <a:cs typeface="楷体_GB2312"/>
              </a:defRPr>
            </a:pPr>
            <a:endParaRPr lang="zh-CN"/>
          </a:p>
        </c:txPr>
        <c:crossAx val="-223752656"/>
        <c:crosses val="autoZero"/>
        <c:auto val="1"/>
        <c:lblAlgn val="ctr"/>
        <c:lblOffset val="100"/>
        <c:tickLblSkip val="1"/>
        <c:tickMarkSkip val="1"/>
        <c:noMultiLvlLbl val="0"/>
      </c:catAx>
      <c:valAx>
        <c:axId val="-223752656"/>
        <c:scaling>
          <c:orientation val="minMax"/>
        </c:scaling>
        <c:delete val="0"/>
        <c:axPos val="l"/>
        <c:numFmt formatCode="_-* #,##0_-;[Red]\(#,##0\);_-* &quot;-&quot;_-;_-@_-" sourceLinked="0"/>
        <c:majorTickMark val="in"/>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楷体_GB2312"/>
                <a:ea typeface="楷体_GB2312"/>
                <a:cs typeface="楷体_GB2312"/>
              </a:defRPr>
            </a:pPr>
            <a:endParaRPr lang="zh-CN"/>
          </a:p>
        </c:txPr>
        <c:crossAx val="-267755536"/>
        <c:crosses val="autoZero"/>
        <c:crossBetween val="between"/>
      </c:valAx>
      <c:spPr>
        <a:noFill/>
        <a:ln w="25400">
          <a:noFill/>
        </a:ln>
      </c:spPr>
    </c:plotArea>
    <c:legend>
      <c:legendPos val="r"/>
      <c:layout>
        <c:manualLayout>
          <c:xMode val="edge"/>
          <c:yMode val="edge"/>
          <c:x val="0.41904819040477082"/>
          <c:y val="3.0508686414198224E-2"/>
          <c:w val="0.29795961219133316"/>
          <c:h val="6.4406949131358582E-2"/>
        </c:manualLayout>
      </c:layout>
      <c:overlay val="0"/>
      <c:spPr>
        <a:solidFill>
          <a:srgbClr val="FFFFFF"/>
        </a:solidFill>
        <a:ln w="25400">
          <a:noFill/>
        </a:ln>
      </c:spPr>
      <c:txPr>
        <a:bodyPr/>
        <a:lstStyle/>
        <a:p>
          <a:pPr>
            <a:defRPr sz="895" b="0" i="0" u="none" strike="noStrike" baseline="0">
              <a:solidFill>
                <a:srgbClr val="000000"/>
              </a:solidFill>
              <a:latin typeface="楷体_GB2312"/>
              <a:ea typeface="楷体_GB2312"/>
              <a:cs typeface="楷体_GB2312"/>
            </a:defRPr>
          </a:pPr>
          <a:endParaRPr lang="zh-CN"/>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楷体_GB2312"/>
          <a:ea typeface="楷体_GB2312"/>
          <a:cs typeface="楷体_GB2312"/>
        </a:defRPr>
      </a:pPr>
      <a:endParaRPr lang="zh-CN"/>
    </a:p>
  </c:txPr>
  <c:printSettings>
    <c:headerFooter alignWithMargins="0"/>
    <c:pageMargins b="1" l="0.75000000000000011" r="0.75000000000000011"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74042751792002"/>
          <c:y val="0.17216178801005896"/>
          <c:w val="0.87951922209570332"/>
          <c:h val="0.67399508497555016"/>
        </c:manualLayout>
      </c:layout>
      <c:barChart>
        <c:barDir val="col"/>
        <c:grouping val="clustered"/>
        <c:varyColors val="0"/>
        <c:ser>
          <c:idx val="0"/>
          <c:order val="0"/>
          <c:tx>
            <c:strRef>
              <c:f>资产负债!$B$325</c:f>
              <c:strCache>
                <c:ptCount val="1"/>
                <c:pt idx="0">
                  <c:v> 衍生金融资产 </c:v>
                </c:pt>
              </c:strCache>
            </c:strRef>
          </c:tx>
          <c:spPr>
            <a:solidFill>
              <a:srgbClr val="00FFFF"/>
            </a:solidFill>
            <a:ln w="25400">
              <a:noFill/>
            </a:ln>
          </c:spPr>
          <c:invertIfNegative val="0"/>
          <c:cat>
            <c:strRef>
              <c:f>资产负债!$I$324:$R$324</c:f>
              <c:strCache>
                <c:ptCount val="10"/>
                <c:pt idx="0">
                  <c:v>2015</c:v>
                </c:pt>
                <c:pt idx="1">
                  <c:v>2016</c:v>
                </c:pt>
                <c:pt idx="2">
                  <c:v>2017</c:v>
                </c:pt>
                <c:pt idx="3">
                  <c:v>2018</c:v>
                </c:pt>
                <c:pt idx="4">
                  <c:v>2019</c:v>
                </c:pt>
                <c:pt idx="5">
                  <c:v>2020E</c:v>
                </c:pt>
                <c:pt idx="6">
                  <c:v>2021E</c:v>
                </c:pt>
                <c:pt idx="7">
                  <c:v>2022E</c:v>
                </c:pt>
                <c:pt idx="8">
                  <c:v>2023E</c:v>
                </c:pt>
                <c:pt idx="9">
                  <c:v>2024E</c:v>
                </c:pt>
              </c:strCache>
            </c:strRef>
          </c:cat>
          <c:val>
            <c:numRef>
              <c:f>资产负债!$I$325:$R$325</c:f>
              <c:numCache>
                <c:formatCode>#,##0_);[Red]\(#,##0\)</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资产负债!$B$326</c:f>
              <c:strCache>
                <c:ptCount val="1"/>
                <c:pt idx="0">
                  <c:v> 经营性应收款项 </c:v>
                </c:pt>
              </c:strCache>
            </c:strRef>
          </c:tx>
          <c:spPr>
            <a:solidFill>
              <a:srgbClr val="CC99FF"/>
            </a:solidFill>
            <a:ln w="25400">
              <a:noFill/>
            </a:ln>
          </c:spPr>
          <c:invertIfNegative val="0"/>
          <c:cat>
            <c:strRef>
              <c:f>资产负债!$I$324:$R$324</c:f>
              <c:strCache>
                <c:ptCount val="10"/>
                <c:pt idx="0">
                  <c:v>2015</c:v>
                </c:pt>
                <c:pt idx="1">
                  <c:v>2016</c:v>
                </c:pt>
                <c:pt idx="2">
                  <c:v>2017</c:v>
                </c:pt>
                <c:pt idx="3">
                  <c:v>2018</c:v>
                </c:pt>
                <c:pt idx="4">
                  <c:v>2019</c:v>
                </c:pt>
                <c:pt idx="5">
                  <c:v>2020E</c:v>
                </c:pt>
                <c:pt idx="6">
                  <c:v>2021E</c:v>
                </c:pt>
                <c:pt idx="7">
                  <c:v>2022E</c:v>
                </c:pt>
                <c:pt idx="8">
                  <c:v>2023E</c:v>
                </c:pt>
                <c:pt idx="9">
                  <c:v>2024E</c:v>
                </c:pt>
              </c:strCache>
            </c:strRef>
          </c:cat>
          <c:val>
            <c:numRef>
              <c:f>资产负债!$I$326:$R$326</c:f>
              <c:numCache>
                <c:formatCode>#,##0_);[Red]\(#,##0\)</c:formatCode>
                <c:ptCount val="10"/>
                <c:pt idx="0">
                  <c:v>1634.33176303</c:v>
                </c:pt>
                <c:pt idx="1">
                  <c:v>2137.78180449</c:v>
                </c:pt>
                <c:pt idx="2">
                  <c:v>2511.3960870700002</c:v>
                </c:pt>
                <c:pt idx="3">
                  <c:v>2808.4926688400001</c:v>
                </c:pt>
                <c:pt idx="4">
                  <c:v>3134.4389875899997</c:v>
                </c:pt>
                <c:pt idx="5">
                  <c:v>2980.7602065722731</c:v>
                </c:pt>
                <c:pt idx="6">
                  <c:v>3039.9996469481107</c:v>
                </c:pt>
                <c:pt idx="7">
                  <c:v>3049.1746957530345</c:v>
                </c:pt>
                <c:pt idx="8">
                  <c:v>3022.6990388918239</c:v>
                </c:pt>
                <c:pt idx="9">
                  <c:v>3037.2124281229826</c:v>
                </c:pt>
              </c:numCache>
            </c:numRef>
          </c:val>
        </c:ser>
        <c:dLbls>
          <c:showLegendKey val="0"/>
          <c:showVal val="0"/>
          <c:showCatName val="0"/>
          <c:showSerName val="0"/>
          <c:showPercent val="0"/>
          <c:showBubbleSize val="0"/>
        </c:dLbls>
        <c:gapWidth val="150"/>
        <c:axId val="-223751024"/>
        <c:axId val="-223750480"/>
      </c:barChart>
      <c:catAx>
        <c:axId val="-223751024"/>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楷体_GB2312"/>
                <a:ea typeface="楷体_GB2312"/>
                <a:cs typeface="楷体_GB2312"/>
              </a:defRPr>
            </a:pPr>
            <a:endParaRPr lang="zh-CN"/>
          </a:p>
        </c:txPr>
        <c:crossAx val="-223750480"/>
        <c:crosses val="autoZero"/>
        <c:auto val="1"/>
        <c:lblAlgn val="ctr"/>
        <c:lblOffset val="100"/>
        <c:tickLblSkip val="1"/>
        <c:tickMarkSkip val="1"/>
        <c:noMultiLvlLbl val="0"/>
      </c:catAx>
      <c:valAx>
        <c:axId val="-223750480"/>
        <c:scaling>
          <c:orientation val="minMax"/>
        </c:scaling>
        <c:delete val="0"/>
        <c:axPos val="l"/>
        <c:numFmt formatCode="#,##0_);[Red]\(#,##0\)" sourceLinked="1"/>
        <c:majorTickMark val="in"/>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楷体_GB2312"/>
                <a:ea typeface="楷体_GB2312"/>
                <a:cs typeface="楷体_GB2312"/>
              </a:defRPr>
            </a:pPr>
            <a:endParaRPr lang="zh-CN"/>
          </a:p>
        </c:txPr>
        <c:crossAx val="-223751024"/>
        <c:crosses val="autoZero"/>
        <c:crossBetween val="between"/>
      </c:valAx>
      <c:spPr>
        <a:noFill/>
        <a:ln w="25400">
          <a:noFill/>
        </a:ln>
      </c:spPr>
    </c:plotArea>
    <c:legend>
      <c:legendPos val="t"/>
      <c:layout>
        <c:manualLayout>
          <c:xMode val="edge"/>
          <c:yMode val="edge"/>
          <c:x val="0.37617177370900923"/>
          <c:y val="2.9304029304029304E-2"/>
          <c:w val="0.33065637879602405"/>
          <c:h val="6.9597454164383288E-2"/>
        </c:manualLayout>
      </c:layout>
      <c:overlay val="0"/>
      <c:spPr>
        <a:solidFill>
          <a:srgbClr val="FFFFFF"/>
        </a:solidFill>
        <a:ln w="25400">
          <a:noFill/>
        </a:ln>
      </c:spPr>
      <c:txPr>
        <a:bodyPr/>
        <a:lstStyle/>
        <a:p>
          <a:pPr>
            <a:defRPr sz="870" b="0" i="0" u="none" strike="noStrike" baseline="0">
              <a:solidFill>
                <a:srgbClr val="000000"/>
              </a:solidFill>
              <a:latin typeface="楷体_GB2312"/>
              <a:ea typeface="楷体_GB2312"/>
              <a:cs typeface="楷体_GB2312"/>
            </a:defRPr>
          </a:pPr>
          <a:endParaRPr lang="zh-CN"/>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楷体_GB2312"/>
          <a:ea typeface="楷体_GB2312"/>
          <a:cs typeface="楷体_GB2312"/>
        </a:defRPr>
      </a:pPr>
      <a:endParaRPr lang="zh-CN"/>
    </a:p>
  </c:txPr>
  <c:printSettings>
    <c:headerFooter alignWithMargins="0"/>
    <c:pageMargins b="1" l="0.75000000000000011" r="0.75000000000000011"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298116608068429"/>
          <c:y val="0.18972368631825576"/>
          <c:w val="0.87804994237215039"/>
          <c:h val="0.64031744132411339"/>
        </c:manualLayout>
      </c:layout>
      <c:barChart>
        <c:barDir val="col"/>
        <c:grouping val="clustered"/>
        <c:varyColors val="0"/>
        <c:ser>
          <c:idx val="0"/>
          <c:order val="0"/>
          <c:tx>
            <c:strRef>
              <c:f>现金流量!$B$77</c:f>
              <c:strCache>
                <c:ptCount val="1"/>
                <c:pt idx="0">
                  <c:v> 财务费用 （收益以“—”号列示） </c:v>
                </c:pt>
              </c:strCache>
            </c:strRef>
          </c:tx>
          <c:spPr>
            <a:solidFill>
              <a:srgbClr val="00FFFF"/>
            </a:solidFill>
            <a:ln w="25400">
              <a:noFill/>
            </a:ln>
          </c:spPr>
          <c:invertIfNegative val="0"/>
          <c:cat>
            <c:strRef>
              <c:f>现金流量!$I$76:$R$76</c:f>
              <c:strCache>
                <c:ptCount val="10"/>
                <c:pt idx="0">
                  <c:v>2015</c:v>
                </c:pt>
                <c:pt idx="1">
                  <c:v>2016</c:v>
                </c:pt>
                <c:pt idx="2">
                  <c:v>2017</c:v>
                </c:pt>
                <c:pt idx="3">
                  <c:v>2018</c:v>
                </c:pt>
                <c:pt idx="4">
                  <c:v>2019</c:v>
                </c:pt>
                <c:pt idx="5">
                  <c:v>2020E</c:v>
                </c:pt>
                <c:pt idx="6">
                  <c:v>2021E</c:v>
                </c:pt>
                <c:pt idx="7">
                  <c:v>2022E</c:v>
                </c:pt>
                <c:pt idx="8">
                  <c:v>2023E</c:v>
                </c:pt>
                <c:pt idx="9">
                  <c:v>2024E</c:v>
                </c:pt>
              </c:strCache>
            </c:strRef>
          </c:cat>
          <c:val>
            <c:numRef>
              <c:f>现金流量!$I$77:$R$77</c:f>
              <c:numCache>
                <c:formatCode>_-* #,##0_-;[Red]\(#,##0\);_-* "-"_-;_-@_-</c:formatCode>
                <c:ptCount val="10"/>
                <c:pt idx="0">
                  <c:v>29.885208469999998</c:v>
                </c:pt>
                <c:pt idx="1">
                  <c:v>4.5482970499999995</c:v>
                </c:pt>
                <c:pt idx="2">
                  <c:v>12.675548619999999</c:v>
                </c:pt>
                <c:pt idx="3">
                  <c:v>-9.429398990000001</c:v>
                </c:pt>
                <c:pt idx="4">
                  <c:v>4.8983030799999998</c:v>
                </c:pt>
                <c:pt idx="5">
                  <c:v>2366.7043487452747</c:v>
                </c:pt>
                <c:pt idx="6">
                  <c:v>2613.7758206225985</c:v>
                </c:pt>
                <c:pt idx="7">
                  <c:v>2613.7758206225985</c:v>
                </c:pt>
                <c:pt idx="8">
                  <c:v>2613.7758206225985</c:v>
                </c:pt>
                <c:pt idx="9">
                  <c:v>2613.7758206225985</c:v>
                </c:pt>
              </c:numCache>
            </c:numRef>
          </c:val>
        </c:ser>
        <c:ser>
          <c:idx val="1"/>
          <c:order val="1"/>
          <c:tx>
            <c:strRef>
              <c:f>现金流量!$B$78</c:f>
              <c:strCache>
                <c:ptCount val="1"/>
                <c:pt idx="0">
                  <c:v> 净利润  </c:v>
                </c:pt>
              </c:strCache>
            </c:strRef>
          </c:tx>
          <c:spPr>
            <a:solidFill>
              <a:srgbClr val="CC99FF"/>
            </a:solidFill>
            <a:ln w="25400">
              <a:noFill/>
            </a:ln>
          </c:spPr>
          <c:invertIfNegative val="0"/>
          <c:cat>
            <c:strRef>
              <c:f>现金流量!$I$76:$R$76</c:f>
              <c:strCache>
                <c:ptCount val="10"/>
                <c:pt idx="0">
                  <c:v>2015</c:v>
                </c:pt>
                <c:pt idx="1">
                  <c:v>2016</c:v>
                </c:pt>
                <c:pt idx="2">
                  <c:v>2017</c:v>
                </c:pt>
                <c:pt idx="3">
                  <c:v>2018</c:v>
                </c:pt>
                <c:pt idx="4">
                  <c:v>2019</c:v>
                </c:pt>
                <c:pt idx="5">
                  <c:v>2020E</c:v>
                </c:pt>
                <c:pt idx="6">
                  <c:v>2021E</c:v>
                </c:pt>
                <c:pt idx="7">
                  <c:v>2022E</c:v>
                </c:pt>
                <c:pt idx="8">
                  <c:v>2023E</c:v>
                </c:pt>
                <c:pt idx="9">
                  <c:v>2024E</c:v>
                </c:pt>
              </c:strCache>
            </c:strRef>
          </c:cat>
          <c:val>
            <c:numRef>
              <c:f>现金流量!$I$78:$R$78</c:f>
              <c:numCache>
                <c:formatCode>_-* #,##0_-;[Red]\(#,##0\);_-* "-"_-;_-@_-</c:formatCode>
                <c:ptCount val="10"/>
                <c:pt idx="0">
                  <c:v>647.29266680000001</c:v>
                </c:pt>
                <c:pt idx="1">
                  <c:v>847.75541400999998</c:v>
                </c:pt>
                <c:pt idx="2">
                  <c:v>585.19937057000004</c:v>
                </c:pt>
                <c:pt idx="3">
                  <c:v>750.05513647999999</c:v>
                </c:pt>
                <c:pt idx="4">
                  <c:v>955.03581178000002</c:v>
                </c:pt>
                <c:pt idx="5">
                  <c:v>-1382.242562561677</c:v>
                </c:pt>
                <c:pt idx="6">
                  <c:v>-1642.0798715380527</c:v>
                </c:pt>
                <c:pt idx="7">
                  <c:v>-1632.541257816551</c:v>
                </c:pt>
                <c:pt idx="8">
                  <c:v>-1634.6450545978682</c:v>
                </c:pt>
                <c:pt idx="9">
                  <c:v>-1636.4220613174907</c:v>
                </c:pt>
              </c:numCache>
            </c:numRef>
          </c:val>
        </c:ser>
        <c:dLbls>
          <c:showLegendKey val="0"/>
          <c:showVal val="0"/>
          <c:showCatName val="0"/>
          <c:showSerName val="0"/>
          <c:showPercent val="0"/>
          <c:showBubbleSize val="0"/>
        </c:dLbls>
        <c:gapWidth val="150"/>
        <c:axId val="-268670016"/>
        <c:axId val="-268659136"/>
      </c:barChart>
      <c:catAx>
        <c:axId val="-268670016"/>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楷体_GB2312"/>
                <a:ea typeface="楷体_GB2312"/>
                <a:cs typeface="楷体_GB2312"/>
              </a:defRPr>
            </a:pPr>
            <a:endParaRPr lang="zh-CN"/>
          </a:p>
        </c:txPr>
        <c:crossAx val="-268659136"/>
        <c:crosses val="autoZero"/>
        <c:auto val="1"/>
        <c:lblAlgn val="ctr"/>
        <c:lblOffset val="100"/>
        <c:tickLblSkip val="1"/>
        <c:tickMarkSkip val="1"/>
        <c:noMultiLvlLbl val="0"/>
      </c:catAx>
      <c:valAx>
        <c:axId val="-268659136"/>
        <c:scaling>
          <c:orientation val="minMax"/>
        </c:scaling>
        <c:delete val="0"/>
        <c:axPos val="l"/>
        <c:numFmt formatCode="_-* #,##0_-;[Red]\(#,##0\);_-* &quot;-&quot;_-;_-@_-" sourceLinked="1"/>
        <c:majorTickMark val="in"/>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楷体_GB2312"/>
                <a:ea typeface="楷体_GB2312"/>
                <a:cs typeface="楷体_GB2312"/>
              </a:defRPr>
            </a:pPr>
            <a:endParaRPr lang="zh-CN"/>
          </a:p>
        </c:txPr>
        <c:crossAx val="-268670016"/>
        <c:crosses val="autoZero"/>
        <c:crossBetween val="between"/>
      </c:valAx>
      <c:spPr>
        <a:noFill/>
        <a:ln w="25400">
          <a:noFill/>
        </a:ln>
      </c:spPr>
    </c:plotArea>
    <c:legend>
      <c:legendPos val="r"/>
      <c:layout>
        <c:manualLayout>
          <c:xMode val="edge"/>
          <c:yMode val="edge"/>
          <c:x val="0.64905234406674772"/>
          <c:y val="4.3478260869565216E-2"/>
          <c:w val="0.34552888206047405"/>
          <c:h val="7.9051383399209488E-2"/>
        </c:manualLayout>
      </c:layout>
      <c:overlay val="0"/>
      <c:spPr>
        <a:solidFill>
          <a:srgbClr val="FFFFFF"/>
        </a:solidFill>
        <a:ln w="25400">
          <a:noFill/>
        </a:ln>
      </c:spPr>
      <c:txPr>
        <a:bodyPr/>
        <a:lstStyle/>
        <a:p>
          <a:pPr>
            <a:defRPr sz="870" b="0" i="0" u="none" strike="noStrike" baseline="0">
              <a:solidFill>
                <a:srgbClr val="000000"/>
              </a:solidFill>
              <a:latin typeface="楷体_GB2312"/>
              <a:ea typeface="楷体_GB2312"/>
              <a:cs typeface="楷体_GB2312"/>
            </a:defRPr>
          </a:pPr>
          <a:endParaRPr lang="zh-CN"/>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楷体_GB2312"/>
          <a:ea typeface="楷体_GB2312"/>
          <a:cs typeface="楷体_GB2312"/>
        </a:defRPr>
      </a:pPr>
      <a:endParaRPr lang="zh-CN"/>
    </a:p>
  </c:txPr>
  <c:printSettings>
    <c:headerFooter alignWithMargins="0"/>
    <c:pageMargins b="1" l="0.75000000000000011" r="0.75000000000000011"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24652859846101"/>
          <c:y val="0.15932229760708691"/>
          <c:w val="0.87391428033610785"/>
          <c:h val="0.63050951818974821"/>
        </c:manualLayout>
      </c:layout>
      <c:barChart>
        <c:barDir val="col"/>
        <c:grouping val="clustered"/>
        <c:varyColors val="0"/>
        <c:ser>
          <c:idx val="0"/>
          <c:order val="0"/>
          <c:tx>
            <c:strRef>
              <c:f>季报分析!$B$83</c:f>
              <c:strCache>
                <c:ptCount val="1"/>
                <c:pt idx="0">
                  <c:v> 营业总收入 </c:v>
                </c:pt>
              </c:strCache>
            </c:strRef>
          </c:tx>
          <c:spPr>
            <a:solidFill>
              <a:srgbClr val="00FFFF"/>
            </a:solidFill>
            <a:ln w="25400">
              <a:noFill/>
            </a:ln>
          </c:spPr>
          <c:invertIfNegative val="0"/>
          <c:cat>
            <c:strRef>
              <c:f>季报分析!$C$82:$AD$82</c:f>
              <c:strCache>
                <c:ptCount val="28"/>
                <c:pt idx="0">
                  <c:v>1Q15</c:v>
                </c:pt>
                <c:pt idx="1">
                  <c:v>2Q15</c:v>
                </c:pt>
                <c:pt idx="2">
                  <c:v>3Q15</c:v>
                </c:pt>
                <c:pt idx="3">
                  <c:v>4Q15</c:v>
                </c:pt>
                <c:pt idx="4">
                  <c:v>1Q16</c:v>
                </c:pt>
                <c:pt idx="5">
                  <c:v>2Q16</c:v>
                </c:pt>
                <c:pt idx="6">
                  <c:v>3Q16</c:v>
                </c:pt>
                <c:pt idx="7">
                  <c:v>4Q16</c:v>
                </c:pt>
                <c:pt idx="8">
                  <c:v>1Q17</c:v>
                </c:pt>
                <c:pt idx="9">
                  <c:v>2Q17</c:v>
                </c:pt>
                <c:pt idx="10">
                  <c:v>3Q17</c:v>
                </c:pt>
                <c:pt idx="11">
                  <c:v>4Q17</c:v>
                </c:pt>
                <c:pt idx="12">
                  <c:v>1Q18</c:v>
                </c:pt>
                <c:pt idx="13">
                  <c:v>2Q18</c:v>
                </c:pt>
                <c:pt idx="14">
                  <c:v>3Q18</c:v>
                </c:pt>
                <c:pt idx="15">
                  <c:v>4Q18</c:v>
                </c:pt>
                <c:pt idx="16">
                  <c:v>1Q19</c:v>
                </c:pt>
                <c:pt idx="17">
                  <c:v>2Q19</c:v>
                </c:pt>
                <c:pt idx="18">
                  <c:v>3Q19</c:v>
                </c:pt>
                <c:pt idx="19">
                  <c:v>4Q19</c:v>
                </c:pt>
                <c:pt idx="20">
                  <c:v>1Q20</c:v>
                </c:pt>
                <c:pt idx="21">
                  <c:v>2Q20</c:v>
                </c:pt>
                <c:pt idx="22">
                  <c:v>3Q20</c:v>
                </c:pt>
                <c:pt idx="23">
                  <c:v>4Q20E</c:v>
                </c:pt>
                <c:pt idx="24">
                  <c:v>1Q21E</c:v>
                </c:pt>
                <c:pt idx="25">
                  <c:v>2Q21E</c:v>
                </c:pt>
                <c:pt idx="26">
                  <c:v>3Q21E</c:v>
                </c:pt>
                <c:pt idx="27">
                  <c:v>4Q21E</c:v>
                </c:pt>
              </c:strCache>
            </c:strRef>
          </c:cat>
          <c:val>
            <c:numRef>
              <c:f>季报分析!$C$83:$AD$83</c:f>
              <c:numCache>
                <c:formatCode>0.00_);[Red]\(0.00\)</c:formatCode>
                <c:ptCount val="28"/>
                <c:pt idx="0">
                  <c:v>738.35379853999996</c:v>
                </c:pt>
                <c:pt idx="1">
                  <c:v>779.94461754999986</c:v>
                </c:pt>
                <c:pt idx="2">
                  <c:v>918.83185989000026</c:v>
                </c:pt>
                <c:pt idx="3">
                  <c:v>895.6744954400001</c:v>
                </c:pt>
                <c:pt idx="4">
                  <c:v>896.75065635999999</c:v>
                </c:pt>
                <c:pt idx="5">
                  <c:v>1038.5088220500002</c:v>
                </c:pt>
                <c:pt idx="6">
                  <c:v>1011.7350534100001</c:v>
                </c:pt>
                <c:pt idx="7">
                  <c:v>1004.6127334099997</c:v>
                </c:pt>
                <c:pt idx="8">
                  <c:v>1001.51223724</c:v>
                </c:pt>
                <c:pt idx="9">
                  <c:v>1254.2316235899998</c:v>
                </c:pt>
                <c:pt idx="10">
                  <c:v>1143.4801405600001</c:v>
                </c:pt>
                <c:pt idx="11">
                  <c:v>1185.6957601900003</c:v>
                </c:pt>
                <c:pt idx="12">
                  <c:v>1059.51187323</c:v>
                </c:pt>
                <c:pt idx="13">
                  <c:v>1129.3096335399998</c:v>
                </c:pt>
                <c:pt idx="14">
                  <c:v>1221.8727568300001</c:v>
                </c:pt>
                <c:pt idx="15">
                  <c:v>1399.0418342600001</c:v>
                </c:pt>
                <c:pt idx="16">
                  <c:v>1614.58962206</c:v>
                </c:pt>
                <c:pt idx="17">
                  <c:v>1364.0113791699998</c:v>
                </c:pt>
                <c:pt idx="18">
                  <c:v>1612.0666869700003</c:v>
                </c:pt>
                <c:pt idx="19">
                  <c:v>1787.4836677200001</c:v>
                </c:pt>
                <c:pt idx="20">
                  <c:v>0</c:v>
                </c:pt>
                <c:pt idx="21">
                  <c:v>0</c:v>
                </c:pt>
                <c:pt idx="22">
                  <c:v>0</c:v>
                </c:pt>
                <c:pt idx="23">
                  <c:v>0</c:v>
                </c:pt>
                <c:pt idx="24">
                  <c:v>0</c:v>
                </c:pt>
                <c:pt idx="25">
                  <c:v>0</c:v>
                </c:pt>
                <c:pt idx="26">
                  <c:v>0</c:v>
                </c:pt>
                <c:pt idx="27">
                  <c:v>0</c:v>
                </c:pt>
              </c:numCache>
            </c:numRef>
          </c:val>
        </c:ser>
        <c:ser>
          <c:idx val="1"/>
          <c:order val="1"/>
          <c:tx>
            <c:strRef>
              <c:f>季报分析!$B$84</c:f>
              <c:strCache>
                <c:ptCount val="1"/>
                <c:pt idx="0">
                  <c:v> 营业总成本 </c:v>
                </c:pt>
              </c:strCache>
            </c:strRef>
          </c:tx>
          <c:spPr>
            <a:solidFill>
              <a:srgbClr val="CC99FF"/>
            </a:solidFill>
            <a:ln w="25400">
              <a:noFill/>
            </a:ln>
          </c:spPr>
          <c:invertIfNegative val="0"/>
          <c:cat>
            <c:strRef>
              <c:f>季报分析!$C$82:$AD$82</c:f>
              <c:strCache>
                <c:ptCount val="28"/>
                <c:pt idx="0">
                  <c:v>1Q15</c:v>
                </c:pt>
                <c:pt idx="1">
                  <c:v>2Q15</c:v>
                </c:pt>
                <c:pt idx="2">
                  <c:v>3Q15</c:v>
                </c:pt>
                <c:pt idx="3">
                  <c:v>4Q15</c:v>
                </c:pt>
                <c:pt idx="4">
                  <c:v>1Q16</c:v>
                </c:pt>
                <c:pt idx="5">
                  <c:v>2Q16</c:v>
                </c:pt>
                <c:pt idx="6">
                  <c:v>3Q16</c:v>
                </c:pt>
                <c:pt idx="7">
                  <c:v>4Q16</c:v>
                </c:pt>
                <c:pt idx="8">
                  <c:v>1Q17</c:v>
                </c:pt>
                <c:pt idx="9">
                  <c:v>2Q17</c:v>
                </c:pt>
                <c:pt idx="10">
                  <c:v>3Q17</c:v>
                </c:pt>
                <c:pt idx="11">
                  <c:v>4Q17</c:v>
                </c:pt>
                <c:pt idx="12">
                  <c:v>1Q18</c:v>
                </c:pt>
                <c:pt idx="13">
                  <c:v>2Q18</c:v>
                </c:pt>
                <c:pt idx="14">
                  <c:v>3Q18</c:v>
                </c:pt>
                <c:pt idx="15">
                  <c:v>4Q18</c:v>
                </c:pt>
                <c:pt idx="16">
                  <c:v>1Q19</c:v>
                </c:pt>
                <c:pt idx="17">
                  <c:v>2Q19</c:v>
                </c:pt>
                <c:pt idx="18">
                  <c:v>3Q19</c:v>
                </c:pt>
                <c:pt idx="19">
                  <c:v>4Q19</c:v>
                </c:pt>
                <c:pt idx="20">
                  <c:v>1Q20</c:v>
                </c:pt>
                <c:pt idx="21">
                  <c:v>2Q20</c:v>
                </c:pt>
                <c:pt idx="22">
                  <c:v>3Q20</c:v>
                </c:pt>
                <c:pt idx="23">
                  <c:v>4Q20E</c:v>
                </c:pt>
                <c:pt idx="24">
                  <c:v>1Q21E</c:v>
                </c:pt>
                <c:pt idx="25">
                  <c:v>2Q21E</c:v>
                </c:pt>
                <c:pt idx="26">
                  <c:v>3Q21E</c:v>
                </c:pt>
                <c:pt idx="27">
                  <c:v>4Q21E</c:v>
                </c:pt>
              </c:strCache>
            </c:strRef>
          </c:cat>
          <c:val>
            <c:numRef>
              <c:f>季报分析!$C$84:$AD$84</c:f>
              <c:numCache>
                <c:formatCode>0.00_);[Red]\(0.00\)</c:formatCode>
                <c:ptCount val="28"/>
                <c:pt idx="0">
                  <c:v>625.85041575000002</c:v>
                </c:pt>
                <c:pt idx="1">
                  <c:v>614.59528435999994</c:v>
                </c:pt>
                <c:pt idx="2">
                  <c:v>770.97664897999994</c:v>
                </c:pt>
                <c:pt idx="3">
                  <c:v>653.62376541000003</c:v>
                </c:pt>
                <c:pt idx="4">
                  <c:v>730.87574573000006</c:v>
                </c:pt>
                <c:pt idx="5">
                  <c:v>726.82740790000003</c:v>
                </c:pt>
                <c:pt idx="6">
                  <c:v>832.08426375999989</c:v>
                </c:pt>
                <c:pt idx="7">
                  <c:v>739.45963262000032</c:v>
                </c:pt>
                <c:pt idx="8">
                  <c:v>899.70538217000001</c:v>
                </c:pt>
                <c:pt idx="9">
                  <c:v>1093.0550670399998</c:v>
                </c:pt>
                <c:pt idx="10">
                  <c:v>1019.1358389000002</c:v>
                </c:pt>
                <c:pt idx="11">
                  <c:v>949.34576296000023</c:v>
                </c:pt>
                <c:pt idx="12">
                  <c:v>950.60466094000003</c:v>
                </c:pt>
                <c:pt idx="13">
                  <c:v>1014.58278496</c:v>
                </c:pt>
                <c:pt idx="14">
                  <c:v>1096.7927897099999</c:v>
                </c:pt>
                <c:pt idx="15">
                  <c:v>1269.7787866799999</c:v>
                </c:pt>
                <c:pt idx="16">
                  <c:v>1448.96389802</c:v>
                </c:pt>
                <c:pt idx="17">
                  <c:v>1175.2438835800001</c:v>
                </c:pt>
                <c:pt idx="18">
                  <c:v>1391.3270623499998</c:v>
                </c:pt>
                <c:pt idx="19">
                  <c:v>1498.5357479700001</c:v>
                </c:pt>
                <c:pt idx="20">
                  <c:v>0</c:v>
                </c:pt>
                <c:pt idx="21">
                  <c:v>0</c:v>
                </c:pt>
                <c:pt idx="22">
                  <c:v>0</c:v>
                </c:pt>
                <c:pt idx="23">
                  <c:v>0</c:v>
                </c:pt>
                <c:pt idx="24">
                  <c:v>0</c:v>
                </c:pt>
                <c:pt idx="25">
                  <c:v>0</c:v>
                </c:pt>
                <c:pt idx="26">
                  <c:v>0</c:v>
                </c:pt>
                <c:pt idx="27">
                  <c:v>0</c:v>
                </c:pt>
              </c:numCache>
            </c:numRef>
          </c:val>
        </c:ser>
        <c:dLbls>
          <c:showLegendKey val="0"/>
          <c:showVal val="0"/>
          <c:showCatName val="0"/>
          <c:showSerName val="0"/>
          <c:showPercent val="0"/>
          <c:showBubbleSize val="0"/>
        </c:dLbls>
        <c:gapWidth val="150"/>
        <c:axId val="-268754656"/>
        <c:axId val="-268765536"/>
      </c:barChart>
      <c:catAx>
        <c:axId val="-268754656"/>
        <c:scaling>
          <c:orientation val="minMax"/>
        </c:scaling>
        <c:delete val="0"/>
        <c:axPos val="b"/>
        <c:numFmt formatCode="General" sourceLinked="1"/>
        <c:majorTickMark val="in"/>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楷体_GB2312"/>
                <a:ea typeface="楷体_GB2312"/>
                <a:cs typeface="楷体_GB2312"/>
              </a:defRPr>
            </a:pPr>
            <a:endParaRPr lang="zh-CN"/>
          </a:p>
        </c:txPr>
        <c:crossAx val="-268765536"/>
        <c:crosses val="autoZero"/>
        <c:auto val="1"/>
        <c:lblAlgn val="ctr"/>
        <c:lblOffset val="100"/>
        <c:tickLblSkip val="1"/>
        <c:tickMarkSkip val="1"/>
        <c:noMultiLvlLbl val="0"/>
      </c:catAx>
      <c:valAx>
        <c:axId val="-268765536"/>
        <c:scaling>
          <c:orientation val="minMax"/>
        </c:scaling>
        <c:delete val="0"/>
        <c:axPos val="l"/>
        <c:numFmt formatCode="_-* #,##0_-;[Red]\(#,##0\);_-* &quot;-&quot;_-;_-@_-" sourceLinked="0"/>
        <c:majorTickMark val="in"/>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楷体_GB2312"/>
                <a:ea typeface="楷体_GB2312"/>
                <a:cs typeface="楷体_GB2312"/>
              </a:defRPr>
            </a:pPr>
            <a:endParaRPr lang="zh-CN"/>
          </a:p>
        </c:txPr>
        <c:crossAx val="-268754656"/>
        <c:crosses val="autoZero"/>
        <c:crossBetween val="between"/>
      </c:valAx>
      <c:spPr>
        <a:noFill/>
        <a:ln w="25400">
          <a:noFill/>
        </a:ln>
      </c:spPr>
    </c:plotArea>
    <c:legend>
      <c:legendPos val="r"/>
      <c:layout>
        <c:manualLayout>
          <c:xMode val="edge"/>
          <c:yMode val="edge"/>
          <c:x val="0.43623249267754571"/>
          <c:y val="3.0508474576271188E-2"/>
          <c:w val="0.25652204344022211"/>
          <c:h val="6.4406779661016947E-2"/>
        </c:manualLayout>
      </c:layout>
      <c:overlay val="0"/>
      <c:spPr>
        <a:solidFill>
          <a:srgbClr val="FFFFFF"/>
        </a:solidFill>
        <a:ln w="25400">
          <a:noFill/>
        </a:ln>
      </c:spPr>
      <c:txPr>
        <a:bodyPr/>
        <a:lstStyle/>
        <a:p>
          <a:pPr>
            <a:defRPr sz="895" b="0" i="0" u="none" strike="noStrike" baseline="0">
              <a:solidFill>
                <a:srgbClr val="000000"/>
              </a:solidFill>
              <a:latin typeface="楷体_GB2312"/>
              <a:ea typeface="楷体_GB2312"/>
              <a:cs typeface="楷体_GB2312"/>
            </a:defRPr>
          </a:pPr>
          <a:endParaRPr lang="zh-CN"/>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楷体_GB2312"/>
          <a:ea typeface="楷体_GB2312"/>
          <a:cs typeface="楷体_GB2312"/>
        </a:defRPr>
      </a:pPr>
      <a:endParaRPr lang="zh-CN"/>
    </a:p>
  </c:txPr>
  <c:printSettings>
    <c:headerFooter alignWithMargins="0"/>
    <c:pageMargins b="1" l="0.75000000000000011" r="0.75000000000000011" t="1" header="0.5" footer="0.5"/>
    <c:pageSetup/>
  </c:printSettings>
</c:chartSpace>
</file>

<file path=xl/ctrlProps/ctrlProp1.xml><?xml version="1.0" encoding="utf-8"?>
<formControlPr xmlns="http://schemas.microsoft.com/office/spreadsheetml/2009/9/main" objectType="Drop" dropStyle="combo" dx="22" fmlaLink="$H$2" fmlaRange="$B$21:$B$67" sel="27" val="0"/>
</file>

<file path=xl/ctrlProps/ctrlProp2.xml><?xml version="1.0" encoding="utf-8"?>
<formControlPr xmlns="http://schemas.microsoft.com/office/spreadsheetml/2009/9/main" objectType="Drop" dropStyle="combo" dx="22" fmlaLink="$I$2" fmlaRange="$B$21:$B$67" sel="11" val="38"/>
</file>

<file path=xl/ctrlProps/ctrlProp3.xml><?xml version="1.0" encoding="utf-8"?>
<formControlPr xmlns="http://schemas.microsoft.com/office/spreadsheetml/2009/9/main" objectType="Drop" dropStyle="combo" dx="22" fmlaLink="$N$145" fmlaRange="$B$4:$B$38" sel="1" val="0"/>
</file>

<file path=xl/ctrlProps/ctrlProp4.xml><?xml version="1.0" encoding="utf-8"?>
<formControlPr xmlns="http://schemas.microsoft.com/office/spreadsheetml/2009/9/main" objectType="Drop" dropStyle="combo" dx="22" fmlaLink="$O$145" fmlaRange="$B$4:$B$38" sel="4" val="3"/>
</file>

<file path=xl/ctrlProps/ctrlProp5.xml><?xml version="1.0" encoding="utf-8"?>
<formControlPr xmlns="http://schemas.microsoft.com/office/spreadsheetml/2009/9/main" objectType="Drop" dropStyle="combo" dx="22" fmlaLink="$N$323" fmlaRange="$B$4:$B$78" sel="3" val="64"/>
</file>

<file path=xl/ctrlProps/ctrlProp6.xml><?xml version="1.0" encoding="utf-8"?>
<formControlPr xmlns="http://schemas.microsoft.com/office/spreadsheetml/2009/9/main" objectType="Drop" dropStyle="combo" dx="22" fmlaLink="$O$323" fmlaRange="$B$4:$B$78" sel="4" val="0"/>
</file>

<file path=xl/ctrlProps/ctrlProp7.xml><?xml version="1.0" encoding="utf-8"?>
<formControlPr xmlns="http://schemas.microsoft.com/office/spreadsheetml/2009/9/main" objectType="Drop" dropStyle="combo" dx="22" fmlaLink="$N$75" fmlaRange="$B$4:$B$49" sel="8" val="4"/>
</file>

<file path=xl/ctrlProps/ctrlProp8.xml><?xml version="1.0" encoding="utf-8"?>
<formControlPr xmlns="http://schemas.microsoft.com/office/spreadsheetml/2009/9/main" objectType="Drop" dropStyle="combo" dx="22" fmlaLink="$O$75" fmlaRange="$B$4:$B$49" sel="1" val="0"/>
</file>

<file path=xl/ctrlProps/ctrlProp9.xml><?xml version="1.0" encoding="utf-8"?>
<formControlPr xmlns="http://schemas.microsoft.com/office/spreadsheetml/2009/9/main" objectType="Drop" dropStyle="combo" dx="22" fmlaLink="$H$19" fmlaRange="$B$84:$B$96" sel="12" val="5"/>
</file>

<file path=xl/ctrlProps/ctrlProp10.xml><?xml version="1.0" encoding="utf-8"?>
<formControlPr xmlns="http://schemas.microsoft.com/office/spreadsheetml/2009/9/main" objectType="Drop" dropStyle="combo" dx="22" fmlaLink="$H$81" fmlaRange="$B$4:$B$48" sel="1" val="0"/>
</file>

<file path=xl/ctrlProps/ctrlProp11.xml><?xml version="1.0" encoding="utf-8"?>
<formControlPr xmlns="http://schemas.microsoft.com/office/spreadsheetml/2009/9/main" objectType="Drop" dropStyle="combo" dx="22" fmlaLink="$I$81" fmlaRange="$B$4:$B$48" sel="7" val="2"/>
</file>

<file path=xl/drawings/_rels/drawing1.xml.rels><?xml version="1.0" encoding="UTF-8" standalone="yes"?>
<Relationships xmlns="http://schemas.openxmlformats.org/package/2006/relationships"><Relationship Id="rId1" Type="http://schemas.openxmlformats.org/officeDocument/2006/relationships/image" Target="../media/image6.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0.emf"/><Relationship Id="rId13" Type="http://schemas.openxmlformats.org/officeDocument/2006/relationships/image" Target="../media/image25.emf"/><Relationship Id="rId18" Type="http://schemas.openxmlformats.org/officeDocument/2006/relationships/image" Target="../media/image9.emf"/><Relationship Id="rId3" Type="http://schemas.openxmlformats.org/officeDocument/2006/relationships/image" Target="../media/image15.emf"/><Relationship Id="rId7" Type="http://schemas.openxmlformats.org/officeDocument/2006/relationships/image" Target="../media/image19.emf"/><Relationship Id="rId12" Type="http://schemas.openxmlformats.org/officeDocument/2006/relationships/image" Target="../media/image24.emf"/><Relationship Id="rId17" Type="http://schemas.openxmlformats.org/officeDocument/2006/relationships/image" Target="../media/image10.emf"/><Relationship Id="rId2" Type="http://schemas.openxmlformats.org/officeDocument/2006/relationships/image" Target="../media/image14.emf"/><Relationship Id="rId16" Type="http://schemas.openxmlformats.org/officeDocument/2006/relationships/image" Target="../media/image11.emf"/><Relationship Id="rId20" Type="http://schemas.openxmlformats.org/officeDocument/2006/relationships/image" Target="../media/image7.emf"/><Relationship Id="rId1" Type="http://schemas.openxmlformats.org/officeDocument/2006/relationships/image" Target="../media/image13.emf"/><Relationship Id="rId6" Type="http://schemas.openxmlformats.org/officeDocument/2006/relationships/image" Target="../media/image18.emf"/><Relationship Id="rId11" Type="http://schemas.openxmlformats.org/officeDocument/2006/relationships/image" Target="../media/image23.emf"/><Relationship Id="rId5" Type="http://schemas.openxmlformats.org/officeDocument/2006/relationships/image" Target="../media/image17.emf"/><Relationship Id="rId15" Type="http://schemas.openxmlformats.org/officeDocument/2006/relationships/image" Target="../media/image12.emf"/><Relationship Id="rId10" Type="http://schemas.openxmlformats.org/officeDocument/2006/relationships/image" Target="../media/image22.emf"/><Relationship Id="rId19" Type="http://schemas.openxmlformats.org/officeDocument/2006/relationships/image" Target="../media/image8.emf"/><Relationship Id="rId4" Type="http://schemas.openxmlformats.org/officeDocument/2006/relationships/image" Target="../media/image16.emf"/><Relationship Id="rId9" Type="http://schemas.openxmlformats.org/officeDocument/2006/relationships/image" Target="../media/image21.emf"/><Relationship Id="rId14" Type="http://schemas.openxmlformats.org/officeDocument/2006/relationships/image" Target="../media/image26.emf"/></Relationships>
</file>

<file path=xl/drawings/_rels/vmlDrawing4.vml.rels><?xml version="1.0" encoding="UTF-8" standalone="yes"?>
<Relationships xmlns="http://schemas.openxmlformats.org/package/2006/relationships"><Relationship Id="rId26" Type="http://schemas.openxmlformats.org/officeDocument/2006/relationships/image" Target="../media/image70.emf"/><Relationship Id="rId21" Type="http://schemas.openxmlformats.org/officeDocument/2006/relationships/image" Target="../media/image65.emf"/><Relationship Id="rId42" Type="http://schemas.openxmlformats.org/officeDocument/2006/relationships/image" Target="../media/image86.emf"/><Relationship Id="rId47" Type="http://schemas.openxmlformats.org/officeDocument/2006/relationships/image" Target="../media/image91.emf"/><Relationship Id="rId63" Type="http://schemas.openxmlformats.org/officeDocument/2006/relationships/image" Target="../media/image38.emf"/><Relationship Id="rId68" Type="http://schemas.openxmlformats.org/officeDocument/2006/relationships/image" Target="../media/image33.emf"/><Relationship Id="rId2" Type="http://schemas.openxmlformats.org/officeDocument/2006/relationships/image" Target="../media/image46.emf"/><Relationship Id="rId16" Type="http://schemas.openxmlformats.org/officeDocument/2006/relationships/image" Target="../media/image60.emf"/><Relationship Id="rId29" Type="http://schemas.openxmlformats.org/officeDocument/2006/relationships/image" Target="../media/image73.emf"/><Relationship Id="rId11" Type="http://schemas.openxmlformats.org/officeDocument/2006/relationships/image" Target="../media/image55.emf"/><Relationship Id="rId24" Type="http://schemas.openxmlformats.org/officeDocument/2006/relationships/image" Target="../media/image68.emf"/><Relationship Id="rId32" Type="http://schemas.openxmlformats.org/officeDocument/2006/relationships/image" Target="../media/image76.emf"/><Relationship Id="rId37" Type="http://schemas.openxmlformats.org/officeDocument/2006/relationships/image" Target="../media/image81.emf"/><Relationship Id="rId40" Type="http://schemas.openxmlformats.org/officeDocument/2006/relationships/image" Target="../media/image84.emf"/><Relationship Id="rId45" Type="http://schemas.openxmlformats.org/officeDocument/2006/relationships/image" Target="../media/image89.emf"/><Relationship Id="rId53" Type="http://schemas.openxmlformats.org/officeDocument/2006/relationships/image" Target="../media/image97.emf"/><Relationship Id="rId58" Type="http://schemas.openxmlformats.org/officeDocument/2006/relationships/image" Target="../media/image43.emf"/><Relationship Id="rId66" Type="http://schemas.openxmlformats.org/officeDocument/2006/relationships/image" Target="../media/image35.emf"/><Relationship Id="rId74" Type="http://schemas.openxmlformats.org/officeDocument/2006/relationships/image" Target="../media/image27.emf"/><Relationship Id="rId5" Type="http://schemas.openxmlformats.org/officeDocument/2006/relationships/image" Target="../media/image49.emf"/><Relationship Id="rId61" Type="http://schemas.openxmlformats.org/officeDocument/2006/relationships/image" Target="../media/image40.emf"/><Relationship Id="rId19" Type="http://schemas.openxmlformats.org/officeDocument/2006/relationships/image" Target="../media/image63.emf"/><Relationship Id="rId14" Type="http://schemas.openxmlformats.org/officeDocument/2006/relationships/image" Target="../media/image58.emf"/><Relationship Id="rId22" Type="http://schemas.openxmlformats.org/officeDocument/2006/relationships/image" Target="../media/image66.emf"/><Relationship Id="rId27" Type="http://schemas.openxmlformats.org/officeDocument/2006/relationships/image" Target="../media/image71.emf"/><Relationship Id="rId30" Type="http://schemas.openxmlformats.org/officeDocument/2006/relationships/image" Target="../media/image74.emf"/><Relationship Id="rId35" Type="http://schemas.openxmlformats.org/officeDocument/2006/relationships/image" Target="../media/image79.emf"/><Relationship Id="rId43" Type="http://schemas.openxmlformats.org/officeDocument/2006/relationships/image" Target="../media/image87.emf"/><Relationship Id="rId48" Type="http://schemas.openxmlformats.org/officeDocument/2006/relationships/image" Target="../media/image92.emf"/><Relationship Id="rId56" Type="http://schemas.openxmlformats.org/officeDocument/2006/relationships/image" Target="../media/image100.emf"/><Relationship Id="rId64" Type="http://schemas.openxmlformats.org/officeDocument/2006/relationships/image" Target="../media/image37.emf"/><Relationship Id="rId69" Type="http://schemas.openxmlformats.org/officeDocument/2006/relationships/image" Target="../media/image32.emf"/><Relationship Id="rId8" Type="http://schemas.openxmlformats.org/officeDocument/2006/relationships/image" Target="../media/image52.emf"/><Relationship Id="rId51" Type="http://schemas.openxmlformats.org/officeDocument/2006/relationships/image" Target="../media/image95.emf"/><Relationship Id="rId72" Type="http://schemas.openxmlformats.org/officeDocument/2006/relationships/image" Target="../media/image29.emf"/><Relationship Id="rId3" Type="http://schemas.openxmlformats.org/officeDocument/2006/relationships/image" Target="../media/image47.emf"/><Relationship Id="rId12" Type="http://schemas.openxmlformats.org/officeDocument/2006/relationships/image" Target="../media/image56.emf"/><Relationship Id="rId17" Type="http://schemas.openxmlformats.org/officeDocument/2006/relationships/image" Target="../media/image61.emf"/><Relationship Id="rId25" Type="http://schemas.openxmlformats.org/officeDocument/2006/relationships/image" Target="../media/image69.emf"/><Relationship Id="rId33" Type="http://schemas.openxmlformats.org/officeDocument/2006/relationships/image" Target="../media/image77.emf"/><Relationship Id="rId38" Type="http://schemas.openxmlformats.org/officeDocument/2006/relationships/image" Target="../media/image82.emf"/><Relationship Id="rId46" Type="http://schemas.openxmlformats.org/officeDocument/2006/relationships/image" Target="../media/image90.emf"/><Relationship Id="rId59" Type="http://schemas.openxmlformats.org/officeDocument/2006/relationships/image" Target="../media/image42.emf"/><Relationship Id="rId67" Type="http://schemas.openxmlformats.org/officeDocument/2006/relationships/image" Target="../media/image34.emf"/><Relationship Id="rId20" Type="http://schemas.openxmlformats.org/officeDocument/2006/relationships/image" Target="../media/image64.emf"/><Relationship Id="rId41" Type="http://schemas.openxmlformats.org/officeDocument/2006/relationships/image" Target="../media/image85.emf"/><Relationship Id="rId54" Type="http://schemas.openxmlformats.org/officeDocument/2006/relationships/image" Target="../media/image98.emf"/><Relationship Id="rId62" Type="http://schemas.openxmlformats.org/officeDocument/2006/relationships/image" Target="../media/image39.emf"/><Relationship Id="rId70" Type="http://schemas.openxmlformats.org/officeDocument/2006/relationships/image" Target="../media/image31.emf"/><Relationship Id="rId1" Type="http://schemas.openxmlformats.org/officeDocument/2006/relationships/image" Target="../media/image45.emf"/><Relationship Id="rId6" Type="http://schemas.openxmlformats.org/officeDocument/2006/relationships/image" Target="../media/image50.emf"/><Relationship Id="rId15" Type="http://schemas.openxmlformats.org/officeDocument/2006/relationships/image" Target="../media/image59.emf"/><Relationship Id="rId23" Type="http://schemas.openxmlformats.org/officeDocument/2006/relationships/image" Target="../media/image67.emf"/><Relationship Id="rId28" Type="http://schemas.openxmlformats.org/officeDocument/2006/relationships/image" Target="../media/image72.emf"/><Relationship Id="rId36" Type="http://schemas.openxmlformats.org/officeDocument/2006/relationships/image" Target="../media/image80.emf"/><Relationship Id="rId49" Type="http://schemas.openxmlformats.org/officeDocument/2006/relationships/image" Target="../media/image93.emf"/><Relationship Id="rId57" Type="http://schemas.openxmlformats.org/officeDocument/2006/relationships/image" Target="../media/image44.emf"/><Relationship Id="rId10" Type="http://schemas.openxmlformats.org/officeDocument/2006/relationships/image" Target="../media/image54.emf"/><Relationship Id="rId31" Type="http://schemas.openxmlformats.org/officeDocument/2006/relationships/image" Target="../media/image75.emf"/><Relationship Id="rId44" Type="http://schemas.openxmlformats.org/officeDocument/2006/relationships/image" Target="../media/image88.emf"/><Relationship Id="rId52" Type="http://schemas.openxmlformats.org/officeDocument/2006/relationships/image" Target="../media/image96.emf"/><Relationship Id="rId60" Type="http://schemas.openxmlformats.org/officeDocument/2006/relationships/image" Target="../media/image41.emf"/><Relationship Id="rId65" Type="http://schemas.openxmlformats.org/officeDocument/2006/relationships/image" Target="../media/image36.emf"/><Relationship Id="rId73" Type="http://schemas.openxmlformats.org/officeDocument/2006/relationships/image" Target="../media/image28.emf"/><Relationship Id="rId4" Type="http://schemas.openxmlformats.org/officeDocument/2006/relationships/image" Target="../media/image48.emf"/><Relationship Id="rId9" Type="http://schemas.openxmlformats.org/officeDocument/2006/relationships/image" Target="../media/image53.emf"/><Relationship Id="rId13" Type="http://schemas.openxmlformats.org/officeDocument/2006/relationships/image" Target="../media/image57.emf"/><Relationship Id="rId18" Type="http://schemas.openxmlformats.org/officeDocument/2006/relationships/image" Target="../media/image62.emf"/><Relationship Id="rId39" Type="http://schemas.openxmlformats.org/officeDocument/2006/relationships/image" Target="../media/image83.emf"/><Relationship Id="rId34" Type="http://schemas.openxmlformats.org/officeDocument/2006/relationships/image" Target="../media/image78.emf"/><Relationship Id="rId50" Type="http://schemas.openxmlformats.org/officeDocument/2006/relationships/image" Target="../media/image94.emf"/><Relationship Id="rId55" Type="http://schemas.openxmlformats.org/officeDocument/2006/relationships/image" Target="../media/image99.emf"/><Relationship Id="rId7" Type="http://schemas.openxmlformats.org/officeDocument/2006/relationships/image" Target="../media/image51.emf"/><Relationship Id="rId71" Type="http://schemas.openxmlformats.org/officeDocument/2006/relationships/image" Target="../media/image30.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02.emf"/><Relationship Id="rId1" Type="http://schemas.openxmlformats.org/officeDocument/2006/relationships/image" Target="../media/image101.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06.emf"/><Relationship Id="rId2" Type="http://schemas.openxmlformats.org/officeDocument/2006/relationships/image" Target="../media/image105.emf"/><Relationship Id="rId1" Type="http://schemas.openxmlformats.org/officeDocument/2006/relationships/image" Target="../media/image104.emf"/><Relationship Id="rId4" Type="http://schemas.openxmlformats.org/officeDocument/2006/relationships/image" Target="../media/image10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08.emf"/><Relationship Id="rId1" Type="http://schemas.openxmlformats.org/officeDocument/2006/relationships/image" Target="../media/image10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109.emf"/><Relationship Id="rId2" Type="http://schemas.openxmlformats.org/officeDocument/2006/relationships/image" Target="../media/image110.emf"/><Relationship Id="rId1" Type="http://schemas.openxmlformats.org/officeDocument/2006/relationships/image" Target="../media/image111.emf"/><Relationship Id="rId4" Type="http://schemas.openxmlformats.org/officeDocument/2006/relationships/image" Target="../media/image112.emf"/></Relationships>
</file>

<file path=xl/drawings/_rels/vmlDrawing10.vml.rels><?xml version="1.0" encoding="UTF-8" standalone="yes"?>
<Relationships xmlns="http://schemas.openxmlformats.org/package/2006/relationships"><Relationship Id="rId26" Type="http://schemas.openxmlformats.org/officeDocument/2006/relationships/image" Target="../media/image138.emf"/><Relationship Id="rId21" Type="http://schemas.openxmlformats.org/officeDocument/2006/relationships/image" Target="../media/image133.emf"/><Relationship Id="rId42" Type="http://schemas.openxmlformats.org/officeDocument/2006/relationships/image" Target="../media/image154.emf"/><Relationship Id="rId47" Type="http://schemas.openxmlformats.org/officeDocument/2006/relationships/image" Target="../media/image159.emf"/><Relationship Id="rId63" Type="http://schemas.openxmlformats.org/officeDocument/2006/relationships/image" Target="../media/image175.emf"/><Relationship Id="rId68" Type="http://schemas.openxmlformats.org/officeDocument/2006/relationships/image" Target="../media/image180.emf"/><Relationship Id="rId16" Type="http://schemas.openxmlformats.org/officeDocument/2006/relationships/image" Target="../media/image128.emf"/><Relationship Id="rId11" Type="http://schemas.openxmlformats.org/officeDocument/2006/relationships/image" Target="../media/image123.emf"/><Relationship Id="rId24" Type="http://schemas.openxmlformats.org/officeDocument/2006/relationships/image" Target="../media/image136.emf"/><Relationship Id="rId32" Type="http://schemas.openxmlformats.org/officeDocument/2006/relationships/image" Target="../media/image144.emf"/><Relationship Id="rId37" Type="http://schemas.openxmlformats.org/officeDocument/2006/relationships/image" Target="../media/image149.emf"/><Relationship Id="rId40" Type="http://schemas.openxmlformats.org/officeDocument/2006/relationships/image" Target="../media/image152.emf"/><Relationship Id="rId45" Type="http://schemas.openxmlformats.org/officeDocument/2006/relationships/image" Target="../media/image157.emf"/><Relationship Id="rId53" Type="http://schemas.openxmlformats.org/officeDocument/2006/relationships/image" Target="../media/image165.emf"/><Relationship Id="rId58" Type="http://schemas.openxmlformats.org/officeDocument/2006/relationships/image" Target="../media/image170.emf"/><Relationship Id="rId66" Type="http://schemas.openxmlformats.org/officeDocument/2006/relationships/image" Target="../media/image178.emf"/><Relationship Id="rId74" Type="http://schemas.openxmlformats.org/officeDocument/2006/relationships/image" Target="../media/image186.emf"/><Relationship Id="rId5" Type="http://schemas.openxmlformats.org/officeDocument/2006/relationships/image" Target="../media/image117.emf"/><Relationship Id="rId61" Type="http://schemas.openxmlformats.org/officeDocument/2006/relationships/image" Target="../media/image173.emf"/><Relationship Id="rId19" Type="http://schemas.openxmlformats.org/officeDocument/2006/relationships/image" Target="../media/image131.emf"/><Relationship Id="rId14" Type="http://schemas.openxmlformats.org/officeDocument/2006/relationships/image" Target="../media/image126.emf"/><Relationship Id="rId22" Type="http://schemas.openxmlformats.org/officeDocument/2006/relationships/image" Target="../media/image134.emf"/><Relationship Id="rId27" Type="http://schemas.openxmlformats.org/officeDocument/2006/relationships/image" Target="../media/image139.emf"/><Relationship Id="rId30" Type="http://schemas.openxmlformats.org/officeDocument/2006/relationships/image" Target="../media/image142.emf"/><Relationship Id="rId35" Type="http://schemas.openxmlformats.org/officeDocument/2006/relationships/image" Target="../media/image147.emf"/><Relationship Id="rId43" Type="http://schemas.openxmlformats.org/officeDocument/2006/relationships/image" Target="../media/image155.emf"/><Relationship Id="rId48" Type="http://schemas.openxmlformats.org/officeDocument/2006/relationships/image" Target="../media/image160.emf"/><Relationship Id="rId56" Type="http://schemas.openxmlformats.org/officeDocument/2006/relationships/image" Target="../media/image168.emf"/><Relationship Id="rId64" Type="http://schemas.openxmlformats.org/officeDocument/2006/relationships/image" Target="../media/image176.emf"/><Relationship Id="rId69" Type="http://schemas.openxmlformats.org/officeDocument/2006/relationships/image" Target="../media/image181.emf"/><Relationship Id="rId77" Type="http://schemas.openxmlformats.org/officeDocument/2006/relationships/image" Target="../media/image189.emf"/><Relationship Id="rId8" Type="http://schemas.openxmlformats.org/officeDocument/2006/relationships/image" Target="../media/image120.emf"/><Relationship Id="rId51" Type="http://schemas.openxmlformats.org/officeDocument/2006/relationships/image" Target="../media/image163.emf"/><Relationship Id="rId72" Type="http://schemas.openxmlformats.org/officeDocument/2006/relationships/image" Target="../media/image184.emf"/><Relationship Id="rId3" Type="http://schemas.openxmlformats.org/officeDocument/2006/relationships/image" Target="../media/image115.emf"/><Relationship Id="rId12" Type="http://schemas.openxmlformats.org/officeDocument/2006/relationships/image" Target="../media/image124.emf"/><Relationship Id="rId17" Type="http://schemas.openxmlformats.org/officeDocument/2006/relationships/image" Target="../media/image129.emf"/><Relationship Id="rId25" Type="http://schemas.openxmlformats.org/officeDocument/2006/relationships/image" Target="../media/image137.emf"/><Relationship Id="rId33" Type="http://schemas.openxmlformats.org/officeDocument/2006/relationships/image" Target="../media/image145.emf"/><Relationship Id="rId38" Type="http://schemas.openxmlformats.org/officeDocument/2006/relationships/image" Target="../media/image150.emf"/><Relationship Id="rId46" Type="http://schemas.openxmlformats.org/officeDocument/2006/relationships/image" Target="../media/image158.emf"/><Relationship Id="rId59" Type="http://schemas.openxmlformats.org/officeDocument/2006/relationships/image" Target="../media/image171.emf"/><Relationship Id="rId67" Type="http://schemas.openxmlformats.org/officeDocument/2006/relationships/image" Target="../media/image179.emf"/><Relationship Id="rId20" Type="http://schemas.openxmlformats.org/officeDocument/2006/relationships/image" Target="../media/image132.emf"/><Relationship Id="rId41" Type="http://schemas.openxmlformats.org/officeDocument/2006/relationships/image" Target="../media/image153.emf"/><Relationship Id="rId54" Type="http://schemas.openxmlformats.org/officeDocument/2006/relationships/image" Target="../media/image166.emf"/><Relationship Id="rId62" Type="http://schemas.openxmlformats.org/officeDocument/2006/relationships/image" Target="../media/image174.emf"/><Relationship Id="rId70" Type="http://schemas.openxmlformats.org/officeDocument/2006/relationships/image" Target="../media/image182.emf"/><Relationship Id="rId75" Type="http://schemas.openxmlformats.org/officeDocument/2006/relationships/image" Target="../media/image187.emf"/><Relationship Id="rId1" Type="http://schemas.openxmlformats.org/officeDocument/2006/relationships/image" Target="../media/image113.emf"/><Relationship Id="rId6" Type="http://schemas.openxmlformats.org/officeDocument/2006/relationships/image" Target="../media/image118.emf"/><Relationship Id="rId15" Type="http://schemas.openxmlformats.org/officeDocument/2006/relationships/image" Target="../media/image127.emf"/><Relationship Id="rId23" Type="http://schemas.openxmlformats.org/officeDocument/2006/relationships/image" Target="../media/image135.emf"/><Relationship Id="rId28" Type="http://schemas.openxmlformats.org/officeDocument/2006/relationships/image" Target="../media/image140.emf"/><Relationship Id="rId36" Type="http://schemas.openxmlformats.org/officeDocument/2006/relationships/image" Target="../media/image148.emf"/><Relationship Id="rId49" Type="http://schemas.openxmlformats.org/officeDocument/2006/relationships/image" Target="../media/image161.emf"/><Relationship Id="rId57" Type="http://schemas.openxmlformats.org/officeDocument/2006/relationships/image" Target="../media/image169.emf"/><Relationship Id="rId10" Type="http://schemas.openxmlformats.org/officeDocument/2006/relationships/image" Target="../media/image122.emf"/><Relationship Id="rId31" Type="http://schemas.openxmlformats.org/officeDocument/2006/relationships/image" Target="../media/image143.emf"/><Relationship Id="rId44" Type="http://schemas.openxmlformats.org/officeDocument/2006/relationships/image" Target="../media/image156.emf"/><Relationship Id="rId52" Type="http://schemas.openxmlformats.org/officeDocument/2006/relationships/image" Target="../media/image164.emf"/><Relationship Id="rId60" Type="http://schemas.openxmlformats.org/officeDocument/2006/relationships/image" Target="../media/image172.emf"/><Relationship Id="rId65" Type="http://schemas.openxmlformats.org/officeDocument/2006/relationships/image" Target="../media/image177.emf"/><Relationship Id="rId73" Type="http://schemas.openxmlformats.org/officeDocument/2006/relationships/image" Target="../media/image185.emf"/><Relationship Id="rId78" Type="http://schemas.openxmlformats.org/officeDocument/2006/relationships/image" Target="../media/image190.emf"/><Relationship Id="rId4" Type="http://schemas.openxmlformats.org/officeDocument/2006/relationships/image" Target="../media/image116.emf"/><Relationship Id="rId9" Type="http://schemas.openxmlformats.org/officeDocument/2006/relationships/image" Target="../media/image121.emf"/><Relationship Id="rId13" Type="http://schemas.openxmlformats.org/officeDocument/2006/relationships/image" Target="../media/image125.emf"/><Relationship Id="rId18" Type="http://schemas.openxmlformats.org/officeDocument/2006/relationships/image" Target="../media/image130.emf"/><Relationship Id="rId39" Type="http://schemas.openxmlformats.org/officeDocument/2006/relationships/image" Target="../media/image151.emf"/><Relationship Id="rId34" Type="http://schemas.openxmlformats.org/officeDocument/2006/relationships/image" Target="../media/image146.emf"/><Relationship Id="rId50" Type="http://schemas.openxmlformats.org/officeDocument/2006/relationships/image" Target="../media/image162.emf"/><Relationship Id="rId55" Type="http://schemas.openxmlformats.org/officeDocument/2006/relationships/image" Target="../media/image167.emf"/><Relationship Id="rId76" Type="http://schemas.openxmlformats.org/officeDocument/2006/relationships/image" Target="../media/image188.emf"/><Relationship Id="rId7" Type="http://schemas.openxmlformats.org/officeDocument/2006/relationships/image" Target="../media/image119.emf"/><Relationship Id="rId71" Type="http://schemas.openxmlformats.org/officeDocument/2006/relationships/image" Target="../media/image183.emf"/><Relationship Id="rId2" Type="http://schemas.openxmlformats.org/officeDocument/2006/relationships/image" Target="../media/image114.emf"/><Relationship Id="rId29" Type="http://schemas.openxmlformats.org/officeDocument/2006/relationships/image" Target="../media/image14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9</xdr:row>
          <xdr:rowOff>9525</xdr:rowOff>
        </xdr:from>
        <xdr:to>
          <xdr:col>3</xdr:col>
          <xdr:colOff>19050</xdr:colOff>
          <xdr:row>9</xdr:row>
          <xdr:rowOff>209550</xdr:rowOff>
        </xdr:to>
        <xdr:sp macro="" textlink="">
          <xdr:nvSpPr>
            <xdr:cNvPr id="2062" name="cbSuggestion" hidden="1">
              <a:extLst>
                <a:ext uri="{63B3BB69-23CF-44E3-9099-C40C66FF867C}">
                  <a14:compatExt spid="_x0000_s20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142875</xdr:rowOff>
        </xdr:from>
        <xdr:to>
          <xdr:col>4</xdr:col>
          <xdr:colOff>733425</xdr:colOff>
          <xdr:row>13</xdr:row>
          <xdr:rowOff>180975</xdr:rowOff>
        </xdr:to>
        <xdr:sp macro="" textlink="">
          <xdr:nvSpPr>
            <xdr:cNvPr id="2065" name="cbDisconnect" hidden="1">
              <a:extLst>
                <a:ext uri="{63B3BB69-23CF-44E3-9099-C40C66FF867C}">
                  <a14:compatExt spid="_x0000_s20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12</xdr:row>
          <xdr:rowOff>142875</xdr:rowOff>
        </xdr:from>
        <xdr:to>
          <xdr:col>6</xdr:col>
          <xdr:colOff>38100</xdr:colOff>
          <xdr:row>13</xdr:row>
          <xdr:rowOff>161925</xdr:rowOff>
        </xdr:to>
        <xdr:sp macro="" textlink="">
          <xdr:nvSpPr>
            <xdr:cNvPr id="2111" name="cbUpdateExtData" hidden="1">
              <a:extLst>
                <a:ext uri="{63B3BB69-23CF-44E3-9099-C40C66FF867C}">
                  <a14:compatExt spid="_x0000_s21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10</xdr:row>
          <xdr:rowOff>0</xdr:rowOff>
        </xdr:from>
        <xdr:to>
          <xdr:col>8</xdr:col>
          <xdr:colOff>123825</xdr:colOff>
          <xdr:row>11</xdr:row>
          <xdr:rowOff>28575</xdr:rowOff>
        </xdr:to>
        <xdr:sp macro="" textlink="">
          <xdr:nvSpPr>
            <xdr:cNvPr id="2113" name="cmdSaveModel"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10</xdr:row>
          <xdr:rowOff>0</xdr:rowOff>
        </xdr:from>
        <xdr:to>
          <xdr:col>9</xdr:col>
          <xdr:colOff>266700</xdr:colOff>
          <xdr:row>11</xdr:row>
          <xdr:rowOff>28575</xdr:rowOff>
        </xdr:to>
        <xdr:sp macro="" textlink="">
          <xdr:nvSpPr>
            <xdr:cNvPr id="2114" name="cmdProtect" hidden="1">
              <a:extLst>
                <a:ext uri="{63B3BB69-23CF-44E3-9099-C40C66FF867C}">
                  <a14:compatExt spid="_x0000_s21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19050</xdr:colOff>
      <xdr:row>0</xdr:row>
      <xdr:rowOff>180975</xdr:rowOff>
    </xdr:from>
    <xdr:to>
      <xdr:col>3</xdr:col>
      <xdr:colOff>381000</xdr:colOff>
      <xdr:row>1</xdr:row>
      <xdr:rowOff>571500</xdr:rowOff>
    </xdr:to>
    <xdr:pic>
      <xdr:nvPicPr>
        <xdr:cNvPr id="8" name="图片 2" descr="研究所中文logo.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0975"/>
          <a:ext cx="22669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238125</xdr:colOff>
      <xdr:row>7</xdr:row>
      <xdr:rowOff>19050</xdr:rowOff>
    </xdr:from>
    <xdr:to>
      <xdr:col>12</xdr:col>
      <xdr:colOff>333375</xdr:colOff>
      <xdr:row>23</xdr:row>
      <xdr:rowOff>66675</xdr:rowOff>
    </xdr:to>
    <xdr:graphicFrame macro="">
      <xdr:nvGraphicFramePr>
        <xdr:cNvPr id="2" name="Chart 13">
          <a:extLst>
            <a:ext uri="{FF2B5EF4-FFF2-40B4-BE49-F238E27FC236}">
              <a16:creationId xmlns="" xmlns:a16="http://schemas.microsoft.com/office/drawing/2014/main" id="{00000000-0008-0000-02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8</xdr:col>
      <xdr:colOff>9525</xdr:colOff>
      <xdr:row>24</xdr:row>
      <xdr:rowOff>0</xdr:rowOff>
    </xdr:from>
    <xdr:to>
      <xdr:col>13</xdr:col>
      <xdr:colOff>9525</xdr:colOff>
      <xdr:row>36</xdr:row>
      <xdr:rowOff>47625</xdr:rowOff>
    </xdr:to>
    <xdr:graphicFrame macro="">
      <xdr:nvGraphicFramePr>
        <xdr:cNvPr id="3" name="Chart 14">
          <a:extLst>
            <a:ext uri="{FF2B5EF4-FFF2-40B4-BE49-F238E27FC236}">
              <a16:creationId xmlns="" xmlns:a16="http://schemas.microsoft.com/office/drawing/2014/main" id="{00000000-0008-0000-02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8</xdr:col>
      <xdr:colOff>0</xdr:colOff>
      <xdr:row>66</xdr:row>
      <xdr:rowOff>28575</xdr:rowOff>
    </xdr:from>
    <xdr:to>
      <xdr:col>12</xdr:col>
      <xdr:colOff>352425</xdr:colOff>
      <xdr:row>78</xdr:row>
      <xdr:rowOff>123825</xdr:rowOff>
    </xdr:to>
    <xdr:graphicFrame macro="">
      <xdr:nvGraphicFramePr>
        <xdr:cNvPr id="4" name="Chart 15">
          <a:extLst>
            <a:ext uri="{FF2B5EF4-FFF2-40B4-BE49-F238E27FC236}">
              <a16:creationId xmlns="" xmlns:a16="http://schemas.microsoft.com/office/drawing/2014/main" id="{00000000-0008-0000-02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238125</xdr:colOff>
      <xdr:row>80</xdr:row>
      <xdr:rowOff>38100</xdr:rowOff>
    </xdr:from>
    <xdr:to>
      <xdr:col>12</xdr:col>
      <xdr:colOff>342900</xdr:colOff>
      <xdr:row>91</xdr:row>
      <xdr:rowOff>0</xdr:rowOff>
    </xdr:to>
    <xdr:graphicFrame macro="">
      <xdr:nvGraphicFramePr>
        <xdr:cNvPr id="5" name="Chart 16">
          <a:extLst>
            <a:ext uri="{FF2B5EF4-FFF2-40B4-BE49-F238E27FC236}">
              <a16:creationId xmlns="" xmlns:a16="http://schemas.microsoft.com/office/drawing/2014/main" id="{00000000-0008-0000-02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96</xdr:row>
      <xdr:rowOff>38100</xdr:rowOff>
    </xdr:from>
    <xdr:to>
      <xdr:col>12</xdr:col>
      <xdr:colOff>333375</xdr:colOff>
      <xdr:row>107</xdr:row>
      <xdr:rowOff>95250</xdr:rowOff>
    </xdr:to>
    <xdr:graphicFrame macro="">
      <xdr:nvGraphicFramePr>
        <xdr:cNvPr id="6" name="Chart 17">
          <a:extLst>
            <a:ext uri="{FF2B5EF4-FFF2-40B4-BE49-F238E27FC236}">
              <a16:creationId xmlns="" xmlns:a16="http://schemas.microsoft.com/office/drawing/2014/main" id="{00000000-0008-0000-02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238125</xdr:colOff>
      <xdr:row>109</xdr:row>
      <xdr:rowOff>19050</xdr:rowOff>
    </xdr:from>
    <xdr:to>
      <xdr:col>12</xdr:col>
      <xdr:colOff>323850</xdr:colOff>
      <xdr:row>120</xdr:row>
      <xdr:rowOff>9525</xdr:rowOff>
    </xdr:to>
    <xdr:graphicFrame macro="">
      <xdr:nvGraphicFramePr>
        <xdr:cNvPr id="7" name="Chart 18">
          <a:extLst>
            <a:ext uri="{FF2B5EF4-FFF2-40B4-BE49-F238E27FC236}">
              <a16:creationId xmlns="" xmlns:a16="http://schemas.microsoft.com/office/drawing/2014/main" id="{00000000-0008-0000-0200-00000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19050</xdr:colOff>
      <xdr:row>43</xdr:row>
      <xdr:rowOff>47625</xdr:rowOff>
    </xdr:from>
    <xdr:to>
      <xdr:col>12</xdr:col>
      <xdr:colOff>352425</xdr:colOff>
      <xdr:row>54</xdr:row>
      <xdr:rowOff>95250</xdr:rowOff>
    </xdr:to>
    <xdr:graphicFrame macro="">
      <xdr:nvGraphicFramePr>
        <xdr:cNvPr id="8" name="Chart 20">
          <a:extLst>
            <a:ext uri="{FF2B5EF4-FFF2-40B4-BE49-F238E27FC236}">
              <a16:creationId xmlns="" xmlns:a16="http://schemas.microsoft.com/office/drawing/2014/main" id="{00000000-0008-0000-0200-00000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13</xdr:col>
      <xdr:colOff>200026</xdr:colOff>
      <xdr:row>1</xdr:row>
      <xdr:rowOff>9525</xdr:rowOff>
    </xdr:from>
    <xdr:to>
      <xdr:col>18</xdr:col>
      <xdr:colOff>66676</xdr:colOff>
      <xdr:row>8</xdr:row>
      <xdr:rowOff>0</xdr:rowOff>
    </xdr:to>
    <xdr:sp macro="" textlink="">
      <xdr:nvSpPr>
        <xdr:cNvPr id="3084" name="AutoShape 12"/>
        <xdr:cNvSpPr>
          <a:spLocks noChangeArrowheads="1"/>
        </xdr:cNvSpPr>
      </xdr:nvSpPr>
      <xdr:spPr bwMode="auto">
        <a:xfrm>
          <a:off x="8572501" y="238125"/>
          <a:ext cx="2990850" cy="1362075"/>
        </a:xfrm>
        <a:prstGeom prst="wedgeRoundRectCallout">
          <a:avLst>
            <a:gd name="adj1" fmla="val 50001"/>
            <a:gd name="adj2" fmla="val -2556"/>
            <a:gd name="adj3" fmla="val 16667"/>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100"/>
            </a:lnSpc>
            <a:defRPr sz="1000"/>
          </a:pPr>
          <a:r>
            <a:rPr lang="zh-CN" altLang="en-US" sz="900" b="1" i="0" strike="noStrike">
              <a:solidFill>
                <a:srgbClr val="FF0000"/>
              </a:solidFill>
              <a:latin typeface="宋体"/>
              <a:ea typeface="宋体"/>
            </a:rPr>
            <a:t>注意事项：</a:t>
          </a:r>
          <a:endParaRPr lang="zh-CN" altLang="en-US" sz="900" b="0" i="0" strike="noStrike">
            <a:solidFill>
              <a:srgbClr val="000000"/>
            </a:solidFill>
            <a:latin typeface="宋体"/>
            <a:ea typeface="宋体"/>
          </a:endParaRPr>
        </a:p>
        <a:p>
          <a:pPr algn="l" rtl="0">
            <a:lnSpc>
              <a:spcPts val="1100"/>
            </a:lnSpc>
            <a:defRPr sz="1000"/>
          </a:pPr>
          <a:r>
            <a:rPr lang="en-US" altLang="zh-CN" sz="900" b="0" i="0" strike="noStrike">
              <a:solidFill>
                <a:srgbClr val="000000"/>
              </a:solidFill>
              <a:latin typeface="Times New Roman"/>
              <a:cs typeface="Times New Roman"/>
            </a:rPr>
            <a:t>1</a:t>
          </a:r>
          <a:r>
            <a:rPr lang="zh-CN" altLang="en-US" sz="900" b="0" i="0" strike="noStrike">
              <a:solidFill>
                <a:srgbClr val="000000"/>
              </a:solidFill>
              <a:latin typeface="宋体"/>
              <a:ea typeface="宋体"/>
            </a:rPr>
            <a:t>、“输出”自动链接三大报表及财务分析，必须预测，作为标准格式，分析师必须预测所有数据</a:t>
          </a:r>
        </a:p>
        <a:p>
          <a:pPr algn="l" rtl="0">
            <a:lnSpc>
              <a:spcPts val="1100"/>
            </a:lnSpc>
            <a:defRPr sz="1000"/>
          </a:pPr>
          <a:r>
            <a:rPr lang="en-US" altLang="zh-CN" sz="900" b="0" i="0" strike="noStrike">
              <a:solidFill>
                <a:srgbClr val="000000"/>
              </a:solidFill>
              <a:latin typeface="Times New Roman"/>
              <a:cs typeface="Times New Roman"/>
            </a:rPr>
            <a:t>2</a:t>
          </a:r>
          <a:r>
            <a:rPr lang="zh-CN" altLang="en-US" sz="900" b="0" i="0" strike="noStrike">
              <a:solidFill>
                <a:srgbClr val="000000"/>
              </a:solidFill>
              <a:latin typeface="宋体"/>
              <a:ea typeface="宋体"/>
            </a:rPr>
            <a:t>、需要分析师手工录入或链接：一是分产品</a:t>
          </a:r>
          <a:r>
            <a:rPr lang="en-US" altLang="zh-CN" sz="900" b="0" i="0" strike="noStrike">
              <a:solidFill>
                <a:srgbClr val="000000"/>
              </a:solidFill>
              <a:latin typeface="Times New Roman"/>
              <a:cs typeface="Times New Roman"/>
            </a:rPr>
            <a:t>/</a:t>
          </a:r>
          <a:r>
            <a:rPr lang="zh-CN" altLang="en-US" sz="900" b="0" i="0" strike="noStrike">
              <a:solidFill>
                <a:srgbClr val="000000"/>
              </a:solidFill>
              <a:latin typeface="宋体"/>
              <a:ea typeface="宋体"/>
            </a:rPr>
            <a:t>业务信息，二是关键假设。注意：美观考虑，请填上后务必把紫色底色去掉！</a:t>
          </a:r>
        </a:p>
        <a:p>
          <a:pPr algn="l" rtl="0">
            <a:defRPr sz="1000"/>
          </a:pPr>
          <a:r>
            <a:rPr lang="en-US" altLang="zh-CN" sz="900" b="0" i="0" strike="noStrike">
              <a:solidFill>
                <a:srgbClr val="000000"/>
              </a:solidFill>
              <a:latin typeface="Times New Roman"/>
              <a:cs typeface="Times New Roman"/>
            </a:rPr>
            <a:t>3</a:t>
          </a:r>
          <a:r>
            <a:rPr lang="zh-CN" altLang="en-US" sz="900" b="0" i="0" strike="noStrike">
              <a:solidFill>
                <a:srgbClr val="000000"/>
              </a:solidFill>
              <a:latin typeface="宋体"/>
              <a:ea typeface="宋体"/>
            </a:rPr>
            <a:t>、分两页在</a:t>
          </a:r>
          <a:r>
            <a:rPr lang="en-US" altLang="zh-CN" sz="900" b="0" i="0" strike="noStrike">
              <a:solidFill>
                <a:srgbClr val="000000"/>
              </a:solidFill>
              <a:latin typeface="Times New Roman"/>
              <a:cs typeface="Times New Roman"/>
            </a:rPr>
            <a:t>WORD</a:t>
          </a:r>
          <a:r>
            <a:rPr lang="zh-CN" altLang="en-US" sz="900" b="0" i="0" strike="noStrike">
              <a:solidFill>
                <a:srgbClr val="000000"/>
              </a:solidFill>
              <a:latin typeface="宋体"/>
              <a:ea typeface="宋体"/>
            </a:rPr>
            <a:t>上用图片格式粘贴。</a:t>
          </a:r>
        </a:p>
      </xdr:txBody>
    </xdr:sp>
    <xdr:clientData/>
  </xdr:twoCellAnchor>
  <xdr:twoCellAnchor>
    <xdr:from>
      <xdr:col>7</xdr:col>
      <xdr:colOff>238125</xdr:colOff>
      <xdr:row>7</xdr:row>
      <xdr:rowOff>19050</xdr:rowOff>
    </xdr:from>
    <xdr:to>
      <xdr:col>13</xdr:col>
      <xdr:colOff>66675</xdr:colOff>
      <xdr:row>17</xdr:row>
      <xdr:rowOff>19050</xdr:rowOff>
    </xdr:to>
    <xdr:graphicFrame macro="">
      <xdr:nvGraphicFramePr>
        <xdr:cNvPr id="27650" name="Chart 13"/>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8</xdr:col>
      <xdr:colOff>9525</xdr:colOff>
      <xdr:row>24</xdr:row>
      <xdr:rowOff>0</xdr:rowOff>
    </xdr:from>
    <xdr:to>
      <xdr:col>13</xdr:col>
      <xdr:colOff>9525</xdr:colOff>
      <xdr:row>33</xdr:row>
      <xdr:rowOff>209551</xdr:rowOff>
    </xdr:to>
    <xdr:graphicFrame macro="">
      <xdr:nvGraphicFramePr>
        <xdr:cNvPr id="27651" name="Chart 14"/>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8</xdr:col>
      <xdr:colOff>0</xdr:colOff>
      <xdr:row>66</xdr:row>
      <xdr:rowOff>28575</xdr:rowOff>
    </xdr:from>
    <xdr:to>
      <xdr:col>12</xdr:col>
      <xdr:colOff>352425</xdr:colOff>
      <xdr:row>78</xdr:row>
      <xdr:rowOff>123825</xdr:rowOff>
    </xdr:to>
    <xdr:graphicFrame macro="">
      <xdr:nvGraphicFramePr>
        <xdr:cNvPr id="27652" name="Chart 15"/>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238125</xdr:colOff>
      <xdr:row>80</xdr:row>
      <xdr:rowOff>38100</xdr:rowOff>
    </xdr:from>
    <xdr:to>
      <xdr:col>12</xdr:col>
      <xdr:colOff>342900</xdr:colOff>
      <xdr:row>91</xdr:row>
      <xdr:rowOff>0</xdr:rowOff>
    </xdr:to>
    <xdr:graphicFrame macro="">
      <xdr:nvGraphicFramePr>
        <xdr:cNvPr id="27653" name="Chart 16"/>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96</xdr:row>
      <xdr:rowOff>38100</xdr:rowOff>
    </xdr:from>
    <xdr:to>
      <xdr:col>12</xdr:col>
      <xdr:colOff>333375</xdr:colOff>
      <xdr:row>107</xdr:row>
      <xdr:rowOff>95250</xdr:rowOff>
    </xdr:to>
    <xdr:graphicFrame macro="">
      <xdr:nvGraphicFramePr>
        <xdr:cNvPr id="27654" name="Chart 17"/>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238125</xdr:colOff>
      <xdr:row>109</xdr:row>
      <xdr:rowOff>19050</xdr:rowOff>
    </xdr:from>
    <xdr:to>
      <xdr:col>12</xdr:col>
      <xdr:colOff>323850</xdr:colOff>
      <xdr:row>120</xdr:row>
      <xdr:rowOff>9525</xdr:rowOff>
    </xdr:to>
    <xdr:graphicFrame macro="">
      <xdr:nvGraphicFramePr>
        <xdr:cNvPr id="27655" name="Chart 18"/>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19050</xdr:colOff>
      <xdr:row>43</xdr:row>
      <xdr:rowOff>47625</xdr:rowOff>
    </xdr:from>
    <xdr:to>
      <xdr:col>12</xdr:col>
      <xdr:colOff>352425</xdr:colOff>
      <xdr:row>54</xdr:row>
      <xdr:rowOff>95250</xdr:rowOff>
    </xdr:to>
    <xdr:graphicFrame macro="">
      <xdr:nvGraphicFramePr>
        <xdr:cNvPr id="27656" name="Chart 20"/>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9525</xdr:colOff>
      <xdr:row>5</xdr:row>
      <xdr:rowOff>38100</xdr:rowOff>
    </xdr:from>
    <xdr:to>
      <xdr:col>11</xdr:col>
      <xdr:colOff>476250</xdr:colOff>
      <xdr:row>16</xdr:row>
      <xdr:rowOff>66675</xdr:rowOff>
    </xdr:to>
    <xdr:graphicFrame macro="">
      <xdr:nvGraphicFramePr>
        <xdr:cNvPr id="17436" name="Chart 26"/>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xdr:colOff>
          <xdr:row>3</xdr:row>
          <xdr:rowOff>9525</xdr:rowOff>
        </xdr:from>
        <xdr:to>
          <xdr:col>1</xdr:col>
          <xdr:colOff>1552575</xdr:colOff>
          <xdr:row>3</xdr:row>
          <xdr:rowOff>200025</xdr:rowOff>
        </xdr:to>
        <xdr:sp macro="" textlink="">
          <xdr:nvSpPr>
            <xdr:cNvPr id="17433" name="Drop Down 25" hidden="1">
              <a:extLst>
                <a:ext uri="{63B3BB69-23CF-44E3-9099-C40C66FF867C}">
                  <a14:compatExt spid="_x0000_s1743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0</xdr:rowOff>
        </xdr:from>
        <xdr:to>
          <xdr:col>1</xdr:col>
          <xdr:colOff>1552575</xdr:colOff>
          <xdr:row>4</xdr:row>
          <xdr:rowOff>190500</xdr:rowOff>
        </xdr:to>
        <xdr:sp macro="" textlink="">
          <xdr:nvSpPr>
            <xdr:cNvPr id="17435" name="Drop Down 27" hidden="1">
              <a:extLst>
                <a:ext uri="{63B3BB69-23CF-44E3-9099-C40C66FF867C}">
                  <a14:compatExt spid="_x0000_s1743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266700</xdr:colOff>
      <xdr:row>148</xdr:row>
      <xdr:rowOff>152400</xdr:rowOff>
    </xdr:from>
    <xdr:to>
      <xdr:col>17</xdr:col>
      <xdr:colOff>666750</xdr:colOff>
      <xdr:row>158</xdr:row>
      <xdr:rowOff>57150</xdr:rowOff>
    </xdr:to>
    <xdr:graphicFrame macro="">
      <xdr:nvGraphicFramePr>
        <xdr:cNvPr id="11672" name="Chart 1065"/>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xdr:colOff>
          <xdr:row>146</xdr:row>
          <xdr:rowOff>9525</xdr:rowOff>
        </xdr:from>
        <xdr:to>
          <xdr:col>2</xdr:col>
          <xdr:colOff>161925</xdr:colOff>
          <xdr:row>146</xdr:row>
          <xdr:rowOff>200025</xdr:rowOff>
        </xdr:to>
        <xdr:sp macro="" textlink="">
          <xdr:nvSpPr>
            <xdr:cNvPr id="10280" name="Drop Down 1064" hidden="1">
              <a:extLst>
                <a:ext uri="{63B3BB69-23CF-44E3-9099-C40C66FF867C}">
                  <a14:compatExt spid="_x0000_s1028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147</xdr:row>
          <xdr:rowOff>0</xdr:rowOff>
        </xdr:from>
        <xdr:to>
          <xdr:col>2</xdr:col>
          <xdr:colOff>161925</xdr:colOff>
          <xdr:row>147</xdr:row>
          <xdr:rowOff>190500</xdr:rowOff>
        </xdr:to>
        <xdr:sp macro="" textlink="">
          <xdr:nvSpPr>
            <xdr:cNvPr id="10282" name="Drop Down 1066" hidden="1">
              <a:extLst>
                <a:ext uri="{63B3BB69-23CF-44E3-9099-C40C66FF867C}">
                  <a14:compatExt spid="_x0000_s1028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1581150</xdr:colOff>
          <xdr:row>49</xdr:row>
          <xdr:rowOff>9525</xdr:rowOff>
        </xdr:from>
        <xdr:to>
          <xdr:col>8</xdr:col>
          <xdr:colOff>28575</xdr:colOff>
          <xdr:row>50</xdr:row>
          <xdr:rowOff>9525</xdr:rowOff>
        </xdr:to>
        <xdr:sp macro="" textlink="">
          <xdr:nvSpPr>
            <xdr:cNvPr id="11657" name="cbFormula2" hidden="1">
              <a:extLst>
                <a:ext uri="{63B3BB69-23CF-44E3-9099-C40C66FF867C}">
                  <a14:compatExt spid="_x0000_s116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55</xdr:row>
          <xdr:rowOff>9525</xdr:rowOff>
        </xdr:from>
        <xdr:to>
          <xdr:col>8</xdr:col>
          <xdr:colOff>47625</xdr:colOff>
          <xdr:row>56</xdr:row>
          <xdr:rowOff>9525</xdr:rowOff>
        </xdr:to>
        <xdr:sp macro="" textlink="">
          <xdr:nvSpPr>
            <xdr:cNvPr id="11658" name="cbFormula3" hidden="1">
              <a:extLst>
                <a:ext uri="{63B3BB69-23CF-44E3-9099-C40C66FF867C}">
                  <a14:compatExt spid="_x0000_s116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58</xdr:row>
          <xdr:rowOff>9525</xdr:rowOff>
        </xdr:from>
        <xdr:to>
          <xdr:col>8</xdr:col>
          <xdr:colOff>47625</xdr:colOff>
          <xdr:row>59</xdr:row>
          <xdr:rowOff>9525</xdr:rowOff>
        </xdr:to>
        <xdr:sp macro="" textlink="">
          <xdr:nvSpPr>
            <xdr:cNvPr id="11659" name="cbFormula4" hidden="1">
              <a:extLst>
                <a:ext uri="{63B3BB69-23CF-44E3-9099-C40C66FF867C}">
                  <a14:compatExt spid="_x0000_s116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61</xdr:row>
          <xdr:rowOff>9525</xdr:rowOff>
        </xdr:from>
        <xdr:to>
          <xdr:col>8</xdr:col>
          <xdr:colOff>47625</xdr:colOff>
          <xdr:row>62</xdr:row>
          <xdr:rowOff>9525</xdr:rowOff>
        </xdr:to>
        <xdr:sp macro="" textlink="">
          <xdr:nvSpPr>
            <xdr:cNvPr id="11660" name="cbFormula5" hidden="1">
              <a:extLst>
                <a:ext uri="{63B3BB69-23CF-44E3-9099-C40C66FF867C}">
                  <a14:compatExt spid="_x0000_s116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69</xdr:row>
          <xdr:rowOff>0</xdr:rowOff>
        </xdr:from>
        <xdr:to>
          <xdr:col>8</xdr:col>
          <xdr:colOff>47625</xdr:colOff>
          <xdr:row>70</xdr:row>
          <xdr:rowOff>0</xdr:rowOff>
        </xdr:to>
        <xdr:sp macro="" textlink="">
          <xdr:nvSpPr>
            <xdr:cNvPr id="11661" name="cbFormula6" hidden="1">
              <a:extLst>
                <a:ext uri="{63B3BB69-23CF-44E3-9099-C40C66FF867C}">
                  <a14:compatExt spid="_x0000_s116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74</xdr:row>
          <xdr:rowOff>0</xdr:rowOff>
        </xdr:from>
        <xdr:to>
          <xdr:col>8</xdr:col>
          <xdr:colOff>47625</xdr:colOff>
          <xdr:row>75</xdr:row>
          <xdr:rowOff>0</xdr:rowOff>
        </xdr:to>
        <xdr:sp macro="" textlink="">
          <xdr:nvSpPr>
            <xdr:cNvPr id="11662" name="cbFormula7" hidden="1">
              <a:extLst>
                <a:ext uri="{63B3BB69-23CF-44E3-9099-C40C66FF867C}">
                  <a14:compatExt spid="_x0000_s116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75</xdr:row>
          <xdr:rowOff>0</xdr:rowOff>
        </xdr:from>
        <xdr:to>
          <xdr:col>8</xdr:col>
          <xdr:colOff>47625</xdr:colOff>
          <xdr:row>76</xdr:row>
          <xdr:rowOff>0</xdr:rowOff>
        </xdr:to>
        <xdr:sp macro="" textlink="">
          <xdr:nvSpPr>
            <xdr:cNvPr id="11663" name="cbFormula8" hidden="1">
              <a:extLst>
                <a:ext uri="{63B3BB69-23CF-44E3-9099-C40C66FF867C}">
                  <a14:compatExt spid="_x0000_s116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76</xdr:row>
          <xdr:rowOff>0</xdr:rowOff>
        </xdr:from>
        <xdr:to>
          <xdr:col>8</xdr:col>
          <xdr:colOff>47625</xdr:colOff>
          <xdr:row>77</xdr:row>
          <xdr:rowOff>0</xdr:rowOff>
        </xdr:to>
        <xdr:sp macro="" textlink="">
          <xdr:nvSpPr>
            <xdr:cNvPr id="11664" name="cbFormula9" hidden="1">
              <a:extLst>
                <a:ext uri="{63B3BB69-23CF-44E3-9099-C40C66FF867C}">
                  <a14:compatExt spid="_x0000_s116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98</xdr:row>
          <xdr:rowOff>0</xdr:rowOff>
        </xdr:from>
        <xdr:to>
          <xdr:col>8</xdr:col>
          <xdr:colOff>47625</xdr:colOff>
          <xdr:row>99</xdr:row>
          <xdr:rowOff>0</xdr:rowOff>
        </xdr:to>
        <xdr:sp macro="" textlink="">
          <xdr:nvSpPr>
            <xdr:cNvPr id="11666" name="cbFormula11" hidden="1">
              <a:extLst>
                <a:ext uri="{63B3BB69-23CF-44E3-9099-C40C66FF867C}">
                  <a14:compatExt spid="_x0000_s116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99</xdr:row>
          <xdr:rowOff>0</xdr:rowOff>
        </xdr:from>
        <xdr:to>
          <xdr:col>8</xdr:col>
          <xdr:colOff>47625</xdr:colOff>
          <xdr:row>100</xdr:row>
          <xdr:rowOff>0</xdr:rowOff>
        </xdr:to>
        <xdr:sp macro="" textlink="">
          <xdr:nvSpPr>
            <xdr:cNvPr id="11667" name="cbFormula12" hidden="1">
              <a:extLst>
                <a:ext uri="{63B3BB69-23CF-44E3-9099-C40C66FF867C}">
                  <a14:compatExt spid="_x0000_s116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112</xdr:row>
          <xdr:rowOff>0</xdr:rowOff>
        </xdr:from>
        <xdr:to>
          <xdr:col>8</xdr:col>
          <xdr:colOff>47625</xdr:colOff>
          <xdr:row>113</xdr:row>
          <xdr:rowOff>0</xdr:rowOff>
        </xdr:to>
        <xdr:sp macro="" textlink="">
          <xdr:nvSpPr>
            <xdr:cNvPr id="11668" name="cbFormula13" hidden="1">
              <a:extLst>
                <a:ext uri="{63B3BB69-23CF-44E3-9099-C40C66FF867C}">
                  <a14:compatExt spid="_x0000_s1166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113</xdr:row>
          <xdr:rowOff>0</xdr:rowOff>
        </xdr:from>
        <xdr:to>
          <xdr:col>8</xdr:col>
          <xdr:colOff>47625</xdr:colOff>
          <xdr:row>114</xdr:row>
          <xdr:rowOff>0</xdr:rowOff>
        </xdr:to>
        <xdr:sp macro="" textlink="">
          <xdr:nvSpPr>
            <xdr:cNvPr id="11669" name="cbFormula14" hidden="1">
              <a:extLst>
                <a:ext uri="{63B3BB69-23CF-44E3-9099-C40C66FF867C}">
                  <a14:compatExt spid="_x0000_s116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117</xdr:row>
          <xdr:rowOff>9525</xdr:rowOff>
        </xdr:from>
        <xdr:to>
          <xdr:col>8</xdr:col>
          <xdr:colOff>38100</xdr:colOff>
          <xdr:row>118</xdr:row>
          <xdr:rowOff>9525</xdr:rowOff>
        </xdr:to>
        <xdr:sp macro="" textlink="">
          <xdr:nvSpPr>
            <xdr:cNvPr id="11670" name="cbFormula15" hidden="1">
              <a:extLst>
                <a:ext uri="{63B3BB69-23CF-44E3-9099-C40C66FF867C}">
                  <a14:compatExt spid="_x0000_s1167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126</xdr:row>
          <xdr:rowOff>0</xdr:rowOff>
        </xdr:from>
        <xdr:to>
          <xdr:col>8</xdr:col>
          <xdr:colOff>47625</xdr:colOff>
          <xdr:row>127</xdr:row>
          <xdr:rowOff>0</xdr:rowOff>
        </xdr:to>
        <xdr:sp macro="" textlink="">
          <xdr:nvSpPr>
            <xdr:cNvPr id="11671" name="cbFormula16" hidden="1">
              <a:extLst>
                <a:ext uri="{63B3BB69-23CF-44E3-9099-C40C66FF867C}">
                  <a14:compatExt spid="_x0000_s1167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1571625</xdr:colOff>
          <xdr:row>46</xdr:row>
          <xdr:rowOff>0</xdr:rowOff>
        </xdr:from>
        <xdr:to>
          <xdr:col>8</xdr:col>
          <xdr:colOff>19050</xdr:colOff>
          <xdr:row>47</xdr:row>
          <xdr:rowOff>0</xdr:rowOff>
        </xdr:to>
        <xdr:sp macro="" textlink="">
          <xdr:nvSpPr>
            <xdr:cNvPr id="11676" name="cbFormula17" hidden="1">
              <a:extLst>
                <a:ext uri="{63B3BB69-23CF-44E3-9099-C40C66FF867C}">
                  <a14:compatExt spid="_x0000_s116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52</xdr:row>
          <xdr:rowOff>9525</xdr:rowOff>
        </xdr:from>
        <xdr:to>
          <xdr:col>8</xdr:col>
          <xdr:colOff>47625</xdr:colOff>
          <xdr:row>53</xdr:row>
          <xdr:rowOff>9525</xdr:rowOff>
        </xdr:to>
        <xdr:sp macro="" textlink="">
          <xdr:nvSpPr>
            <xdr:cNvPr id="11678" name="cbFormula18" hidden="1">
              <a:extLst>
                <a:ext uri="{63B3BB69-23CF-44E3-9099-C40C66FF867C}">
                  <a14:compatExt spid="_x0000_s116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64</xdr:row>
          <xdr:rowOff>9525</xdr:rowOff>
        </xdr:from>
        <xdr:to>
          <xdr:col>8</xdr:col>
          <xdr:colOff>47625</xdr:colOff>
          <xdr:row>65</xdr:row>
          <xdr:rowOff>9525</xdr:rowOff>
        </xdr:to>
        <xdr:sp macro="" textlink="">
          <xdr:nvSpPr>
            <xdr:cNvPr id="11680" name="cbFormula19" hidden="1">
              <a:extLst>
                <a:ext uri="{63B3BB69-23CF-44E3-9099-C40C66FF867C}">
                  <a14:compatExt spid="_x0000_s116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95</xdr:row>
          <xdr:rowOff>0</xdr:rowOff>
        </xdr:from>
        <xdr:to>
          <xdr:col>8</xdr:col>
          <xdr:colOff>47625</xdr:colOff>
          <xdr:row>96</xdr:row>
          <xdr:rowOff>0</xdr:rowOff>
        </xdr:to>
        <xdr:sp macro="" textlink="">
          <xdr:nvSpPr>
            <xdr:cNvPr id="11682" name="cbFormula20" hidden="1">
              <a:extLst>
                <a:ext uri="{63B3BB69-23CF-44E3-9099-C40C66FF867C}">
                  <a14:compatExt spid="_x0000_s116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105</xdr:row>
          <xdr:rowOff>0</xdr:rowOff>
        </xdr:from>
        <xdr:to>
          <xdr:col>8</xdr:col>
          <xdr:colOff>47625</xdr:colOff>
          <xdr:row>106</xdr:row>
          <xdr:rowOff>0</xdr:rowOff>
        </xdr:to>
        <xdr:sp macro="" textlink="">
          <xdr:nvSpPr>
            <xdr:cNvPr id="11685" name="cbFormula21" hidden="1">
              <a:extLst>
                <a:ext uri="{63B3BB69-23CF-44E3-9099-C40C66FF867C}">
                  <a14:compatExt spid="_x0000_s116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107</xdr:row>
          <xdr:rowOff>0</xdr:rowOff>
        </xdr:from>
        <xdr:to>
          <xdr:col>8</xdr:col>
          <xdr:colOff>38100</xdr:colOff>
          <xdr:row>108</xdr:row>
          <xdr:rowOff>0</xdr:rowOff>
        </xdr:to>
        <xdr:sp macro="" textlink="">
          <xdr:nvSpPr>
            <xdr:cNvPr id="11686" name="cbFormula22" hidden="1">
              <a:extLst>
                <a:ext uri="{63B3BB69-23CF-44E3-9099-C40C66FF867C}">
                  <a14:compatExt spid="_x0000_s116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8</xdr:col>
      <xdr:colOff>19050</xdr:colOff>
      <xdr:row>326</xdr:row>
      <xdr:rowOff>47625</xdr:rowOff>
    </xdr:from>
    <xdr:to>
      <xdr:col>17</xdr:col>
      <xdr:colOff>533400</xdr:colOff>
      <xdr:row>338</xdr:row>
      <xdr:rowOff>133350</xdr:rowOff>
    </xdr:to>
    <xdr:graphicFrame macro="">
      <xdr:nvGraphicFramePr>
        <xdr:cNvPr id="14684" name="Chart 58"/>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0</xdr:colOff>
      <xdr:row>156</xdr:row>
      <xdr:rowOff>57150</xdr:rowOff>
    </xdr:from>
    <xdr:to>
      <xdr:col>18</xdr:col>
      <xdr:colOff>0</xdr:colOff>
      <xdr:row>158</xdr:row>
      <xdr:rowOff>95250</xdr:rowOff>
    </xdr:to>
    <xdr:sp macro="" textlink="">
      <xdr:nvSpPr>
        <xdr:cNvPr id="14530" name="AutoShape 194"/>
        <xdr:cNvSpPr>
          <a:spLocks/>
        </xdr:cNvSpPr>
      </xdr:nvSpPr>
      <xdr:spPr bwMode="auto">
        <a:xfrm>
          <a:off x="10487025" y="28327350"/>
          <a:ext cx="0" cy="495300"/>
        </a:xfrm>
        <a:prstGeom prst="borderCallout1">
          <a:avLst>
            <a:gd name="adj1" fmla="val 18750"/>
            <a:gd name="adj2" fmla="val -5097"/>
            <a:gd name="adj3" fmla="val 179167"/>
            <a:gd name="adj4" fmla="val -164968"/>
          </a:avLst>
        </a:prstGeom>
        <a:solidFill>
          <a:srgbClr val="FFFFCC"/>
        </a:solidFill>
        <a:ln w="9525" cap="rnd">
          <a:solidFill>
            <a:srgbClr val="000000"/>
          </a:solidFill>
          <a:prstDash val="sysDot"/>
          <a:miter lim="800000"/>
          <a:headEnd/>
          <a:tailEnd type="triangle" w="med" len="med"/>
        </a:ln>
        <a:effectLst/>
      </xdr:spPr>
      <xdr:txBody>
        <a:bodyPr vertOverflow="clip" wrap="square" lIns="27432" tIns="18288" rIns="0" bIns="0" anchor="t" upright="1"/>
        <a:lstStyle/>
        <a:p>
          <a:pPr algn="l" rtl="0">
            <a:defRPr sz="1000"/>
          </a:pPr>
          <a:r>
            <a:rPr lang="zh-CN" altLang="en-US" sz="1000" b="0" i="0" strike="noStrike">
              <a:solidFill>
                <a:srgbClr val="000000"/>
              </a:solidFill>
              <a:latin typeface="宋体"/>
              <a:ea typeface="宋体"/>
            </a:rPr>
            <a:t>此处应当填写核心股权投资金额，否则影响现金流量计算。</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324</xdr:row>
          <xdr:rowOff>0</xdr:rowOff>
        </xdr:from>
        <xdr:to>
          <xdr:col>1</xdr:col>
          <xdr:colOff>1543050</xdr:colOff>
          <xdr:row>324</xdr:row>
          <xdr:rowOff>190500</xdr:rowOff>
        </xdr:to>
        <xdr:sp macro="" textlink="">
          <xdr:nvSpPr>
            <xdr:cNvPr id="14380" name="Drop Down 44" hidden="1">
              <a:extLst>
                <a:ext uri="{63B3BB69-23CF-44E3-9099-C40C66FF867C}">
                  <a14:compatExt spid="_x0000_s1438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325</xdr:row>
          <xdr:rowOff>0</xdr:rowOff>
        </xdr:from>
        <xdr:to>
          <xdr:col>1</xdr:col>
          <xdr:colOff>1562100</xdr:colOff>
          <xdr:row>325</xdr:row>
          <xdr:rowOff>190500</xdr:rowOff>
        </xdr:to>
        <xdr:sp macro="" textlink="">
          <xdr:nvSpPr>
            <xdr:cNvPr id="14395" name="Drop Down 59" hidden="1">
              <a:extLst>
                <a:ext uri="{63B3BB69-23CF-44E3-9099-C40C66FF867C}">
                  <a14:compatExt spid="_x0000_s1439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1790700</xdr:colOff>
          <xdr:row>104</xdr:row>
          <xdr:rowOff>9525</xdr:rowOff>
        </xdr:from>
        <xdr:to>
          <xdr:col>8</xdr:col>
          <xdr:colOff>28575</xdr:colOff>
          <xdr:row>105</xdr:row>
          <xdr:rowOff>9525</xdr:rowOff>
        </xdr:to>
        <xdr:sp macro="" textlink="">
          <xdr:nvSpPr>
            <xdr:cNvPr id="14543" name="cbFormula101" hidden="1">
              <a:extLst>
                <a:ext uri="{63B3BB69-23CF-44E3-9099-C40C66FF867C}">
                  <a14:compatExt spid="_x0000_s145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113</xdr:row>
          <xdr:rowOff>9525</xdr:rowOff>
        </xdr:from>
        <xdr:to>
          <xdr:col>8</xdr:col>
          <xdr:colOff>47625</xdr:colOff>
          <xdr:row>114</xdr:row>
          <xdr:rowOff>9525</xdr:rowOff>
        </xdr:to>
        <xdr:sp macro="" textlink="">
          <xdr:nvSpPr>
            <xdr:cNvPr id="14544" name="cbFormula102" hidden="1">
              <a:extLst>
                <a:ext uri="{63B3BB69-23CF-44E3-9099-C40C66FF867C}">
                  <a14:compatExt spid="_x0000_s145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115</xdr:row>
          <xdr:rowOff>0</xdr:rowOff>
        </xdr:from>
        <xdr:to>
          <xdr:col>8</xdr:col>
          <xdr:colOff>47625</xdr:colOff>
          <xdr:row>116</xdr:row>
          <xdr:rowOff>0</xdr:rowOff>
        </xdr:to>
        <xdr:sp macro="" textlink="">
          <xdr:nvSpPr>
            <xdr:cNvPr id="14545" name="cbFormula103" hidden="1">
              <a:extLst>
                <a:ext uri="{63B3BB69-23CF-44E3-9099-C40C66FF867C}">
                  <a14:compatExt spid="_x0000_s145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119</xdr:row>
          <xdr:rowOff>219075</xdr:rowOff>
        </xdr:from>
        <xdr:to>
          <xdr:col>8</xdr:col>
          <xdr:colOff>38100</xdr:colOff>
          <xdr:row>120</xdr:row>
          <xdr:rowOff>219075</xdr:rowOff>
        </xdr:to>
        <xdr:sp macro="" textlink="">
          <xdr:nvSpPr>
            <xdr:cNvPr id="14546" name="cbFormula104" hidden="1">
              <a:extLst>
                <a:ext uri="{63B3BB69-23CF-44E3-9099-C40C66FF867C}">
                  <a14:compatExt spid="_x0000_s145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121</xdr:row>
          <xdr:rowOff>9525</xdr:rowOff>
        </xdr:from>
        <xdr:to>
          <xdr:col>8</xdr:col>
          <xdr:colOff>47625</xdr:colOff>
          <xdr:row>122</xdr:row>
          <xdr:rowOff>9525</xdr:rowOff>
        </xdr:to>
        <xdr:sp macro="" textlink="">
          <xdr:nvSpPr>
            <xdr:cNvPr id="14549" name="cbFormula105" hidden="1">
              <a:extLst>
                <a:ext uri="{63B3BB69-23CF-44E3-9099-C40C66FF867C}">
                  <a14:compatExt spid="_x0000_s145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123</xdr:row>
          <xdr:rowOff>9525</xdr:rowOff>
        </xdr:from>
        <xdr:to>
          <xdr:col>8</xdr:col>
          <xdr:colOff>47625</xdr:colOff>
          <xdr:row>124</xdr:row>
          <xdr:rowOff>9525</xdr:rowOff>
        </xdr:to>
        <xdr:sp macro="" textlink="">
          <xdr:nvSpPr>
            <xdr:cNvPr id="14550" name="cbFormula106" hidden="1">
              <a:extLst>
                <a:ext uri="{63B3BB69-23CF-44E3-9099-C40C66FF867C}">
                  <a14:compatExt spid="_x0000_s145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126</xdr:row>
          <xdr:rowOff>9525</xdr:rowOff>
        </xdr:from>
        <xdr:to>
          <xdr:col>8</xdr:col>
          <xdr:colOff>47625</xdr:colOff>
          <xdr:row>127</xdr:row>
          <xdr:rowOff>9525</xdr:rowOff>
        </xdr:to>
        <xdr:sp macro="" textlink="">
          <xdr:nvSpPr>
            <xdr:cNvPr id="14552" name="cbFormula108" hidden="1">
              <a:extLst>
                <a:ext uri="{63B3BB69-23CF-44E3-9099-C40C66FF867C}">
                  <a14:compatExt spid="_x0000_s145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128</xdr:row>
          <xdr:rowOff>9525</xdr:rowOff>
        </xdr:from>
        <xdr:to>
          <xdr:col>8</xdr:col>
          <xdr:colOff>47625</xdr:colOff>
          <xdr:row>129</xdr:row>
          <xdr:rowOff>9525</xdr:rowOff>
        </xdr:to>
        <xdr:sp macro="" textlink="">
          <xdr:nvSpPr>
            <xdr:cNvPr id="14553" name="cbFormula109" hidden="1">
              <a:extLst>
                <a:ext uri="{63B3BB69-23CF-44E3-9099-C40C66FF867C}">
                  <a14:compatExt spid="_x0000_s145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135</xdr:row>
          <xdr:rowOff>9525</xdr:rowOff>
        </xdr:from>
        <xdr:to>
          <xdr:col>8</xdr:col>
          <xdr:colOff>47625</xdr:colOff>
          <xdr:row>136</xdr:row>
          <xdr:rowOff>9525</xdr:rowOff>
        </xdr:to>
        <xdr:sp macro="" textlink="">
          <xdr:nvSpPr>
            <xdr:cNvPr id="14554" name="cbFormula110" hidden="1">
              <a:extLst>
                <a:ext uri="{63B3BB69-23CF-44E3-9099-C40C66FF867C}">
                  <a14:compatExt spid="_x0000_s145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149</xdr:row>
          <xdr:rowOff>9525</xdr:rowOff>
        </xdr:from>
        <xdr:to>
          <xdr:col>8</xdr:col>
          <xdr:colOff>47625</xdr:colOff>
          <xdr:row>150</xdr:row>
          <xdr:rowOff>9525</xdr:rowOff>
        </xdr:to>
        <xdr:sp macro="" textlink="">
          <xdr:nvSpPr>
            <xdr:cNvPr id="14556" name="cbFormula112" hidden="1">
              <a:extLst>
                <a:ext uri="{63B3BB69-23CF-44E3-9099-C40C66FF867C}">
                  <a14:compatExt spid="_x0000_s145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150</xdr:row>
          <xdr:rowOff>9525</xdr:rowOff>
        </xdr:from>
        <xdr:to>
          <xdr:col>8</xdr:col>
          <xdr:colOff>47625</xdr:colOff>
          <xdr:row>151</xdr:row>
          <xdr:rowOff>9525</xdr:rowOff>
        </xdr:to>
        <xdr:sp macro="" textlink="">
          <xdr:nvSpPr>
            <xdr:cNvPr id="14557" name="cbFormula113" hidden="1">
              <a:extLst>
                <a:ext uri="{63B3BB69-23CF-44E3-9099-C40C66FF867C}">
                  <a14:compatExt spid="_x0000_s145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151</xdr:row>
          <xdr:rowOff>9525</xdr:rowOff>
        </xdr:from>
        <xdr:to>
          <xdr:col>8</xdr:col>
          <xdr:colOff>47625</xdr:colOff>
          <xdr:row>152</xdr:row>
          <xdr:rowOff>9525</xdr:rowOff>
        </xdr:to>
        <xdr:sp macro="" textlink="">
          <xdr:nvSpPr>
            <xdr:cNvPr id="14558" name="cbFormula114" hidden="1">
              <a:extLst>
                <a:ext uri="{63B3BB69-23CF-44E3-9099-C40C66FF867C}">
                  <a14:compatExt spid="_x0000_s145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155</xdr:row>
          <xdr:rowOff>9525</xdr:rowOff>
        </xdr:from>
        <xdr:to>
          <xdr:col>8</xdr:col>
          <xdr:colOff>47625</xdr:colOff>
          <xdr:row>156</xdr:row>
          <xdr:rowOff>9525</xdr:rowOff>
        </xdr:to>
        <xdr:sp macro="" textlink="">
          <xdr:nvSpPr>
            <xdr:cNvPr id="14559" name="cbFormula115" hidden="1">
              <a:extLst>
                <a:ext uri="{63B3BB69-23CF-44E3-9099-C40C66FF867C}">
                  <a14:compatExt spid="_x0000_s145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156</xdr:row>
          <xdr:rowOff>9525</xdr:rowOff>
        </xdr:from>
        <xdr:to>
          <xdr:col>8</xdr:col>
          <xdr:colOff>47625</xdr:colOff>
          <xdr:row>157</xdr:row>
          <xdr:rowOff>9525</xdr:rowOff>
        </xdr:to>
        <xdr:sp macro="" textlink="">
          <xdr:nvSpPr>
            <xdr:cNvPr id="14560" name="cbFormula116" hidden="1">
              <a:extLst>
                <a:ext uri="{63B3BB69-23CF-44E3-9099-C40C66FF867C}">
                  <a14:compatExt spid="_x0000_s145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158</xdr:row>
          <xdr:rowOff>9525</xdr:rowOff>
        </xdr:from>
        <xdr:to>
          <xdr:col>8</xdr:col>
          <xdr:colOff>47625</xdr:colOff>
          <xdr:row>159</xdr:row>
          <xdr:rowOff>38100</xdr:rowOff>
        </xdr:to>
        <xdr:sp macro="" textlink="">
          <xdr:nvSpPr>
            <xdr:cNvPr id="14561" name="cbFormula117" hidden="1">
              <a:extLst>
                <a:ext uri="{63B3BB69-23CF-44E3-9099-C40C66FF867C}">
                  <a14:compatExt spid="_x0000_s145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161</xdr:row>
          <xdr:rowOff>9525</xdr:rowOff>
        </xdr:from>
        <xdr:to>
          <xdr:col>8</xdr:col>
          <xdr:colOff>47625</xdr:colOff>
          <xdr:row>162</xdr:row>
          <xdr:rowOff>9525</xdr:rowOff>
        </xdr:to>
        <xdr:sp macro="" textlink="">
          <xdr:nvSpPr>
            <xdr:cNvPr id="14563" name="cbFormula119" hidden="1">
              <a:extLst>
                <a:ext uri="{63B3BB69-23CF-44E3-9099-C40C66FF867C}">
                  <a14:compatExt spid="_x0000_s145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164</xdr:row>
          <xdr:rowOff>9525</xdr:rowOff>
        </xdr:from>
        <xdr:to>
          <xdr:col>8</xdr:col>
          <xdr:colOff>47625</xdr:colOff>
          <xdr:row>165</xdr:row>
          <xdr:rowOff>9525</xdr:rowOff>
        </xdr:to>
        <xdr:sp macro="" textlink="">
          <xdr:nvSpPr>
            <xdr:cNvPr id="14564" name="cbFormula120" hidden="1">
              <a:extLst>
                <a:ext uri="{63B3BB69-23CF-44E3-9099-C40C66FF867C}">
                  <a14:compatExt spid="_x0000_s145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165</xdr:row>
          <xdr:rowOff>9525</xdr:rowOff>
        </xdr:from>
        <xdr:to>
          <xdr:col>8</xdr:col>
          <xdr:colOff>47625</xdr:colOff>
          <xdr:row>166</xdr:row>
          <xdr:rowOff>9525</xdr:rowOff>
        </xdr:to>
        <xdr:sp macro="" textlink="">
          <xdr:nvSpPr>
            <xdr:cNvPr id="14565" name="cbFormula121" hidden="1">
              <a:extLst>
                <a:ext uri="{63B3BB69-23CF-44E3-9099-C40C66FF867C}">
                  <a14:compatExt spid="_x0000_s145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171</xdr:row>
          <xdr:rowOff>9525</xdr:rowOff>
        </xdr:from>
        <xdr:to>
          <xdr:col>8</xdr:col>
          <xdr:colOff>47625</xdr:colOff>
          <xdr:row>172</xdr:row>
          <xdr:rowOff>9525</xdr:rowOff>
        </xdr:to>
        <xdr:sp macro="" textlink="">
          <xdr:nvSpPr>
            <xdr:cNvPr id="14566" name="cbFormula122" hidden="1">
              <a:extLst>
                <a:ext uri="{63B3BB69-23CF-44E3-9099-C40C66FF867C}">
                  <a14:compatExt spid="_x0000_s145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197</xdr:row>
          <xdr:rowOff>9525</xdr:rowOff>
        </xdr:from>
        <xdr:to>
          <xdr:col>8</xdr:col>
          <xdr:colOff>47625</xdr:colOff>
          <xdr:row>198</xdr:row>
          <xdr:rowOff>9525</xdr:rowOff>
        </xdr:to>
        <xdr:sp macro="" textlink="">
          <xdr:nvSpPr>
            <xdr:cNvPr id="14572" name="cbFormula128" hidden="1">
              <a:extLst>
                <a:ext uri="{63B3BB69-23CF-44E3-9099-C40C66FF867C}">
                  <a14:compatExt spid="_x0000_s1457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198</xdr:row>
          <xdr:rowOff>9525</xdr:rowOff>
        </xdr:from>
        <xdr:to>
          <xdr:col>8</xdr:col>
          <xdr:colOff>47625</xdr:colOff>
          <xdr:row>199</xdr:row>
          <xdr:rowOff>9525</xdr:rowOff>
        </xdr:to>
        <xdr:sp macro="" textlink="">
          <xdr:nvSpPr>
            <xdr:cNvPr id="14573" name="cbFormula129" hidden="1">
              <a:extLst>
                <a:ext uri="{63B3BB69-23CF-44E3-9099-C40C66FF867C}">
                  <a14:compatExt spid="_x0000_s145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199</xdr:row>
          <xdr:rowOff>9525</xdr:rowOff>
        </xdr:from>
        <xdr:to>
          <xdr:col>8</xdr:col>
          <xdr:colOff>47625</xdr:colOff>
          <xdr:row>200</xdr:row>
          <xdr:rowOff>9525</xdr:rowOff>
        </xdr:to>
        <xdr:sp macro="" textlink="">
          <xdr:nvSpPr>
            <xdr:cNvPr id="14574" name="cbFormula130" hidden="1">
              <a:extLst>
                <a:ext uri="{63B3BB69-23CF-44E3-9099-C40C66FF867C}">
                  <a14:compatExt spid="_x0000_s145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202</xdr:row>
          <xdr:rowOff>9525</xdr:rowOff>
        </xdr:from>
        <xdr:to>
          <xdr:col>8</xdr:col>
          <xdr:colOff>47625</xdr:colOff>
          <xdr:row>203</xdr:row>
          <xdr:rowOff>9525</xdr:rowOff>
        </xdr:to>
        <xdr:sp macro="" textlink="">
          <xdr:nvSpPr>
            <xdr:cNvPr id="14575" name="cbFormula131" hidden="1">
              <a:extLst>
                <a:ext uri="{63B3BB69-23CF-44E3-9099-C40C66FF867C}">
                  <a14:compatExt spid="_x0000_s145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203</xdr:row>
          <xdr:rowOff>9525</xdr:rowOff>
        </xdr:from>
        <xdr:to>
          <xdr:col>8</xdr:col>
          <xdr:colOff>47625</xdr:colOff>
          <xdr:row>204</xdr:row>
          <xdr:rowOff>9525</xdr:rowOff>
        </xdr:to>
        <xdr:sp macro="" textlink="">
          <xdr:nvSpPr>
            <xdr:cNvPr id="14576" name="cbFormula132" hidden="1">
              <a:extLst>
                <a:ext uri="{63B3BB69-23CF-44E3-9099-C40C66FF867C}">
                  <a14:compatExt spid="_x0000_s145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205</xdr:row>
          <xdr:rowOff>9525</xdr:rowOff>
        </xdr:from>
        <xdr:to>
          <xdr:col>8</xdr:col>
          <xdr:colOff>47625</xdr:colOff>
          <xdr:row>206</xdr:row>
          <xdr:rowOff>9525</xdr:rowOff>
        </xdr:to>
        <xdr:sp macro="" textlink="">
          <xdr:nvSpPr>
            <xdr:cNvPr id="14577" name="cbFormula133" hidden="1">
              <a:extLst>
                <a:ext uri="{63B3BB69-23CF-44E3-9099-C40C66FF867C}">
                  <a14:compatExt spid="_x0000_s145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206</xdr:row>
          <xdr:rowOff>9525</xdr:rowOff>
        </xdr:from>
        <xdr:to>
          <xdr:col>8</xdr:col>
          <xdr:colOff>47625</xdr:colOff>
          <xdr:row>207</xdr:row>
          <xdr:rowOff>9525</xdr:rowOff>
        </xdr:to>
        <xdr:sp macro="" textlink="">
          <xdr:nvSpPr>
            <xdr:cNvPr id="14578" name="cbFormula134" hidden="1">
              <a:extLst>
                <a:ext uri="{63B3BB69-23CF-44E3-9099-C40C66FF867C}">
                  <a14:compatExt spid="_x0000_s145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208</xdr:row>
          <xdr:rowOff>9525</xdr:rowOff>
        </xdr:from>
        <xdr:to>
          <xdr:col>8</xdr:col>
          <xdr:colOff>47625</xdr:colOff>
          <xdr:row>209</xdr:row>
          <xdr:rowOff>9525</xdr:rowOff>
        </xdr:to>
        <xdr:sp macro="" textlink="">
          <xdr:nvSpPr>
            <xdr:cNvPr id="14579" name="cbFormula135" hidden="1">
              <a:extLst>
                <a:ext uri="{63B3BB69-23CF-44E3-9099-C40C66FF867C}">
                  <a14:compatExt spid="_x0000_s145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209</xdr:row>
          <xdr:rowOff>9525</xdr:rowOff>
        </xdr:from>
        <xdr:to>
          <xdr:col>8</xdr:col>
          <xdr:colOff>47625</xdr:colOff>
          <xdr:row>210</xdr:row>
          <xdr:rowOff>9525</xdr:rowOff>
        </xdr:to>
        <xdr:sp macro="" textlink="">
          <xdr:nvSpPr>
            <xdr:cNvPr id="14580" name="cbFormula136" hidden="1">
              <a:extLst>
                <a:ext uri="{63B3BB69-23CF-44E3-9099-C40C66FF867C}">
                  <a14:compatExt spid="_x0000_s145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210</xdr:row>
          <xdr:rowOff>9525</xdr:rowOff>
        </xdr:from>
        <xdr:to>
          <xdr:col>8</xdr:col>
          <xdr:colOff>47625</xdr:colOff>
          <xdr:row>211</xdr:row>
          <xdr:rowOff>9525</xdr:rowOff>
        </xdr:to>
        <xdr:sp macro="" textlink="">
          <xdr:nvSpPr>
            <xdr:cNvPr id="14581" name="cbFormula137" hidden="1">
              <a:extLst>
                <a:ext uri="{63B3BB69-23CF-44E3-9099-C40C66FF867C}">
                  <a14:compatExt spid="_x0000_s145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223</xdr:row>
          <xdr:rowOff>9525</xdr:rowOff>
        </xdr:from>
        <xdr:to>
          <xdr:col>8</xdr:col>
          <xdr:colOff>47625</xdr:colOff>
          <xdr:row>224</xdr:row>
          <xdr:rowOff>9525</xdr:rowOff>
        </xdr:to>
        <xdr:sp macro="" textlink="">
          <xdr:nvSpPr>
            <xdr:cNvPr id="14584" name="cbFormula140" hidden="1">
              <a:extLst>
                <a:ext uri="{63B3BB69-23CF-44E3-9099-C40C66FF867C}">
                  <a14:compatExt spid="_x0000_s1458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225</xdr:row>
          <xdr:rowOff>9525</xdr:rowOff>
        </xdr:from>
        <xdr:to>
          <xdr:col>8</xdr:col>
          <xdr:colOff>47625</xdr:colOff>
          <xdr:row>226</xdr:row>
          <xdr:rowOff>9525</xdr:rowOff>
        </xdr:to>
        <xdr:sp macro="" textlink="">
          <xdr:nvSpPr>
            <xdr:cNvPr id="14586" name="cbFormula141" hidden="1">
              <a:extLst>
                <a:ext uri="{63B3BB69-23CF-44E3-9099-C40C66FF867C}">
                  <a14:compatExt spid="_x0000_s145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229</xdr:row>
          <xdr:rowOff>9525</xdr:rowOff>
        </xdr:from>
        <xdr:to>
          <xdr:col>8</xdr:col>
          <xdr:colOff>47625</xdr:colOff>
          <xdr:row>230</xdr:row>
          <xdr:rowOff>9525</xdr:rowOff>
        </xdr:to>
        <xdr:sp macro="" textlink="">
          <xdr:nvSpPr>
            <xdr:cNvPr id="14588" name="cbFormula143" hidden="1">
              <a:extLst>
                <a:ext uri="{63B3BB69-23CF-44E3-9099-C40C66FF867C}">
                  <a14:compatExt spid="_x0000_s145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230</xdr:row>
          <xdr:rowOff>9525</xdr:rowOff>
        </xdr:from>
        <xdr:to>
          <xdr:col>8</xdr:col>
          <xdr:colOff>47625</xdr:colOff>
          <xdr:row>231</xdr:row>
          <xdr:rowOff>9525</xdr:rowOff>
        </xdr:to>
        <xdr:sp macro="" textlink="">
          <xdr:nvSpPr>
            <xdr:cNvPr id="14589" name="cbFormula144" hidden="1">
              <a:extLst>
                <a:ext uri="{63B3BB69-23CF-44E3-9099-C40C66FF867C}">
                  <a14:compatExt spid="_x0000_s145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238</xdr:row>
          <xdr:rowOff>9525</xdr:rowOff>
        </xdr:from>
        <xdr:to>
          <xdr:col>8</xdr:col>
          <xdr:colOff>47625</xdr:colOff>
          <xdr:row>239</xdr:row>
          <xdr:rowOff>9525</xdr:rowOff>
        </xdr:to>
        <xdr:sp macro="" textlink="">
          <xdr:nvSpPr>
            <xdr:cNvPr id="14591" name="cbFormula146" hidden="1">
              <a:extLst>
                <a:ext uri="{63B3BB69-23CF-44E3-9099-C40C66FF867C}">
                  <a14:compatExt spid="_x0000_s145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239</xdr:row>
          <xdr:rowOff>9525</xdr:rowOff>
        </xdr:from>
        <xdr:to>
          <xdr:col>8</xdr:col>
          <xdr:colOff>47625</xdr:colOff>
          <xdr:row>240</xdr:row>
          <xdr:rowOff>9525</xdr:rowOff>
        </xdr:to>
        <xdr:sp macro="" textlink="">
          <xdr:nvSpPr>
            <xdr:cNvPr id="14592" name="cbFormula147" hidden="1">
              <a:extLst>
                <a:ext uri="{63B3BB69-23CF-44E3-9099-C40C66FF867C}">
                  <a14:compatExt spid="_x0000_s145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240</xdr:row>
          <xdr:rowOff>9525</xdr:rowOff>
        </xdr:from>
        <xdr:to>
          <xdr:col>8</xdr:col>
          <xdr:colOff>47625</xdr:colOff>
          <xdr:row>241</xdr:row>
          <xdr:rowOff>9525</xdr:rowOff>
        </xdr:to>
        <xdr:sp macro="" textlink="">
          <xdr:nvSpPr>
            <xdr:cNvPr id="14593" name="cbFormula148" hidden="1">
              <a:extLst>
                <a:ext uri="{63B3BB69-23CF-44E3-9099-C40C66FF867C}">
                  <a14:compatExt spid="_x0000_s145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245</xdr:row>
          <xdr:rowOff>9525</xdr:rowOff>
        </xdr:from>
        <xdr:to>
          <xdr:col>8</xdr:col>
          <xdr:colOff>47625</xdr:colOff>
          <xdr:row>246</xdr:row>
          <xdr:rowOff>9525</xdr:rowOff>
        </xdr:to>
        <xdr:sp macro="" textlink="">
          <xdr:nvSpPr>
            <xdr:cNvPr id="14594" name="cbFormula149" hidden="1">
              <a:extLst>
                <a:ext uri="{63B3BB69-23CF-44E3-9099-C40C66FF867C}">
                  <a14:compatExt spid="_x0000_s1459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247</xdr:row>
          <xdr:rowOff>9525</xdr:rowOff>
        </xdr:from>
        <xdr:to>
          <xdr:col>8</xdr:col>
          <xdr:colOff>47625</xdr:colOff>
          <xdr:row>248</xdr:row>
          <xdr:rowOff>9525</xdr:rowOff>
        </xdr:to>
        <xdr:sp macro="" textlink="">
          <xdr:nvSpPr>
            <xdr:cNvPr id="14595" name="cbFormula150" hidden="1">
              <a:extLst>
                <a:ext uri="{63B3BB69-23CF-44E3-9099-C40C66FF867C}">
                  <a14:compatExt spid="_x0000_s1459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248</xdr:row>
          <xdr:rowOff>9525</xdr:rowOff>
        </xdr:from>
        <xdr:to>
          <xdr:col>8</xdr:col>
          <xdr:colOff>47625</xdr:colOff>
          <xdr:row>249</xdr:row>
          <xdr:rowOff>9525</xdr:rowOff>
        </xdr:to>
        <xdr:sp macro="" textlink="">
          <xdr:nvSpPr>
            <xdr:cNvPr id="14596" name="cbFormula151" hidden="1">
              <a:extLst>
                <a:ext uri="{63B3BB69-23CF-44E3-9099-C40C66FF867C}">
                  <a14:compatExt spid="_x0000_s145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251</xdr:row>
          <xdr:rowOff>9525</xdr:rowOff>
        </xdr:from>
        <xdr:to>
          <xdr:col>8</xdr:col>
          <xdr:colOff>47625</xdr:colOff>
          <xdr:row>252</xdr:row>
          <xdr:rowOff>9525</xdr:rowOff>
        </xdr:to>
        <xdr:sp macro="" textlink="">
          <xdr:nvSpPr>
            <xdr:cNvPr id="14597" name="cbFormula152" hidden="1">
              <a:extLst>
                <a:ext uri="{63B3BB69-23CF-44E3-9099-C40C66FF867C}">
                  <a14:compatExt spid="_x0000_s145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253</xdr:row>
          <xdr:rowOff>9525</xdr:rowOff>
        </xdr:from>
        <xdr:to>
          <xdr:col>8</xdr:col>
          <xdr:colOff>47625</xdr:colOff>
          <xdr:row>254</xdr:row>
          <xdr:rowOff>9525</xdr:rowOff>
        </xdr:to>
        <xdr:sp macro="" textlink="">
          <xdr:nvSpPr>
            <xdr:cNvPr id="14598" name="cbFormula153" hidden="1">
              <a:extLst>
                <a:ext uri="{63B3BB69-23CF-44E3-9099-C40C66FF867C}">
                  <a14:compatExt spid="_x0000_s145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267</xdr:row>
          <xdr:rowOff>9525</xdr:rowOff>
        </xdr:from>
        <xdr:to>
          <xdr:col>8</xdr:col>
          <xdr:colOff>47625</xdr:colOff>
          <xdr:row>268</xdr:row>
          <xdr:rowOff>9525</xdr:rowOff>
        </xdr:to>
        <xdr:sp macro="" textlink="">
          <xdr:nvSpPr>
            <xdr:cNvPr id="14600" name="cbFormula155" hidden="1">
              <a:extLst>
                <a:ext uri="{63B3BB69-23CF-44E3-9099-C40C66FF867C}">
                  <a14:compatExt spid="_x0000_s146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268</xdr:row>
          <xdr:rowOff>9525</xdr:rowOff>
        </xdr:from>
        <xdr:to>
          <xdr:col>8</xdr:col>
          <xdr:colOff>47625</xdr:colOff>
          <xdr:row>269</xdr:row>
          <xdr:rowOff>9525</xdr:rowOff>
        </xdr:to>
        <xdr:sp macro="" textlink="">
          <xdr:nvSpPr>
            <xdr:cNvPr id="14601" name="cbFormula156" hidden="1">
              <a:extLst>
                <a:ext uri="{63B3BB69-23CF-44E3-9099-C40C66FF867C}">
                  <a14:compatExt spid="_x0000_s146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272</xdr:row>
          <xdr:rowOff>9525</xdr:rowOff>
        </xdr:from>
        <xdr:to>
          <xdr:col>8</xdr:col>
          <xdr:colOff>47625</xdr:colOff>
          <xdr:row>273</xdr:row>
          <xdr:rowOff>9525</xdr:rowOff>
        </xdr:to>
        <xdr:sp macro="" textlink="">
          <xdr:nvSpPr>
            <xdr:cNvPr id="14602" name="cbFormula157" hidden="1">
              <a:extLst>
                <a:ext uri="{63B3BB69-23CF-44E3-9099-C40C66FF867C}">
                  <a14:compatExt spid="_x0000_s146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282</xdr:row>
          <xdr:rowOff>0</xdr:rowOff>
        </xdr:from>
        <xdr:to>
          <xdr:col>8</xdr:col>
          <xdr:colOff>47625</xdr:colOff>
          <xdr:row>283</xdr:row>
          <xdr:rowOff>0</xdr:rowOff>
        </xdr:to>
        <xdr:sp macro="" textlink="">
          <xdr:nvSpPr>
            <xdr:cNvPr id="14603" name="cbFormula158" hidden="1">
              <a:extLst>
                <a:ext uri="{63B3BB69-23CF-44E3-9099-C40C66FF867C}">
                  <a14:compatExt spid="_x0000_s146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283</xdr:row>
          <xdr:rowOff>9525</xdr:rowOff>
        </xdr:from>
        <xdr:to>
          <xdr:col>8</xdr:col>
          <xdr:colOff>47625</xdr:colOff>
          <xdr:row>284</xdr:row>
          <xdr:rowOff>9525</xdr:rowOff>
        </xdr:to>
        <xdr:sp macro="" textlink="">
          <xdr:nvSpPr>
            <xdr:cNvPr id="14604" name="cbFormula159" hidden="1">
              <a:extLst>
                <a:ext uri="{63B3BB69-23CF-44E3-9099-C40C66FF867C}">
                  <a14:compatExt spid="_x0000_s146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285</xdr:row>
          <xdr:rowOff>9525</xdr:rowOff>
        </xdr:from>
        <xdr:to>
          <xdr:col>8</xdr:col>
          <xdr:colOff>47625</xdr:colOff>
          <xdr:row>286</xdr:row>
          <xdr:rowOff>9525</xdr:rowOff>
        </xdr:to>
        <xdr:sp macro="" textlink="">
          <xdr:nvSpPr>
            <xdr:cNvPr id="14605" name="cbFormula160" hidden="1">
              <a:extLst>
                <a:ext uri="{63B3BB69-23CF-44E3-9099-C40C66FF867C}">
                  <a14:compatExt spid="_x0000_s146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286</xdr:row>
          <xdr:rowOff>9525</xdr:rowOff>
        </xdr:from>
        <xdr:to>
          <xdr:col>8</xdr:col>
          <xdr:colOff>47625</xdr:colOff>
          <xdr:row>287</xdr:row>
          <xdr:rowOff>9525</xdr:rowOff>
        </xdr:to>
        <xdr:sp macro="" textlink="">
          <xdr:nvSpPr>
            <xdr:cNvPr id="14606" name="cbFormula161" hidden="1">
              <a:extLst>
                <a:ext uri="{63B3BB69-23CF-44E3-9099-C40C66FF867C}">
                  <a14:compatExt spid="_x0000_s146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289</xdr:row>
          <xdr:rowOff>9525</xdr:rowOff>
        </xdr:from>
        <xdr:to>
          <xdr:col>8</xdr:col>
          <xdr:colOff>47625</xdr:colOff>
          <xdr:row>290</xdr:row>
          <xdr:rowOff>9525</xdr:rowOff>
        </xdr:to>
        <xdr:sp macro="" textlink="">
          <xdr:nvSpPr>
            <xdr:cNvPr id="14608" name="cbFormula163" hidden="1">
              <a:extLst>
                <a:ext uri="{63B3BB69-23CF-44E3-9099-C40C66FF867C}">
                  <a14:compatExt spid="_x0000_s146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297</xdr:row>
          <xdr:rowOff>9525</xdr:rowOff>
        </xdr:from>
        <xdr:to>
          <xdr:col>8</xdr:col>
          <xdr:colOff>47625</xdr:colOff>
          <xdr:row>298</xdr:row>
          <xdr:rowOff>9525</xdr:rowOff>
        </xdr:to>
        <xdr:sp macro="" textlink="">
          <xdr:nvSpPr>
            <xdr:cNvPr id="14609" name="cbFormula164" hidden="1">
              <a:extLst>
                <a:ext uri="{63B3BB69-23CF-44E3-9099-C40C66FF867C}">
                  <a14:compatExt spid="_x0000_s146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303</xdr:row>
          <xdr:rowOff>9525</xdr:rowOff>
        </xdr:from>
        <xdr:to>
          <xdr:col>8</xdr:col>
          <xdr:colOff>47625</xdr:colOff>
          <xdr:row>304</xdr:row>
          <xdr:rowOff>9525</xdr:rowOff>
        </xdr:to>
        <xdr:sp macro="" textlink="">
          <xdr:nvSpPr>
            <xdr:cNvPr id="14610" name="cbFormula165" hidden="1">
              <a:extLst>
                <a:ext uri="{63B3BB69-23CF-44E3-9099-C40C66FF867C}">
                  <a14:compatExt spid="_x0000_s146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316</xdr:row>
          <xdr:rowOff>9525</xdr:rowOff>
        </xdr:from>
        <xdr:to>
          <xdr:col>8</xdr:col>
          <xdr:colOff>47625</xdr:colOff>
          <xdr:row>317</xdr:row>
          <xdr:rowOff>9525</xdr:rowOff>
        </xdr:to>
        <xdr:sp macro="" textlink="">
          <xdr:nvSpPr>
            <xdr:cNvPr id="14612" name="cbFormula167" hidden="1">
              <a:extLst>
                <a:ext uri="{63B3BB69-23CF-44E3-9099-C40C66FF867C}">
                  <a14:compatExt spid="_x0000_s146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180</xdr:row>
          <xdr:rowOff>9525</xdr:rowOff>
        </xdr:from>
        <xdr:to>
          <xdr:col>8</xdr:col>
          <xdr:colOff>47625</xdr:colOff>
          <xdr:row>181</xdr:row>
          <xdr:rowOff>9525</xdr:rowOff>
        </xdr:to>
        <xdr:sp macro="" textlink="">
          <xdr:nvSpPr>
            <xdr:cNvPr id="14615" name="cbFormula168" hidden="1">
              <a:extLst>
                <a:ext uri="{63B3BB69-23CF-44E3-9099-C40C66FF867C}">
                  <a14:compatExt spid="_x0000_s146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181</xdr:row>
          <xdr:rowOff>9525</xdr:rowOff>
        </xdr:from>
        <xdr:to>
          <xdr:col>8</xdr:col>
          <xdr:colOff>47625</xdr:colOff>
          <xdr:row>182</xdr:row>
          <xdr:rowOff>9525</xdr:rowOff>
        </xdr:to>
        <xdr:sp macro="" textlink="">
          <xdr:nvSpPr>
            <xdr:cNvPr id="14616" name="cbFormula169" hidden="1">
              <a:extLst>
                <a:ext uri="{63B3BB69-23CF-44E3-9099-C40C66FF867C}">
                  <a14:compatExt spid="_x0000_s146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1781175</xdr:colOff>
          <xdr:row>220</xdr:row>
          <xdr:rowOff>9525</xdr:rowOff>
        </xdr:from>
        <xdr:to>
          <xdr:col>8</xdr:col>
          <xdr:colOff>19050</xdr:colOff>
          <xdr:row>221</xdr:row>
          <xdr:rowOff>9525</xdr:rowOff>
        </xdr:to>
        <xdr:sp macro="" textlink="">
          <xdr:nvSpPr>
            <xdr:cNvPr id="14677" name="cbFormula173" hidden="1">
              <a:extLst>
                <a:ext uri="{63B3BB69-23CF-44E3-9099-C40C66FF867C}">
                  <a14:compatExt spid="_x0000_s146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1790700</xdr:colOff>
          <xdr:row>100</xdr:row>
          <xdr:rowOff>0</xdr:rowOff>
        </xdr:from>
        <xdr:to>
          <xdr:col>8</xdr:col>
          <xdr:colOff>28575</xdr:colOff>
          <xdr:row>101</xdr:row>
          <xdr:rowOff>0</xdr:rowOff>
        </xdr:to>
        <xdr:sp macro="" textlink="">
          <xdr:nvSpPr>
            <xdr:cNvPr id="14680" name="cbFormula172" hidden="1">
              <a:extLst>
                <a:ext uri="{63B3BB69-23CF-44E3-9099-C40C66FF867C}">
                  <a14:compatExt spid="_x0000_s146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117</xdr:row>
          <xdr:rowOff>9525</xdr:rowOff>
        </xdr:from>
        <xdr:to>
          <xdr:col>8</xdr:col>
          <xdr:colOff>38100</xdr:colOff>
          <xdr:row>118</xdr:row>
          <xdr:rowOff>9525</xdr:rowOff>
        </xdr:to>
        <xdr:sp macro="" textlink="">
          <xdr:nvSpPr>
            <xdr:cNvPr id="14710" name="cbFormula177" hidden="1">
              <a:extLst>
                <a:ext uri="{63B3BB69-23CF-44E3-9099-C40C66FF867C}">
                  <a14:compatExt spid="_x0000_s147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137</xdr:row>
          <xdr:rowOff>0</xdr:rowOff>
        </xdr:from>
        <xdr:to>
          <xdr:col>8</xdr:col>
          <xdr:colOff>38100</xdr:colOff>
          <xdr:row>138</xdr:row>
          <xdr:rowOff>47625</xdr:rowOff>
        </xdr:to>
        <xdr:sp macro="" textlink="">
          <xdr:nvSpPr>
            <xdr:cNvPr id="14711" name="cbFormula180" hidden="1">
              <a:extLst>
                <a:ext uri="{63B3BB69-23CF-44E3-9099-C40C66FF867C}">
                  <a14:compatExt spid="_x0000_s147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142</xdr:row>
          <xdr:rowOff>0</xdr:rowOff>
        </xdr:from>
        <xdr:to>
          <xdr:col>8</xdr:col>
          <xdr:colOff>38100</xdr:colOff>
          <xdr:row>143</xdr:row>
          <xdr:rowOff>0</xdr:rowOff>
        </xdr:to>
        <xdr:sp macro="" textlink="">
          <xdr:nvSpPr>
            <xdr:cNvPr id="14713" name="cbFormula181" hidden="1">
              <a:extLst>
                <a:ext uri="{63B3BB69-23CF-44E3-9099-C40C66FF867C}">
                  <a14:compatExt spid="_x0000_s147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143</xdr:row>
          <xdr:rowOff>0</xdr:rowOff>
        </xdr:from>
        <xdr:to>
          <xdr:col>8</xdr:col>
          <xdr:colOff>38100</xdr:colOff>
          <xdr:row>144</xdr:row>
          <xdr:rowOff>0</xdr:rowOff>
        </xdr:to>
        <xdr:sp macro="" textlink="">
          <xdr:nvSpPr>
            <xdr:cNvPr id="14714" name="cbFormula182" hidden="1">
              <a:extLst>
                <a:ext uri="{63B3BB69-23CF-44E3-9099-C40C66FF867C}">
                  <a14:compatExt spid="_x0000_s147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146</xdr:row>
          <xdr:rowOff>0</xdr:rowOff>
        </xdr:from>
        <xdr:to>
          <xdr:col>8</xdr:col>
          <xdr:colOff>38100</xdr:colOff>
          <xdr:row>147</xdr:row>
          <xdr:rowOff>0</xdr:rowOff>
        </xdr:to>
        <xdr:sp macro="" textlink="">
          <xdr:nvSpPr>
            <xdr:cNvPr id="14715" name="cbFormula183" hidden="1">
              <a:extLst>
                <a:ext uri="{63B3BB69-23CF-44E3-9099-C40C66FF867C}">
                  <a14:compatExt spid="_x0000_s147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147</xdr:row>
          <xdr:rowOff>0</xdr:rowOff>
        </xdr:from>
        <xdr:to>
          <xdr:col>8</xdr:col>
          <xdr:colOff>38100</xdr:colOff>
          <xdr:row>148</xdr:row>
          <xdr:rowOff>0</xdr:rowOff>
        </xdr:to>
        <xdr:sp macro="" textlink="">
          <xdr:nvSpPr>
            <xdr:cNvPr id="14716" name="cbFormula184" hidden="1">
              <a:extLst>
                <a:ext uri="{63B3BB69-23CF-44E3-9099-C40C66FF867C}">
                  <a14:compatExt spid="_x0000_s147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160</xdr:row>
          <xdr:rowOff>9525</xdr:rowOff>
        </xdr:from>
        <xdr:to>
          <xdr:col>8</xdr:col>
          <xdr:colOff>47625</xdr:colOff>
          <xdr:row>161</xdr:row>
          <xdr:rowOff>9525</xdr:rowOff>
        </xdr:to>
        <xdr:sp macro="" textlink="">
          <xdr:nvSpPr>
            <xdr:cNvPr id="14717" name="cbFormula185" hidden="1">
              <a:extLst>
                <a:ext uri="{63B3BB69-23CF-44E3-9099-C40C66FF867C}">
                  <a14:compatExt spid="_x0000_s147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212</xdr:row>
          <xdr:rowOff>9525</xdr:rowOff>
        </xdr:from>
        <xdr:to>
          <xdr:col>8</xdr:col>
          <xdr:colOff>47625</xdr:colOff>
          <xdr:row>213</xdr:row>
          <xdr:rowOff>38100</xdr:rowOff>
        </xdr:to>
        <xdr:sp macro="" textlink="">
          <xdr:nvSpPr>
            <xdr:cNvPr id="14719" name="cbFormula186" hidden="1">
              <a:extLst>
                <a:ext uri="{63B3BB69-23CF-44E3-9099-C40C66FF867C}">
                  <a14:compatExt spid="_x0000_s1471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232</xdr:row>
          <xdr:rowOff>9525</xdr:rowOff>
        </xdr:from>
        <xdr:to>
          <xdr:col>8</xdr:col>
          <xdr:colOff>47625</xdr:colOff>
          <xdr:row>232</xdr:row>
          <xdr:rowOff>238125</xdr:rowOff>
        </xdr:to>
        <xdr:sp macro="" textlink="">
          <xdr:nvSpPr>
            <xdr:cNvPr id="14721" name="cbFormula187" hidden="1">
              <a:extLst>
                <a:ext uri="{63B3BB69-23CF-44E3-9099-C40C66FF867C}">
                  <a14:compatExt spid="_x0000_s147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255</xdr:row>
          <xdr:rowOff>9525</xdr:rowOff>
        </xdr:from>
        <xdr:to>
          <xdr:col>8</xdr:col>
          <xdr:colOff>47625</xdr:colOff>
          <xdr:row>256</xdr:row>
          <xdr:rowOff>9525</xdr:rowOff>
        </xdr:to>
        <xdr:sp macro="" textlink="">
          <xdr:nvSpPr>
            <xdr:cNvPr id="14722" name="cbFormula188" hidden="1">
              <a:extLst>
                <a:ext uri="{63B3BB69-23CF-44E3-9099-C40C66FF867C}">
                  <a14:compatExt spid="_x0000_s147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275</xdr:row>
          <xdr:rowOff>9525</xdr:rowOff>
        </xdr:from>
        <xdr:to>
          <xdr:col>8</xdr:col>
          <xdr:colOff>47625</xdr:colOff>
          <xdr:row>276</xdr:row>
          <xdr:rowOff>9525</xdr:rowOff>
        </xdr:to>
        <xdr:sp macro="" textlink="">
          <xdr:nvSpPr>
            <xdr:cNvPr id="14723" name="cbFormula189" hidden="1">
              <a:extLst>
                <a:ext uri="{63B3BB69-23CF-44E3-9099-C40C66FF867C}">
                  <a14:compatExt spid="_x0000_s147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312</xdr:row>
          <xdr:rowOff>9525</xdr:rowOff>
        </xdr:from>
        <xdr:to>
          <xdr:col>8</xdr:col>
          <xdr:colOff>47625</xdr:colOff>
          <xdr:row>312</xdr:row>
          <xdr:rowOff>238125</xdr:rowOff>
        </xdr:to>
        <xdr:sp macro="" textlink="">
          <xdr:nvSpPr>
            <xdr:cNvPr id="14724" name="cbFormula190" hidden="1">
              <a:extLst>
                <a:ext uri="{63B3BB69-23CF-44E3-9099-C40C66FF867C}">
                  <a14:compatExt spid="_x0000_s147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131</xdr:row>
          <xdr:rowOff>9525</xdr:rowOff>
        </xdr:from>
        <xdr:to>
          <xdr:col>8</xdr:col>
          <xdr:colOff>47625</xdr:colOff>
          <xdr:row>132</xdr:row>
          <xdr:rowOff>9525</xdr:rowOff>
        </xdr:to>
        <xdr:sp macro="" textlink="">
          <xdr:nvSpPr>
            <xdr:cNvPr id="14725" name="cbFormula178" hidden="1">
              <a:extLst>
                <a:ext uri="{63B3BB69-23CF-44E3-9099-C40C66FF867C}">
                  <a14:compatExt spid="_x0000_s147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133</xdr:row>
          <xdr:rowOff>9525</xdr:rowOff>
        </xdr:from>
        <xdr:to>
          <xdr:col>8</xdr:col>
          <xdr:colOff>47625</xdr:colOff>
          <xdr:row>134</xdr:row>
          <xdr:rowOff>9525</xdr:rowOff>
        </xdr:to>
        <xdr:sp macro="" textlink="">
          <xdr:nvSpPr>
            <xdr:cNvPr id="14726" name="cbFormula179" hidden="1">
              <a:extLst>
                <a:ext uri="{63B3BB69-23CF-44E3-9099-C40C66FF867C}">
                  <a14:compatExt spid="_x0000_s147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1790700</xdr:colOff>
          <xdr:row>105</xdr:row>
          <xdr:rowOff>9525</xdr:rowOff>
        </xdr:from>
        <xdr:to>
          <xdr:col>8</xdr:col>
          <xdr:colOff>28575</xdr:colOff>
          <xdr:row>106</xdr:row>
          <xdr:rowOff>9525</xdr:rowOff>
        </xdr:to>
        <xdr:sp macro="" textlink="">
          <xdr:nvSpPr>
            <xdr:cNvPr id="14727" name="cbFormula174" hidden="1">
              <a:extLst>
                <a:ext uri="{63B3BB69-23CF-44E3-9099-C40C66FF867C}">
                  <a14:compatExt spid="_x0000_s147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108</xdr:row>
          <xdr:rowOff>9525</xdr:rowOff>
        </xdr:from>
        <xdr:to>
          <xdr:col>8</xdr:col>
          <xdr:colOff>47625</xdr:colOff>
          <xdr:row>109</xdr:row>
          <xdr:rowOff>9525</xdr:rowOff>
        </xdr:to>
        <xdr:sp macro="" textlink="">
          <xdr:nvSpPr>
            <xdr:cNvPr id="14730" name="cbFormula175" hidden="1">
              <a:extLst>
                <a:ext uri="{63B3BB69-23CF-44E3-9099-C40C66FF867C}">
                  <a14:compatExt spid="_x0000_s1473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109</xdr:row>
          <xdr:rowOff>9525</xdr:rowOff>
        </xdr:from>
        <xdr:to>
          <xdr:col>8</xdr:col>
          <xdr:colOff>47625</xdr:colOff>
          <xdr:row>110</xdr:row>
          <xdr:rowOff>9525</xdr:rowOff>
        </xdr:to>
        <xdr:sp macro="" textlink="">
          <xdr:nvSpPr>
            <xdr:cNvPr id="14731" name="cbFormula176" hidden="1">
              <a:extLst>
                <a:ext uri="{63B3BB69-23CF-44E3-9099-C40C66FF867C}">
                  <a14:compatExt spid="_x0000_s1473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228</xdr:row>
          <xdr:rowOff>9525</xdr:rowOff>
        </xdr:from>
        <xdr:to>
          <xdr:col>8</xdr:col>
          <xdr:colOff>47625</xdr:colOff>
          <xdr:row>229</xdr:row>
          <xdr:rowOff>9525</xdr:rowOff>
        </xdr:to>
        <xdr:sp macro="" textlink="">
          <xdr:nvSpPr>
            <xdr:cNvPr id="14732" name="cbFormula191" hidden="1">
              <a:extLst>
                <a:ext uri="{63B3BB69-23CF-44E3-9099-C40C66FF867C}">
                  <a14:compatExt spid="_x0000_s147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9525</xdr:colOff>
      <xdr:row>78</xdr:row>
      <xdr:rowOff>28575</xdr:rowOff>
    </xdr:from>
    <xdr:to>
      <xdr:col>17</xdr:col>
      <xdr:colOff>438150</xdr:colOff>
      <xdr:row>89</xdr:row>
      <xdr:rowOff>133350</xdr:rowOff>
    </xdr:to>
    <xdr:graphicFrame macro="">
      <xdr:nvGraphicFramePr>
        <xdr:cNvPr id="15379" name="Chart 1040"/>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xdr:colOff>
          <xdr:row>76</xdr:row>
          <xdr:rowOff>9525</xdr:rowOff>
        </xdr:from>
        <xdr:to>
          <xdr:col>1</xdr:col>
          <xdr:colOff>3095625</xdr:colOff>
          <xdr:row>76</xdr:row>
          <xdr:rowOff>200025</xdr:rowOff>
        </xdr:to>
        <xdr:sp macro="" textlink="">
          <xdr:nvSpPr>
            <xdr:cNvPr id="15375" name="Drop Down 1039" hidden="1">
              <a:extLst>
                <a:ext uri="{63B3BB69-23CF-44E3-9099-C40C66FF867C}">
                  <a14:compatExt spid="_x0000_s1537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77</xdr:row>
          <xdr:rowOff>9525</xdr:rowOff>
        </xdr:from>
        <xdr:to>
          <xdr:col>1</xdr:col>
          <xdr:colOff>3095625</xdr:colOff>
          <xdr:row>77</xdr:row>
          <xdr:rowOff>200025</xdr:rowOff>
        </xdr:to>
        <xdr:sp macro="" textlink="">
          <xdr:nvSpPr>
            <xdr:cNvPr id="15377" name="Drop Down 1041" hidden="1">
              <a:extLst>
                <a:ext uri="{63B3BB69-23CF-44E3-9099-C40C66FF867C}">
                  <a14:compatExt spid="_x0000_s1537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3</xdr:col>
          <xdr:colOff>9525</xdr:colOff>
          <xdr:row>5</xdr:row>
          <xdr:rowOff>28575</xdr:rowOff>
        </xdr:to>
        <xdr:sp macro="" textlink="">
          <xdr:nvSpPr>
            <xdr:cNvPr id="18458" name="cbYears21" hidden="1">
              <a:extLst>
                <a:ext uri="{63B3BB69-23CF-44E3-9099-C40C66FF867C}">
                  <a14:compatExt spid="_x0000_s184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9525</xdr:rowOff>
        </xdr:from>
        <xdr:to>
          <xdr:col>3</xdr:col>
          <xdr:colOff>0</xdr:colOff>
          <xdr:row>5</xdr:row>
          <xdr:rowOff>266700</xdr:rowOff>
        </xdr:to>
        <xdr:sp macro="" textlink="">
          <xdr:nvSpPr>
            <xdr:cNvPr id="18459" name="cbYears22" hidden="1">
              <a:extLst>
                <a:ext uri="{63B3BB69-23CF-44E3-9099-C40C66FF867C}">
                  <a14:compatExt spid="_x0000_s184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10</xdr:col>
      <xdr:colOff>561975</xdr:colOff>
      <xdr:row>1</xdr:row>
      <xdr:rowOff>0</xdr:rowOff>
    </xdr:from>
    <xdr:to>
      <xdr:col>15</xdr:col>
      <xdr:colOff>523875</xdr:colOff>
      <xdr:row>7</xdr:row>
      <xdr:rowOff>194408</xdr:rowOff>
    </xdr:to>
    <xdr:sp macro="" textlink="">
      <xdr:nvSpPr>
        <xdr:cNvPr id="4" name="圆角矩形 3"/>
        <xdr:cNvSpPr/>
      </xdr:nvSpPr>
      <xdr:spPr bwMode="auto">
        <a:xfrm>
          <a:off x="7905750" y="228600"/>
          <a:ext cx="3771900" cy="1699358"/>
        </a:xfrm>
        <a:prstGeom prst="roundRect">
          <a:avLst/>
        </a:prstGeom>
        <a:solidFill>
          <a:sysClr val="window" lastClr="FFFFFF"/>
        </a:solidFill>
        <a:ln w="9525" cap="flat" cmpd="sng" algn="ctr">
          <a:solidFill>
            <a:srgbClr val="400000"/>
          </a:solidFill>
          <a:prstDash val="solid"/>
          <a:round/>
          <a:headEnd type="none" w="med" len="med"/>
          <a:tailEnd type="none" w="med" len="med"/>
        </a:ln>
        <a:effectLst/>
        <a:extLst/>
      </xdr:spPr>
      <xdr:txBody>
        <a:bodyPr vertOverflow="clip" horzOverflow="clip" wrap="square" lIns="18288" tIns="0" rIns="0" bIns="0" rtlCol="0" anchor="t" upright="1"/>
        <a:lstStyle/>
        <a:p>
          <a:pPr algn="l"/>
          <a:r>
            <a:rPr lang="zh-CN" altLang="en-US" sz="1100"/>
            <a:t>本模型特点：</a:t>
          </a:r>
          <a:endParaRPr lang="en-US" altLang="zh-CN" sz="1100"/>
        </a:p>
        <a:p>
          <a:pPr algn="l"/>
          <a:r>
            <a:rPr lang="en-US" altLang="zh-CN" sz="1100"/>
            <a:t>1</a:t>
          </a:r>
          <a:r>
            <a:rPr lang="zh-CN" altLang="en-US" sz="1100"/>
            <a:t>、半显性阶段，</a:t>
          </a:r>
          <a:r>
            <a:rPr lang="zh-CN" altLang="en-US" sz="1100" baseline="0"/>
            <a:t>收入增速稳定在假设水平不变，</a:t>
          </a:r>
          <a:r>
            <a:rPr lang="en-US" altLang="zh-CN" sz="1100" baseline="0"/>
            <a:t>EBIT margin </a:t>
          </a:r>
          <a:r>
            <a:rPr lang="zh-CN" altLang="en-US" sz="1100" baseline="0"/>
            <a:t>和</a:t>
          </a:r>
          <a:r>
            <a:rPr lang="en-US" altLang="zh-CN" sz="1100" baseline="0"/>
            <a:t>ROIC</a:t>
          </a:r>
          <a:r>
            <a:rPr lang="zh-CN" altLang="en-US" sz="1100" baseline="0"/>
            <a:t>从显性阶段平滑过渡到假设水平。</a:t>
          </a:r>
          <a:endParaRPr lang="en-US" altLang="zh-CN" sz="1100" baseline="0"/>
        </a:p>
        <a:p>
          <a:pPr algn="l"/>
          <a:r>
            <a:rPr lang="en-US" altLang="zh-CN" sz="1100" baseline="0"/>
            <a:t>2</a:t>
          </a:r>
          <a:r>
            <a:rPr lang="zh-CN" altLang="en-US" sz="1100" baseline="0"/>
            <a:t>、递减过渡阶段，增速平滑过渡至永续增长率，</a:t>
          </a:r>
          <a:r>
            <a:rPr lang="en-US" altLang="zh-CN" sz="1100" baseline="0"/>
            <a:t>EBIT margin </a:t>
          </a:r>
          <a:r>
            <a:rPr lang="zh-CN" altLang="en-US" sz="1100" baseline="0"/>
            <a:t>和</a:t>
          </a:r>
          <a:r>
            <a:rPr lang="en-US" altLang="zh-CN" sz="1100" baseline="0"/>
            <a:t>ROIC</a:t>
          </a:r>
          <a:r>
            <a:rPr lang="zh-CN" altLang="en-US" sz="1100" baseline="0"/>
            <a:t>从半显性阶段平滑过渡到永续阶段。</a:t>
          </a:r>
          <a:endParaRPr lang="en-US" altLang="zh-CN" sz="1100" baseline="0"/>
        </a:p>
        <a:p>
          <a:pPr algn="l"/>
          <a:r>
            <a:rPr lang="en-US" altLang="zh-CN" sz="1100" baseline="0"/>
            <a:t>3</a:t>
          </a:r>
          <a:r>
            <a:rPr lang="zh-CN" altLang="en-US" sz="1100" baseline="0"/>
            <a:t>、</a:t>
          </a:r>
          <a:r>
            <a:rPr lang="en-US" altLang="zh-CN" sz="1100" baseline="0"/>
            <a:t>EBIT margin </a:t>
          </a:r>
          <a:r>
            <a:rPr lang="zh-CN" altLang="en-US" sz="1100" baseline="0"/>
            <a:t>和</a:t>
          </a:r>
          <a:r>
            <a:rPr lang="en-US" altLang="zh-CN" sz="1100" baseline="0"/>
            <a:t>ROIC</a:t>
          </a:r>
          <a:r>
            <a:rPr lang="zh-CN" altLang="en-US" sz="1100" baseline="0"/>
            <a:t>应该根据有效税率的变化关联假设。</a:t>
          </a:r>
          <a:endParaRPr lang="en-US" altLang="zh-CN" sz="1100" baseline="0"/>
        </a:p>
        <a:p>
          <a:pPr algn="l"/>
          <a:r>
            <a:rPr lang="en-US" altLang="zh-CN" sz="1100" baseline="0"/>
            <a:t>4</a:t>
          </a:r>
          <a:r>
            <a:rPr lang="zh-CN" altLang="en-US" sz="1100" baseline="0"/>
            <a:t>、当少数股东占比较大时，应根据可比原则确定少数股权</a:t>
          </a:r>
          <a:r>
            <a:rPr lang="en-US" altLang="zh-CN" sz="1100" baseline="0"/>
            <a:t>PB</a:t>
          </a:r>
          <a:r>
            <a:rPr lang="zh-CN" altLang="en-US" sz="1100" baseline="0"/>
            <a:t>倍数。</a:t>
          </a:r>
          <a:endParaRPr lang="zh-CN" altLang="en-US" sz="1100"/>
        </a:p>
      </xdr:txBody>
    </xdr:sp>
    <xdr:clientData/>
  </xdr:twoCellAnchor>
  <xdr:oneCellAnchor>
    <xdr:from>
      <xdr:col>8</xdr:col>
      <xdr:colOff>95251</xdr:colOff>
      <xdr:row>41</xdr:row>
      <xdr:rowOff>42333</xdr:rowOff>
    </xdr:from>
    <xdr:ext cx="3026833" cy="730226"/>
    <xdr:sp macro="" textlink="">
      <xdr:nvSpPr>
        <xdr:cNvPr id="2" name="TextBox 1"/>
        <xdr:cNvSpPr txBox="1"/>
      </xdr:nvSpPr>
      <xdr:spPr>
        <a:xfrm>
          <a:off x="5757334" y="9461500"/>
          <a:ext cx="3026833" cy="730226"/>
        </a:xfrm>
        <a:prstGeom prst="rect">
          <a:avLst/>
        </a:prstGeom>
        <a:noFill/>
        <a:ln>
          <a:solidFill>
            <a:schemeClr val="accent1"/>
          </a:solidFill>
          <a:prstDash val="dashDot"/>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zh-CN" altLang="en-US" sz="1100"/>
            <a:t>敏感性分析中永续增长率和</a:t>
          </a:r>
          <a:r>
            <a:rPr lang="en-US" altLang="zh-CN" sz="1100"/>
            <a:t>WACC</a:t>
          </a:r>
          <a:r>
            <a:rPr lang="zh-CN" altLang="en-US" sz="1100"/>
            <a:t>请手工设置，因为</a:t>
          </a:r>
          <a:r>
            <a:rPr lang="en-US" altLang="zh-CN" sz="1100"/>
            <a:t>EXCEL</a:t>
          </a:r>
          <a:r>
            <a:rPr lang="zh-CN" altLang="en-US" sz="1100"/>
            <a:t>的计算机制使得如果做成自动链接，表格中的计算结果是不正确的。</a:t>
          </a: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10</xdr:col>
      <xdr:colOff>85726</xdr:colOff>
      <xdr:row>1</xdr:row>
      <xdr:rowOff>1</xdr:rowOff>
    </xdr:from>
    <xdr:to>
      <xdr:col>15</xdr:col>
      <xdr:colOff>133351</xdr:colOff>
      <xdr:row>7</xdr:row>
      <xdr:rowOff>19050</xdr:rowOff>
    </xdr:to>
    <xdr:sp macro="" textlink="">
      <xdr:nvSpPr>
        <xdr:cNvPr id="20514" name="AutoShape 34"/>
        <xdr:cNvSpPr>
          <a:spLocks noChangeArrowheads="1"/>
        </xdr:cNvSpPr>
      </xdr:nvSpPr>
      <xdr:spPr bwMode="auto">
        <a:xfrm>
          <a:off x="7905751" y="152401"/>
          <a:ext cx="3543300" cy="1647824"/>
        </a:xfrm>
        <a:prstGeom prst="wedgeRoundRectCallout">
          <a:avLst>
            <a:gd name="adj1" fmla="val 407"/>
            <a:gd name="adj2" fmla="val 21796"/>
            <a:gd name="adj3" fmla="val 16667"/>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zh-CN" altLang="en-US" sz="900" b="0" i="0" strike="noStrike">
              <a:solidFill>
                <a:srgbClr val="000000"/>
              </a:solidFill>
              <a:latin typeface="宋体"/>
              <a:ea typeface="宋体"/>
            </a:rPr>
            <a:t>本模型特点：</a:t>
          </a:r>
        </a:p>
        <a:p>
          <a:pPr algn="l" rtl="0">
            <a:defRPr sz="1000"/>
          </a:pPr>
          <a:r>
            <a:rPr lang="en-US" altLang="zh-CN" sz="900" b="0" i="0" strike="noStrike">
              <a:solidFill>
                <a:srgbClr val="FF0000"/>
              </a:solidFill>
              <a:latin typeface="Times New Roman"/>
              <a:cs typeface="Times New Roman"/>
            </a:rPr>
            <a:t>1</a:t>
          </a:r>
          <a:r>
            <a:rPr lang="zh-CN" altLang="en-US" sz="900" b="0" i="0" strike="noStrike">
              <a:solidFill>
                <a:srgbClr val="FF0000"/>
              </a:solidFill>
              <a:latin typeface="Times New Roman"/>
              <a:cs typeface="Times New Roman"/>
            </a:rPr>
            <a:t>、直接以净利润增长为估值始点，缺乏驱动要素</a:t>
          </a:r>
        </a:p>
        <a:p>
          <a:pPr algn="l" rtl="0">
            <a:defRPr sz="1000"/>
          </a:pPr>
          <a:r>
            <a:rPr lang="en-US" altLang="zh-CN" sz="900" b="0" i="0" strike="noStrike">
              <a:solidFill>
                <a:srgbClr val="FF0000"/>
              </a:solidFill>
              <a:latin typeface="Times New Roman"/>
              <a:cs typeface="Times New Roman"/>
            </a:rPr>
            <a:t>2</a:t>
          </a:r>
          <a:r>
            <a:rPr lang="zh-CN" altLang="en-US" sz="900" b="0" i="0" strike="noStrike">
              <a:solidFill>
                <a:srgbClr val="FF0000"/>
              </a:solidFill>
              <a:latin typeface="Times New Roman"/>
              <a:cs typeface="Times New Roman"/>
            </a:rPr>
            <a:t>、半显性阶段净利润增速假设保持不变</a:t>
          </a:r>
        </a:p>
        <a:p>
          <a:pPr algn="l" rtl="0">
            <a:defRPr sz="1000"/>
          </a:pPr>
          <a:r>
            <a:rPr lang="en-US" altLang="zh-CN" sz="900" b="0" i="0" strike="noStrike">
              <a:solidFill>
                <a:srgbClr val="FF0000"/>
              </a:solidFill>
              <a:latin typeface="Times New Roman"/>
              <a:cs typeface="Times New Roman"/>
            </a:rPr>
            <a:t>3</a:t>
          </a:r>
          <a:r>
            <a:rPr lang="zh-CN" altLang="en-US" sz="900" b="0" i="0" strike="noStrike">
              <a:solidFill>
                <a:srgbClr val="FF0000"/>
              </a:solidFill>
              <a:latin typeface="Times New Roman"/>
              <a:cs typeface="Times New Roman"/>
            </a:rPr>
            <a:t>、半显性阶段假设期间，对半显性阶段最后一年</a:t>
          </a:r>
          <a:r>
            <a:rPr lang="en-US" altLang="zh-CN" sz="900" b="0" i="0" strike="noStrike">
              <a:solidFill>
                <a:srgbClr val="FF0000"/>
              </a:solidFill>
              <a:latin typeface="Times New Roman"/>
              <a:cs typeface="Times New Roman"/>
            </a:rPr>
            <a:t>ROE</a:t>
          </a:r>
          <a:r>
            <a:rPr lang="zh-CN" altLang="en-US" sz="900" b="0" i="0" strike="noStrike">
              <a:solidFill>
                <a:srgbClr val="FF0000"/>
              </a:solidFill>
              <a:latin typeface="Times New Roman"/>
              <a:cs typeface="Times New Roman"/>
            </a:rPr>
            <a:t>做出预测，此期间</a:t>
          </a:r>
          <a:r>
            <a:rPr lang="en-US" altLang="zh-CN" sz="900" b="0" i="0" strike="noStrike">
              <a:solidFill>
                <a:srgbClr val="FF0000"/>
              </a:solidFill>
              <a:latin typeface="Times New Roman"/>
              <a:cs typeface="Times New Roman"/>
            </a:rPr>
            <a:t>ROE</a:t>
          </a:r>
          <a:r>
            <a:rPr lang="zh-CN" altLang="en-US" sz="900" b="0" i="0" strike="noStrike">
              <a:solidFill>
                <a:srgbClr val="FF0000"/>
              </a:solidFill>
              <a:latin typeface="Times New Roman"/>
              <a:cs typeface="Times New Roman"/>
            </a:rPr>
            <a:t>平滑变化</a:t>
          </a:r>
        </a:p>
        <a:p>
          <a:pPr algn="l" rtl="0">
            <a:defRPr sz="1000"/>
          </a:pPr>
          <a:r>
            <a:rPr lang="en-US" altLang="zh-CN" sz="900" b="0" i="0" strike="noStrike">
              <a:solidFill>
                <a:srgbClr val="FF0000"/>
              </a:solidFill>
              <a:latin typeface="Times New Roman"/>
              <a:cs typeface="Times New Roman"/>
            </a:rPr>
            <a:t>4</a:t>
          </a:r>
          <a:r>
            <a:rPr lang="zh-CN" altLang="en-US" sz="900" b="0" i="0" strike="noStrike">
              <a:solidFill>
                <a:srgbClr val="FF0000"/>
              </a:solidFill>
              <a:latin typeface="Times New Roman"/>
              <a:cs typeface="Times New Roman"/>
            </a:rPr>
            <a:t>、递减过渡阶段，净利润增长率和</a:t>
          </a:r>
          <a:r>
            <a:rPr lang="en-US" altLang="zh-CN" sz="900" b="0" i="0" strike="noStrike">
              <a:solidFill>
                <a:srgbClr val="FF0000"/>
              </a:solidFill>
              <a:latin typeface="Times New Roman"/>
              <a:cs typeface="Times New Roman"/>
            </a:rPr>
            <a:t>ROE</a:t>
          </a:r>
          <a:r>
            <a:rPr lang="zh-CN" altLang="en-US" sz="900" b="0" i="0" strike="noStrike">
              <a:solidFill>
                <a:srgbClr val="FF0000"/>
              </a:solidFill>
              <a:latin typeface="Times New Roman"/>
              <a:cs typeface="Times New Roman"/>
            </a:rPr>
            <a:t>平滑变化，在递减过渡阶段最后一年达到稳态</a:t>
          </a:r>
        </a:p>
        <a:p>
          <a:pPr algn="l" rtl="0">
            <a:defRPr sz="1000"/>
          </a:pPr>
          <a:r>
            <a:rPr lang="en-US" altLang="zh-CN" sz="900" b="0" i="0" strike="noStrike">
              <a:solidFill>
                <a:srgbClr val="FF0000"/>
              </a:solidFill>
              <a:latin typeface="Times New Roman"/>
              <a:cs typeface="Times New Roman"/>
            </a:rPr>
            <a:t>5</a:t>
          </a:r>
          <a:r>
            <a:rPr lang="zh-CN" altLang="en-US" sz="900" b="0" i="0" strike="noStrike">
              <a:solidFill>
                <a:srgbClr val="FF0000"/>
              </a:solidFill>
              <a:latin typeface="Times New Roman"/>
              <a:cs typeface="Times New Roman"/>
            </a:rPr>
            <a:t>、根据净利润增长率、</a:t>
          </a:r>
          <a:r>
            <a:rPr lang="en-US" altLang="zh-CN" sz="900" b="0" i="0" strike="noStrike">
              <a:solidFill>
                <a:srgbClr val="FF0000"/>
              </a:solidFill>
              <a:latin typeface="Times New Roman"/>
              <a:cs typeface="Times New Roman"/>
            </a:rPr>
            <a:t>ROE</a:t>
          </a:r>
          <a:r>
            <a:rPr lang="zh-CN" altLang="en-US" sz="900" b="0" i="0" strike="noStrike">
              <a:solidFill>
                <a:srgbClr val="FF0000"/>
              </a:solidFill>
              <a:latin typeface="Times New Roman"/>
              <a:cs typeface="Times New Roman"/>
            </a:rPr>
            <a:t>以及现金分红率之间的逻辑关系，本模型对净利润增速和</a:t>
          </a:r>
          <a:r>
            <a:rPr lang="en-US" altLang="zh-CN" sz="900" b="0" i="0" strike="noStrike">
              <a:solidFill>
                <a:srgbClr val="FF0000"/>
              </a:solidFill>
              <a:latin typeface="Times New Roman"/>
              <a:cs typeface="Times New Roman"/>
            </a:rPr>
            <a:t>ROE</a:t>
          </a:r>
          <a:r>
            <a:rPr lang="zh-CN" altLang="en-US" sz="900" b="0" i="0" strike="noStrike">
              <a:solidFill>
                <a:srgbClr val="FF0000"/>
              </a:solidFill>
              <a:latin typeface="Times New Roman"/>
              <a:cs typeface="Times New Roman"/>
            </a:rPr>
            <a:t>进行预测，现金分红率自动计算得出。</a:t>
          </a:r>
        </a:p>
      </xdr:txBody>
    </xdr:sp>
    <xdr:clientData/>
  </xdr:twoCellAnchor>
  <mc:AlternateContent xmlns:mc="http://schemas.openxmlformats.org/markup-compatibility/2006">
    <mc:Choice xmlns:a14="http://schemas.microsoft.com/office/drawing/2010/main" Requires="a14">
      <xdr:twoCellAnchor editAs="oneCell">
        <xdr:from>
          <xdr:col>3</xdr:col>
          <xdr:colOff>800100</xdr:colOff>
          <xdr:row>4</xdr:row>
          <xdr:rowOff>19050</xdr:rowOff>
        </xdr:from>
        <xdr:to>
          <xdr:col>3</xdr:col>
          <xdr:colOff>923925</xdr:colOff>
          <xdr:row>5</xdr:row>
          <xdr:rowOff>0</xdr:rowOff>
        </xdr:to>
        <xdr:sp macro="" textlink="">
          <xdr:nvSpPr>
            <xdr:cNvPr id="20505" name="SpinButton3" hidden="1">
              <a:extLst>
                <a:ext uri="{63B3BB69-23CF-44E3-9099-C40C66FF867C}">
                  <a14:compatExt spid="_x0000_s205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xdr:row>
          <xdr:rowOff>9525</xdr:rowOff>
        </xdr:from>
        <xdr:to>
          <xdr:col>3</xdr:col>
          <xdr:colOff>0</xdr:colOff>
          <xdr:row>4</xdr:row>
          <xdr:rowOff>209550</xdr:rowOff>
        </xdr:to>
        <xdr:sp macro="" textlink="">
          <xdr:nvSpPr>
            <xdr:cNvPr id="20506" name="cbDDMYears21" hidden="1">
              <a:extLst>
                <a:ext uri="{63B3BB69-23CF-44E3-9099-C40C66FF867C}">
                  <a14:compatExt spid="_x0000_s205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800100</xdr:colOff>
          <xdr:row>6</xdr:row>
          <xdr:rowOff>9525</xdr:rowOff>
        </xdr:from>
        <xdr:to>
          <xdr:col>3</xdr:col>
          <xdr:colOff>923925</xdr:colOff>
          <xdr:row>6</xdr:row>
          <xdr:rowOff>219075</xdr:rowOff>
        </xdr:to>
        <xdr:sp macro="" textlink="">
          <xdr:nvSpPr>
            <xdr:cNvPr id="20508" name="SpinButton4" hidden="1">
              <a:extLst>
                <a:ext uri="{63B3BB69-23CF-44E3-9099-C40C66FF867C}">
                  <a14:compatExt spid="_x0000_s205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561975</xdr:colOff>
          <xdr:row>4</xdr:row>
          <xdr:rowOff>9525</xdr:rowOff>
        </xdr:from>
        <xdr:to>
          <xdr:col>5</xdr:col>
          <xdr:colOff>0</xdr:colOff>
          <xdr:row>5</xdr:row>
          <xdr:rowOff>0</xdr:rowOff>
        </xdr:to>
        <xdr:sp macro="" textlink="">
          <xdr:nvSpPr>
            <xdr:cNvPr id="20510" name="SpinButton5" hidden="1">
              <a:extLst>
                <a:ext uri="{63B3BB69-23CF-44E3-9099-C40C66FF867C}">
                  <a14:compatExt spid="_x0000_s205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xdr:row>
          <xdr:rowOff>9525</xdr:rowOff>
        </xdr:from>
        <xdr:to>
          <xdr:col>3</xdr:col>
          <xdr:colOff>0</xdr:colOff>
          <xdr:row>5</xdr:row>
          <xdr:rowOff>209550</xdr:rowOff>
        </xdr:to>
        <xdr:sp macro="" textlink="">
          <xdr:nvSpPr>
            <xdr:cNvPr id="20512" name="cbDDMYears22" hidden="1">
              <a:extLst>
                <a:ext uri="{63B3BB69-23CF-44E3-9099-C40C66FF867C}">
                  <a14:compatExt spid="_x0000_s205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oneCellAnchor>
    <xdr:from>
      <xdr:col>11</xdr:col>
      <xdr:colOff>238126</xdr:colOff>
      <xdr:row>25</xdr:row>
      <xdr:rowOff>190500</xdr:rowOff>
    </xdr:from>
    <xdr:ext cx="2905124" cy="730226"/>
    <xdr:sp macro="" textlink="">
      <xdr:nvSpPr>
        <xdr:cNvPr id="12" name="TextBox 11"/>
        <xdr:cNvSpPr txBox="1"/>
      </xdr:nvSpPr>
      <xdr:spPr>
        <a:xfrm>
          <a:off x="8772526" y="6029325"/>
          <a:ext cx="2905124" cy="730226"/>
        </a:xfrm>
        <a:prstGeom prst="rect">
          <a:avLst/>
        </a:prstGeom>
        <a:noFill/>
        <a:ln>
          <a:solidFill>
            <a:srgbClr val="4F81BD"/>
          </a:solidFill>
          <a:prstDash val="dashDot"/>
        </a:ln>
        <a:effectLst/>
      </xdr:spPr>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Text" lastClr="000000"/>
              </a:solidFill>
              <a:effectLst/>
              <a:uLnTx/>
              <a:uFillTx/>
              <a:latin typeface="Calibri"/>
              <a:ea typeface="宋体"/>
              <a:cs typeface="+mn-cs"/>
            </a:rPr>
            <a:t>敏感性分析中永续增长率和</a:t>
          </a:r>
          <a:r>
            <a:rPr kumimoji="0" lang="en-US" altLang="zh-CN" sz="1100" b="0" i="0" u="none" strike="noStrike" kern="0" cap="none" spc="0" normalizeH="0" baseline="0" noProof="0" smtClean="0">
              <a:ln>
                <a:noFill/>
              </a:ln>
              <a:solidFill>
                <a:sysClr val="windowText" lastClr="000000"/>
              </a:solidFill>
              <a:effectLst/>
              <a:uLnTx/>
              <a:uFillTx/>
              <a:latin typeface="Calibri"/>
              <a:ea typeface="宋体"/>
              <a:cs typeface="+mn-cs"/>
            </a:rPr>
            <a:t>Ke</a:t>
          </a:r>
          <a:r>
            <a:rPr kumimoji="0" lang="zh-CN" altLang="en-US" sz="1100" b="0" i="0" u="none" strike="noStrike" kern="0" cap="none" spc="0" normalizeH="0" baseline="0" noProof="0" smtClean="0">
              <a:ln>
                <a:noFill/>
              </a:ln>
              <a:solidFill>
                <a:sysClr val="windowText" lastClr="000000"/>
              </a:solidFill>
              <a:effectLst/>
              <a:uLnTx/>
              <a:uFillTx/>
              <a:latin typeface="Calibri"/>
              <a:ea typeface="宋体"/>
              <a:cs typeface="+mn-cs"/>
            </a:rPr>
            <a:t>请手工设置，因为</a:t>
          </a:r>
          <a:r>
            <a:rPr kumimoji="0" lang="en-US" altLang="zh-CN" sz="1100" b="0" i="0" u="none" strike="noStrike" kern="0" cap="none" spc="0" normalizeH="0" baseline="0" noProof="0" smtClean="0">
              <a:ln>
                <a:noFill/>
              </a:ln>
              <a:solidFill>
                <a:sysClr val="windowText" lastClr="000000"/>
              </a:solidFill>
              <a:effectLst/>
              <a:uLnTx/>
              <a:uFillTx/>
              <a:latin typeface="Calibri"/>
              <a:ea typeface="宋体"/>
              <a:cs typeface="+mn-cs"/>
            </a:rPr>
            <a:t>EXCEL</a:t>
          </a:r>
          <a:r>
            <a:rPr kumimoji="0" lang="zh-CN" altLang="en-US" sz="1100" b="0" i="0" u="none" strike="noStrike" kern="0" cap="none" spc="0" normalizeH="0" baseline="0" noProof="0" smtClean="0">
              <a:ln>
                <a:noFill/>
              </a:ln>
              <a:solidFill>
                <a:sysClr val="windowText" lastClr="000000"/>
              </a:solidFill>
              <a:effectLst/>
              <a:uLnTx/>
              <a:uFillTx/>
              <a:latin typeface="Calibri"/>
              <a:ea typeface="宋体"/>
              <a:cs typeface="+mn-cs"/>
            </a:rPr>
            <a:t>的计算机制使得如果做成自动链接，表格中的计算结果是不正确的。</a:t>
          </a:r>
        </a:p>
      </xdr:txBody>
    </xdr:sp>
    <xdr:clientData/>
  </xdr:oneCellAnchor>
</xdr:wsDr>
</file>

<file path=xl/drawings/drawing10.xml><?xml version="1.0" encoding="utf-8"?>
<xdr:wsDr xmlns:xdr="http://schemas.openxmlformats.org/drawingml/2006/spreadsheetDrawing" xmlns:a="http://schemas.openxmlformats.org/drawingml/2006/main">
  <xdr:twoCellAnchor>
    <xdr:from>
      <xdr:col>5</xdr:col>
      <xdr:colOff>609600</xdr:colOff>
      <xdr:row>1</xdr:row>
      <xdr:rowOff>28575</xdr:rowOff>
    </xdr:from>
    <xdr:to>
      <xdr:col>8</xdr:col>
      <xdr:colOff>590550</xdr:colOff>
      <xdr:row>12</xdr:row>
      <xdr:rowOff>85725</xdr:rowOff>
    </xdr:to>
    <xdr:sp macro="" textlink="">
      <xdr:nvSpPr>
        <xdr:cNvPr id="21510" name="AutoShape 6"/>
        <xdr:cNvSpPr>
          <a:spLocks noChangeArrowheads="1"/>
        </xdr:cNvSpPr>
      </xdr:nvSpPr>
      <xdr:spPr bwMode="auto">
        <a:xfrm>
          <a:off x="4876800" y="180975"/>
          <a:ext cx="2667000" cy="2362200"/>
        </a:xfrm>
        <a:prstGeom prst="wedgeRoundRectCallout">
          <a:avLst>
            <a:gd name="adj1" fmla="val -45000"/>
            <a:gd name="adj2" fmla="val -9889"/>
            <a:gd name="adj3" fmla="val 16667"/>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zh-CN" altLang="en-US" sz="1000" b="0" i="0" strike="noStrike">
              <a:solidFill>
                <a:srgbClr val="000000"/>
              </a:solidFill>
              <a:latin typeface="宋体"/>
              <a:ea typeface="宋体"/>
            </a:rPr>
            <a:t>注意事项：</a:t>
          </a:r>
        </a:p>
        <a:p>
          <a:pPr algn="l" rtl="0">
            <a:lnSpc>
              <a:spcPts val="1200"/>
            </a:lnSpc>
            <a:defRPr sz="1000"/>
          </a:pPr>
          <a:r>
            <a:rPr lang="zh-CN" altLang="en-US" sz="1000" b="0" i="0" strike="noStrike">
              <a:solidFill>
                <a:srgbClr val="000000"/>
              </a:solidFill>
              <a:latin typeface="Times New Roman"/>
              <a:cs typeface="Times New Roman"/>
            </a:rPr>
            <a:t> </a:t>
          </a:r>
          <a:r>
            <a:rPr lang="en-US" altLang="zh-CN" sz="1000" b="0" i="0" strike="noStrike">
              <a:solidFill>
                <a:srgbClr val="000000"/>
              </a:solidFill>
              <a:latin typeface="Times New Roman"/>
              <a:cs typeface="Times New Roman"/>
            </a:rPr>
            <a:t>1</a:t>
          </a:r>
          <a:r>
            <a:rPr lang="zh-CN" altLang="en-US" sz="1000" b="0" i="0" strike="noStrike">
              <a:solidFill>
                <a:srgbClr val="000000"/>
              </a:solidFill>
              <a:latin typeface="宋体"/>
              <a:ea typeface="宋体"/>
            </a:rPr>
            <a:t>、本模型中各种估值工具、财务摘要、以及财务分析的资金成本都链接到这张表，因此务必在估值之前先计算资金成本</a:t>
          </a:r>
        </a:p>
        <a:p>
          <a:pPr algn="l" rtl="0">
            <a:lnSpc>
              <a:spcPts val="1200"/>
            </a:lnSpc>
            <a:defRPr sz="1000"/>
          </a:pPr>
          <a:r>
            <a:rPr lang="en-US" altLang="zh-CN" sz="1000" b="0" i="0" strike="noStrike">
              <a:solidFill>
                <a:srgbClr val="000000"/>
              </a:solidFill>
              <a:latin typeface="Times New Roman"/>
              <a:cs typeface="Times New Roman"/>
            </a:rPr>
            <a:t>2</a:t>
          </a:r>
          <a:r>
            <a:rPr lang="zh-CN" altLang="en-US" sz="1000" b="0" i="0" strike="noStrike">
              <a:solidFill>
                <a:srgbClr val="000000"/>
              </a:solidFill>
              <a:latin typeface="宋体"/>
              <a:ea typeface="宋体"/>
            </a:rPr>
            <a:t>、本模型仅提供了</a:t>
          </a:r>
          <a:r>
            <a:rPr lang="en-US" altLang="zh-CN" sz="1000" b="0" i="0" strike="noStrike">
              <a:solidFill>
                <a:srgbClr val="000000"/>
              </a:solidFill>
              <a:latin typeface="Times New Roman"/>
              <a:cs typeface="Times New Roman"/>
            </a:rPr>
            <a:t>CAPM</a:t>
          </a:r>
          <a:r>
            <a:rPr lang="zh-CN" altLang="en-US" sz="1000" b="0" i="0" strike="noStrike">
              <a:solidFill>
                <a:srgbClr val="000000"/>
              </a:solidFill>
              <a:latin typeface="宋体"/>
              <a:ea typeface="宋体"/>
            </a:rPr>
            <a:t>方法计算资金成本。如果认为还有更适合方法，请自己添加。但要注意：前面财务分析和后面估值部分的链接均要修改。</a:t>
          </a:r>
        </a:p>
        <a:p>
          <a:pPr algn="l" rtl="0">
            <a:lnSpc>
              <a:spcPts val="1200"/>
            </a:lnSpc>
            <a:defRPr sz="1000"/>
          </a:pPr>
          <a:r>
            <a:rPr lang="en-US" altLang="zh-CN" sz="1000" b="0" i="0" strike="noStrike">
              <a:solidFill>
                <a:srgbClr val="000000"/>
              </a:solidFill>
              <a:latin typeface="Times New Roman"/>
              <a:cs typeface="Times New Roman"/>
            </a:rPr>
            <a:t>3</a:t>
          </a:r>
          <a:r>
            <a:rPr lang="zh-CN" altLang="en-US" sz="1000" b="0" i="0" strike="noStrike">
              <a:solidFill>
                <a:srgbClr val="000000"/>
              </a:solidFill>
              <a:latin typeface="宋体"/>
              <a:ea typeface="宋体"/>
            </a:rPr>
            <a:t>、无风险利率和股票市场溢价均为研究所统一发布的数据。请及时更新！</a:t>
          </a:r>
          <a:endParaRPr lang="en-US" altLang="zh-CN" sz="1000" b="0" i="0" strike="noStrike">
            <a:solidFill>
              <a:srgbClr val="000000"/>
            </a:solidFill>
            <a:latin typeface="宋体"/>
            <a:ea typeface="宋体"/>
          </a:endParaRPr>
        </a:p>
        <a:p>
          <a:pPr marL="0" marR="0" lvl="0" indent="0" algn="l" defTabSz="914400" rtl="0" eaLnBrk="1" fontAlgn="auto" latinLnBrk="0" hangingPunct="1">
            <a:lnSpc>
              <a:spcPts val="1200"/>
            </a:lnSpc>
            <a:spcBef>
              <a:spcPts val="0"/>
            </a:spcBef>
            <a:spcAft>
              <a:spcPts val="0"/>
            </a:spcAft>
            <a:buClrTx/>
            <a:buSzTx/>
            <a:buFontTx/>
            <a:buNone/>
            <a:tabLst/>
            <a:defRPr sz="1000"/>
          </a:pPr>
          <a:r>
            <a:rPr lang="en-US" altLang="zh-CN" sz="1000" b="0" i="0">
              <a:effectLst/>
              <a:latin typeface="+mn-lt"/>
              <a:ea typeface="+mn-ea"/>
              <a:cs typeface="+mn-cs"/>
            </a:rPr>
            <a:t>4</a:t>
          </a:r>
          <a:r>
            <a:rPr lang="zh-CN" altLang="zh-CN" sz="1000" b="0" i="0">
              <a:effectLst/>
              <a:latin typeface="+mn-lt"/>
              <a:ea typeface="+mn-ea"/>
              <a:cs typeface="+mn-cs"/>
            </a:rPr>
            <a:t>、无风险利率、股票市场溢价、</a:t>
          </a:r>
          <a:r>
            <a:rPr lang="en-US" altLang="zh-CN" sz="1000" b="0" i="0">
              <a:effectLst/>
              <a:latin typeface="+mn-lt"/>
              <a:ea typeface="+mn-ea"/>
              <a:cs typeface="+mn-cs"/>
            </a:rPr>
            <a:t>beta</a:t>
          </a:r>
          <a:r>
            <a:rPr lang="zh-CN" altLang="zh-CN" sz="1000" b="0" i="0">
              <a:effectLst/>
              <a:latin typeface="+mn-lt"/>
              <a:ea typeface="+mn-ea"/>
              <a:cs typeface="+mn-cs"/>
            </a:rPr>
            <a:t>优先采用手工输入数据，当未手工输入时，系统则采用自动抓取数据。</a:t>
          </a:r>
          <a:endParaRPr lang="zh-CN" altLang="zh-CN">
            <a:effectLst/>
          </a:endParaRPr>
        </a:p>
        <a:p>
          <a:pPr algn="l" rtl="0">
            <a:lnSpc>
              <a:spcPts val="1200"/>
            </a:lnSpc>
            <a:defRPr sz="1000"/>
          </a:pPr>
          <a:endParaRPr lang="zh-CN" altLang="en-US" sz="1000" b="0" i="0" strike="noStrike">
            <a:solidFill>
              <a:srgbClr val="000000"/>
            </a:solidFill>
            <a:latin typeface="宋体"/>
            <a:ea typeface="宋体"/>
          </a:endParaRPr>
        </a:p>
      </xdr:txBody>
    </xdr:sp>
    <xdr:clientData/>
  </xdr:twoCellAnchor>
  <mc:AlternateContent xmlns:mc="http://schemas.openxmlformats.org/markup-compatibility/2006">
    <mc:Choice xmlns:a14="http://schemas.microsoft.com/office/drawing/2010/main" Requires="a14">
      <xdr:twoCellAnchor editAs="oneCell">
        <xdr:from>
          <xdr:col>1</xdr:col>
          <xdr:colOff>19050</xdr:colOff>
          <xdr:row>20</xdr:row>
          <xdr:rowOff>9525</xdr:rowOff>
        </xdr:from>
        <xdr:to>
          <xdr:col>1</xdr:col>
          <xdr:colOff>1485900</xdr:colOff>
          <xdr:row>20</xdr:row>
          <xdr:rowOff>200025</xdr:rowOff>
        </xdr:to>
        <xdr:sp macro="" textlink="">
          <xdr:nvSpPr>
            <xdr:cNvPr id="21511" name="Drop Down 7" hidden="1">
              <a:extLst>
                <a:ext uri="{63B3BB69-23CF-44E3-9099-C40C66FF867C}">
                  <a14:compatExt spid="_x0000_s2151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16</xdr:row>
          <xdr:rowOff>28575</xdr:rowOff>
        </xdr:from>
        <xdr:to>
          <xdr:col>3</xdr:col>
          <xdr:colOff>514350</xdr:colOff>
          <xdr:row>17</xdr:row>
          <xdr:rowOff>95250</xdr:rowOff>
        </xdr:to>
        <xdr:sp macro="" textlink="">
          <xdr:nvSpPr>
            <xdr:cNvPr id="21517" name="cAutoUpdate" hidden="1">
              <a:extLst>
                <a:ext uri="{63B3BB69-23CF-44E3-9099-C40C66FF867C}">
                  <a14:compatExt spid="_x0000_s2151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00000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742950</xdr:colOff>
          <xdr:row>16</xdr:row>
          <xdr:rowOff>47625</xdr:rowOff>
        </xdr:from>
        <xdr:to>
          <xdr:col>4</xdr:col>
          <xdr:colOff>923925</xdr:colOff>
          <xdr:row>17</xdr:row>
          <xdr:rowOff>85725</xdr:rowOff>
        </xdr:to>
        <xdr:sp macro="" textlink="">
          <xdr:nvSpPr>
            <xdr:cNvPr id="21518" name="cbUseNewData" hidden="1">
              <a:extLst>
                <a:ext uri="{63B3BB69-23CF-44E3-9099-C40C66FF867C}">
                  <a14:compatExt spid="_x0000_s2151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885825</xdr:colOff>
          <xdr:row>14</xdr:row>
          <xdr:rowOff>0</xdr:rowOff>
        </xdr:from>
        <xdr:to>
          <xdr:col>5</xdr:col>
          <xdr:colOff>19050</xdr:colOff>
          <xdr:row>15</xdr:row>
          <xdr:rowOff>9525</xdr:rowOff>
        </xdr:to>
        <xdr:sp macro="" textlink="">
          <xdr:nvSpPr>
            <xdr:cNvPr id="33796" name="CCARefresh1" hidden="1">
              <a:extLst>
                <a:ext uri="{63B3BB69-23CF-44E3-9099-C40C66FF867C}">
                  <a14:compatExt spid="_x0000_s337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41</xdr:row>
          <xdr:rowOff>0</xdr:rowOff>
        </xdr:from>
        <xdr:to>
          <xdr:col>3</xdr:col>
          <xdr:colOff>9525</xdr:colOff>
          <xdr:row>42</xdr:row>
          <xdr:rowOff>28575</xdr:rowOff>
        </xdr:to>
        <xdr:sp macro="" textlink="">
          <xdr:nvSpPr>
            <xdr:cNvPr id="33797" name="cbDataPicker" hidden="1">
              <a:extLst>
                <a:ext uri="{63B3BB69-23CF-44E3-9099-C40C66FF867C}">
                  <a14:compatExt spid="_x0000_s337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885825</xdr:colOff>
          <xdr:row>40</xdr:row>
          <xdr:rowOff>0</xdr:rowOff>
        </xdr:from>
        <xdr:to>
          <xdr:col>5</xdr:col>
          <xdr:colOff>19050</xdr:colOff>
          <xdr:row>41</xdr:row>
          <xdr:rowOff>0</xdr:rowOff>
        </xdr:to>
        <xdr:sp macro="" textlink="">
          <xdr:nvSpPr>
            <xdr:cNvPr id="33800" name="CCARefresh2" hidden="1">
              <a:extLst>
                <a:ext uri="{63B3BB69-23CF-44E3-9099-C40C66FF867C}">
                  <a14:compatExt spid="_x0000_s33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885825</xdr:colOff>
          <xdr:row>65</xdr:row>
          <xdr:rowOff>0</xdr:rowOff>
        </xdr:from>
        <xdr:to>
          <xdr:col>5</xdr:col>
          <xdr:colOff>19050</xdr:colOff>
          <xdr:row>66</xdr:row>
          <xdr:rowOff>0</xdr:rowOff>
        </xdr:to>
        <xdr:sp macro="" textlink="">
          <xdr:nvSpPr>
            <xdr:cNvPr id="33801" name="CCARefresh3" hidden="1">
              <a:extLst>
                <a:ext uri="{63B3BB69-23CF-44E3-9099-C40C66FF867C}">
                  <a14:compatExt spid="_x0000_s338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180975</xdr:colOff>
          <xdr:row>0</xdr:row>
          <xdr:rowOff>95250</xdr:rowOff>
        </xdr:from>
        <xdr:to>
          <xdr:col>7</xdr:col>
          <xdr:colOff>28575</xdr:colOff>
          <xdr:row>0</xdr:row>
          <xdr:rowOff>342900</xdr:rowOff>
        </xdr:to>
        <xdr:sp macro="" textlink="">
          <xdr:nvSpPr>
            <xdr:cNvPr id="4099" name="cbCollect" hidden="1">
              <a:extLst>
                <a:ext uri="{63B3BB69-23CF-44E3-9099-C40C66FF867C}">
                  <a14:compatExt spid="_x0000_s409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180975</xdr:colOff>
          <xdr:row>0</xdr:row>
          <xdr:rowOff>95250</xdr:rowOff>
        </xdr:from>
        <xdr:to>
          <xdr:col>10</xdr:col>
          <xdr:colOff>295275</xdr:colOff>
          <xdr:row>0</xdr:row>
          <xdr:rowOff>342900</xdr:rowOff>
        </xdr:to>
        <xdr:sp macro="" textlink="">
          <xdr:nvSpPr>
            <xdr:cNvPr id="4100" name="cbFillback" hidden="1">
              <a:extLst>
                <a:ext uri="{63B3BB69-23CF-44E3-9099-C40C66FF867C}">
                  <a14:compatExt spid="_x0000_s4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0</xdr:row>
          <xdr:rowOff>95250</xdr:rowOff>
        </xdr:from>
        <xdr:to>
          <xdr:col>13</xdr:col>
          <xdr:colOff>409575</xdr:colOff>
          <xdr:row>0</xdr:row>
          <xdr:rowOff>342900</xdr:rowOff>
        </xdr:to>
        <xdr:sp macro="" textlink="">
          <xdr:nvSpPr>
            <xdr:cNvPr id="4101" name="cbNewYearSummary" hidden="1">
              <a:extLst>
                <a:ext uri="{63B3BB69-23CF-44E3-9099-C40C66FF867C}">
                  <a14:compatExt spid="_x0000_s41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8</xdr:col>
          <xdr:colOff>38100</xdr:colOff>
          <xdr:row>7</xdr:row>
          <xdr:rowOff>0</xdr:rowOff>
        </xdr:to>
        <xdr:sp macro="" textlink="">
          <xdr:nvSpPr>
            <xdr:cNvPr id="6816" name="cbFormula1002" hidden="1">
              <a:extLst>
                <a:ext uri="{63B3BB69-23CF-44E3-9099-C40C66FF867C}">
                  <a14:compatExt spid="_x0000_s68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8</xdr:col>
          <xdr:colOff>38100</xdr:colOff>
          <xdr:row>9</xdr:row>
          <xdr:rowOff>0</xdr:rowOff>
        </xdr:to>
        <xdr:sp macro="" textlink="">
          <xdr:nvSpPr>
            <xdr:cNvPr id="6881" name="cbFormula1003" hidden="1">
              <a:extLst>
                <a:ext uri="{63B3BB69-23CF-44E3-9099-C40C66FF867C}">
                  <a14:compatExt spid="_x0000_s68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8</xdr:col>
          <xdr:colOff>38100</xdr:colOff>
          <xdr:row>11</xdr:row>
          <xdr:rowOff>0</xdr:rowOff>
        </xdr:to>
        <xdr:sp macro="" textlink="">
          <xdr:nvSpPr>
            <xdr:cNvPr id="6882" name="cbFormula1004" hidden="1">
              <a:extLst>
                <a:ext uri="{63B3BB69-23CF-44E3-9099-C40C66FF867C}">
                  <a14:compatExt spid="_x0000_s68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8</xdr:col>
          <xdr:colOff>38100</xdr:colOff>
          <xdr:row>13</xdr:row>
          <xdr:rowOff>0</xdr:rowOff>
        </xdr:to>
        <xdr:sp macro="" textlink="">
          <xdr:nvSpPr>
            <xdr:cNvPr id="6883" name="cbFormula1005" hidden="1">
              <a:extLst>
                <a:ext uri="{63B3BB69-23CF-44E3-9099-C40C66FF867C}">
                  <a14:compatExt spid="_x0000_s68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8</xdr:col>
          <xdr:colOff>38100</xdr:colOff>
          <xdr:row>15</xdr:row>
          <xdr:rowOff>0</xdr:rowOff>
        </xdr:to>
        <xdr:sp macro="" textlink="">
          <xdr:nvSpPr>
            <xdr:cNvPr id="6916" name="cbFormula1006" hidden="1">
              <a:extLst>
                <a:ext uri="{63B3BB69-23CF-44E3-9099-C40C66FF867C}">
                  <a14:compatExt spid="_x0000_s69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8</xdr:col>
          <xdr:colOff>38100</xdr:colOff>
          <xdr:row>16</xdr:row>
          <xdr:rowOff>0</xdr:rowOff>
        </xdr:to>
        <xdr:sp macro="" textlink="">
          <xdr:nvSpPr>
            <xdr:cNvPr id="6929" name="cbFormula1007" hidden="1">
              <a:extLst>
                <a:ext uri="{63B3BB69-23CF-44E3-9099-C40C66FF867C}">
                  <a14:compatExt spid="_x0000_s69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8</xdr:col>
          <xdr:colOff>38100</xdr:colOff>
          <xdr:row>17</xdr:row>
          <xdr:rowOff>0</xdr:rowOff>
        </xdr:to>
        <xdr:sp macro="" textlink="">
          <xdr:nvSpPr>
            <xdr:cNvPr id="6930" name="cbFormula1008" hidden="1">
              <a:extLst>
                <a:ext uri="{63B3BB69-23CF-44E3-9099-C40C66FF867C}">
                  <a14:compatExt spid="_x0000_s693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8</xdr:col>
          <xdr:colOff>38100</xdr:colOff>
          <xdr:row>19</xdr:row>
          <xdr:rowOff>0</xdr:rowOff>
        </xdr:to>
        <xdr:sp macro="" textlink="">
          <xdr:nvSpPr>
            <xdr:cNvPr id="6931" name="cbFormula1009" hidden="1">
              <a:extLst>
                <a:ext uri="{63B3BB69-23CF-44E3-9099-C40C66FF867C}">
                  <a14:compatExt spid="_x0000_s693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8</xdr:col>
          <xdr:colOff>38100</xdr:colOff>
          <xdr:row>21</xdr:row>
          <xdr:rowOff>0</xdr:rowOff>
        </xdr:to>
        <xdr:sp macro="" textlink="">
          <xdr:nvSpPr>
            <xdr:cNvPr id="6942" name="cbFormula1010" hidden="1">
              <a:extLst>
                <a:ext uri="{63B3BB69-23CF-44E3-9099-C40C66FF867C}">
                  <a14:compatExt spid="_x0000_s69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8</xdr:col>
          <xdr:colOff>38100</xdr:colOff>
          <xdr:row>22</xdr:row>
          <xdr:rowOff>0</xdr:rowOff>
        </xdr:to>
        <xdr:sp macro="" textlink="">
          <xdr:nvSpPr>
            <xdr:cNvPr id="6943" name="cbFormula1011" hidden="1">
              <a:extLst>
                <a:ext uri="{63B3BB69-23CF-44E3-9099-C40C66FF867C}">
                  <a14:compatExt spid="_x0000_s69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22</xdr:row>
          <xdr:rowOff>0</xdr:rowOff>
        </xdr:from>
        <xdr:to>
          <xdr:col>8</xdr:col>
          <xdr:colOff>47625</xdr:colOff>
          <xdr:row>23</xdr:row>
          <xdr:rowOff>0</xdr:rowOff>
        </xdr:to>
        <xdr:sp macro="" textlink="">
          <xdr:nvSpPr>
            <xdr:cNvPr id="6944" name="cbFormula1012" hidden="1">
              <a:extLst>
                <a:ext uri="{63B3BB69-23CF-44E3-9099-C40C66FF867C}">
                  <a14:compatExt spid="_x0000_s69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23</xdr:row>
          <xdr:rowOff>0</xdr:rowOff>
        </xdr:from>
        <xdr:to>
          <xdr:col>8</xdr:col>
          <xdr:colOff>47625</xdr:colOff>
          <xdr:row>24</xdr:row>
          <xdr:rowOff>0</xdr:rowOff>
        </xdr:to>
        <xdr:sp macro="" textlink="">
          <xdr:nvSpPr>
            <xdr:cNvPr id="6945" name="cbFormula1013" hidden="1">
              <a:extLst>
                <a:ext uri="{63B3BB69-23CF-44E3-9099-C40C66FF867C}">
                  <a14:compatExt spid="_x0000_s69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24</xdr:row>
          <xdr:rowOff>0</xdr:rowOff>
        </xdr:from>
        <xdr:to>
          <xdr:col>8</xdr:col>
          <xdr:colOff>47625</xdr:colOff>
          <xdr:row>25</xdr:row>
          <xdr:rowOff>0</xdr:rowOff>
        </xdr:to>
        <xdr:sp macro="" textlink="">
          <xdr:nvSpPr>
            <xdr:cNvPr id="6946" name="cbFormula1014" hidden="1">
              <a:extLst>
                <a:ext uri="{63B3BB69-23CF-44E3-9099-C40C66FF867C}">
                  <a14:compatExt spid="_x0000_s69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26</xdr:row>
          <xdr:rowOff>0</xdr:rowOff>
        </xdr:from>
        <xdr:to>
          <xdr:col>8</xdr:col>
          <xdr:colOff>47625</xdr:colOff>
          <xdr:row>27</xdr:row>
          <xdr:rowOff>0</xdr:rowOff>
        </xdr:to>
        <xdr:sp macro="" textlink="">
          <xdr:nvSpPr>
            <xdr:cNvPr id="6950" name="cbFormula1015" hidden="1">
              <a:extLst>
                <a:ext uri="{63B3BB69-23CF-44E3-9099-C40C66FF867C}">
                  <a14:compatExt spid="_x0000_s69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8</xdr:col>
          <xdr:colOff>38100</xdr:colOff>
          <xdr:row>20</xdr:row>
          <xdr:rowOff>0</xdr:rowOff>
        </xdr:to>
        <xdr:sp macro="" textlink="">
          <xdr:nvSpPr>
            <xdr:cNvPr id="6951" name="cbFormula1016" hidden="1">
              <a:extLst>
                <a:ext uri="{63B3BB69-23CF-44E3-9099-C40C66FF867C}">
                  <a14:compatExt spid="_x0000_s69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40</xdr:row>
          <xdr:rowOff>9525</xdr:rowOff>
        </xdr:from>
        <xdr:to>
          <xdr:col>8</xdr:col>
          <xdr:colOff>47625</xdr:colOff>
          <xdr:row>42</xdr:row>
          <xdr:rowOff>9525</xdr:rowOff>
        </xdr:to>
        <xdr:sp macro="" textlink="">
          <xdr:nvSpPr>
            <xdr:cNvPr id="7024" name="cbFormula1017" hidden="1">
              <a:extLst>
                <a:ext uri="{63B3BB69-23CF-44E3-9099-C40C66FF867C}">
                  <a14:compatExt spid="_x0000_s70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43</xdr:row>
          <xdr:rowOff>0</xdr:rowOff>
        </xdr:from>
        <xdr:to>
          <xdr:col>8</xdr:col>
          <xdr:colOff>47625</xdr:colOff>
          <xdr:row>44</xdr:row>
          <xdr:rowOff>0</xdr:rowOff>
        </xdr:to>
        <xdr:sp macro="" textlink="">
          <xdr:nvSpPr>
            <xdr:cNvPr id="7025" name="cbFormula1018" hidden="1">
              <a:extLst>
                <a:ext uri="{63B3BB69-23CF-44E3-9099-C40C66FF867C}">
                  <a14:compatExt spid="_x0000_s7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45</xdr:row>
          <xdr:rowOff>0</xdr:rowOff>
        </xdr:from>
        <xdr:to>
          <xdr:col>8</xdr:col>
          <xdr:colOff>47625</xdr:colOff>
          <xdr:row>46</xdr:row>
          <xdr:rowOff>0</xdr:rowOff>
        </xdr:to>
        <xdr:sp macro="" textlink="">
          <xdr:nvSpPr>
            <xdr:cNvPr id="7026" name="cbFormula1019" hidden="1">
              <a:extLst>
                <a:ext uri="{63B3BB69-23CF-44E3-9099-C40C66FF867C}">
                  <a14:compatExt spid="_x0000_s7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53</xdr:row>
          <xdr:rowOff>0</xdr:rowOff>
        </xdr:from>
        <xdr:to>
          <xdr:col>8</xdr:col>
          <xdr:colOff>47625</xdr:colOff>
          <xdr:row>54</xdr:row>
          <xdr:rowOff>0</xdr:rowOff>
        </xdr:to>
        <xdr:sp macro="" textlink="">
          <xdr:nvSpPr>
            <xdr:cNvPr id="7028" name="cbFormula1024" hidden="1">
              <a:extLst>
                <a:ext uri="{63B3BB69-23CF-44E3-9099-C40C66FF867C}">
                  <a14:compatExt spid="_x0000_s70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77</xdr:row>
          <xdr:rowOff>0</xdr:rowOff>
        </xdr:from>
        <xdr:to>
          <xdr:col>8</xdr:col>
          <xdr:colOff>47625</xdr:colOff>
          <xdr:row>78</xdr:row>
          <xdr:rowOff>0</xdr:rowOff>
        </xdr:to>
        <xdr:sp macro="" textlink="">
          <xdr:nvSpPr>
            <xdr:cNvPr id="7029" name="cbFormula1048" hidden="1">
              <a:extLst>
                <a:ext uri="{63B3BB69-23CF-44E3-9099-C40C66FF867C}">
                  <a14:compatExt spid="_x0000_s70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48</xdr:row>
          <xdr:rowOff>0</xdr:rowOff>
        </xdr:from>
        <xdr:to>
          <xdr:col>8</xdr:col>
          <xdr:colOff>38100</xdr:colOff>
          <xdr:row>49</xdr:row>
          <xdr:rowOff>0</xdr:rowOff>
        </xdr:to>
        <xdr:sp macro="" textlink="">
          <xdr:nvSpPr>
            <xdr:cNvPr id="7030" name="cbFormula1020" hidden="1">
              <a:extLst>
                <a:ext uri="{63B3BB69-23CF-44E3-9099-C40C66FF867C}">
                  <a14:compatExt spid="_x0000_s703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49</xdr:row>
          <xdr:rowOff>0</xdr:rowOff>
        </xdr:from>
        <xdr:to>
          <xdr:col>8</xdr:col>
          <xdr:colOff>38100</xdr:colOff>
          <xdr:row>50</xdr:row>
          <xdr:rowOff>0</xdr:rowOff>
        </xdr:to>
        <xdr:sp macro="" textlink="">
          <xdr:nvSpPr>
            <xdr:cNvPr id="7031" name="cbFormula1021" hidden="1">
              <a:extLst>
                <a:ext uri="{63B3BB69-23CF-44E3-9099-C40C66FF867C}">
                  <a14:compatExt spid="_x0000_s703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8</xdr:col>
          <xdr:colOff>38100</xdr:colOff>
          <xdr:row>51</xdr:row>
          <xdr:rowOff>0</xdr:rowOff>
        </xdr:to>
        <xdr:sp macro="" textlink="">
          <xdr:nvSpPr>
            <xdr:cNvPr id="7032" name="cbFormula1022" hidden="1">
              <a:extLst>
                <a:ext uri="{63B3BB69-23CF-44E3-9099-C40C66FF867C}">
                  <a14:compatExt spid="_x0000_s70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52</xdr:row>
          <xdr:rowOff>0</xdr:rowOff>
        </xdr:from>
        <xdr:to>
          <xdr:col>8</xdr:col>
          <xdr:colOff>38100</xdr:colOff>
          <xdr:row>53</xdr:row>
          <xdr:rowOff>0</xdr:rowOff>
        </xdr:to>
        <xdr:sp macro="" textlink="">
          <xdr:nvSpPr>
            <xdr:cNvPr id="7033" name="cbFormula1023" hidden="1">
              <a:extLst>
                <a:ext uri="{63B3BB69-23CF-44E3-9099-C40C66FF867C}">
                  <a14:compatExt spid="_x0000_s70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8</xdr:col>
          <xdr:colOff>38100</xdr:colOff>
          <xdr:row>56</xdr:row>
          <xdr:rowOff>0</xdr:rowOff>
        </xdr:to>
        <xdr:sp macro="" textlink="">
          <xdr:nvSpPr>
            <xdr:cNvPr id="7034" name="cbFormula1025" hidden="1">
              <a:extLst>
                <a:ext uri="{63B3BB69-23CF-44E3-9099-C40C66FF867C}">
                  <a14:compatExt spid="_x0000_s70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56</xdr:row>
          <xdr:rowOff>0</xdr:rowOff>
        </xdr:from>
        <xdr:to>
          <xdr:col>8</xdr:col>
          <xdr:colOff>38100</xdr:colOff>
          <xdr:row>57</xdr:row>
          <xdr:rowOff>0</xdr:rowOff>
        </xdr:to>
        <xdr:sp macro="" textlink="">
          <xdr:nvSpPr>
            <xdr:cNvPr id="7035" name="cbFormula1026" hidden="1">
              <a:extLst>
                <a:ext uri="{63B3BB69-23CF-44E3-9099-C40C66FF867C}">
                  <a14:compatExt spid="_x0000_s703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57</xdr:row>
          <xdr:rowOff>0</xdr:rowOff>
        </xdr:from>
        <xdr:to>
          <xdr:col>8</xdr:col>
          <xdr:colOff>38100</xdr:colOff>
          <xdr:row>58</xdr:row>
          <xdr:rowOff>0</xdr:rowOff>
        </xdr:to>
        <xdr:sp macro="" textlink="">
          <xdr:nvSpPr>
            <xdr:cNvPr id="7037" name="cbFormula1028" hidden="1">
              <a:extLst>
                <a:ext uri="{63B3BB69-23CF-44E3-9099-C40C66FF867C}">
                  <a14:compatExt spid="_x0000_s70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0</xdr:rowOff>
        </xdr:from>
        <xdr:to>
          <xdr:col>8</xdr:col>
          <xdr:colOff>38100</xdr:colOff>
          <xdr:row>59</xdr:row>
          <xdr:rowOff>0</xdr:rowOff>
        </xdr:to>
        <xdr:sp macro="" textlink="">
          <xdr:nvSpPr>
            <xdr:cNvPr id="7038" name="cbFormula1029" hidden="1">
              <a:extLst>
                <a:ext uri="{63B3BB69-23CF-44E3-9099-C40C66FF867C}">
                  <a14:compatExt spid="_x0000_s70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59</xdr:row>
          <xdr:rowOff>0</xdr:rowOff>
        </xdr:from>
        <xdr:to>
          <xdr:col>8</xdr:col>
          <xdr:colOff>38100</xdr:colOff>
          <xdr:row>60</xdr:row>
          <xdr:rowOff>0</xdr:rowOff>
        </xdr:to>
        <xdr:sp macro="" textlink="">
          <xdr:nvSpPr>
            <xdr:cNvPr id="7039" name="cbFormula1030" hidden="1">
              <a:extLst>
                <a:ext uri="{63B3BB69-23CF-44E3-9099-C40C66FF867C}">
                  <a14:compatExt spid="_x0000_s70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60</xdr:row>
          <xdr:rowOff>0</xdr:rowOff>
        </xdr:from>
        <xdr:to>
          <xdr:col>8</xdr:col>
          <xdr:colOff>38100</xdr:colOff>
          <xdr:row>61</xdr:row>
          <xdr:rowOff>0</xdr:rowOff>
        </xdr:to>
        <xdr:sp macro="" textlink="">
          <xdr:nvSpPr>
            <xdr:cNvPr id="7040" name="cbFormula1031" hidden="1">
              <a:extLst>
                <a:ext uri="{63B3BB69-23CF-44E3-9099-C40C66FF867C}">
                  <a14:compatExt spid="_x0000_s70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8</xdr:col>
          <xdr:colOff>38100</xdr:colOff>
          <xdr:row>62</xdr:row>
          <xdr:rowOff>0</xdr:rowOff>
        </xdr:to>
        <xdr:sp macro="" textlink="">
          <xdr:nvSpPr>
            <xdr:cNvPr id="7041" name="cbFormula1032" hidden="1">
              <a:extLst>
                <a:ext uri="{63B3BB69-23CF-44E3-9099-C40C66FF867C}">
                  <a14:compatExt spid="_x0000_s70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62</xdr:row>
          <xdr:rowOff>0</xdr:rowOff>
        </xdr:from>
        <xdr:to>
          <xdr:col>8</xdr:col>
          <xdr:colOff>38100</xdr:colOff>
          <xdr:row>64</xdr:row>
          <xdr:rowOff>0</xdr:rowOff>
        </xdr:to>
        <xdr:sp macro="" textlink="">
          <xdr:nvSpPr>
            <xdr:cNvPr id="7042" name="cbFormula1033" hidden="1">
              <a:extLst>
                <a:ext uri="{63B3BB69-23CF-44E3-9099-C40C66FF867C}">
                  <a14:compatExt spid="_x0000_s70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64</xdr:row>
          <xdr:rowOff>0</xdr:rowOff>
        </xdr:from>
        <xdr:to>
          <xdr:col>8</xdr:col>
          <xdr:colOff>38100</xdr:colOff>
          <xdr:row>66</xdr:row>
          <xdr:rowOff>0</xdr:rowOff>
        </xdr:to>
        <xdr:sp macro="" textlink="">
          <xdr:nvSpPr>
            <xdr:cNvPr id="7044" name="cbFormula1035" hidden="1">
              <a:extLst>
                <a:ext uri="{63B3BB69-23CF-44E3-9099-C40C66FF867C}">
                  <a14:compatExt spid="_x0000_s70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66</xdr:row>
          <xdr:rowOff>0</xdr:rowOff>
        </xdr:from>
        <xdr:to>
          <xdr:col>8</xdr:col>
          <xdr:colOff>38100</xdr:colOff>
          <xdr:row>67</xdr:row>
          <xdr:rowOff>0</xdr:rowOff>
        </xdr:to>
        <xdr:sp macro="" textlink="">
          <xdr:nvSpPr>
            <xdr:cNvPr id="7046" name="cbFormula1037" hidden="1">
              <a:extLst>
                <a:ext uri="{63B3BB69-23CF-44E3-9099-C40C66FF867C}">
                  <a14:compatExt spid="_x0000_s70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67</xdr:row>
          <xdr:rowOff>0</xdr:rowOff>
        </xdr:from>
        <xdr:to>
          <xdr:col>8</xdr:col>
          <xdr:colOff>38100</xdr:colOff>
          <xdr:row>70</xdr:row>
          <xdr:rowOff>0</xdr:rowOff>
        </xdr:to>
        <xdr:sp macro="" textlink="">
          <xdr:nvSpPr>
            <xdr:cNvPr id="7047" name="cbFormula1038" hidden="1">
              <a:extLst>
                <a:ext uri="{63B3BB69-23CF-44E3-9099-C40C66FF867C}">
                  <a14:compatExt spid="_x0000_s70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70</xdr:row>
          <xdr:rowOff>0</xdr:rowOff>
        </xdr:from>
        <xdr:to>
          <xdr:col>8</xdr:col>
          <xdr:colOff>38100</xdr:colOff>
          <xdr:row>71</xdr:row>
          <xdr:rowOff>0</xdr:rowOff>
        </xdr:to>
        <xdr:sp macro="" textlink="">
          <xdr:nvSpPr>
            <xdr:cNvPr id="7050" name="cbFormula1041" hidden="1">
              <a:extLst>
                <a:ext uri="{63B3BB69-23CF-44E3-9099-C40C66FF867C}">
                  <a14:compatExt spid="_x0000_s70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71</xdr:row>
          <xdr:rowOff>0</xdr:rowOff>
        </xdr:from>
        <xdr:to>
          <xdr:col>8</xdr:col>
          <xdr:colOff>38100</xdr:colOff>
          <xdr:row>75</xdr:row>
          <xdr:rowOff>0</xdr:rowOff>
        </xdr:to>
        <xdr:sp macro="" textlink="">
          <xdr:nvSpPr>
            <xdr:cNvPr id="7051" name="cbFormula1042" hidden="1">
              <a:extLst>
                <a:ext uri="{63B3BB69-23CF-44E3-9099-C40C66FF867C}">
                  <a14:compatExt spid="_x0000_s70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75</xdr:row>
          <xdr:rowOff>0</xdr:rowOff>
        </xdr:from>
        <xdr:to>
          <xdr:col>8</xdr:col>
          <xdr:colOff>38100</xdr:colOff>
          <xdr:row>76</xdr:row>
          <xdr:rowOff>0</xdr:rowOff>
        </xdr:to>
        <xdr:sp macro="" textlink="">
          <xdr:nvSpPr>
            <xdr:cNvPr id="7055" name="cbFormula1046" hidden="1">
              <a:extLst>
                <a:ext uri="{63B3BB69-23CF-44E3-9099-C40C66FF867C}">
                  <a14:compatExt spid="_x0000_s70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76</xdr:row>
          <xdr:rowOff>0</xdr:rowOff>
        </xdr:from>
        <xdr:to>
          <xdr:col>8</xdr:col>
          <xdr:colOff>38100</xdr:colOff>
          <xdr:row>77</xdr:row>
          <xdr:rowOff>0</xdr:rowOff>
        </xdr:to>
        <xdr:sp macro="" textlink="">
          <xdr:nvSpPr>
            <xdr:cNvPr id="7056" name="cbFormula1047" hidden="1">
              <a:extLst>
                <a:ext uri="{63B3BB69-23CF-44E3-9099-C40C66FF867C}">
                  <a14:compatExt spid="_x0000_s70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79</xdr:row>
          <xdr:rowOff>0</xdr:rowOff>
        </xdr:from>
        <xdr:to>
          <xdr:col>8</xdr:col>
          <xdr:colOff>38100</xdr:colOff>
          <xdr:row>80</xdr:row>
          <xdr:rowOff>0</xdr:rowOff>
        </xdr:to>
        <xdr:sp macro="" textlink="">
          <xdr:nvSpPr>
            <xdr:cNvPr id="7057" name="cbFormula1049" hidden="1">
              <a:extLst>
                <a:ext uri="{63B3BB69-23CF-44E3-9099-C40C66FF867C}">
                  <a14:compatExt spid="_x0000_s70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80</xdr:row>
          <xdr:rowOff>0</xdr:rowOff>
        </xdr:from>
        <xdr:to>
          <xdr:col>8</xdr:col>
          <xdr:colOff>38100</xdr:colOff>
          <xdr:row>81</xdr:row>
          <xdr:rowOff>0</xdr:rowOff>
        </xdr:to>
        <xdr:sp macro="" textlink="">
          <xdr:nvSpPr>
            <xdr:cNvPr id="7058" name="cbFormula1050" hidden="1">
              <a:extLst>
                <a:ext uri="{63B3BB69-23CF-44E3-9099-C40C66FF867C}">
                  <a14:compatExt spid="_x0000_s70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81</xdr:row>
          <xdr:rowOff>0</xdr:rowOff>
        </xdr:from>
        <xdr:to>
          <xdr:col>8</xdr:col>
          <xdr:colOff>38100</xdr:colOff>
          <xdr:row>82</xdr:row>
          <xdr:rowOff>0</xdr:rowOff>
        </xdr:to>
        <xdr:sp macro="" textlink="">
          <xdr:nvSpPr>
            <xdr:cNvPr id="7059" name="cbFormula1051" hidden="1">
              <a:extLst>
                <a:ext uri="{63B3BB69-23CF-44E3-9099-C40C66FF867C}">
                  <a14:compatExt spid="_x0000_s70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82</xdr:row>
          <xdr:rowOff>0</xdr:rowOff>
        </xdr:from>
        <xdr:to>
          <xdr:col>8</xdr:col>
          <xdr:colOff>38100</xdr:colOff>
          <xdr:row>83</xdr:row>
          <xdr:rowOff>0</xdr:rowOff>
        </xdr:to>
        <xdr:sp macro="" textlink="">
          <xdr:nvSpPr>
            <xdr:cNvPr id="7060" name="cbFormula1052" hidden="1">
              <a:extLst>
                <a:ext uri="{63B3BB69-23CF-44E3-9099-C40C66FF867C}">
                  <a14:compatExt spid="_x0000_s70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83</xdr:row>
          <xdr:rowOff>0</xdr:rowOff>
        </xdr:from>
        <xdr:to>
          <xdr:col>8</xdr:col>
          <xdr:colOff>38100</xdr:colOff>
          <xdr:row>84</xdr:row>
          <xdr:rowOff>0</xdr:rowOff>
        </xdr:to>
        <xdr:sp macro="" textlink="">
          <xdr:nvSpPr>
            <xdr:cNvPr id="7061" name="cbFormula1053" hidden="1">
              <a:extLst>
                <a:ext uri="{63B3BB69-23CF-44E3-9099-C40C66FF867C}">
                  <a14:compatExt spid="_x0000_s70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84</xdr:row>
          <xdr:rowOff>0</xdr:rowOff>
        </xdr:from>
        <xdr:to>
          <xdr:col>8</xdr:col>
          <xdr:colOff>38100</xdr:colOff>
          <xdr:row>85</xdr:row>
          <xdr:rowOff>0</xdr:rowOff>
        </xdr:to>
        <xdr:sp macro="" textlink="">
          <xdr:nvSpPr>
            <xdr:cNvPr id="7062" name="cbFormula1054" hidden="1">
              <a:extLst>
                <a:ext uri="{63B3BB69-23CF-44E3-9099-C40C66FF867C}">
                  <a14:compatExt spid="_x0000_s70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85</xdr:row>
          <xdr:rowOff>0</xdr:rowOff>
        </xdr:from>
        <xdr:to>
          <xdr:col>8</xdr:col>
          <xdr:colOff>38100</xdr:colOff>
          <xdr:row>100</xdr:row>
          <xdr:rowOff>0</xdr:rowOff>
        </xdr:to>
        <xdr:sp macro="" textlink="">
          <xdr:nvSpPr>
            <xdr:cNvPr id="7063" name="cbFormula1055" hidden="1">
              <a:extLst>
                <a:ext uri="{63B3BB69-23CF-44E3-9099-C40C66FF867C}">
                  <a14:compatExt spid="_x0000_s70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101</xdr:row>
          <xdr:rowOff>0</xdr:rowOff>
        </xdr:from>
        <xdr:to>
          <xdr:col>8</xdr:col>
          <xdr:colOff>47625</xdr:colOff>
          <xdr:row>102</xdr:row>
          <xdr:rowOff>0</xdr:rowOff>
        </xdr:to>
        <xdr:sp macro="" textlink="">
          <xdr:nvSpPr>
            <xdr:cNvPr id="7073" name="cbFormula1102" hidden="1">
              <a:extLst>
                <a:ext uri="{63B3BB69-23CF-44E3-9099-C40C66FF867C}">
                  <a14:compatExt spid="_x0000_s70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100</xdr:row>
          <xdr:rowOff>0</xdr:rowOff>
        </xdr:from>
        <xdr:to>
          <xdr:col>8</xdr:col>
          <xdr:colOff>38100</xdr:colOff>
          <xdr:row>101</xdr:row>
          <xdr:rowOff>0</xdr:rowOff>
        </xdr:to>
        <xdr:sp macro="" textlink="">
          <xdr:nvSpPr>
            <xdr:cNvPr id="7075" name="cbFormula1101" hidden="1">
              <a:extLst>
                <a:ext uri="{63B3BB69-23CF-44E3-9099-C40C66FF867C}">
                  <a14:compatExt spid="_x0000_s70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104</xdr:row>
          <xdr:rowOff>0</xdr:rowOff>
        </xdr:from>
        <xdr:to>
          <xdr:col>8</xdr:col>
          <xdr:colOff>38100</xdr:colOff>
          <xdr:row>105</xdr:row>
          <xdr:rowOff>0</xdr:rowOff>
        </xdr:to>
        <xdr:sp macro="" textlink="">
          <xdr:nvSpPr>
            <xdr:cNvPr id="7076" name="cbFormula1103" hidden="1">
              <a:extLst>
                <a:ext uri="{63B3BB69-23CF-44E3-9099-C40C66FF867C}">
                  <a14:compatExt spid="_x0000_s70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105</xdr:row>
          <xdr:rowOff>0</xdr:rowOff>
        </xdr:from>
        <xdr:to>
          <xdr:col>8</xdr:col>
          <xdr:colOff>38100</xdr:colOff>
          <xdr:row>106</xdr:row>
          <xdr:rowOff>0</xdr:rowOff>
        </xdr:to>
        <xdr:sp macro="" textlink="">
          <xdr:nvSpPr>
            <xdr:cNvPr id="7077" name="cbFormula1104" hidden="1">
              <a:extLst>
                <a:ext uri="{63B3BB69-23CF-44E3-9099-C40C66FF867C}">
                  <a14:compatExt spid="_x0000_s70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8</xdr:col>
          <xdr:colOff>38100</xdr:colOff>
          <xdr:row>107</xdr:row>
          <xdr:rowOff>0</xdr:rowOff>
        </xdr:to>
        <xdr:sp macro="" textlink="">
          <xdr:nvSpPr>
            <xdr:cNvPr id="7078" name="cbFormula1105" hidden="1">
              <a:extLst>
                <a:ext uri="{63B3BB69-23CF-44E3-9099-C40C66FF867C}">
                  <a14:compatExt spid="_x0000_s70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107</xdr:row>
          <xdr:rowOff>0</xdr:rowOff>
        </xdr:from>
        <xdr:to>
          <xdr:col>8</xdr:col>
          <xdr:colOff>38100</xdr:colOff>
          <xdr:row>108</xdr:row>
          <xdr:rowOff>0</xdr:rowOff>
        </xdr:to>
        <xdr:sp macro="" textlink="">
          <xdr:nvSpPr>
            <xdr:cNvPr id="7080" name="cbFormula1107" hidden="1">
              <a:extLst>
                <a:ext uri="{63B3BB69-23CF-44E3-9099-C40C66FF867C}">
                  <a14:compatExt spid="_x0000_s70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108</xdr:row>
          <xdr:rowOff>0</xdr:rowOff>
        </xdr:from>
        <xdr:to>
          <xdr:col>8</xdr:col>
          <xdr:colOff>38100</xdr:colOff>
          <xdr:row>109</xdr:row>
          <xdr:rowOff>0</xdr:rowOff>
        </xdr:to>
        <xdr:sp macro="" textlink="">
          <xdr:nvSpPr>
            <xdr:cNvPr id="7081" name="cbFormula1108" hidden="1">
              <a:extLst>
                <a:ext uri="{63B3BB69-23CF-44E3-9099-C40C66FF867C}">
                  <a14:compatExt spid="_x0000_s70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109</xdr:row>
          <xdr:rowOff>0</xdr:rowOff>
        </xdr:from>
        <xdr:to>
          <xdr:col>8</xdr:col>
          <xdr:colOff>38100</xdr:colOff>
          <xdr:row>110</xdr:row>
          <xdr:rowOff>0</xdr:rowOff>
        </xdr:to>
        <xdr:sp macro="" textlink="">
          <xdr:nvSpPr>
            <xdr:cNvPr id="7082" name="cbFormula1109" hidden="1">
              <a:extLst>
                <a:ext uri="{63B3BB69-23CF-44E3-9099-C40C66FF867C}">
                  <a14:compatExt spid="_x0000_s70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110</xdr:row>
          <xdr:rowOff>0</xdr:rowOff>
        </xdr:from>
        <xdr:to>
          <xdr:col>8</xdr:col>
          <xdr:colOff>38100</xdr:colOff>
          <xdr:row>111</xdr:row>
          <xdr:rowOff>0</xdr:rowOff>
        </xdr:to>
        <xdr:sp macro="" textlink="">
          <xdr:nvSpPr>
            <xdr:cNvPr id="7083" name="cbFormula1110" hidden="1">
              <a:extLst>
                <a:ext uri="{63B3BB69-23CF-44E3-9099-C40C66FF867C}">
                  <a14:compatExt spid="_x0000_s70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111</xdr:row>
          <xdr:rowOff>0</xdr:rowOff>
        </xdr:from>
        <xdr:to>
          <xdr:col>8</xdr:col>
          <xdr:colOff>38100</xdr:colOff>
          <xdr:row>112</xdr:row>
          <xdr:rowOff>0</xdr:rowOff>
        </xdr:to>
        <xdr:sp macro="" textlink="">
          <xdr:nvSpPr>
            <xdr:cNvPr id="7084" name="cbFormula1111" hidden="1">
              <a:extLst>
                <a:ext uri="{63B3BB69-23CF-44E3-9099-C40C66FF867C}">
                  <a14:compatExt spid="_x0000_s708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112</xdr:row>
          <xdr:rowOff>0</xdr:rowOff>
        </xdr:from>
        <xdr:to>
          <xdr:col>8</xdr:col>
          <xdr:colOff>38100</xdr:colOff>
          <xdr:row>113</xdr:row>
          <xdr:rowOff>0</xdr:rowOff>
        </xdr:to>
        <xdr:sp macro="" textlink="">
          <xdr:nvSpPr>
            <xdr:cNvPr id="7085" name="cbFormula1112" hidden="1">
              <a:extLst>
                <a:ext uri="{63B3BB69-23CF-44E3-9099-C40C66FF867C}">
                  <a14:compatExt spid="_x0000_s70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113</xdr:row>
          <xdr:rowOff>0</xdr:rowOff>
        </xdr:from>
        <xdr:to>
          <xdr:col>8</xdr:col>
          <xdr:colOff>38100</xdr:colOff>
          <xdr:row>114</xdr:row>
          <xdr:rowOff>0</xdr:rowOff>
        </xdr:to>
        <xdr:sp macro="" textlink="">
          <xdr:nvSpPr>
            <xdr:cNvPr id="7086" name="cbFormula1113" hidden="1">
              <a:extLst>
                <a:ext uri="{63B3BB69-23CF-44E3-9099-C40C66FF867C}">
                  <a14:compatExt spid="_x0000_s70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114</xdr:row>
          <xdr:rowOff>0</xdr:rowOff>
        </xdr:from>
        <xdr:to>
          <xdr:col>8</xdr:col>
          <xdr:colOff>38100</xdr:colOff>
          <xdr:row>127</xdr:row>
          <xdr:rowOff>0</xdr:rowOff>
        </xdr:to>
        <xdr:sp macro="" textlink="">
          <xdr:nvSpPr>
            <xdr:cNvPr id="7087" name="cbFormula1114" hidden="1">
              <a:extLst>
                <a:ext uri="{63B3BB69-23CF-44E3-9099-C40C66FF867C}">
                  <a14:compatExt spid="_x0000_s70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137</xdr:row>
          <xdr:rowOff>0</xdr:rowOff>
        </xdr:from>
        <xdr:to>
          <xdr:col>8</xdr:col>
          <xdr:colOff>47625</xdr:colOff>
          <xdr:row>138</xdr:row>
          <xdr:rowOff>0</xdr:rowOff>
        </xdr:to>
        <xdr:sp macro="" textlink="">
          <xdr:nvSpPr>
            <xdr:cNvPr id="7096" name="cbFormula1130" hidden="1">
              <a:extLst>
                <a:ext uri="{63B3BB69-23CF-44E3-9099-C40C66FF867C}">
                  <a14:compatExt spid="_x0000_s70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127</xdr:row>
          <xdr:rowOff>0</xdr:rowOff>
        </xdr:from>
        <xdr:to>
          <xdr:col>8</xdr:col>
          <xdr:colOff>38100</xdr:colOff>
          <xdr:row>128</xdr:row>
          <xdr:rowOff>0</xdr:rowOff>
        </xdr:to>
        <xdr:sp macro="" textlink="">
          <xdr:nvSpPr>
            <xdr:cNvPr id="7097" name="cbFormula1120" hidden="1">
              <a:extLst>
                <a:ext uri="{63B3BB69-23CF-44E3-9099-C40C66FF867C}">
                  <a14:compatExt spid="_x0000_s70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128</xdr:row>
          <xdr:rowOff>0</xdr:rowOff>
        </xdr:from>
        <xdr:to>
          <xdr:col>8</xdr:col>
          <xdr:colOff>38100</xdr:colOff>
          <xdr:row>129</xdr:row>
          <xdr:rowOff>0</xdr:rowOff>
        </xdr:to>
        <xdr:sp macro="" textlink="">
          <xdr:nvSpPr>
            <xdr:cNvPr id="7098" name="cbFormula1121" hidden="1">
              <a:extLst>
                <a:ext uri="{63B3BB69-23CF-44E3-9099-C40C66FF867C}">
                  <a14:compatExt spid="_x0000_s70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129</xdr:row>
          <xdr:rowOff>0</xdr:rowOff>
        </xdr:from>
        <xdr:to>
          <xdr:col>8</xdr:col>
          <xdr:colOff>38100</xdr:colOff>
          <xdr:row>130</xdr:row>
          <xdr:rowOff>0</xdr:rowOff>
        </xdr:to>
        <xdr:sp macro="" textlink="">
          <xdr:nvSpPr>
            <xdr:cNvPr id="7099" name="cbFormula1122" hidden="1">
              <a:extLst>
                <a:ext uri="{63B3BB69-23CF-44E3-9099-C40C66FF867C}">
                  <a14:compatExt spid="_x0000_s709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130</xdr:row>
          <xdr:rowOff>0</xdr:rowOff>
        </xdr:from>
        <xdr:to>
          <xdr:col>8</xdr:col>
          <xdr:colOff>38100</xdr:colOff>
          <xdr:row>131</xdr:row>
          <xdr:rowOff>0</xdr:rowOff>
        </xdr:to>
        <xdr:sp macro="" textlink="">
          <xdr:nvSpPr>
            <xdr:cNvPr id="7100" name="cbFormula1123" hidden="1">
              <a:extLst>
                <a:ext uri="{63B3BB69-23CF-44E3-9099-C40C66FF867C}">
                  <a14:compatExt spid="_x0000_s7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131</xdr:row>
          <xdr:rowOff>0</xdr:rowOff>
        </xdr:from>
        <xdr:to>
          <xdr:col>8</xdr:col>
          <xdr:colOff>38100</xdr:colOff>
          <xdr:row>132</xdr:row>
          <xdr:rowOff>0</xdr:rowOff>
        </xdr:to>
        <xdr:sp macro="" textlink="">
          <xdr:nvSpPr>
            <xdr:cNvPr id="7101" name="cbFormula1124" hidden="1">
              <a:extLst>
                <a:ext uri="{63B3BB69-23CF-44E3-9099-C40C66FF867C}">
                  <a14:compatExt spid="_x0000_s71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132</xdr:row>
          <xdr:rowOff>0</xdr:rowOff>
        </xdr:from>
        <xdr:to>
          <xdr:col>8</xdr:col>
          <xdr:colOff>38100</xdr:colOff>
          <xdr:row>133</xdr:row>
          <xdr:rowOff>0</xdr:rowOff>
        </xdr:to>
        <xdr:sp macro="" textlink="">
          <xdr:nvSpPr>
            <xdr:cNvPr id="7102" name="cbFormula1125" hidden="1">
              <a:extLst>
                <a:ext uri="{63B3BB69-23CF-44E3-9099-C40C66FF867C}">
                  <a14:compatExt spid="_x0000_s71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133</xdr:row>
          <xdr:rowOff>0</xdr:rowOff>
        </xdr:from>
        <xdr:to>
          <xdr:col>8</xdr:col>
          <xdr:colOff>38100</xdr:colOff>
          <xdr:row>135</xdr:row>
          <xdr:rowOff>0</xdr:rowOff>
        </xdr:to>
        <xdr:sp macro="" textlink="">
          <xdr:nvSpPr>
            <xdr:cNvPr id="7103" name="cbFormula1126" hidden="1">
              <a:extLst>
                <a:ext uri="{63B3BB69-23CF-44E3-9099-C40C66FF867C}">
                  <a14:compatExt spid="_x0000_s71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135</xdr:row>
          <xdr:rowOff>0</xdr:rowOff>
        </xdr:from>
        <xdr:to>
          <xdr:col>8</xdr:col>
          <xdr:colOff>38100</xdr:colOff>
          <xdr:row>136</xdr:row>
          <xdr:rowOff>0</xdr:rowOff>
        </xdr:to>
        <xdr:sp macro="" textlink="">
          <xdr:nvSpPr>
            <xdr:cNvPr id="7105" name="cbFormula1128" hidden="1">
              <a:extLst>
                <a:ext uri="{63B3BB69-23CF-44E3-9099-C40C66FF867C}">
                  <a14:compatExt spid="_x0000_s71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136</xdr:row>
          <xdr:rowOff>0</xdr:rowOff>
        </xdr:from>
        <xdr:to>
          <xdr:col>8</xdr:col>
          <xdr:colOff>38100</xdr:colOff>
          <xdr:row>137</xdr:row>
          <xdr:rowOff>0</xdr:rowOff>
        </xdr:to>
        <xdr:sp macro="" textlink="">
          <xdr:nvSpPr>
            <xdr:cNvPr id="7106" name="cbFormula1129" hidden="1">
              <a:extLst>
                <a:ext uri="{63B3BB69-23CF-44E3-9099-C40C66FF867C}">
                  <a14:compatExt spid="_x0000_s71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140</xdr:row>
          <xdr:rowOff>0</xdr:rowOff>
        </xdr:from>
        <xdr:to>
          <xdr:col>8</xdr:col>
          <xdr:colOff>38100</xdr:colOff>
          <xdr:row>149</xdr:row>
          <xdr:rowOff>0</xdr:rowOff>
        </xdr:to>
        <xdr:sp macro="" textlink="">
          <xdr:nvSpPr>
            <xdr:cNvPr id="7108" name="cbFormula1132" hidden="1">
              <a:extLst>
                <a:ext uri="{63B3BB69-23CF-44E3-9099-C40C66FF867C}">
                  <a14:compatExt spid="_x0000_s71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158</xdr:row>
          <xdr:rowOff>9525</xdr:rowOff>
        </xdr:from>
        <xdr:to>
          <xdr:col>8</xdr:col>
          <xdr:colOff>47625</xdr:colOff>
          <xdr:row>159</xdr:row>
          <xdr:rowOff>9525</xdr:rowOff>
        </xdr:to>
        <xdr:sp macro="" textlink="">
          <xdr:nvSpPr>
            <xdr:cNvPr id="7120" name="cbFormula1207" hidden="1">
              <a:extLst>
                <a:ext uri="{63B3BB69-23CF-44E3-9099-C40C66FF867C}">
                  <a14:compatExt spid="_x0000_s712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159</xdr:row>
          <xdr:rowOff>9525</xdr:rowOff>
        </xdr:from>
        <xdr:to>
          <xdr:col>8</xdr:col>
          <xdr:colOff>47625</xdr:colOff>
          <xdr:row>160</xdr:row>
          <xdr:rowOff>9525</xdr:rowOff>
        </xdr:to>
        <xdr:sp macro="" textlink="">
          <xdr:nvSpPr>
            <xdr:cNvPr id="7121" name="cbFormula1208" hidden="1">
              <a:extLst>
                <a:ext uri="{63B3BB69-23CF-44E3-9099-C40C66FF867C}">
                  <a14:compatExt spid="_x0000_s71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0</xdr:row>
          <xdr:rowOff>85725</xdr:rowOff>
        </xdr:from>
        <xdr:to>
          <xdr:col>16</xdr:col>
          <xdr:colOff>514350</xdr:colOff>
          <xdr:row>0</xdr:row>
          <xdr:rowOff>333375</xdr:rowOff>
        </xdr:to>
        <xdr:sp macro="" textlink="">
          <xdr:nvSpPr>
            <xdr:cNvPr id="7122" name="cbNewYearSheets" hidden="1">
              <a:extLst>
                <a:ext uri="{63B3BB69-23CF-44E3-9099-C40C66FF867C}">
                  <a14:compatExt spid="_x0000_s71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51</xdr:row>
          <xdr:rowOff>0</xdr:rowOff>
        </xdr:from>
        <xdr:to>
          <xdr:col>8</xdr:col>
          <xdr:colOff>38100</xdr:colOff>
          <xdr:row>52</xdr:row>
          <xdr:rowOff>0</xdr:rowOff>
        </xdr:to>
        <xdr:sp macro="" textlink="">
          <xdr:nvSpPr>
            <xdr:cNvPr id="7163" name="cbFormula1209" hidden="1">
              <a:extLst>
                <a:ext uri="{63B3BB69-23CF-44E3-9099-C40C66FF867C}">
                  <a14:compatExt spid="_x0000_s71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103</xdr:row>
          <xdr:rowOff>0</xdr:rowOff>
        </xdr:from>
        <xdr:to>
          <xdr:col>8</xdr:col>
          <xdr:colOff>38100</xdr:colOff>
          <xdr:row>104</xdr:row>
          <xdr:rowOff>0</xdr:rowOff>
        </xdr:to>
        <xdr:sp macro="" textlink="">
          <xdr:nvSpPr>
            <xdr:cNvPr id="7164" name="cbFormula210" hidden="1">
              <a:extLst>
                <a:ext uri="{63B3BB69-23CF-44E3-9099-C40C66FF867C}">
                  <a14:compatExt spid="_x0000_s71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2</xdr:col>
      <xdr:colOff>38100</xdr:colOff>
      <xdr:row>84</xdr:row>
      <xdr:rowOff>57150</xdr:rowOff>
    </xdr:from>
    <xdr:to>
      <xdr:col>11</xdr:col>
      <xdr:colOff>438150</xdr:colOff>
      <xdr:row>97</xdr:row>
      <xdr:rowOff>142875</xdr:rowOff>
    </xdr:to>
    <xdr:graphicFrame macro="">
      <xdr:nvGraphicFramePr>
        <xdr:cNvPr id="16393" name="Chart 7"/>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xdr:colOff>
          <xdr:row>82</xdr:row>
          <xdr:rowOff>9525</xdr:rowOff>
        </xdr:from>
        <xdr:to>
          <xdr:col>1</xdr:col>
          <xdr:colOff>1752600</xdr:colOff>
          <xdr:row>82</xdr:row>
          <xdr:rowOff>200025</xdr:rowOff>
        </xdr:to>
        <xdr:sp macro="" textlink="">
          <xdr:nvSpPr>
            <xdr:cNvPr id="16390" name="Drop Down 6" hidden="1">
              <a:extLst>
                <a:ext uri="{63B3BB69-23CF-44E3-9099-C40C66FF867C}">
                  <a14:compatExt spid="_x0000_s1639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83</xdr:row>
          <xdr:rowOff>0</xdr:rowOff>
        </xdr:from>
        <xdr:to>
          <xdr:col>1</xdr:col>
          <xdr:colOff>1752600</xdr:colOff>
          <xdr:row>83</xdr:row>
          <xdr:rowOff>190500</xdr:rowOff>
        </xdr:to>
        <xdr:sp macro="" textlink="">
          <xdr:nvSpPr>
            <xdr:cNvPr id="16392" name="Drop Down 8" hidden="1">
              <a:extLst>
                <a:ext uri="{63B3BB69-23CF-44E3-9099-C40C66FF867C}">
                  <a14:compatExt spid="_x0000_s1639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B-SHG-01\VOL1\MATERIAL\STEEL\MAGANG\MAGANG4.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mail.sina.com.cn/cgi-bin/attachment.cgi/luowei_73/application/vnd.ms-excel/1051677789.16794.dell1550.sina.com.cn:2,S.a01.xls/&#32768;&#30382;B&#32929;%20price%20char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耀皮B股"/>
    </sheetNames>
    <sheetDataSet>
      <sheetData sheetId="0" refreshError="1">
        <row r="4">
          <cell r="H4">
            <v>37257</v>
          </cell>
          <cell r="K4">
            <v>37257</v>
          </cell>
        </row>
      </sheetData>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ontrol" Target="../activeX/activeX17.xml"/><Relationship Id="rId39" Type="http://schemas.openxmlformats.org/officeDocument/2006/relationships/image" Target="../media/image24.emf"/><Relationship Id="rId21" Type="http://schemas.openxmlformats.org/officeDocument/2006/relationships/image" Target="../media/image15.emf"/><Relationship Id="rId34" Type="http://schemas.openxmlformats.org/officeDocument/2006/relationships/control" Target="../activeX/activeX21.xml"/><Relationship Id="rId42" Type="http://schemas.openxmlformats.org/officeDocument/2006/relationships/control" Target="../activeX/activeX25.xml"/><Relationship Id="rId7" Type="http://schemas.openxmlformats.org/officeDocument/2006/relationships/image" Target="../media/image8.emf"/><Relationship Id="rId2" Type="http://schemas.openxmlformats.org/officeDocument/2006/relationships/drawing" Target="../drawings/drawing5.xml"/><Relationship Id="rId16" Type="http://schemas.openxmlformats.org/officeDocument/2006/relationships/control" Target="../activeX/activeX12.xml"/><Relationship Id="rId29" Type="http://schemas.openxmlformats.org/officeDocument/2006/relationships/image" Target="../media/image19.emf"/><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ontrol" Target="../activeX/activeX16.xml"/><Relationship Id="rId32" Type="http://schemas.openxmlformats.org/officeDocument/2006/relationships/control" Target="../activeX/activeX20.xml"/><Relationship Id="rId37" Type="http://schemas.openxmlformats.org/officeDocument/2006/relationships/image" Target="../media/image23.emf"/><Relationship Id="rId40" Type="http://schemas.openxmlformats.org/officeDocument/2006/relationships/control" Target="../activeX/activeX24.xml"/><Relationship Id="rId45" Type="http://schemas.openxmlformats.org/officeDocument/2006/relationships/ctrlProp" Target="../ctrlProps/ctrlProp4.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image" Target="../media/image16.emf"/><Relationship Id="rId28" Type="http://schemas.openxmlformats.org/officeDocument/2006/relationships/control" Target="../activeX/activeX18.xml"/><Relationship Id="rId36" Type="http://schemas.openxmlformats.org/officeDocument/2006/relationships/control" Target="../activeX/activeX22.xml"/><Relationship Id="rId10" Type="http://schemas.openxmlformats.org/officeDocument/2006/relationships/control" Target="../activeX/activeX9.xml"/><Relationship Id="rId19" Type="http://schemas.openxmlformats.org/officeDocument/2006/relationships/image" Target="../media/image14.emf"/><Relationship Id="rId31" Type="http://schemas.openxmlformats.org/officeDocument/2006/relationships/image" Target="../media/image20.emf"/><Relationship Id="rId44" Type="http://schemas.openxmlformats.org/officeDocument/2006/relationships/ctrlProp" Target="../ctrlProps/ctrlProp3.xml"/><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ontrol" Target="../activeX/activeX15.xml"/><Relationship Id="rId27" Type="http://schemas.openxmlformats.org/officeDocument/2006/relationships/image" Target="../media/image18.emf"/><Relationship Id="rId30" Type="http://schemas.openxmlformats.org/officeDocument/2006/relationships/control" Target="../activeX/activeX19.xml"/><Relationship Id="rId35" Type="http://schemas.openxmlformats.org/officeDocument/2006/relationships/image" Target="../media/image22.emf"/><Relationship Id="rId43" Type="http://schemas.openxmlformats.org/officeDocument/2006/relationships/image" Target="../media/image26.emf"/><Relationship Id="rId8" Type="http://schemas.openxmlformats.org/officeDocument/2006/relationships/control" Target="../activeX/activeX8.xml"/><Relationship Id="rId3" Type="http://schemas.openxmlformats.org/officeDocument/2006/relationships/vmlDrawing" Target="../drawings/vmlDrawing3.vml"/><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image" Target="../media/image17.emf"/><Relationship Id="rId33" Type="http://schemas.openxmlformats.org/officeDocument/2006/relationships/image" Target="../media/image21.emf"/><Relationship Id="rId38" Type="http://schemas.openxmlformats.org/officeDocument/2006/relationships/control" Target="../activeX/activeX23.xml"/><Relationship Id="rId46" Type="http://schemas.openxmlformats.org/officeDocument/2006/relationships/comments" Target="../comments2.xml"/><Relationship Id="rId20" Type="http://schemas.openxmlformats.org/officeDocument/2006/relationships/control" Target="../activeX/activeX14.xml"/><Relationship Id="rId41" Type="http://schemas.openxmlformats.org/officeDocument/2006/relationships/image" Target="../media/image25.emf"/></Relationships>
</file>

<file path=xl/worksheets/_rels/sheet11.xml.rels><?xml version="1.0" encoding="UTF-8" standalone="yes"?>
<Relationships xmlns="http://schemas.openxmlformats.org/package/2006/relationships"><Relationship Id="rId117" Type="http://schemas.openxmlformats.org/officeDocument/2006/relationships/image" Target="../media/image83.emf"/><Relationship Id="rId21" Type="http://schemas.openxmlformats.org/officeDocument/2006/relationships/image" Target="../media/image35.emf"/><Relationship Id="rId42" Type="http://schemas.openxmlformats.org/officeDocument/2006/relationships/control" Target="../activeX/activeX45.xml"/><Relationship Id="rId63" Type="http://schemas.openxmlformats.org/officeDocument/2006/relationships/image" Target="../media/image56.emf"/><Relationship Id="rId84" Type="http://schemas.openxmlformats.org/officeDocument/2006/relationships/control" Target="../activeX/activeX66.xml"/><Relationship Id="rId138" Type="http://schemas.openxmlformats.org/officeDocument/2006/relationships/control" Target="../activeX/activeX93.xml"/><Relationship Id="rId107" Type="http://schemas.openxmlformats.org/officeDocument/2006/relationships/image" Target="../media/image78.emf"/><Relationship Id="rId11" Type="http://schemas.openxmlformats.org/officeDocument/2006/relationships/image" Target="../media/image30.emf"/><Relationship Id="rId32" Type="http://schemas.openxmlformats.org/officeDocument/2006/relationships/control" Target="../activeX/activeX40.xml"/><Relationship Id="rId53" Type="http://schemas.openxmlformats.org/officeDocument/2006/relationships/image" Target="../media/image51.emf"/><Relationship Id="rId74" Type="http://schemas.openxmlformats.org/officeDocument/2006/relationships/control" Target="../activeX/activeX61.xml"/><Relationship Id="rId128" Type="http://schemas.openxmlformats.org/officeDocument/2006/relationships/control" Target="../activeX/activeX88.xml"/><Relationship Id="rId149" Type="http://schemas.openxmlformats.org/officeDocument/2006/relationships/image" Target="../media/image99.emf"/><Relationship Id="rId5" Type="http://schemas.openxmlformats.org/officeDocument/2006/relationships/image" Target="../media/image27.emf"/><Relationship Id="rId95" Type="http://schemas.openxmlformats.org/officeDocument/2006/relationships/image" Target="../media/image72.emf"/><Relationship Id="rId22" Type="http://schemas.openxmlformats.org/officeDocument/2006/relationships/control" Target="../activeX/activeX35.xml"/><Relationship Id="rId27" Type="http://schemas.openxmlformats.org/officeDocument/2006/relationships/image" Target="../media/image38.emf"/><Relationship Id="rId43" Type="http://schemas.openxmlformats.org/officeDocument/2006/relationships/image" Target="../media/image46.emf"/><Relationship Id="rId48" Type="http://schemas.openxmlformats.org/officeDocument/2006/relationships/control" Target="../activeX/activeX48.xml"/><Relationship Id="rId64" Type="http://schemas.openxmlformats.org/officeDocument/2006/relationships/control" Target="../activeX/activeX56.xml"/><Relationship Id="rId69" Type="http://schemas.openxmlformats.org/officeDocument/2006/relationships/image" Target="../media/image59.emf"/><Relationship Id="rId113" Type="http://schemas.openxmlformats.org/officeDocument/2006/relationships/image" Target="../media/image81.emf"/><Relationship Id="rId118" Type="http://schemas.openxmlformats.org/officeDocument/2006/relationships/control" Target="../activeX/activeX83.xml"/><Relationship Id="rId134" Type="http://schemas.openxmlformats.org/officeDocument/2006/relationships/control" Target="../activeX/activeX91.xml"/><Relationship Id="rId139" Type="http://schemas.openxmlformats.org/officeDocument/2006/relationships/image" Target="../media/image94.emf"/><Relationship Id="rId80" Type="http://schemas.openxmlformats.org/officeDocument/2006/relationships/control" Target="../activeX/activeX64.xml"/><Relationship Id="rId85" Type="http://schemas.openxmlformats.org/officeDocument/2006/relationships/image" Target="../media/image67.emf"/><Relationship Id="rId150" Type="http://schemas.openxmlformats.org/officeDocument/2006/relationships/control" Target="../activeX/activeX99.xml"/><Relationship Id="rId12" Type="http://schemas.openxmlformats.org/officeDocument/2006/relationships/control" Target="../activeX/activeX30.xml"/><Relationship Id="rId17" Type="http://schemas.openxmlformats.org/officeDocument/2006/relationships/image" Target="../media/image33.emf"/><Relationship Id="rId33" Type="http://schemas.openxmlformats.org/officeDocument/2006/relationships/image" Target="../media/image41.emf"/><Relationship Id="rId38" Type="http://schemas.openxmlformats.org/officeDocument/2006/relationships/control" Target="../activeX/activeX43.xml"/><Relationship Id="rId59" Type="http://schemas.openxmlformats.org/officeDocument/2006/relationships/image" Target="../media/image54.emf"/><Relationship Id="rId103" Type="http://schemas.openxmlformats.org/officeDocument/2006/relationships/image" Target="../media/image76.emf"/><Relationship Id="rId108" Type="http://schemas.openxmlformats.org/officeDocument/2006/relationships/control" Target="../activeX/activeX78.xml"/><Relationship Id="rId124" Type="http://schemas.openxmlformats.org/officeDocument/2006/relationships/control" Target="../activeX/activeX86.xml"/><Relationship Id="rId129" Type="http://schemas.openxmlformats.org/officeDocument/2006/relationships/image" Target="../media/image89.emf"/><Relationship Id="rId54" Type="http://schemas.openxmlformats.org/officeDocument/2006/relationships/control" Target="../activeX/activeX51.xml"/><Relationship Id="rId70" Type="http://schemas.openxmlformats.org/officeDocument/2006/relationships/control" Target="../activeX/activeX59.xml"/><Relationship Id="rId75" Type="http://schemas.openxmlformats.org/officeDocument/2006/relationships/image" Target="../media/image62.emf"/><Relationship Id="rId91" Type="http://schemas.openxmlformats.org/officeDocument/2006/relationships/image" Target="../media/image70.emf"/><Relationship Id="rId96" Type="http://schemas.openxmlformats.org/officeDocument/2006/relationships/control" Target="../activeX/activeX72.xml"/><Relationship Id="rId140" Type="http://schemas.openxmlformats.org/officeDocument/2006/relationships/control" Target="../activeX/activeX94.xml"/><Relationship Id="rId145" Type="http://schemas.openxmlformats.org/officeDocument/2006/relationships/image" Target="../media/image97.emf"/><Relationship Id="rId1" Type="http://schemas.openxmlformats.org/officeDocument/2006/relationships/printerSettings" Target="../printerSettings/printerSettings8.bin"/><Relationship Id="rId6" Type="http://schemas.openxmlformats.org/officeDocument/2006/relationships/control" Target="../activeX/activeX27.xml"/><Relationship Id="rId23" Type="http://schemas.openxmlformats.org/officeDocument/2006/relationships/image" Target="../media/image36.emf"/><Relationship Id="rId28" Type="http://schemas.openxmlformats.org/officeDocument/2006/relationships/control" Target="../activeX/activeX38.xml"/><Relationship Id="rId49" Type="http://schemas.openxmlformats.org/officeDocument/2006/relationships/image" Target="../media/image49.emf"/><Relationship Id="rId114" Type="http://schemas.openxmlformats.org/officeDocument/2006/relationships/control" Target="../activeX/activeX81.xml"/><Relationship Id="rId119" Type="http://schemas.openxmlformats.org/officeDocument/2006/relationships/image" Target="../media/image84.emf"/><Relationship Id="rId44" Type="http://schemas.openxmlformats.org/officeDocument/2006/relationships/control" Target="../activeX/activeX46.xml"/><Relationship Id="rId60" Type="http://schemas.openxmlformats.org/officeDocument/2006/relationships/control" Target="../activeX/activeX54.xml"/><Relationship Id="rId65" Type="http://schemas.openxmlformats.org/officeDocument/2006/relationships/image" Target="../media/image57.emf"/><Relationship Id="rId81" Type="http://schemas.openxmlformats.org/officeDocument/2006/relationships/image" Target="../media/image65.emf"/><Relationship Id="rId86" Type="http://schemas.openxmlformats.org/officeDocument/2006/relationships/control" Target="../activeX/activeX67.xml"/><Relationship Id="rId130" Type="http://schemas.openxmlformats.org/officeDocument/2006/relationships/control" Target="../activeX/activeX89.xml"/><Relationship Id="rId135" Type="http://schemas.openxmlformats.org/officeDocument/2006/relationships/image" Target="../media/image92.emf"/><Relationship Id="rId151" Type="http://schemas.openxmlformats.org/officeDocument/2006/relationships/image" Target="../media/image100.emf"/><Relationship Id="rId13" Type="http://schemas.openxmlformats.org/officeDocument/2006/relationships/image" Target="../media/image31.emf"/><Relationship Id="rId18" Type="http://schemas.openxmlformats.org/officeDocument/2006/relationships/control" Target="../activeX/activeX33.xml"/><Relationship Id="rId39" Type="http://schemas.openxmlformats.org/officeDocument/2006/relationships/image" Target="../media/image44.emf"/><Relationship Id="rId109" Type="http://schemas.openxmlformats.org/officeDocument/2006/relationships/image" Target="../media/image79.emf"/><Relationship Id="rId34" Type="http://schemas.openxmlformats.org/officeDocument/2006/relationships/control" Target="../activeX/activeX41.xml"/><Relationship Id="rId50" Type="http://schemas.openxmlformats.org/officeDocument/2006/relationships/control" Target="../activeX/activeX49.xml"/><Relationship Id="rId55" Type="http://schemas.openxmlformats.org/officeDocument/2006/relationships/image" Target="../media/image52.emf"/><Relationship Id="rId76" Type="http://schemas.openxmlformats.org/officeDocument/2006/relationships/control" Target="../activeX/activeX62.xml"/><Relationship Id="rId97" Type="http://schemas.openxmlformats.org/officeDocument/2006/relationships/image" Target="../media/image73.emf"/><Relationship Id="rId104" Type="http://schemas.openxmlformats.org/officeDocument/2006/relationships/control" Target="../activeX/activeX76.xml"/><Relationship Id="rId120" Type="http://schemas.openxmlformats.org/officeDocument/2006/relationships/control" Target="../activeX/activeX84.xml"/><Relationship Id="rId125" Type="http://schemas.openxmlformats.org/officeDocument/2006/relationships/image" Target="../media/image87.emf"/><Relationship Id="rId141" Type="http://schemas.openxmlformats.org/officeDocument/2006/relationships/image" Target="../media/image95.emf"/><Relationship Id="rId146" Type="http://schemas.openxmlformats.org/officeDocument/2006/relationships/control" Target="../activeX/activeX97.xml"/><Relationship Id="rId7" Type="http://schemas.openxmlformats.org/officeDocument/2006/relationships/image" Target="../media/image28.emf"/><Relationship Id="rId71" Type="http://schemas.openxmlformats.org/officeDocument/2006/relationships/image" Target="../media/image60.emf"/><Relationship Id="rId92" Type="http://schemas.openxmlformats.org/officeDocument/2006/relationships/control" Target="../activeX/activeX70.xml"/><Relationship Id="rId2" Type="http://schemas.openxmlformats.org/officeDocument/2006/relationships/drawing" Target="../drawings/drawing6.xml"/><Relationship Id="rId29" Type="http://schemas.openxmlformats.org/officeDocument/2006/relationships/image" Target="../media/image39.emf"/><Relationship Id="rId24" Type="http://schemas.openxmlformats.org/officeDocument/2006/relationships/control" Target="../activeX/activeX36.xml"/><Relationship Id="rId40" Type="http://schemas.openxmlformats.org/officeDocument/2006/relationships/control" Target="../activeX/activeX44.xml"/><Relationship Id="rId45" Type="http://schemas.openxmlformats.org/officeDocument/2006/relationships/image" Target="../media/image47.emf"/><Relationship Id="rId66" Type="http://schemas.openxmlformats.org/officeDocument/2006/relationships/control" Target="../activeX/activeX57.xml"/><Relationship Id="rId87" Type="http://schemas.openxmlformats.org/officeDocument/2006/relationships/image" Target="../media/image68.emf"/><Relationship Id="rId110" Type="http://schemas.openxmlformats.org/officeDocument/2006/relationships/control" Target="../activeX/activeX79.xml"/><Relationship Id="rId115" Type="http://schemas.openxmlformats.org/officeDocument/2006/relationships/image" Target="../media/image82.emf"/><Relationship Id="rId131" Type="http://schemas.openxmlformats.org/officeDocument/2006/relationships/image" Target="../media/image90.emf"/><Relationship Id="rId136" Type="http://schemas.openxmlformats.org/officeDocument/2006/relationships/control" Target="../activeX/activeX92.xml"/><Relationship Id="rId61" Type="http://schemas.openxmlformats.org/officeDocument/2006/relationships/image" Target="../media/image55.emf"/><Relationship Id="rId82" Type="http://schemas.openxmlformats.org/officeDocument/2006/relationships/control" Target="../activeX/activeX65.xml"/><Relationship Id="rId152" Type="http://schemas.openxmlformats.org/officeDocument/2006/relationships/ctrlProp" Target="../ctrlProps/ctrlProp5.xml"/><Relationship Id="rId19" Type="http://schemas.openxmlformats.org/officeDocument/2006/relationships/image" Target="../media/image34.emf"/><Relationship Id="rId14" Type="http://schemas.openxmlformats.org/officeDocument/2006/relationships/control" Target="../activeX/activeX31.xml"/><Relationship Id="rId30" Type="http://schemas.openxmlformats.org/officeDocument/2006/relationships/control" Target="../activeX/activeX39.xml"/><Relationship Id="rId35" Type="http://schemas.openxmlformats.org/officeDocument/2006/relationships/image" Target="../media/image42.emf"/><Relationship Id="rId56" Type="http://schemas.openxmlformats.org/officeDocument/2006/relationships/control" Target="../activeX/activeX52.xml"/><Relationship Id="rId77" Type="http://schemas.openxmlformats.org/officeDocument/2006/relationships/image" Target="../media/image63.emf"/><Relationship Id="rId100" Type="http://schemas.openxmlformats.org/officeDocument/2006/relationships/control" Target="../activeX/activeX74.xml"/><Relationship Id="rId105" Type="http://schemas.openxmlformats.org/officeDocument/2006/relationships/image" Target="../media/image77.emf"/><Relationship Id="rId126" Type="http://schemas.openxmlformats.org/officeDocument/2006/relationships/control" Target="../activeX/activeX87.xml"/><Relationship Id="rId147" Type="http://schemas.openxmlformats.org/officeDocument/2006/relationships/image" Target="../media/image98.emf"/><Relationship Id="rId8" Type="http://schemas.openxmlformats.org/officeDocument/2006/relationships/control" Target="../activeX/activeX28.xml"/><Relationship Id="rId51" Type="http://schemas.openxmlformats.org/officeDocument/2006/relationships/image" Target="../media/image50.emf"/><Relationship Id="rId72" Type="http://schemas.openxmlformats.org/officeDocument/2006/relationships/control" Target="../activeX/activeX60.xml"/><Relationship Id="rId93" Type="http://schemas.openxmlformats.org/officeDocument/2006/relationships/image" Target="../media/image71.emf"/><Relationship Id="rId98" Type="http://schemas.openxmlformats.org/officeDocument/2006/relationships/control" Target="../activeX/activeX73.xml"/><Relationship Id="rId121" Type="http://schemas.openxmlformats.org/officeDocument/2006/relationships/image" Target="../media/image85.emf"/><Relationship Id="rId142" Type="http://schemas.openxmlformats.org/officeDocument/2006/relationships/control" Target="../activeX/activeX95.xml"/><Relationship Id="rId3" Type="http://schemas.openxmlformats.org/officeDocument/2006/relationships/vmlDrawing" Target="../drawings/vmlDrawing4.vml"/><Relationship Id="rId25" Type="http://schemas.openxmlformats.org/officeDocument/2006/relationships/image" Target="../media/image37.emf"/><Relationship Id="rId46" Type="http://schemas.openxmlformats.org/officeDocument/2006/relationships/control" Target="../activeX/activeX47.xml"/><Relationship Id="rId67" Type="http://schemas.openxmlformats.org/officeDocument/2006/relationships/image" Target="../media/image58.emf"/><Relationship Id="rId116" Type="http://schemas.openxmlformats.org/officeDocument/2006/relationships/control" Target="../activeX/activeX82.xml"/><Relationship Id="rId137" Type="http://schemas.openxmlformats.org/officeDocument/2006/relationships/image" Target="../media/image93.emf"/><Relationship Id="rId20" Type="http://schemas.openxmlformats.org/officeDocument/2006/relationships/control" Target="../activeX/activeX34.xml"/><Relationship Id="rId41" Type="http://schemas.openxmlformats.org/officeDocument/2006/relationships/image" Target="../media/image45.emf"/><Relationship Id="rId62" Type="http://schemas.openxmlformats.org/officeDocument/2006/relationships/control" Target="../activeX/activeX55.xml"/><Relationship Id="rId83" Type="http://schemas.openxmlformats.org/officeDocument/2006/relationships/image" Target="../media/image66.emf"/><Relationship Id="rId88" Type="http://schemas.openxmlformats.org/officeDocument/2006/relationships/control" Target="../activeX/activeX68.xml"/><Relationship Id="rId111" Type="http://schemas.openxmlformats.org/officeDocument/2006/relationships/image" Target="../media/image80.emf"/><Relationship Id="rId132" Type="http://schemas.openxmlformats.org/officeDocument/2006/relationships/control" Target="../activeX/activeX90.xml"/><Relationship Id="rId153" Type="http://schemas.openxmlformats.org/officeDocument/2006/relationships/ctrlProp" Target="../ctrlProps/ctrlProp6.xml"/><Relationship Id="rId15" Type="http://schemas.openxmlformats.org/officeDocument/2006/relationships/image" Target="../media/image32.emf"/><Relationship Id="rId36" Type="http://schemas.openxmlformats.org/officeDocument/2006/relationships/control" Target="../activeX/activeX42.xml"/><Relationship Id="rId57" Type="http://schemas.openxmlformats.org/officeDocument/2006/relationships/image" Target="../media/image53.emf"/><Relationship Id="rId106" Type="http://schemas.openxmlformats.org/officeDocument/2006/relationships/control" Target="../activeX/activeX77.xml"/><Relationship Id="rId127" Type="http://schemas.openxmlformats.org/officeDocument/2006/relationships/image" Target="../media/image88.emf"/><Relationship Id="rId10" Type="http://schemas.openxmlformats.org/officeDocument/2006/relationships/control" Target="../activeX/activeX29.xml"/><Relationship Id="rId31" Type="http://schemas.openxmlformats.org/officeDocument/2006/relationships/image" Target="../media/image40.emf"/><Relationship Id="rId52" Type="http://schemas.openxmlformats.org/officeDocument/2006/relationships/control" Target="../activeX/activeX50.xml"/><Relationship Id="rId73" Type="http://schemas.openxmlformats.org/officeDocument/2006/relationships/image" Target="../media/image61.emf"/><Relationship Id="rId78" Type="http://schemas.openxmlformats.org/officeDocument/2006/relationships/control" Target="../activeX/activeX63.xml"/><Relationship Id="rId94" Type="http://schemas.openxmlformats.org/officeDocument/2006/relationships/control" Target="../activeX/activeX71.xml"/><Relationship Id="rId99" Type="http://schemas.openxmlformats.org/officeDocument/2006/relationships/image" Target="../media/image74.emf"/><Relationship Id="rId101" Type="http://schemas.openxmlformats.org/officeDocument/2006/relationships/image" Target="../media/image75.emf"/><Relationship Id="rId122" Type="http://schemas.openxmlformats.org/officeDocument/2006/relationships/control" Target="../activeX/activeX85.xml"/><Relationship Id="rId143" Type="http://schemas.openxmlformats.org/officeDocument/2006/relationships/image" Target="../media/image96.emf"/><Relationship Id="rId148" Type="http://schemas.openxmlformats.org/officeDocument/2006/relationships/control" Target="../activeX/activeX98.xml"/><Relationship Id="rId4" Type="http://schemas.openxmlformats.org/officeDocument/2006/relationships/control" Target="../activeX/activeX26.xml"/><Relationship Id="rId9" Type="http://schemas.openxmlformats.org/officeDocument/2006/relationships/image" Target="../media/image29.emf"/><Relationship Id="rId26" Type="http://schemas.openxmlformats.org/officeDocument/2006/relationships/control" Target="../activeX/activeX37.xml"/><Relationship Id="rId47" Type="http://schemas.openxmlformats.org/officeDocument/2006/relationships/image" Target="../media/image48.emf"/><Relationship Id="rId68" Type="http://schemas.openxmlformats.org/officeDocument/2006/relationships/control" Target="../activeX/activeX58.xml"/><Relationship Id="rId89" Type="http://schemas.openxmlformats.org/officeDocument/2006/relationships/image" Target="../media/image69.emf"/><Relationship Id="rId112" Type="http://schemas.openxmlformats.org/officeDocument/2006/relationships/control" Target="../activeX/activeX80.xml"/><Relationship Id="rId133" Type="http://schemas.openxmlformats.org/officeDocument/2006/relationships/image" Target="../media/image91.emf"/><Relationship Id="rId154" Type="http://schemas.openxmlformats.org/officeDocument/2006/relationships/comments" Target="../comments3.xml"/><Relationship Id="rId16" Type="http://schemas.openxmlformats.org/officeDocument/2006/relationships/control" Target="../activeX/activeX32.xml"/><Relationship Id="rId37" Type="http://schemas.openxmlformats.org/officeDocument/2006/relationships/image" Target="../media/image43.emf"/><Relationship Id="rId58" Type="http://schemas.openxmlformats.org/officeDocument/2006/relationships/control" Target="../activeX/activeX53.xml"/><Relationship Id="rId79" Type="http://schemas.openxmlformats.org/officeDocument/2006/relationships/image" Target="../media/image64.emf"/><Relationship Id="rId102" Type="http://schemas.openxmlformats.org/officeDocument/2006/relationships/control" Target="../activeX/activeX75.xml"/><Relationship Id="rId123" Type="http://schemas.openxmlformats.org/officeDocument/2006/relationships/image" Target="../media/image86.emf"/><Relationship Id="rId144" Type="http://schemas.openxmlformats.org/officeDocument/2006/relationships/control" Target="../activeX/activeX96.xml"/><Relationship Id="rId90" Type="http://schemas.openxmlformats.org/officeDocument/2006/relationships/control" Target="../activeX/activeX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image" Target="../media/image102.emf"/><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ntrol" Target="../activeX/activeX101.xml"/><Relationship Id="rId5" Type="http://schemas.openxmlformats.org/officeDocument/2006/relationships/image" Target="../media/image101.emf"/><Relationship Id="rId4" Type="http://schemas.openxmlformats.org/officeDocument/2006/relationships/control" Target="../activeX/activeX100.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image" Target="../media/image104.emf"/><Relationship Id="rId12" Type="http://schemas.openxmlformats.org/officeDocument/2006/relationships/image" Target="../media/image106.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103.xml"/><Relationship Id="rId11" Type="http://schemas.openxmlformats.org/officeDocument/2006/relationships/control" Target="../activeX/activeX106.xml"/><Relationship Id="rId5" Type="http://schemas.openxmlformats.org/officeDocument/2006/relationships/image" Target="../media/image103.emf"/><Relationship Id="rId10" Type="http://schemas.openxmlformats.org/officeDocument/2006/relationships/control" Target="../activeX/activeX105.xml"/><Relationship Id="rId4" Type="http://schemas.openxmlformats.org/officeDocument/2006/relationships/control" Target="../activeX/activeX102.xml"/><Relationship Id="rId9" Type="http://schemas.openxmlformats.org/officeDocument/2006/relationships/image" Target="../media/image105.emf"/></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8.vml"/><Relationship Id="rId7" Type="http://schemas.openxmlformats.org/officeDocument/2006/relationships/image" Target="../media/image108.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108.xml"/><Relationship Id="rId5" Type="http://schemas.openxmlformats.org/officeDocument/2006/relationships/image" Target="../media/image107.emf"/><Relationship Id="rId4" Type="http://schemas.openxmlformats.org/officeDocument/2006/relationships/control" Target="../activeX/activeX107.xml"/></Relationships>
</file>

<file path=xl/worksheets/_rels/sheet16.xml.rels><?xml version="1.0" encoding="UTF-8" standalone="yes"?>
<Relationships xmlns="http://schemas.openxmlformats.org/package/2006/relationships"><Relationship Id="rId8" Type="http://schemas.openxmlformats.org/officeDocument/2006/relationships/image" Target="../media/image111.emf"/><Relationship Id="rId3" Type="http://schemas.openxmlformats.org/officeDocument/2006/relationships/control" Target="../activeX/activeX109.xml"/><Relationship Id="rId7" Type="http://schemas.openxmlformats.org/officeDocument/2006/relationships/control" Target="../activeX/activeX111.xml"/><Relationship Id="rId2" Type="http://schemas.openxmlformats.org/officeDocument/2006/relationships/vmlDrawing" Target="../drawings/vmlDrawing9.vml"/><Relationship Id="rId1" Type="http://schemas.openxmlformats.org/officeDocument/2006/relationships/drawing" Target="../drawings/drawing11.xml"/><Relationship Id="rId6" Type="http://schemas.openxmlformats.org/officeDocument/2006/relationships/image" Target="../media/image110.emf"/><Relationship Id="rId5" Type="http://schemas.openxmlformats.org/officeDocument/2006/relationships/control" Target="../activeX/activeX110.xml"/><Relationship Id="rId10" Type="http://schemas.openxmlformats.org/officeDocument/2006/relationships/image" Target="../media/image112.emf"/><Relationship Id="rId4" Type="http://schemas.openxmlformats.org/officeDocument/2006/relationships/image" Target="../media/image109.emf"/><Relationship Id="rId9" Type="http://schemas.openxmlformats.org/officeDocument/2006/relationships/control" Target="../activeX/activeX112.xml"/></Relationships>
</file>

<file path=xl/worksheets/_rels/sheet17.xml.rels><?xml version="1.0" encoding="UTF-8" standalone="yes"?>
<Relationships xmlns="http://schemas.openxmlformats.org/package/2006/relationships"><Relationship Id="rId117" Type="http://schemas.openxmlformats.org/officeDocument/2006/relationships/image" Target="../media/image169.emf"/><Relationship Id="rId21" Type="http://schemas.openxmlformats.org/officeDocument/2006/relationships/image" Target="../media/image121.emf"/><Relationship Id="rId42" Type="http://schemas.openxmlformats.org/officeDocument/2006/relationships/control" Target="../activeX/activeX132.xml"/><Relationship Id="rId63" Type="http://schemas.openxmlformats.org/officeDocument/2006/relationships/image" Target="../media/image142.emf"/><Relationship Id="rId84" Type="http://schemas.openxmlformats.org/officeDocument/2006/relationships/control" Target="../activeX/activeX153.xml"/><Relationship Id="rId138" Type="http://schemas.openxmlformats.org/officeDocument/2006/relationships/control" Target="../activeX/activeX180.xml"/><Relationship Id="rId159" Type="http://schemas.openxmlformats.org/officeDocument/2006/relationships/image" Target="../media/image190.emf"/><Relationship Id="rId107" Type="http://schemas.openxmlformats.org/officeDocument/2006/relationships/image" Target="../media/image164.emf"/><Relationship Id="rId11" Type="http://schemas.openxmlformats.org/officeDocument/2006/relationships/image" Target="../media/image116.emf"/><Relationship Id="rId32" Type="http://schemas.openxmlformats.org/officeDocument/2006/relationships/control" Target="../activeX/activeX127.xml"/><Relationship Id="rId53" Type="http://schemas.openxmlformats.org/officeDocument/2006/relationships/image" Target="../media/image137.emf"/><Relationship Id="rId74" Type="http://schemas.openxmlformats.org/officeDocument/2006/relationships/control" Target="../activeX/activeX148.xml"/><Relationship Id="rId128" Type="http://schemas.openxmlformats.org/officeDocument/2006/relationships/control" Target="../activeX/activeX175.xml"/><Relationship Id="rId149" Type="http://schemas.openxmlformats.org/officeDocument/2006/relationships/image" Target="../media/image185.emf"/><Relationship Id="rId5" Type="http://schemas.openxmlformats.org/officeDocument/2006/relationships/image" Target="../media/image113.emf"/><Relationship Id="rId95" Type="http://schemas.openxmlformats.org/officeDocument/2006/relationships/image" Target="../media/image158.emf"/><Relationship Id="rId22" Type="http://schemas.openxmlformats.org/officeDocument/2006/relationships/control" Target="../activeX/activeX122.xml"/><Relationship Id="rId43" Type="http://schemas.openxmlformats.org/officeDocument/2006/relationships/image" Target="../media/image132.emf"/><Relationship Id="rId64" Type="http://schemas.openxmlformats.org/officeDocument/2006/relationships/control" Target="../activeX/activeX143.xml"/><Relationship Id="rId118" Type="http://schemas.openxmlformats.org/officeDocument/2006/relationships/control" Target="../activeX/activeX170.xml"/><Relationship Id="rId139" Type="http://schemas.openxmlformats.org/officeDocument/2006/relationships/image" Target="../media/image180.emf"/><Relationship Id="rId80" Type="http://schemas.openxmlformats.org/officeDocument/2006/relationships/control" Target="../activeX/activeX151.xml"/><Relationship Id="rId85" Type="http://schemas.openxmlformats.org/officeDocument/2006/relationships/image" Target="../media/image153.emf"/><Relationship Id="rId150" Type="http://schemas.openxmlformats.org/officeDocument/2006/relationships/control" Target="../activeX/activeX186.xml"/><Relationship Id="rId155" Type="http://schemas.openxmlformats.org/officeDocument/2006/relationships/image" Target="../media/image188.emf"/><Relationship Id="rId12" Type="http://schemas.openxmlformats.org/officeDocument/2006/relationships/control" Target="../activeX/activeX117.xml"/><Relationship Id="rId17" Type="http://schemas.openxmlformats.org/officeDocument/2006/relationships/image" Target="../media/image119.emf"/><Relationship Id="rId33" Type="http://schemas.openxmlformats.org/officeDocument/2006/relationships/image" Target="../media/image127.emf"/><Relationship Id="rId38" Type="http://schemas.openxmlformats.org/officeDocument/2006/relationships/control" Target="../activeX/activeX130.xml"/><Relationship Id="rId59" Type="http://schemas.openxmlformats.org/officeDocument/2006/relationships/image" Target="../media/image140.emf"/><Relationship Id="rId103" Type="http://schemas.openxmlformats.org/officeDocument/2006/relationships/image" Target="../media/image162.emf"/><Relationship Id="rId108" Type="http://schemas.openxmlformats.org/officeDocument/2006/relationships/control" Target="../activeX/activeX165.xml"/><Relationship Id="rId124" Type="http://schemas.openxmlformats.org/officeDocument/2006/relationships/control" Target="../activeX/activeX173.xml"/><Relationship Id="rId129" Type="http://schemas.openxmlformats.org/officeDocument/2006/relationships/image" Target="../media/image175.emf"/><Relationship Id="rId54" Type="http://schemas.openxmlformats.org/officeDocument/2006/relationships/control" Target="../activeX/activeX138.xml"/><Relationship Id="rId70" Type="http://schemas.openxmlformats.org/officeDocument/2006/relationships/control" Target="../activeX/activeX146.xml"/><Relationship Id="rId75" Type="http://schemas.openxmlformats.org/officeDocument/2006/relationships/image" Target="../media/image148.emf"/><Relationship Id="rId91" Type="http://schemas.openxmlformats.org/officeDocument/2006/relationships/image" Target="../media/image156.emf"/><Relationship Id="rId96" Type="http://schemas.openxmlformats.org/officeDocument/2006/relationships/control" Target="../activeX/activeX159.xml"/><Relationship Id="rId140" Type="http://schemas.openxmlformats.org/officeDocument/2006/relationships/control" Target="../activeX/activeX181.xml"/><Relationship Id="rId145" Type="http://schemas.openxmlformats.org/officeDocument/2006/relationships/image" Target="../media/image183.emf"/><Relationship Id="rId1" Type="http://schemas.openxmlformats.org/officeDocument/2006/relationships/printerSettings" Target="../printerSettings/printerSettings13.bin"/><Relationship Id="rId6" Type="http://schemas.openxmlformats.org/officeDocument/2006/relationships/control" Target="../activeX/activeX114.xml"/><Relationship Id="rId23" Type="http://schemas.openxmlformats.org/officeDocument/2006/relationships/image" Target="../media/image122.emf"/><Relationship Id="rId28" Type="http://schemas.openxmlformats.org/officeDocument/2006/relationships/control" Target="../activeX/activeX125.xml"/><Relationship Id="rId49" Type="http://schemas.openxmlformats.org/officeDocument/2006/relationships/image" Target="../media/image135.emf"/><Relationship Id="rId114" Type="http://schemas.openxmlformats.org/officeDocument/2006/relationships/control" Target="../activeX/activeX168.xml"/><Relationship Id="rId119" Type="http://schemas.openxmlformats.org/officeDocument/2006/relationships/image" Target="../media/image170.emf"/><Relationship Id="rId44" Type="http://schemas.openxmlformats.org/officeDocument/2006/relationships/control" Target="../activeX/activeX133.xml"/><Relationship Id="rId60" Type="http://schemas.openxmlformats.org/officeDocument/2006/relationships/control" Target="../activeX/activeX141.xml"/><Relationship Id="rId65" Type="http://schemas.openxmlformats.org/officeDocument/2006/relationships/image" Target="../media/image143.emf"/><Relationship Id="rId81" Type="http://schemas.openxmlformats.org/officeDocument/2006/relationships/image" Target="../media/image151.emf"/><Relationship Id="rId86" Type="http://schemas.openxmlformats.org/officeDocument/2006/relationships/control" Target="../activeX/activeX154.xml"/><Relationship Id="rId130" Type="http://schemas.openxmlformats.org/officeDocument/2006/relationships/control" Target="../activeX/activeX176.xml"/><Relationship Id="rId135" Type="http://schemas.openxmlformats.org/officeDocument/2006/relationships/image" Target="../media/image178.emf"/><Relationship Id="rId151" Type="http://schemas.openxmlformats.org/officeDocument/2006/relationships/image" Target="../media/image186.emf"/><Relationship Id="rId156" Type="http://schemas.openxmlformats.org/officeDocument/2006/relationships/control" Target="../activeX/activeX189.xml"/><Relationship Id="rId13" Type="http://schemas.openxmlformats.org/officeDocument/2006/relationships/image" Target="../media/image117.emf"/><Relationship Id="rId18" Type="http://schemas.openxmlformats.org/officeDocument/2006/relationships/control" Target="../activeX/activeX120.xml"/><Relationship Id="rId39" Type="http://schemas.openxmlformats.org/officeDocument/2006/relationships/image" Target="../media/image130.emf"/><Relationship Id="rId109" Type="http://schemas.openxmlformats.org/officeDocument/2006/relationships/image" Target="../media/image165.emf"/><Relationship Id="rId34" Type="http://schemas.openxmlformats.org/officeDocument/2006/relationships/control" Target="../activeX/activeX128.xml"/><Relationship Id="rId50" Type="http://schemas.openxmlformats.org/officeDocument/2006/relationships/control" Target="../activeX/activeX136.xml"/><Relationship Id="rId55" Type="http://schemas.openxmlformats.org/officeDocument/2006/relationships/image" Target="../media/image138.emf"/><Relationship Id="rId76" Type="http://schemas.openxmlformats.org/officeDocument/2006/relationships/control" Target="../activeX/activeX149.xml"/><Relationship Id="rId97" Type="http://schemas.openxmlformats.org/officeDocument/2006/relationships/image" Target="../media/image159.emf"/><Relationship Id="rId104" Type="http://schemas.openxmlformats.org/officeDocument/2006/relationships/control" Target="../activeX/activeX163.xml"/><Relationship Id="rId120" Type="http://schemas.openxmlformats.org/officeDocument/2006/relationships/control" Target="../activeX/activeX171.xml"/><Relationship Id="rId125" Type="http://schemas.openxmlformats.org/officeDocument/2006/relationships/image" Target="../media/image173.emf"/><Relationship Id="rId141" Type="http://schemas.openxmlformats.org/officeDocument/2006/relationships/image" Target="../media/image181.emf"/><Relationship Id="rId146" Type="http://schemas.openxmlformats.org/officeDocument/2006/relationships/control" Target="../activeX/activeX184.xml"/><Relationship Id="rId7" Type="http://schemas.openxmlformats.org/officeDocument/2006/relationships/image" Target="../media/image114.emf"/><Relationship Id="rId71" Type="http://schemas.openxmlformats.org/officeDocument/2006/relationships/image" Target="../media/image146.emf"/><Relationship Id="rId92" Type="http://schemas.openxmlformats.org/officeDocument/2006/relationships/control" Target="../activeX/activeX157.xml"/><Relationship Id="rId2" Type="http://schemas.openxmlformats.org/officeDocument/2006/relationships/drawing" Target="../drawings/drawing12.xml"/><Relationship Id="rId29" Type="http://schemas.openxmlformats.org/officeDocument/2006/relationships/image" Target="../media/image125.emf"/><Relationship Id="rId24" Type="http://schemas.openxmlformats.org/officeDocument/2006/relationships/control" Target="../activeX/activeX123.xml"/><Relationship Id="rId40" Type="http://schemas.openxmlformats.org/officeDocument/2006/relationships/control" Target="../activeX/activeX131.xml"/><Relationship Id="rId45" Type="http://schemas.openxmlformats.org/officeDocument/2006/relationships/image" Target="../media/image133.emf"/><Relationship Id="rId66" Type="http://schemas.openxmlformats.org/officeDocument/2006/relationships/control" Target="../activeX/activeX144.xml"/><Relationship Id="rId87" Type="http://schemas.openxmlformats.org/officeDocument/2006/relationships/image" Target="../media/image154.emf"/><Relationship Id="rId110" Type="http://schemas.openxmlformats.org/officeDocument/2006/relationships/control" Target="../activeX/activeX166.xml"/><Relationship Id="rId115" Type="http://schemas.openxmlformats.org/officeDocument/2006/relationships/image" Target="../media/image168.emf"/><Relationship Id="rId131" Type="http://schemas.openxmlformats.org/officeDocument/2006/relationships/image" Target="../media/image176.emf"/><Relationship Id="rId136" Type="http://schemas.openxmlformats.org/officeDocument/2006/relationships/control" Target="../activeX/activeX179.xml"/><Relationship Id="rId157" Type="http://schemas.openxmlformats.org/officeDocument/2006/relationships/image" Target="../media/image189.emf"/><Relationship Id="rId61" Type="http://schemas.openxmlformats.org/officeDocument/2006/relationships/image" Target="../media/image141.emf"/><Relationship Id="rId82" Type="http://schemas.openxmlformats.org/officeDocument/2006/relationships/control" Target="../activeX/activeX152.xml"/><Relationship Id="rId152" Type="http://schemas.openxmlformats.org/officeDocument/2006/relationships/control" Target="../activeX/activeX187.xml"/><Relationship Id="rId19" Type="http://schemas.openxmlformats.org/officeDocument/2006/relationships/image" Target="../media/image120.emf"/><Relationship Id="rId14" Type="http://schemas.openxmlformats.org/officeDocument/2006/relationships/control" Target="../activeX/activeX118.xml"/><Relationship Id="rId30" Type="http://schemas.openxmlformats.org/officeDocument/2006/relationships/control" Target="../activeX/activeX126.xml"/><Relationship Id="rId35" Type="http://schemas.openxmlformats.org/officeDocument/2006/relationships/image" Target="../media/image128.emf"/><Relationship Id="rId56" Type="http://schemas.openxmlformats.org/officeDocument/2006/relationships/control" Target="../activeX/activeX139.xml"/><Relationship Id="rId77" Type="http://schemas.openxmlformats.org/officeDocument/2006/relationships/image" Target="../media/image149.emf"/><Relationship Id="rId100" Type="http://schemas.openxmlformats.org/officeDocument/2006/relationships/control" Target="../activeX/activeX161.xml"/><Relationship Id="rId105" Type="http://schemas.openxmlformats.org/officeDocument/2006/relationships/image" Target="../media/image163.emf"/><Relationship Id="rId126" Type="http://schemas.openxmlformats.org/officeDocument/2006/relationships/control" Target="../activeX/activeX174.xml"/><Relationship Id="rId147" Type="http://schemas.openxmlformats.org/officeDocument/2006/relationships/image" Target="../media/image184.emf"/><Relationship Id="rId8" Type="http://schemas.openxmlformats.org/officeDocument/2006/relationships/control" Target="../activeX/activeX115.xml"/><Relationship Id="rId51" Type="http://schemas.openxmlformats.org/officeDocument/2006/relationships/image" Target="../media/image136.emf"/><Relationship Id="rId72" Type="http://schemas.openxmlformats.org/officeDocument/2006/relationships/control" Target="../activeX/activeX147.xml"/><Relationship Id="rId93" Type="http://schemas.openxmlformats.org/officeDocument/2006/relationships/image" Target="../media/image157.emf"/><Relationship Id="rId98" Type="http://schemas.openxmlformats.org/officeDocument/2006/relationships/control" Target="../activeX/activeX160.xml"/><Relationship Id="rId121" Type="http://schemas.openxmlformats.org/officeDocument/2006/relationships/image" Target="../media/image171.emf"/><Relationship Id="rId142" Type="http://schemas.openxmlformats.org/officeDocument/2006/relationships/control" Target="../activeX/activeX182.xml"/><Relationship Id="rId3" Type="http://schemas.openxmlformats.org/officeDocument/2006/relationships/vmlDrawing" Target="../drawings/vmlDrawing10.vml"/><Relationship Id="rId25" Type="http://schemas.openxmlformats.org/officeDocument/2006/relationships/image" Target="../media/image123.emf"/><Relationship Id="rId46" Type="http://schemas.openxmlformats.org/officeDocument/2006/relationships/control" Target="../activeX/activeX134.xml"/><Relationship Id="rId67" Type="http://schemas.openxmlformats.org/officeDocument/2006/relationships/image" Target="../media/image144.emf"/><Relationship Id="rId116" Type="http://schemas.openxmlformats.org/officeDocument/2006/relationships/control" Target="../activeX/activeX169.xml"/><Relationship Id="rId137" Type="http://schemas.openxmlformats.org/officeDocument/2006/relationships/image" Target="../media/image179.emf"/><Relationship Id="rId158" Type="http://schemas.openxmlformats.org/officeDocument/2006/relationships/control" Target="../activeX/activeX190.xml"/><Relationship Id="rId20" Type="http://schemas.openxmlformats.org/officeDocument/2006/relationships/control" Target="../activeX/activeX121.xml"/><Relationship Id="rId41" Type="http://schemas.openxmlformats.org/officeDocument/2006/relationships/image" Target="../media/image131.emf"/><Relationship Id="rId62" Type="http://schemas.openxmlformats.org/officeDocument/2006/relationships/control" Target="../activeX/activeX142.xml"/><Relationship Id="rId83" Type="http://schemas.openxmlformats.org/officeDocument/2006/relationships/image" Target="../media/image152.emf"/><Relationship Id="rId88" Type="http://schemas.openxmlformats.org/officeDocument/2006/relationships/control" Target="../activeX/activeX155.xml"/><Relationship Id="rId111" Type="http://schemas.openxmlformats.org/officeDocument/2006/relationships/image" Target="../media/image166.emf"/><Relationship Id="rId132" Type="http://schemas.openxmlformats.org/officeDocument/2006/relationships/control" Target="../activeX/activeX177.xml"/><Relationship Id="rId153" Type="http://schemas.openxmlformats.org/officeDocument/2006/relationships/image" Target="../media/image187.emf"/><Relationship Id="rId15" Type="http://schemas.openxmlformats.org/officeDocument/2006/relationships/image" Target="../media/image118.emf"/><Relationship Id="rId36" Type="http://schemas.openxmlformats.org/officeDocument/2006/relationships/control" Target="../activeX/activeX129.xml"/><Relationship Id="rId57" Type="http://schemas.openxmlformats.org/officeDocument/2006/relationships/image" Target="../media/image139.emf"/><Relationship Id="rId106" Type="http://schemas.openxmlformats.org/officeDocument/2006/relationships/control" Target="../activeX/activeX164.xml"/><Relationship Id="rId127" Type="http://schemas.openxmlformats.org/officeDocument/2006/relationships/image" Target="../media/image174.emf"/><Relationship Id="rId10" Type="http://schemas.openxmlformats.org/officeDocument/2006/relationships/control" Target="../activeX/activeX116.xml"/><Relationship Id="rId31" Type="http://schemas.openxmlformats.org/officeDocument/2006/relationships/image" Target="../media/image126.emf"/><Relationship Id="rId52" Type="http://schemas.openxmlformats.org/officeDocument/2006/relationships/control" Target="../activeX/activeX137.xml"/><Relationship Id="rId73" Type="http://schemas.openxmlformats.org/officeDocument/2006/relationships/image" Target="../media/image147.emf"/><Relationship Id="rId78" Type="http://schemas.openxmlformats.org/officeDocument/2006/relationships/control" Target="../activeX/activeX150.xml"/><Relationship Id="rId94" Type="http://schemas.openxmlformats.org/officeDocument/2006/relationships/control" Target="../activeX/activeX158.xml"/><Relationship Id="rId99" Type="http://schemas.openxmlformats.org/officeDocument/2006/relationships/image" Target="../media/image160.emf"/><Relationship Id="rId101" Type="http://schemas.openxmlformats.org/officeDocument/2006/relationships/image" Target="../media/image161.emf"/><Relationship Id="rId122" Type="http://schemas.openxmlformats.org/officeDocument/2006/relationships/control" Target="../activeX/activeX172.xml"/><Relationship Id="rId143" Type="http://schemas.openxmlformats.org/officeDocument/2006/relationships/image" Target="../media/image182.emf"/><Relationship Id="rId148" Type="http://schemas.openxmlformats.org/officeDocument/2006/relationships/control" Target="../activeX/activeX185.xml"/><Relationship Id="rId4" Type="http://schemas.openxmlformats.org/officeDocument/2006/relationships/control" Target="../activeX/activeX113.xml"/><Relationship Id="rId9" Type="http://schemas.openxmlformats.org/officeDocument/2006/relationships/image" Target="../media/image115.emf"/><Relationship Id="rId26" Type="http://schemas.openxmlformats.org/officeDocument/2006/relationships/control" Target="../activeX/activeX124.xml"/><Relationship Id="rId47" Type="http://schemas.openxmlformats.org/officeDocument/2006/relationships/image" Target="../media/image134.emf"/><Relationship Id="rId68" Type="http://schemas.openxmlformats.org/officeDocument/2006/relationships/control" Target="../activeX/activeX145.xml"/><Relationship Id="rId89" Type="http://schemas.openxmlformats.org/officeDocument/2006/relationships/image" Target="../media/image155.emf"/><Relationship Id="rId112" Type="http://schemas.openxmlformats.org/officeDocument/2006/relationships/control" Target="../activeX/activeX167.xml"/><Relationship Id="rId133" Type="http://schemas.openxmlformats.org/officeDocument/2006/relationships/image" Target="../media/image177.emf"/><Relationship Id="rId154" Type="http://schemas.openxmlformats.org/officeDocument/2006/relationships/control" Target="../activeX/activeX188.xml"/><Relationship Id="rId16" Type="http://schemas.openxmlformats.org/officeDocument/2006/relationships/control" Target="../activeX/activeX119.xml"/><Relationship Id="rId37" Type="http://schemas.openxmlformats.org/officeDocument/2006/relationships/image" Target="../media/image129.emf"/><Relationship Id="rId58" Type="http://schemas.openxmlformats.org/officeDocument/2006/relationships/control" Target="../activeX/activeX140.xml"/><Relationship Id="rId79" Type="http://schemas.openxmlformats.org/officeDocument/2006/relationships/image" Target="../media/image150.emf"/><Relationship Id="rId102" Type="http://schemas.openxmlformats.org/officeDocument/2006/relationships/control" Target="../activeX/activeX162.xml"/><Relationship Id="rId123" Type="http://schemas.openxmlformats.org/officeDocument/2006/relationships/image" Target="../media/image172.emf"/><Relationship Id="rId144" Type="http://schemas.openxmlformats.org/officeDocument/2006/relationships/control" Target="../activeX/activeX183.xml"/><Relationship Id="rId90" Type="http://schemas.openxmlformats.org/officeDocument/2006/relationships/control" Target="../activeX/activeX156.xml"/><Relationship Id="rId27" Type="http://schemas.openxmlformats.org/officeDocument/2006/relationships/image" Target="../media/image124.emf"/><Relationship Id="rId48" Type="http://schemas.openxmlformats.org/officeDocument/2006/relationships/control" Target="../activeX/activeX135.xml"/><Relationship Id="rId69" Type="http://schemas.openxmlformats.org/officeDocument/2006/relationships/image" Target="../media/image145.emf"/><Relationship Id="rId113" Type="http://schemas.openxmlformats.org/officeDocument/2006/relationships/image" Target="../media/image167.emf"/><Relationship Id="rId134" Type="http://schemas.openxmlformats.org/officeDocument/2006/relationships/control" Target="../activeX/activeX17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1.vml"/><Relationship Id="rId1" Type="http://schemas.openxmlformats.org/officeDocument/2006/relationships/drawing" Target="../drawings/drawing13.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Z301"/>
  <sheetViews>
    <sheetView showGridLines="0" topLeftCell="A2" workbookViewId="0">
      <selection activeCell="K8" sqref="K8"/>
    </sheetView>
  </sheetViews>
  <sheetFormatPr defaultColWidth="9" defaultRowHeight="16.5" customHeight="1"/>
  <cols>
    <col min="1" max="1" width="2.375" customWidth="1"/>
    <col min="2" max="2" width="6.75" customWidth="1"/>
    <col min="3" max="9" width="12" customWidth="1"/>
    <col min="10" max="10" width="12.75" customWidth="1"/>
    <col min="12" max="12" width="3.375" customWidth="1"/>
    <col min="13" max="13" width="14.75" customWidth="1"/>
    <col min="14" max="14" width="13" customWidth="1"/>
    <col min="26" max="26" width="9.5" bestFit="1" customWidth="1"/>
  </cols>
  <sheetData>
    <row r="1" spans="1:52" ht="8.25" hidden="1" customHeight="1">
      <c r="A1" s="39"/>
      <c r="B1" s="39"/>
      <c r="C1" s="3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s="39"/>
    </row>
    <row r="2" spans="1:52" ht="12" customHeight="1" thickBot="1">
      <c r="A2" s="40"/>
      <c r="B2" s="40"/>
      <c r="C2" s="40"/>
      <c r="D2" s="40"/>
      <c r="E2" s="40"/>
      <c r="F2" s="40"/>
      <c r="G2" s="40"/>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row>
    <row r="3" spans="1:52" ht="18" customHeight="1">
      <c r="A3" s="40"/>
      <c r="B3" s="204"/>
      <c r="C3" s="205"/>
      <c r="D3" s="205"/>
      <c r="E3" s="205"/>
      <c r="F3" s="205"/>
      <c r="G3" s="205"/>
      <c r="H3" s="205"/>
      <c r="I3" s="205"/>
      <c r="J3" s="206"/>
      <c r="K3" s="40"/>
      <c r="L3" s="41"/>
      <c r="M3" s="42"/>
      <c r="N3" s="43"/>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row>
    <row r="4" spans="1:52" ht="18" customHeight="1">
      <c r="A4" s="40"/>
      <c r="B4" s="466"/>
      <c r="C4" s="467"/>
      <c r="D4" s="467"/>
      <c r="E4" s="468" t="s">
        <v>1579</v>
      </c>
      <c r="F4" s="467"/>
      <c r="G4" s="467"/>
      <c r="H4" s="467"/>
      <c r="I4" s="467"/>
      <c r="J4" s="469"/>
      <c r="K4" s="40"/>
      <c r="L4" s="277"/>
      <c r="M4" s="470" t="s">
        <v>0</v>
      </c>
      <c r="N4" s="471"/>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row>
    <row r="5" spans="1:52" ht="18" customHeight="1">
      <c r="A5" s="40"/>
      <c r="B5" s="207"/>
      <c r="C5" s="208"/>
      <c r="D5" s="208"/>
      <c r="E5" s="208"/>
      <c r="F5" s="208"/>
      <c r="G5" s="208"/>
      <c r="H5" s="208"/>
      <c r="I5" s="208"/>
      <c r="J5" s="209"/>
      <c r="K5" s="40"/>
      <c r="L5" s="277"/>
      <c r="M5" s="470"/>
      <c r="N5" s="471"/>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row>
    <row r="6" spans="1:52" ht="18" customHeight="1">
      <c r="A6" s="40"/>
      <c r="B6" s="472" t="s">
        <v>1</v>
      </c>
      <c r="C6" s="473"/>
      <c r="D6" s="473"/>
      <c r="E6" s="473"/>
      <c r="F6" s="473"/>
      <c r="G6" s="473"/>
      <c r="H6" s="473"/>
      <c r="I6" s="473"/>
      <c r="J6" s="474"/>
      <c r="K6" s="40"/>
      <c r="L6" s="277"/>
      <c r="M6" s="470" t="s">
        <v>2</v>
      </c>
      <c r="N6" s="471"/>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row>
    <row r="7" spans="1:52" ht="18" customHeight="1" thickBot="1">
      <c r="A7" s="40"/>
      <c r="B7" s="475" t="s">
        <v>3</v>
      </c>
      <c r="C7" s="473" t="s">
        <v>4</v>
      </c>
      <c r="D7" s="473"/>
      <c r="E7" s="473"/>
      <c r="F7" s="473"/>
      <c r="G7" s="473"/>
      <c r="H7" s="473"/>
      <c r="I7" s="473"/>
      <c r="J7" s="474"/>
      <c r="K7" s="40"/>
      <c r="L7" s="278"/>
      <c r="M7" s="210"/>
      <c r="N7" s="279"/>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row>
    <row r="8" spans="1:52" ht="18" customHeight="1" thickBot="1">
      <c r="A8" s="40"/>
      <c r="B8" s="475" t="s">
        <v>5</v>
      </c>
      <c r="C8" s="473" t="s">
        <v>6</v>
      </c>
      <c r="D8" s="473"/>
      <c r="E8" s="473"/>
      <c r="F8" s="473"/>
      <c r="G8" s="473"/>
      <c r="H8" s="473"/>
      <c r="I8" s="473"/>
      <c r="J8" s="474"/>
      <c r="K8" s="40"/>
      <c r="L8" s="40"/>
      <c r="M8" s="40"/>
      <c r="N8" s="40"/>
      <c r="O8" s="40"/>
      <c r="P8" s="40"/>
      <c r="Q8" s="40"/>
      <c r="R8" s="40"/>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row>
    <row r="9" spans="1:52" ht="18" customHeight="1">
      <c r="A9" s="40"/>
      <c r="B9" s="475" t="s">
        <v>7</v>
      </c>
      <c r="C9" s="473" t="s">
        <v>8</v>
      </c>
      <c r="D9" s="473"/>
      <c r="E9" s="473"/>
      <c r="F9" s="473"/>
      <c r="G9" s="473"/>
      <c r="H9" s="473"/>
      <c r="I9" s="473"/>
      <c r="J9" s="474"/>
      <c r="K9" s="40"/>
      <c r="L9" s="204"/>
      <c r="M9" s="205"/>
      <c r="N9" s="206"/>
      <c r="O9" s="40"/>
      <c r="P9" s="40"/>
      <c r="Q9" s="40"/>
      <c r="R9" s="40"/>
      <c r="S9" s="40"/>
      <c r="T9" s="40"/>
      <c r="U9" s="40"/>
      <c r="V9" s="40"/>
      <c r="W9" s="40"/>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row>
    <row r="10" spans="1:52" ht="18" customHeight="1">
      <c r="A10" s="40"/>
      <c r="B10" s="475" t="s">
        <v>9</v>
      </c>
      <c r="C10" s="473" t="s">
        <v>1298</v>
      </c>
      <c r="D10" s="473"/>
      <c r="E10" s="473"/>
      <c r="F10" s="473"/>
      <c r="G10" s="473"/>
      <c r="H10" s="473"/>
      <c r="I10" s="473"/>
      <c r="J10" s="474"/>
      <c r="K10" s="40"/>
      <c r="L10" s="207"/>
      <c r="M10" s="476" t="s">
        <v>1264</v>
      </c>
      <c r="N10" s="209"/>
      <c r="O10" s="40"/>
      <c r="P10" s="40"/>
      <c r="Q10" s="40"/>
      <c r="R10" s="40"/>
      <c r="S10" s="40"/>
      <c r="T10" s="40"/>
      <c r="U10" s="40"/>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c r="AZ10" s="40"/>
    </row>
    <row r="11" spans="1:52" ht="18" customHeight="1">
      <c r="A11" s="40"/>
      <c r="B11" s="475" t="s">
        <v>10</v>
      </c>
      <c r="C11" s="473" t="s">
        <v>11</v>
      </c>
      <c r="D11" s="473"/>
      <c r="E11" s="473"/>
      <c r="F11" s="473"/>
      <c r="G11" s="473"/>
      <c r="H11" s="473"/>
      <c r="I11" s="473"/>
      <c r="J11" s="474"/>
      <c r="K11" s="40"/>
      <c r="L11" s="207"/>
      <c r="M11" s="208"/>
      <c r="N11" s="209"/>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row>
    <row r="12" spans="1:52" ht="18" customHeight="1">
      <c r="A12" s="40"/>
      <c r="B12" s="475"/>
      <c r="C12" s="473"/>
      <c r="D12" s="473"/>
      <c r="E12" s="473"/>
      <c r="F12" s="473"/>
      <c r="G12" s="473"/>
      <c r="H12" s="473"/>
      <c r="I12" s="473"/>
      <c r="J12" s="474"/>
      <c r="K12" s="40"/>
      <c r="L12" s="275" t="s">
        <v>12</v>
      </c>
      <c r="M12" s="208" t="s">
        <v>13</v>
      </c>
      <c r="N12" s="209"/>
      <c r="O12" s="40"/>
      <c r="P12" s="40"/>
      <c r="Q12" s="40"/>
      <c r="R12" s="40"/>
      <c r="S12" s="40"/>
      <c r="T12" s="40"/>
      <c r="U12" s="40"/>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row>
    <row r="13" spans="1:52" ht="18" customHeight="1">
      <c r="A13" s="40"/>
      <c r="B13" s="472" t="s">
        <v>14</v>
      </c>
      <c r="C13" s="473"/>
      <c r="D13" s="473"/>
      <c r="E13" s="473"/>
      <c r="F13" s="473"/>
      <c r="G13" s="473"/>
      <c r="H13" s="473"/>
      <c r="I13" s="473"/>
      <c r="J13" s="474"/>
      <c r="K13" s="40"/>
      <c r="L13" s="275" t="s">
        <v>15</v>
      </c>
      <c r="M13" s="208" t="s">
        <v>16</v>
      </c>
      <c r="N13" s="209"/>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row>
    <row r="14" spans="1:52" ht="18" customHeight="1">
      <c r="A14" s="40"/>
      <c r="B14" s="475" t="s">
        <v>3</v>
      </c>
      <c r="C14" s="473" t="s">
        <v>17</v>
      </c>
      <c r="D14" s="473"/>
      <c r="E14" s="473"/>
      <c r="F14" s="473"/>
      <c r="G14" s="473"/>
      <c r="H14" s="473"/>
      <c r="I14" s="473"/>
      <c r="J14" s="474"/>
      <c r="K14" s="40"/>
      <c r="L14" s="275" t="s">
        <v>1302</v>
      </c>
      <c r="M14" s="208" t="s">
        <v>1299</v>
      </c>
      <c r="N14" s="209"/>
      <c r="O14" s="40"/>
      <c r="P14" s="4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row>
    <row r="15" spans="1:52" ht="18" customHeight="1">
      <c r="A15" s="40"/>
      <c r="B15" s="475" t="s">
        <v>19</v>
      </c>
      <c r="C15" s="473" t="s">
        <v>20</v>
      </c>
      <c r="D15" s="473"/>
      <c r="E15" s="473"/>
      <c r="F15" s="473"/>
      <c r="G15" s="473"/>
      <c r="H15" s="473"/>
      <c r="I15" s="473"/>
      <c r="J15" s="474"/>
      <c r="K15" s="40"/>
      <c r="L15" s="275" t="s">
        <v>1303</v>
      </c>
      <c r="M15" s="208" t="s">
        <v>30</v>
      </c>
      <c r="N15" s="209"/>
      <c r="O15" s="40"/>
      <c r="P15" s="40"/>
      <c r="Q15" s="40"/>
      <c r="R15" s="40"/>
      <c r="S15" s="40"/>
      <c r="T15" s="40"/>
      <c r="U15" s="40"/>
      <c r="V15" s="40"/>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c r="AZ15" s="40"/>
    </row>
    <row r="16" spans="1:52" ht="18" customHeight="1">
      <c r="A16" s="40"/>
      <c r="B16" s="475" t="s">
        <v>7</v>
      </c>
      <c r="C16" s="473" t="s">
        <v>21</v>
      </c>
      <c r="D16" s="473"/>
      <c r="E16" s="473"/>
      <c r="F16" s="473"/>
      <c r="G16" s="473"/>
      <c r="H16" s="473"/>
      <c r="I16" s="473"/>
      <c r="J16" s="474"/>
      <c r="K16" s="40"/>
      <c r="L16" s="275" t="s">
        <v>1304</v>
      </c>
      <c r="M16" s="208" t="s">
        <v>1300</v>
      </c>
      <c r="N16" s="209"/>
      <c r="O16" s="40"/>
      <c r="P16" s="40"/>
      <c r="Q16" s="40"/>
      <c r="R16" s="40"/>
      <c r="S16" s="40"/>
      <c r="T16" s="40"/>
      <c r="U16" s="40"/>
      <c r="V16" s="40"/>
      <c r="W16" s="40"/>
      <c r="X16" s="40"/>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40"/>
      <c r="AX16" s="40"/>
      <c r="AY16" s="40"/>
      <c r="AZ16" s="40"/>
    </row>
    <row r="17" spans="1:52" ht="18" customHeight="1">
      <c r="A17" s="40"/>
      <c r="B17" s="475" t="s">
        <v>9</v>
      </c>
      <c r="C17" s="473" t="s">
        <v>23</v>
      </c>
      <c r="D17" s="473"/>
      <c r="E17" s="473"/>
      <c r="F17" s="473"/>
      <c r="G17" s="473"/>
      <c r="H17" s="473"/>
      <c r="I17" s="473"/>
      <c r="J17" s="474"/>
      <c r="K17" s="40"/>
      <c r="L17" s="275" t="s">
        <v>1305</v>
      </c>
      <c r="M17" s="208" t="s">
        <v>22</v>
      </c>
      <c r="N17" s="209"/>
      <c r="O17" s="40"/>
      <c r="P17" s="40"/>
      <c r="Q17" s="40"/>
      <c r="R17" s="40"/>
      <c r="S17" s="40"/>
      <c r="T17" s="40"/>
      <c r="U17" s="40"/>
      <c r="V17" s="40"/>
      <c r="W17" s="40"/>
      <c r="X17" s="40"/>
      <c r="Y17" s="40"/>
      <c r="Z17" s="40"/>
      <c r="AA17" s="40"/>
      <c r="AB17" s="40"/>
      <c r="AC17" s="40"/>
      <c r="AD17" s="40"/>
      <c r="AE17" s="40"/>
      <c r="AF17" s="40"/>
      <c r="AG17" s="40"/>
      <c r="AH17" s="40"/>
      <c r="AI17" s="40"/>
      <c r="AJ17" s="40"/>
      <c r="AK17" s="40"/>
      <c r="AL17" s="40"/>
      <c r="AM17" s="40"/>
      <c r="AN17" s="40"/>
      <c r="AO17" s="40"/>
      <c r="AP17" s="40"/>
      <c r="AQ17" s="40"/>
      <c r="AR17" s="40"/>
      <c r="AS17" s="40"/>
      <c r="AT17" s="40"/>
      <c r="AU17" s="40"/>
      <c r="AV17" s="40"/>
      <c r="AW17" s="40"/>
      <c r="AX17" s="40"/>
      <c r="AY17" s="40"/>
      <c r="AZ17" s="40"/>
    </row>
    <row r="18" spans="1:52" ht="16.5" customHeight="1">
      <c r="A18" s="40"/>
      <c r="B18" s="475" t="s">
        <v>10</v>
      </c>
      <c r="C18" s="473" t="s">
        <v>25</v>
      </c>
      <c r="D18" s="473"/>
      <c r="E18" s="473"/>
      <c r="F18" s="473"/>
      <c r="G18" s="473"/>
      <c r="H18" s="473"/>
      <c r="I18" s="473"/>
      <c r="J18" s="474"/>
      <c r="K18" s="40"/>
      <c r="L18" s="275" t="s">
        <v>1306</v>
      </c>
      <c r="M18" s="208" t="s">
        <v>26</v>
      </c>
      <c r="N18" s="209"/>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row>
    <row r="19" spans="1:52" ht="18" customHeight="1">
      <c r="A19" s="40"/>
      <c r="B19" s="475"/>
      <c r="C19" s="473"/>
      <c r="D19" s="473"/>
      <c r="E19" s="473"/>
      <c r="F19" s="473"/>
      <c r="G19" s="473"/>
      <c r="H19" s="473"/>
      <c r="I19" s="473"/>
      <c r="J19" s="474"/>
      <c r="K19" s="40"/>
      <c r="L19" s="275" t="s">
        <v>1307</v>
      </c>
      <c r="M19" s="208" t="s">
        <v>24</v>
      </c>
      <c r="N19" s="209"/>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row>
    <row r="20" spans="1:52" ht="18" customHeight="1">
      <c r="A20" s="40"/>
      <c r="B20" s="472" t="s">
        <v>28</v>
      </c>
      <c r="C20" s="473"/>
      <c r="D20" s="473"/>
      <c r="E20" s="473"/>
      <c r="F20" s="473"/>
      <c r="G20" s="473"/>
      <c r="H20" s="473"/>
      <c r="I20" s="473"/>
      <c r="J20" s="474"/>
      <c r="K20" s="40"/>
      <c r="L20" s="275" t="s">
        <v>1308</v>
      </c>
      <c r="M20" s="208" t="s">
        <v>27</v>
      </c>
      <c r="N20" s="209"/>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row>
    <row r="21" spans="1:52" ht="18" customHeight="1">
      <c r="A21" s="40"/>
      <c r="B21" s="475" t="s">
        <v>3</v>
      </c>
      <c r="C21" s="473" t="s">
        <v>29</v>
      </c>
      <c r="D21" s="473"/>
      <c r="E21" s="473"/>
      <c r="F21" s="473"/>
      <c r="G21" s="473"/>
      <c r="H21" s="473"/>
      <c r="I21" s="473"/>
      <c r="J21" s="474"/>
      <c r="K21" s="40"/>
      <c r="L21" s="275" t="s">
        <v>1309</v>
      </c>
      <c r="M21" s="208" t="s">
        <v>1313</v>
      </c>
      <c r="N21" s="209"/>
      <c r="O21" s="40"/>
      <c r="P21" s="40"/>
      <c r="Q21" s="40"/>
      <c r="R21" s="40"/>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row>
    <row r="22" spans="1:52" ht="18" customHeight="1">
      <c r="A22" s="40"/>
      <c r="B22" s="475" t="s">
        <v>31</v>
      </c>
      <c r="C22" s="473" t="s">
        <v>32</v>
      </c>
      <c r="D22" s="473"/>
      <c r="E22" s="473"/>
      <c r="F22" s="473"/>
      <c r="G22" s="473"/>
      <c r="H22" s="473"/>
      <c r="I22" s="473"/>
      <c r="J22" s="474"/>
      <c r="K22" s="40"/>
      <c r="L22" s="275" t="s">
        <v>1310</v>
      </c>
      <c r="M22" s="208" t="s">
        <v>34</v>
      </c>
      <c r="N22" s="209"/>
      <c r="O22" s="40"/>
      <c r="P22" s="40"/>
      <c r="Q22" s="40"/>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row>
    <row r="23" spans="1:52" ht="18" customHeight="1">
      <c r="A23" s="40"/>
      <c r="B23" s="475" t="s">
        <v>7</v>
      </c>
      <c r="C23" s="473" t="s">
        <v>33</v>
      </c>
      <c r="D23" s="473"/>
      <c r="E23" s="473"/>
      <c r="F23" s="473"/>
      <c r="G23" s="473"/>
      <c r="H23" s="473"/>
      <c r="I23" s="473"/>
      <c r="J23" s="474"/>
      <c r="K23" s="40"/>
      <c r="L23" s="275" t="s">
        <v>1311</v>
      </c>
      <c r="M23" s="208" t="s">
        <v>36</v>
      </c>
      <c r="N23" s="209"/>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row>
    <row r="24" spans="1:52" ht="18" customHeight="1">
      <c r="A24" s="40"/>
      <c r="B24" s="475"/>
      <c r="C24" s="473"/>
      <c r="D24" s="473"/>
      <c r="E24" s="473"/>
      <c r="F24" s="473"/>
      <c r="G24" s="473"/>
      <c r="H24" s="473"/>
      <c r="I24" s="473"/>
      <c r="J24" s="474"/>
      <c r="K24" s="40"/>
      <c r="L24" s="275" t="s">
        <v>1312</v>
      </c>
      <c r="M24" s="208" t="s">
        <v>1301</v>
      </c>
      <c r="N24" s="209"/>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row>
    <row r="25" spans="1:52" ht="18" customHeight="1">
      <c r="A25" s="40"/>
      <c r="B25" s="477" t="s">
        <v>35</v>
      </c>
      <c r="C25" s="473"/>
      <c r="D25" s="473"/>
      <c r="E25" s="473"/>
      <c r="F25" s="478"/>
      <c r="G25" s="478"/>
      <c r="H25" s="473"/>
      <c r="I25" s="473"/>
      <c r="J25" s="474"/>
      <c r="K25" s="40"/>
      <c r="L25" s="207"/>
      <c r="M25" s="208"/>
      <c r="N25" s="209"/>
      <c r="O25" s="40"/>
      <c r="P25" s="40"/>
      <c r="Q25" s="40"/>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row>
    <row r="26" spans="1:52" ht="18" customHeight="1">
      <c r="A26" s="40"/>
      <c r="B26" s="472"/>
      <c r="C26" s="510" t="s">
        <v>1265</v>
      </c>
      <c r="D26" s="1691" t="s">
        <v>1388</v>
      </c>
      <c r="E26" s="479"/>
      <c r="F26" s="473"/>
      <c r="G26" s="473"/>
      <c r="H26" s="479"/>
      <c r="I26" s="473"/>
      <c r="J26" s="474"/>
      <c r="K26" s="40"/>
      <c r="L26" s="265" t="s">
        <v>37</v>
      </c>
      <c r="M26" s="208"/>
      <c r="N26" s="209"/>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row>
    <row r="27" spans="1:52" ht="18" customHeight="1">
      <c r="A27" s="40"/>
      <c r="B27" s="472"/>
      <c r="C27" s="510" t="s">
        <v>1266</v>
      </c>
      <c r="D27" s="1692" t="s">
        <v>1267</v>
      </c>
      <c r="E27" s="510" t="s">
        <v>1268</v>
      </c>
      <c r="F27" s="1692" t="s">
        <v>1269</v>
      </c>
      <c r="G27" s="473"/>
      <c r="H27" s="479"/>
      <c r="I27" s="473"/>
      <c r="J27" s="474"/>
      <c r="K27" s="40"/>
      <c r="L27" s="265" t="s">
        <v>38</v>
      </c>
      <c r="M27" s="208"/>
      <c r="N27" s="209"/>
      <c r="O27" s="40"/>
      <c r="P27" s="40"/>
      <c r="Q27" s="40"/>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row>
    <row r="28" spans="1:52" ht="18" customHeight="1" thickBot="1">
      <c r="A28" s="40"/>
      <c r="B28" s="472"/>
      <c r="C28" s="473"/>
      <c r="D28" s="473"/>
      <c r="E28" s="473"/>
      <c r="F28" s="473"/>
      <c r="G28" s="473"/>
      <c r="H28" s="479"/>
      <c r="I28" s="473"/>
      <c r="J28" s="474"/>
      <c r="K28" s="40"/>
      <c r="L28" s="266"/>
      <c r="M28" s="267"/>
      <c r="N28" s="268"/>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row>
    <row r="29" spans="1:52" ht="18" customHeight="1" thickBot="1">
      <c r="A29" s="40"/>
      <c r="B29" s="480"/>
      <c r="C29" s="481"/>
      <c r="D29" s="481"/>
      <c r="E29" s="481"/>
      <c r="F29" s="481"/>
      <c r="G29" s="481"/>
      <c r="H29" s="481"/>
      <c r="I29" s="482"/>
      <c r="J29" s="483"/>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row>
    <row r="30" spans="1:52" ht="18" customHeight="1">
      <c r="A30" s="40"/>
      <c r="B30" s="484"/>
      <c r="C30" s="484"/>
      <c r="D30" s="484"/>
      <c r="E30" s="484"/>
      <c r="F30" s="484"/>
      <c r="G30" s="484"/>
      <c r="H30" s="484"/>
      <c r="I30" s="484"/>
      <c r="J30" s="484"/>
      <c r="K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row>
    <row r="31" spans="1:52" ht="18" customHeight="1" thickBot="1">
      <c r="A31" s="40"/>
      <c r="B31" s="484"/>
      <c r="C31" s="484"/>
      <c r="D31" s="484"/>
      <c r="E31" s="484"/>
      <c r="F31" s="484"/>
      <c r="G31" s="484"/>
      <c r="H31" s="484"/>
      <c r="I31" s="484"/>
      <c r="J31" s="484"/>
      <c r="K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row>
    <row r="32" spans="1:52" ht="18" customHeight="1">
      <c r="A32" s="40"/>
      <c r="B32" s="485"/>
      <c r="C32" s="486"/>
      <c r="D32" s="486"/>
      <c r="E32" s="486"/>
      <c r="F32" s="486"/>
      <c r="G32" s="486"/>
      <c r="H32" s="486"/>
      <c r="I32" s="486"/>
      <c r="J32" s="487"/>
      <c r="K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row>
    <row r="33" spans="1:52" ht="18" customHeight="1">
      <c r="A33" s="40"/>
      <c r="B33" s="488"/>
      <c r="C33" s="479"/>
      <c r="D33" s="479"/>
      <c r="E33" s="479"/>
      <c r="F33" s="489" t="s">
        <v>39</v>
      </c>
      <c r="G33" s="479"/>
      <c r="H33" s="479"/>
      <c r="I33" s="479"/>
      <c r="J33" s="490"/>
      <c r="K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row>
    <row r="34" spans="1:52" ht="18" customHeight="1">
      <c r="A34" s="40"/>
      <c r="B34" s="488" t="s">
        <v>40</v>
      </c>
      <c r="C34" s="479"/>
      <c r="D34" s="491" t="s">
        <v>41</v>
      </c>
      <c r="E34" s="479"/>
      <c r="F34" s="479"/>
      <c r="G34" s="479"/>
      <c r="H34" s="479"/>
      <c r="I34" s="479"/>
      <c r="J34" s="490"/>
      <c r="K34" s="40"/>
      <c r="O34" s="40"/>
      <c r="P34" s="40"/>
      <c r="Q34" s="40"/>
      <c r="R34" s="40"/>
      <c r="S34" s="40"/>
      <c r="T34" s="40"/>
      <c r="U34" s="40"/>
      <c r="V34" s="40"/>
      <c r="W34" s="40"/>
      <c r="X34" s="40"/>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row>
    <row r="35" spans="1:52" ht="18" customHeight="1">
      <c r="A35" s="40"/>
      <c r="B35" s="488" t="s">
        <v>42</v>
      </c>
      <c r="C35" s="479"/>
      <c r="D35" s="492">
        <v>43578</v>
      </c>
      <c r="E35" s="479"/>
      <c r="F35" s="479"/>
      <c r="G35" s="479"/>
      <c r="H35" s="479"/>
      <c r="I35" s="479"/>
      <c r="J35" s="490"/>
      <c r="K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c r="AW35" s="40"/>
      <c r="AX35" s="40"/>
      <c r="AY35" s="40"/>
      <c r="AZ35" s="40"/>
    </row>
    <row r="36" spans="1:52" ht="18" customHeight="1">
      <c r="A36" s="40"/>
      <c r="B36" s="488" t="s">
        <v>43</v>
      </c>
      <c r="C36" s="479"/>
      <c r="D36" s="491"/>
      <c r="E36" s="479"/>
      <c r="F36" s="479"/>
      <c r="G36" s="479"/>
      <c r="H36" s="479"/>
      <c r="I36" s="479"/>
      <c r="J36" s="490"/>
      <c r="K36" s="40"/>
      <c r="O36" s="40"/>
      <c r="P36" s="40"/>
      <c r="Q36" s="40"/>
      <c r="R36" s="40"/>
      <c r="S36" s="40"/>
      <c r="T36" s="40"/>
      <c r="U36" s="40"/>
      <c r="V36" s="40"/>
      <c r="W36" s="40"/>
      <c r="X36" s="40"/>
      <c r="Y36" s="40"/>
      <c r="Z36" s="40"/>
      <c r="AA36" s="40"/>
      <c r="AB36" s="40"/>
      <c r="AC36" s="40"/>
      <c r="AD36" s="40"/>
      <c r="AE36" s="40"/>
      <c r="AF36" s="40"/>
      <c r="AG36" s="40"/>
      <c r="AH36" s="40"/>
      <c r="AI36" s="40"/>
      <c r="AJ36" s="40"/>
      <c r="AK36" s="40"/>
      <c r="AL36" s="40"/>
      <c r="AM36" s="40"/>
      <c r="AN36" s="40"/>
      <c r="AO36" s="40"/>
      <c r="AP36" s="40"/>
      <c r="AQ36" s="40"/>
      <c r="AR36" s="40"/>
      <c r="AS36" s="40"/>
      <c r="AT36" s="40"/>
      <c r="AU36" s="40"/>
      <c r="AV36" s="40"/>
      <c r="AW36" s="40"/>
      <c r="AX36" s="40"/>
      <c r="AY36" s="40"/>
      <c r="AZ36" s="40"/>
    </row>
    <row r="37" spans="1:52" ht="18" customHeight="1">
      <c r="A37" s="40"/>
      <c r="B37" s="488"/>
      <c r="C37" s="479"/>
      <c r="D37" s="491"/>
      <c r="E37" s="479"/>
      <c r="F37" s="479"/>
      <c r="G37" s="479"/>
      <c r="H37" s="479"/>
      <c r="I37" s="479"/>
      <c r="J37" s="490"/>
      <c r="K37" s="40"/>
      <c r="P37" s="40"/>
      <c r="Q37" s="40"/>
      <c r="R37" s="40"/>
      <c r="S37" s="40"/>
      <c r="T37" s="40"/>
      <c r="U37" s="40"/>
      <c r="V37" s="40"/>
      <c r="W37" s="40"/>
      <c r="X37" s="40"/>
      <c r="Y37" s="40"/>
      <c r="Z37" s="40"/>
      <c r="AA37" s="40"/>
      <c r="AB37" s="40"/>
      <c r="AC37" s="40"/>
      <c r="AD37" s="40"/>
      <c r="AE37" s="40"/>
      <c r="AF37" s="40"/>
      <c r="AG37" s="40"/>
      <c r="AH37" s="40"/>
      <c r="AI37" s="40"/>
      <c r="AJ37" s="40"/>
      <c r="AK37" s="40"/>
      <c r="AL37" s="40"/>
      <c r="AM37" s="40"/>
      <c r="AN37" s="40"/>
      <c r="AO37" s="40"/>
      <c r="AP37" s="40"/>
      <c r="AQ37" s="40"/>
      <c r="AR37" s="40"/>
      <c r="AS37" s="40"/>
      <c r="AT37" s="40"/>
      <c r="AU37" s="40"/>
      <c r="AV37" s="40"/>
      <c r="AW37" s="40"/>
      <c r="AX37" s="40"/>
      <c r="AY37" s="40"/>
      <c r="AZ37" s="40"/>
    </row>
    <row r="38" spans="1:52" ht="18" customHeight="1">
      <c r="A38" s="40"/>
      <c r="B38" s="488" t="s">
        <v>44</v>
      </c>
      <c r="C38" s="479"/>
      <c r="D38" s="491"/>
      <c r="E38" s="479"/>
      <c r="F38" s="479"/>
      <c r="G38" s="479"/>
      <c r="H38" s="479"/>
      <c r="I38" s="479"/>
      <c r="J38" s="490"/>
      <c r="K38" s="40"/>
      <c r="L38" s="40"/>
      <c r="M38" s="40"/>
      <c r="N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row>
    <row r="39" spans="1:52" ht="18" customHeight="1">
      <c r="A39" s="40"/>
      <c r="B39" s="488"/>
      <c r="C39" s="479" t="s">
        <v>1270</v>
      </c>
      <c r="D39" s="491"/>
      <c r="E39" s="479"/>
      <c r="F39" s="479"/>
      <c r="G39" s="479"/>
      <c r="H39" s="479"/>
      <c r="I39" s="479"/>
      <c r="J39" s="490"/>
      <c r="K39" s="40"/>
      <c r="L39" s="40"/>
      <c r="M39" s="40"/>
      <c r="N39" s="40"/>
      <c r="P39" s="40"/>
      <c r="Q39" s="40"/>
      <c r="R39" s="40"/>
      <c r="S39" s="40"/>
      <c r="T39" s="40"/>
      <c r="U39" s="40"/>
      <c r="V39" s="40"/>
      <c r="W39" s="40"/>
      <c r="X39" s="40"/>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row>
    <row r="40" spans="1:52" ht="18" customHeight="1">
      <c r="A40" s="40"/>
      <c r="B40" s="488"/>
      <c r="C40" s="479" t="s">
        <v>1271</v>
      </c>
      <c r="D40" s="491"/>
      <c r="E40" s="479"/>
      <c r="F40" s="479"/>
      <c r="G40" s="479"/>
      <c r="H40" s="479"/>
      <c r="I40" s="479"/>
      <c r="J40" s="490"/>
      <c r="K40" s="40"/>
      <c r="L40" s="40"/>
      <c r="M40" s="40"/>
      <c r="N40" s="40"/>
      <c r="P40" s="40"/>
      <c r="Q40" s="40"/>
      <c r="R40" s="40"/>
      <c r="S40" s="40"/>
      <c r="T40" s="40"/>
      <c r="U40" s="40"/>
      <c r="V40" s="40"/>
      <c r="W40" s="40"/>
      <c r="X40" s="40"/>
      <c r="Y40" s="40"/>
      <c r="Z40" s="40"/>
      <c r="AA40" s="40"/>
      <c r="AB40" s="40"/>
      <c r="AC40" s="40"/>
      <c r="AD40" s="40"/>
      <c r="AE40" s="40"/>
      <c r="AF40" s="40"/>
      <c r="AG40" s="40"/>
      <c r="AH40" s="40"/>
      <c r="AI40" s="40"/>
      <c r="AJ40" s="40"/>
      <c r="AK40" s="40"/>
      <c r="AL40" s="40"/>
      <c r="AM40" s="40"/>
      <c r="AN40" s="40"/>
      <c r="AO40" s="40"/>
      <c r="AP40" s="40"/>
      <c r="AQ40" s="40"/>
      <c r="AR40" s="40"/>
      <c r="AS40" s="40"/>
      <c r="AT40" s="40"/>
      <c r="AU40" s="40"/>
      <c r="AV40" s="40"/>
      <c r="AW40" s="40"/>
      <c r="AX40" s="40"/>
      <c r="AY40" s="40"/>
      <c r="AZ40" s="40"/>
    </row>
    <row r="41" spans="1:52" ht="18" customHeight="1">
      <c r="A41" s="40"/>
      <c r="B41" s="488"/>
      <c r="C41" s="479" t="s">
        <v>1272</v>
      </c>
      <c r="D41" s="479"/>
      <c r="E41" s="479"/>
      <c r="F41" s="479"/>
      <c r="G41" s="479"/>
      <c r="H41" s="479"/>
      <c r="I41" s="479"/>
      <c r="J41" s="490"/>
      <c r="K41" s="40"/>
      <c r="L41" s="40"/>
      <c r="M41" s="40"/>
      <c r="N41" s="40"/>
      <c r="P41" s="40"/>
      <c r="Q41" s="40"/>
      <c r="R41" s="40"/>
      <c r="S41" s="40"/>
      <c r="T41" s="40"/>
      <c r="U41" s="40"/>
      <c r="V41" s="40"/>
      <c r="W41" s="40"/>
      <c r="X41" s="40"/>
      <c r="Y41" s="40"/>
      <c r="Z41" s="40"/>
      <c r="AA41" s="40"/>
      <c r="AB41" s="40"/>
      <c r="AC41" s="40"/>
      <c r="AD41" s="40"/>
      <c r="AE41" s="40"/>
      <c r="AF41" s="40"/>
      <c r="AG41" s="40"/>
      <c r="AH41" s="40"/>
      <c r="AI41" s="40"/>
      <c r="AJ41" s="40"/>
      <c r="AK41" s="40"/>
      <c r="AL41" s="40"/>
      <c r="AM41" s="40"/>
      <c r="AN41" s="40"/>
      <c r="AO41" s="40"/>
      <c r="AP41" s="40"/>
      <c r="AQ41" s="40"/>
      <c r="AR41" s="40"/>
      <c r="AS41" s="40"/>
      <c r="AT41" s="40"/>
      <c r="AU41" s="40"/>
      <c r="AV41" s="40"/>
      <c r="AW41" s="40"/>
      <c r="AX41" s="40"/>
      <c r="AY41" s="40"/>
      <c r="AZ41" s="40"/>
    </row>
    <row r="42" spans="1:52" ht="18" customHeight="1">
      <c r="A42" s="40"/>
      <c r="B42" s="488"/>
      <c r="C42" s="479"/>
      <c r="D42" s="479"/>
      <c r="E42" s="479"/>
      <c r="F42" s="479"/>
      <c r="G42" s="479"/>
      <c r="H42" s="479"/>
      <c r="I42" s="479"/>
      <c r="J42" s="490"/>
      <c r="K42" s="40"/>
      <c r="L42" s="40"/>
      <c r="M42" s="40"/>
      <c r="N42" s="40"/>
      <c r="P42" s="40"/>
      <c r="Q42" s="40"/>
      <c r="R42" s="40"/>
      <c r="S42" s="40"/>
      <c r="T42" s="40"/>
      <c r="U42" s="40"/>
      <c r="V42" s="40"/>
      <c r="W42" s="40"/>
      <c r="X42" s="40"/>
      <c r="Y42" s="40"/>
      <c r="Z42" s="40"/>
      <c r="AA42" s="40"/>
      <c r="AB42" s="40"/>
      <c r="AC42" s="40"/>
      <c r="AD42" s="40"/>
      <c r="AE42" s="40"/>
      <c r="AF42" s="40"/>
      <c r="AG42" s="40"/>
      <c r="AH42" s="40"/>
      <c r="AI42" s="40"/>
      <c r="AJ42" s="40"/>
      <c r="AK42" s="40"/>
      <c r="AL42" s="40"/>
      <c r="AM42" s="40"/>
      <c r="AN42" s="40"/>
      <c r="AO42" s="40"/>
      <c r="AP42" s="40"/>
      <c r="AQ42" s="40"/>
      <c r="AR42" s="40"/>
      <c r="AS42" s="40"/>
      <c r="AT42" s="40"/>
      <c r="AU42" s="40"/>
      <c r="AV42" s="40"/>
      <c r="AW42" s="40"/>
      <c r="AX42" s="40"/>
      <c r="AY42" s="40"/>
      <c r="AZ42" s="40"/>
    </row>
    <row r="43" spans="1:52" ht="18" customHeight="1" thickBot="1">
      <c r="A43" s="40"/>
      <c r="B43" s="499"/>
      <c r="C43" s="481"/>
      <c r="D43" s="481"/>
      <c r="E43" s="481"/>
      <c r="F43" s="481"/>
      <c r="G43" s="481"/>
      <c r="H43" s="481"/>
      <c r="I43" s="481"/>
      <c r="J43" s="500"/>
      <c r="K43" s="40"/>
      <c r="L43" s="40"/>
      <c r="M43" s="40"/>
      <c r="N43" s="40"/>
      <c r="P43" s="40"/>
      <c r="Q43" s="40"/>
      <c r="R43" s="40"/>
      <c r="S43" s="40"/>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row>
    <row r="44" spans="1:52" ht="18" customHeight="1">
      <c r="A44" s="40"/>
      <c r="B44" s="40"/>
      <c r="C44" s="40"/>
      <c r="D44" s="40"/>
      <c r="E44" s="40"/>
      <c r="F44" s="40"/>
      <c r="G44" s="40"/>
      <c r="H44" s="40"/>
      <c r="I44" s="40"/>
      <c r="J44" s="40"/>
      <c r="K44" s="40"/>
      <c r="L44" s="40"/>
      <c r="M44" s="40"/>
      <c r="N44" s="40"/>
      <c r="P44" s="40"/>
      <c r="Q44" s="40"/>
      <c r="R44" s="40"/>
      <c r="S44" s="40"/>
      <c r="T44" s="40"/>
      <c r="U44" s="40"/>
      <c r="V44" s="40"/>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row>
    <row r="45" spans="1:52" ht="18" customHeight="1" thickBot="1">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row>
    <row r="46" spans="1:52" ht="18" customHeight="1">
      <c r="A46" s="40"/>
      <c r="B46" s="198"/>
      <c r="C46" s="199"/>
      <c r="D46" s="199"/>
      <c r="E46" s="199"/>
      <c r="F46" s="199"/>
      <c r="G46" s="199"/>
      <c r="H46" s="199"/>
      <c r="I46" s="199"/>
      <c r="J46" s="200"/>
      <c r="K46" s="40"/>
      <c r="L46" s="40"/>
      <c r="M46" s="40"/>
      <c r="N46" s="40"/>
      <c r="O46" s="40"/>
      <c r="P46" s="40"/>
      <c r="Q46" s="40"/>
      <c r="R46" s="40"/>
      <c r="S46" s="40"/>
      <c r="T46" s="40"/>
      <c r="U46" s="40"/>
      <c r="V46" s="40"/>
      <c r="W46" s="40"/>
      <c r="X46" s="40"/>
      <c r="Y46" s="40"/>
      <c r="Z46" s="40"/>
      <c r="AA46" s="40"/>
      <c r="AB46" s="40"/>
      <c r="AC46" s="40"/>
      <c r="AD46" s="40"/>
      <c r="AE46" s="40"/>
      <c r="AF46" s="40"/>
      <c r="AG46" s="40"/>
      <c r="AH46" s="40"/>
      <c r="AI46" s="40"/>
      <c r="AJ46" s="40"/>
      <c r="AK46" s="40"/>
      <c r="AL46" s="40"/>
      <c r="AM46" s="40"/>
      <c r="AN46" s="40"/>
      <c r="AO46" s="40"/>
      <c r="AP46" s="40"/>
      <c r="AQ46" s="40"/>
      <c r="AR46" s="40"/>
      <c r="AS46" s="40"/>
      <c r="AT46" s="40"/>
      <c r="AU46" s="40"/>
      <c r="AV46" s="40"/>
      <c r="AW46" s="40"/>
      <c r="AX46" s="40"/>
      <c r="AY46" s="40"/>
      <c r="AZ46" s="40"/>
    </row>
    <row r="47" spans="1:52" ht="18" customHeight="1">
      <c r="A47" s="40"/>
      <c r="B47" s="201"/>
      <c r="C47" s="202"/>
      <c r="D47" s="202"/>
      <c r="E47" s="202"/>
      <c r="F47" s="504" t="s">
        <v>45</v>
      </c>
      <c r="G47" s="202"/>
      <c r="H47" s="202"/>
      <c r="I47" s="202"/>
      <c r="J47" s="203"/>
      <c r="K47" s="40"/>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c r="AN47" s="40"/>
      <c r="AO47" s="40"/>
      <c r="AP47" s="40"/>
      <c r="AQ47" s="40"/>
      <c r="AR47" s="40"/>
      <c r="AS47" s="40"/>
      <c r="AT47" s="40"/>
      <c r="AU47" s="40"/>
      <c r="AV47" s="40"/>
      <c r="AW47" s="40"/>
      <c r="AX47" s="40"/>
      <c r="AY47" s="40"/>
      <c r="AZ47" s="40"/>
    </row>
    <row r="48" spans="1:52" ht="18" customHeight="1">
      <c r="A48" s="40"/>
      <c r="B48" s="488" t="s">
        <v>46</v>
      </c>
      <c r="C48" s="479"/>
      <c r="D48" s="479"/>
      <c r="E48" s="479"/>
      <c r="F48" s="489"/>
      <c r="G48" s="479"/>
      <c r="H48" s="479"/>
      <c r="I48" s="479"/>
      <c r="J48" s="49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row>
    <row r="49" spans="1:52" ht="18" customHeight="1">
      <c r="A49" s="40"/>
      <c r="B49" s="488"/>
      <c r="C49" s="505" t="s">
        <v>47</v>
      </c>
      <c r="D49" s="491"/>
      <c r="E49" s="479"/>
      <c r="F49" s="479"/>
      <c r="G49" s="479"/>
      <c r="H49" s="479"/>
      <c r="I49" s="479"/>
      <c r="J49" s="490"/>
      <c r="K49" s="40"/>
      <c r="L49" s="40"/>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c r="AZ49" s="40"/>
    </row>
    <row r="50" spans="1:52" ht="18" customHeight="1">
      <c r="A50" s="40"/>
      <c r="B50" s="488"/>
      <c r="C50" s="505" t="s">
        <v>48</v>
      </c>
      <c r="D50" s="491"/>
      <c r="E50" s="479"/>
      <c r="F50" s="479"/>
      <c r="G50" s="479"/>
      <c r="H50" s="479"/>
      <c r="I50" s="479"/>
      <c r="J50" s="490"/>
      <c r="K50" s="40"/>
      <c r="L50" s="40"/>
      <c r="M50" s="40"/>
      <c r="N50" s="40"/>
      <c r="O50" s="40"/>
      <c r="P50" s="40"/>
      <c r="Q50" s="40"/>
      <c r="R50" s="40"/>
      <c r="S50" s="40"/>
      <c r="T50" s="40"/>
      <c r="U50" s="40"/>
      <c r="V50" s="40"/>
      <c r="W50" s="40"/>
      <c r="X50" s="40"/>
      <c r="Y50" s="40"/>
      <c r="Z50" s="40"/>
      <c r="AA50" s="40"/>
      <c r="AB50" s="40"/>
      <c r="AC50" s="40"/>
      <c r="AD50" s="40"/>
      <c r="AE50" s="40"/>
      <c r="AF50" s="40"/>
      <c r="AG50" s="40"/>
      <c r="AH50" s="40"/>
      <c r="AI50" s="40"/>
      <c r="AJ50" s="40"/>
      <c r="AK50" s="40"/>
      <c r="AL50" s="40"/>
      <c r="AM50" s="40"/>
      <c r="AN50" s="40"/>
      <c r="AO50" s="40"/>
      <c r="AP50" s="40"/>
      <c r="AQ50" s="40"/>
      <c r="AR50" s="40"/>
      <c r="AS50" s="40"/>
      <c r="AT50" s="40"/>
      <c r="AU50" s="40"/>
      <c r="AV50" s="40"/>
      <c r="AW50" s="40"/>
      <c r="AX50" s="40"/>
      <c r="AY50" s="40"/>
      <c r="AZ50" s="40"/>
    </row>
    <row r="51" spans="1:52" ht="18" customHeight="1">
      <c r="A51" s="40"/>
      <c r="B51" s="488"/>
      <c r="C51" s="505" t="s">
        <v>49</v>
      </c>
      <c r="D51" s="491"/>
      <c r="E51" s="479"/>
      <c r="F51" s="479"/>
      <c r="G51" s="479"/>
      <c r="H51" s="479"/>
      <c r="I51" s="479"/>
      <c r="J51" s="49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c r="AW51" s="40"/>
      <c r="AX51" s="40"/>
      <c r="AY51" s="40"/>
      <c r="AZ51" s="40"/>
    </row>
    <row r="52" spans="1:52" ht="18" customHeight="1" thickBot="1">
      <c r="A52" s="40"/>
      <c r="B52" s="488" t="s">
        <v>50</v>
      </c>
      <c r="C52" s="505"/>
      <c r="D52" s="491"/>
      <c r="E52" s="479"/>
      <c r="F52" s="479"/>
      <c r="G52" s="479"/>
      <c r="H52" s="479"/>
      <c r="I52" s="479"/>
      <c r="J52" s="490"/>
      <c r="K52" s="40"/>
      <c r="L52" s="40"/>
      <c r="M52" s="40"/>
      <c r="N52" s="40"/>
      <c r="O52" s="40"/>
      <c r="P52" s="40"/>
      <c r="Q52" s="40"/>
      <c r="R52" s="40"/>
      <c r="S52" s="40"/>
      <c r="T52" s="40"/>
      <c r="U52" s="40"/>
      <c r="V52" s="40"/>
      <c r="W52" s="40"/>
      <c r="X52" s="40"/>
      <c r="Y52" s="40"/>
      <c r="Z52" s="40"/>
      <c r="AA52" s="40"/>
      <c r="AB52" s="40"/>
      <c r="AC52" s="40"/>
      <c r="AD52" s="40"/>
      <c r="AE52" s="40"/>
      <c r="AF52" s="40"/>
      <c r="AG52" s="40"/>
      <c r="AH52" s="40"/>
      <c r="AI52" s="40"/>
      <c r="AJ52" s="40"/>
      <c r="AK52" s="40"/>
      <c r="AL52" s="40"/>
      <c r="AM52" s="40"/>
      <c r="AN52" s="40"/>
      <c r="AO52" s="40"/>
      <c r="AP52" s="40"/>
      <c r="AQ52" s="40"/>
      <c r="AR52" s="40"/>
      <c r="AS52" s="40"/>
      <c r="AT52" s="40"/>
      <c r="AU52" s="40"/>
      <c r="AV52" s="40"/>
      <c r="AW52" s="40"/>
      <c r="AX52" s="40"/>
      <c r="AY52" s="40"/>
      <c r="AZ52" s="40"/>
    </row>
    <row r="53" spans="1:52" ht="18" customHeight="1">
      <c r="A53" s="40"/>
      <c r="B53" s="488"/>
      <c r="C53" s="505" t="s">
        <v>51</v>
      </c>
      <c r="D53" s="491"/>
      <c r="E53" s="479"/>
      <c r="F53" s="479"/>
      <c r="G53" s="165" t="s">
        <v>1273</v>
      </c>
      <c r="H53" s="166"/>
      <c r="I53" s="166"/>
      <c r="J53" s="167"/>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c r="AW53" s="40"/>
      <c r="AX53" s="40"/>
      <c r="AY53" s="40"/>
      <c r="AZ53" s="40"/>
    </row>
    <row r="54" spans="1:52" ht="18" customHeight="1">
      <c r="A54" s="40"/>
      <c r="B54" s="488"/>
      <c r="C54" s="505" t="s">
        <v>52</v>
      </c>
      <c r="D54" s="492"/>
      <c r="E54" s="479"/>
      <c r="F54" s="479"/>
      <c r="G54" s="224"/>
      <c r="H54" s="493" t="s">
        <v>820</v>
      </c>
      <c r="I54" s="494"/>
      <c r="J54" s="495"/>
      <c r="K54" s="40"/>
      <c r="L54" s="40"/>
      <c r="M54" s="40"/>
      <c r="N54" s="40"/>
      <c r="O54" s="40"/>
      <c r="P54" s="40"/>
      <c r="Q54" s="40"/>
      <c r="R54" s="40"/>
      <c r="S54" s="40"/>
      <c r="T54" s="40"/>
      <c r="U54" s="40"/>
      <c r="V54" s="40"/>
      <c r="W54" s="40"/>
      <c r="X54" s="40"/>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row>
    <row r="55" spans="1:52" ht="18" customHeight="1">
      <c r="A55" s="40"/>
      <c r="B55" s="488"/>
      <c r="C55" s="505" t="s">
        <v>53</v>
      </c>
      <c r="D55" s="491"/>
      <c r="E55" s="479"/>
      <c r="F55" s="479"/>
      <c r="G55" s="219"/>
      <c r="H55" s="496" t="s">
        <v>821</v>
      </c>
      <c r="I55" s="497"/>
      <c r="J55" s="498"/>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K55" s="40"/>
      <c r="AL55" s="40"/>
      <c r="AM55" s="40"/>
      <c r="AN55" s="40"/>
      <c r="AO55" s="40"/>
      <c r="AP55" s="40"/>
      <c r="AQ55" s="40"/>
      <c r="AR55" s="40"/>
      <c r="AS55" s="40"/>
      <c r="AT55" s="40"/>
      <c r="AU55" s="40"/>
      <c r="AV55" s="40"/>
      <c r="AW55" s="40"/>
      <c r="AX55" s="40"/>
      <c r="AY55" s="40"/>
      <c r="AZ55" s="40"/>
    </row>
    <row r="56" spans="1:52" ht="18" customHeight="1">
      <c r="A56" s="40"/>
      <c r="B56" s="488"/>
      <c r="C56" s="505" t="s">
        <v>54</v>
      </c>
      <c r="D56" s="491"/>
      <c r="E56" s="479"/>
      <c r="F56" s="479"/>
      <c r="G56" s="220"/>
      <c r="H56" s="496" t="s">
        <v>822</v>
      </c>
      <c r="I56" s="497"/>
      <c r="J56" s="498"/>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row>
    <row r="57" spans="1:52" ht="18" customHeight="1">
      <c r="A57" s="40"/>
      <c r="B57" s="488"/>
      <c r="C57" s="505" t="s">
        <v>55</v>
      </c>
      <c r="D57" s="491"/>
      <c r="E57" s="479"/>
      <c r="F57" s="479"/>
      <c r="G57" s="221"/>
      <c r="H57" s="496" t="s">
        <v>823</v>
      </c>
      <c r="I57" s="497"/>
      <c r="J57" s="498"/>
      <c r="K57" s="40"/>
      <c r="L57" s="40"/>
      <c r="M57" s="40"/>
      <c r="N57" s="40"/>
      <c r="O57" s="40"/>
      <c r="P57" s="40"/>
      <c r="Q57" s="40"/>
      <c r="R57" s="40"/>
      <c r="S57" s="40"/>
      <c r="T57" s="40"/>
      <c r="U57" s="40"/>
      <c r="V57" s="40"/>
      <c r="W57" s="40"/>
      <c r="X57" s="40"/>
      <c r="Y57" s="40"/>
      <c r="Z57" s="40"/>
      <c r="AA57" s="40"/>
      <c r="AB57" s="40"/>
      <c r="AC57" s="40"/>
      <c r="AD57" s="40"/>
      <c r="AE57" s="40"/>
      <c r="AF57" s="40"/>
      <c r="AG57" s="40"/>
      <c r="AH57" s="40"/>
      <c r="AI57" s="40"/>
      <c r="AJ57" s="40"/>
      <c r="AK57" s="40"/>
      <c r="AL57" s="40"/>
      <c r="AM57" s="40"/>
      <c r="AN57" s="40"/>
      <c r="AO57" s="40"/>
      <c r="AP57" s="40"/>
      <c r="AQ57" s="40"/>
      <c r="AR57" s="40"/>
      <c r="AS57" s="40"/>
      <c r="AT57" s="40"/>
      <c r="AU57" s="40"/>
      <c r="AV57" s="40"/>
      <c r="AW57" s="40"/>
      <c r="AX57" s="40"/>
      <c r="AY57" s="40"/>
      <c r="AZ57" s="40"/>
    </row>
    <row r="58" spans="1:52" ht="18" customHeight="1">
      <c r="A58" s="40"/>
      <c r="B58" s="488"/>
      <c r="C58" s="505" t="s">
        <v>56</v>
      </c>
      <c r="D58" s="491"/>
      <c r="E58" s="479"/>
      <c r="F58" s="479"/>
      <c r="G58" s="222"/>
      <c r="H58" s="496" t="s">
        <v>824</v>
      </c>
      <c r="I58" s="497"/>
      <c r="J58" s="498"/>
      <c r="K58" s="40"/>
      <c r="L58" s="40"/>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c r="AW58" s="40"/>
      <c r="AX58" s="40"/>
      <c r="AY58" s="40"/>
      <c r="AZ58" s="40"/>
    </row>
    <row r="59" spans="1:52" ht="18" customHeight="1" thickBot="1">
      <c r="A59" s="40"/>
      <c r="B59" s="488"/>
      <c r="C59" s="505" t="s">
        <v>57</v>
      </c>
      <c r="D59" s="491"/>
      <c r="E59" s="479"/>
      <c r="F59" s="479"/>
      <c r="G59" s="223"/>
      <c r="H59" s="501" t="s">
        <v>1274</v>
      </c>
      <c r="I59" s="502"/>
      <c r="J59" s="503"/>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row>
    <row r="60" spans="1:52" ht="18" customHeight="1">
      <c r="A60" s="40"/>
      <c r="B60" s="488"/>
      <c r="C60" s="505" t="s">
        <v>58</v>
      </c>
      <c r="D60" s="491"/>
      <c r="E60" s="479"/>
      <c r="F60" s="479"/>
      <c r="G60" s="479"/>
      <c r="H60" s="479"/>
      <c r="I60" s="479"/>
      <c r="J60" s="49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c r="AW60" s="40"/>
      <c r="AX60" s="40"/>
      <c r="AY60" s="40"/>
      <c r="AZ60" s="40"/>
    </row>
    <row r="61" spans="1:52" ht="18" customHeight="1">
      <c r="A61" s="40"/>
      <c r="B61" s="488"/>
      <c r="C61" s="505" t="s">
        <v>59</v>
      </c>
      <c r="D61" s="491"/>
      <c r="E61" s="479"/>
      <c r="F61" s="479"/>
      <c r="G61" s="479"/>
      <c r="H61" s="479"/>
      <c r="I61" s="479"/>
      <c r="J61" s="490"/>
      <c r="K61" s="40"/>
      <c r="L61" s="40"/>
      <c r="M61" s="40"/>
      <c r="N61" s="40"/>
      <c r="O61" s="40"/>
      <c r="P61" s="40"/>
      <c r="Q61" s="40"/>
      <c r="R61" s="40"/>
      <c r="S61" s="40"/>
      <c r="T61" s="40"/>
      <c r="U61" s="40"/>
      <c r="V61" s="40"/>
      <c r="W61" s="40"/>
      <c r="X61" s="40"/>
      <c r="Y61" s="40"/>
      <c r="Z61" s="40"/>
      <c r="AA61" s="40"/>
      <c r="AB61" s="40"/>
      <c r="AC61" s="40"/>
      <c r="AD61" s="40"/>
      <c r="AE61" s="40"/>
      <c r="AF61" s="40"/>
      <c r="AG61" s="40"/>
      <c r="AH61" s="40"/>
      <c r="AI61" s="40"/>
      <c r="AJ61" s="40"/>
      <c r="AK61" s="40"/>
      <c r="AL61" s="40"/>
      <c r="AM61" s="40"/>
      <c r="AN61" s="40"/>
      <c r="AO61" s="40"/>
      <c r="AP61" s="40"/>
      <c r="AQ61" s="40"/>
      <c r="AR61" s="40"/>
      <c r="AS61" s="40"/>
      <c r="AT61" s="40"/>
      <c r="AU61" s="40"/>
      <c r="AV61" s="40"/>
      <c r="AW61" s="40"/>
      <c r="AX61" s="40"/>
      <c r="AY61" s="40"/>
      <c r="AZ61" s="40"/>
    </row>
    <row r="62" spans="1:52" ht="18" customHeight="1">
      <c r="A62" s="40"/>
      <c r="B62" s="488" t="s">
        <v>60</v>
      </c>
      <c r="C62" s="505"/>
      <c r="D62" s="491"/>
      <c r="E62" s="479"/>
      <c r="F62" s="479"/>
      <c r="G62" s="479"/>
      <c r="H62" s="479"/>
      <c r="I62" s="479"/>
      <c r="J62" s="490"/>
      <c r="K62" s="40"/>
      <c r="L62" s="40"/>
      <c r="M62" s="40"/>
      <c r="N62" s="40"/>
      <c r="O62" s="40"/>
      <c r="P62" s="40"/>
      <c r="Q62" s="40"/>
      <c r="R62" s="40"/>
      <c r="S62" s="40"/>
      <c r="T62" s="40"/>
      <c r="U62" s="40"/>
      <c r="V62" s="40"/>
      <c r="W62" s="40"/>
      <c r="X62" s="40"/>
      <c r="Y62" s="40"/>
      <c r="Z62" s="40"/>
      <c r="AA62" s="40"/>
      <c r="AB62" s="40"/>
      <c r="AC62" s="40"/>
      <c r="AD62" s="40"/>
      <c r="AE62" s="40"/>
      <c r="AF62" s="40"/>
      <c r="AG62" s="40"/>
      <c r="AH62" s="40"/>
      <c r="AI62" s="40"/>
      <c r="AJ62" s="40"/>
      <c r="AK62" s="40"/>
      <c r="AL62" s="40"/>
      <c r="AM62" s="40"/>
      <c r="AN62" s="40"/>
      <c r="AO62" s="40"/>
      <c r="AP62" s="40"/>
      <c r="AQ62" s="40"/>
      <c r="AR62" s="40"/>
      <c r="AS62" s="40"/>
      <c r="AT62" s="40"/>
      <c r="AU62" s="40"/>
      <c r="AV62" s="40"/>
      <c r="AW62" s="40"/>
      <c r="AX62" s="40"/>
      <c r="AY62" s="40"/>
      <c r="AZ62" s="40"/>
    </row>
    <row r="63" spans="1:52" ht="18" customHeight="1">
      <c r="A63" s="40"/>
      <c r="B63" s="488"/>
      <c r="C63" s="505" t="s">
        <v>61</v>
      </c>
      <c r="D63" s="491"/>
      <c r="E63" s="479"/>
      <c r="F63" s="479"/>
      <c r="G63" s="479"/>
      <c r="H63" s="479"/>
      <c r="I63" s="479"/>
      <c r="J63" s="490"/>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row>
    <row r="64" spans="1:52" ht="18" customHeight="1">
      <c r="A64" s="40"/>
      <c r="B64" s="488"/>
      <c r="C64" s="505" t="s">
        <v>62</v>
      </c>
      <c r="D64" s="491"/>
      <c r="E64" s="479"/>
      <c r="F64" s="479"/>
      <c r="G64" s="479"/>
      <c r="H64" s="479"/>
      <c r="I64" s="479"/>
      <c r="J64" s="49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row>
    <row r="65" spans="1:52" ht="18" customHeight="1">
      <c r="A65" s="40"/>
      <c r="B65" s="488"/>
      <c r="C65" s="505" t="s">
        <v>63</v>
      </c>
      <c r="D65" s="491"/>
      <c r="E65" s="479"/>
      <c r="F65" s="479"/>
      <c r="G65" s="479"/>
      <c r="H65" s="479"/>
      <c r="I65" s="479"/>
      <c r="J65" s="490"/>
      <c r="K65" s="40"/>
      <c r="L65" s="40"/>
      <c r="M65" s="40"/>
      <c r="N65" s="40"/>
      <c r="O65" s="40"/>
      <c r="P65" s="40"/>
      <c r="Q65" s="40"/>
      <c r="R65" s="40"/>
      <c r="S65" s="40"/>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c r="AW65" s="40"/>
      <c r="AX65" s="40"/>
      <c r="AY65" s="40"/>
      <c r="AZ65" s="40"/>
    </row>
    <row r="66" spans="1:52" ht="18" customHeight="1">
      <c r="A66" s="40"/>
      <c r="B66" s="488"/>
      <c r="C66" s="505" t="s">
        <v>64</v>
      </c>
      <c r="D66" s="491"/>
      <c r="E66" s="479"/>
      <c r="F66" s="479"/>
      <c r="G66" s="479"/>
      <c r="H66" s="479"/>
      <c r="I66" s="479"/>
      <c r="J66" s="490"/>
      <c r="K66" s="40"/>
      <c r="L66" s="40"/>
      <c r="M66" s="40"/>
      <c r="N66" s="40"/>
      <c r="O66" s="40"/>
      <c r="P66" s="40"/>
      <c r="Q66" s="40"/>
      <c r="R66" s="40"/>
      <c r="S66" s="40"/>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c r="AW66" s="40"/>
      <c r="AX66" s="40"/>
      <c r="AY66" s="40"/>
      <c r="AZ66" s="40"/>
    </row>
    <row r="67" spans="1:52" ht="18" customHeight="1">
      <c r="A67" s="40"/>
      <c r="B67" s="488"/>
      <c r="C67" s="505" t="s">
        <v>65</v>
      </c>
      <c r="D67" s="491"/>
      <c r="E67" s="479"/>
      <c r="F67" s="479"/>
      <c r="G67" s="479"/>
      <c r="H67" s="479"/>
      <c r="I67" s="479"/>
      <c r="J67" s="490"/>
      <c r="K67" s="40"/>
      <c r="L67" s="40"/>
      <c r="M67" s="40"/>
      <c r="N67" s="40"/>
      <c r="O67" s="40"/>
      <c r="P67" s="40"/>
      <c r="Q67" s="40"/>
      <c r="R67" s="40"/>
      <c r="S67" s="40"/>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c r="AW67" s="40"/>
      <c r="AX67" s="40"/>
      <c r="AY67" s="40"/>
      <c r="AZ67" s="40"/>
    </row>
    <row r="68" spans="1:52" ht="18" customHeight="1" thickBot="1">
      <c r="A68" s="40"/>
      <c r="B68" s="499"/>
      <c r="C68" s="506"/>
      <c r="D68" s="481"/>
      <c r="E68" s="481"/>
      <c r="F68" s="481"/>
      <c r="G68" s="481"/>
      <c r="H68" s="481"/>
      <c r="I68" s="481"/>
      <c r="J68" s="500"/>
      <c r="K68" s="40"/>
      <c r="L68" s="40"/>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row>
    <row r="69" spans="1:52" ht="18" customHeight="1" thickBot="1">
      <c r="A69" s="40"/>
      <c r="B69" s="484"/>
      <c r="C69" s="484"/>
      <c r="D69" s="484"/>
      <c r="E69" s="484"/>
      <c r="F69" s="484"/>
      <c r="G69" s="484"/>
      <c r="H69" s="484"/>
      <c r="I69" s="484"/>
      <c r="J69" s="484"/>
      <c r="K69" s="40"/>
      <c r="L69" s="40"/>
      <c r="M69" s="40"/>
      <c r="N69" s="40"/>
      <c r="O69" s="40"/>
      <c r="P69" s="40"/>
      <c r="Q69" s="40"/>
      <c r="R69" s="40"/>
      <c r="S69" s="40"/>
      <c r="T69" s="40"/>
      <c r="U69" s="40"/>
      <c r="V69" s="40"/>
      <c r="W69" s="40"/>
      <c r="X69" s="40"/>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c r="AW69" s="40"/>
      <c r="AX69" s="40"/>
      <c r="AY69" s="40"/>
      <c r="AZ69" s="40"/>
    </row>
    <row r="70" spans="1:52" ht="16.5" customHeight="1">
      <c r="A70" s="40"/>
      <c r="B70" s="507" t="s">
        <v>66</v>
      </c>
      <c r="C70" s="508"/>
      <c r="D70" s="508"/>
      <c r="E70" s="508"/>
      <c r="F70" s="508"/>
      <c r="G70" s="508"/>
      <c r="H70" s="508"/>
      <c r="I70" s="508"/>
      <c r="J70" s="509"/>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K70" s="40"/>
      <c r="AL70" s="40"/>
      <c r="AM70" s="40"/>
      <c r="AN70" s="40"/>
      <c r="AO70" s="40"/>
      <c r="AP70" s="40"/>
      <c r="AQ70" s="40"/>
      <c r="AR70" s="40"/>
      <c r="AS70" s="40"/>
      <c r="AT70" s="40"/>
      <c r="AU70" s="40"/>
      <c r="AV70" s="40"/>
      <c r="AW70" s="40"/>
      <c r="AX70" s="40"/>
      <c r="AY70" s="40"/>
      <c r="AZ70" s="40"/>
    </row>
    <row r="71" spans="1:52" ht="33" customHeight="1">
      <c r="A71" s="40"/>
      <c r="B71" s="2523" t="s">
        <v>1275</v>
      </c>
      <c r="C71" s="2524"/>
      <c r="D71" s="2524"/>
      <c r="E71" s="2524"/>
      <c r="F71" s="2524"/>
      <c r="G71" s="2524"/>
      <c r="H71" s="2524"/>
      <c r="I71" s="2524"/>
      <c r="J71" s="2525"/>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row>
    <row r="72" spans="1:52" ht="49.5" customHeight="1">
      <c r="A72" s="40"/>
      <c r="B72" s="2526" t="s">
        <v>1276</v>
      </c>
      <c r="C72" s="2527"/>
      <c r="D72" s="2527"/>
      <c r="E72" s="2527"/>
      <c r="F72" s="2527"/>
      <c r="G72" s="2527"/>
      <c r="H72" s="2527"/>
      <c r="I72" s="2527"/>
      <c r="J72" s="2528"/>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S72" s="40"/>
      <c r="AT72" s="40"/>
      <c r="AU72" s="40"/>
      <c r="AV72" s="40"/>
      <c r="AW72" s="40"/>
      <c r="AX72" s="40"/>
      <c r="AY72" s="40"/>
      <c r="AZ72" s="40"/>
    </row>
    <row r="73" spans="1:52" ht="33" customHeight="1">
      <c r="A73" s="40"/>
      <c r="B73" s="2526" t="s">
        <v>1277</v>
      </c>
      <c r="C73" s="2527"/>
      <c r="D73" s="2527"/>
      <c r="E73" s="2527"/>
      <c r="F73" s="2527"/>
      <c r="G73" s="2527"/>
      <c r="H73" s="2527"/>
      <c r="I73" s="2527"/>
      <c r="J73" s="2528"/>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row>
    <row r="74" spans="1:52" ht="33" customHeight="1">
      <c r="A74" s="40"/>
      <c r="B74" s="2526" t="s">
        <v>1278</v>
      </c>
      <c r="C74" s="2527"/>
      <c r="D74" s="2527"/>
      <c r="E74" s="2527"/>
      <c r="F74" s="2527"/>
      <c r="G74" s="2527"/>
      <c r="H74" s="2527"/>
      <c r="I74" s="2527"/>
      <c r="J74" s="2528"/>
      <c r="K74" s="40"/>
      <c r="L74" s="40"/>
      <c r="M74" s="40"/>
      <c r="N74" s="40"/>
      <c r="O74" s="40"/>
      <c r="P74" s="40"/>
      <c r="Q74" s="40"/>
      <c r="R74" s="40"/>
      <c r="S74" s="40"/>
      <c r="T74" s="40"/>
      <c r="U74" s="40"/>
      <c r="V74" s="40"/>
      <c r="W74" s="40"/>
      <c r="X74" s="40"/>
      <c r="Y74" s="40"/>
      <c r="Z74" s="40"/>
      <c r="AA74" s="40"/>
      <c r="AB74" s="40"/>
      <c r="AC74" s="40"/>
      <c r="AD74" s="40"/>
      <c r="AE74" s="40"/>
      <c r="AF74" s="40"/>
      <c r="AG74" s="40"/>
      <c r="AH74" s="40"/>
      <c r="AI74" s="40"/>
      <c r="AJ74" s="40"/>
      <c r="AK74" s="40"/>
      <c r="AL74" s="40"/>
      <c r="AM74" s="40"/>
      <c r="AN74" s="40"/>
      <c r="AO74" s="40"/>
      <c r="AP74" s="40"/>
      <c r="AQ74" s="40"/>
      <c r="AR74" s="40"/>
      <c r="AS74" s="40"/>
      <c r="AT74" s="40"/>
      <c r="AU74" s="40"/>
      <c r="AV74" s="40"/>
      <c r="AW74" s="40"/>
      <c r="AX74" s="40"/>
      <c r="AY74" s="40"/>
      <c r="AZ74" s="40"/>
    </row>
    <row r="75" spans="1:52" ht="49.5" customHeight="1">
      <c r="A75" s="40"/>
      <c r="B75" s="2526" t="s">
        <v>1279</v>
      </c>
      <c r="C75" s="2527"/>
      <c r="D75" s="2527"/>
      <c r="E75" s="2527"/>
      <c r="F75" s="2527"/>
      <c r="G75" s="2527"/>
      <c r="H75" s="2527"/>
      <c r="I75" s="2527"/>
      <c r="J75" s="2528"/>
      <c r="K75" s="40"/>
      <c r="L75" s="40"/>
      <c r="M75" s="40"/>
      <c r="N75" s="40"/>
      <c r="O75" s="40"/>
      <c r="P75" s="40"/>
      <c r="Q75" s="40"/>
      <c r="R75" s="40"/>
      <c r="S75" s="40"/>
      <c r="T75" s="40"/>
      <c r="U75" s="40"/>
      <c r="V75" s="40"/>
      <c r="W75" s="40"/>
      <c r="X75" s="40"/>
      <c r="Y75" s="40"/>
      <c r="Z75" s="40"/>
      <c r="AA75" s="40"/>
      <c r="AB75" s="40"/>
      <c r="AC75" s="40"/>
      <c r="AD75" s="40"/>
      <c r="AE75" s="40"/>
      <c r="AF75" s="40"/>
      <c r="AG75" s="40"/>
      <c r="AH75" s="40"/>
      <c r="AI75" s="40"/>
      <c r="AJ75" s="40"/>
      <c r="AK75" s="40"/>
      <c r="AL75" s="40"/>
      <c r="AM75" s="40"/>
      <c r="AN75" s="40"/>
      <c r="AO75" s="40"/>
      <c r="AP75" s="40"/>
      <c r="AQ75" s="40"/>
      <c r="AR75" s="40"/>
      <c r="AS75" s="40"/>
      <c r="AT75" s="40"/>
      <c r="AU75" s="40"/>
      <c r="AV75" s="40"/>
      <c r="AW75" s="40"/>
      <c r="AX75" s="40"/>
      <c r="AY75" s="40"/>
      <c r="AZ75" s="40"/>
    </row>
    <row r="76" spans="1:52" ht="16.5" customHeight="1">
      <c r="A76" s="40"/>
      <c r="B76" s="2526" t="s">
        <v>1280</v>
      </c>
      <c r="C76" s="2527"/>
      <c r="D76" s="2527"/>
      <c r="E76" s="2527"/>
      <c r="F76" s="2527"/>
      <c r="G76" s="2527"/>
      <c r="H76" s="2527"/>
      <c r="I76" s="2527"/>
      <c r="J76" s="2528"/>
      <c r="K76" s="40"/>
      <c r="L76" s="40"/>
      <c r="M76" s="40"/>
      <c r="N76" s="40"/>
      <c r="O76" s="40"/>
      <c r="P76" s="40"/>
      <c r="Q76" s="40"/>
      <c r="R76" s="40"/>
      <c r="S76" s="40"/>
      <c r="T76" s="40"/>
      <c r="U76" s="40"/>
      <c r="V76" s="40"/>
      <c r="W76" s="40"/>
      <c r="X76" s="40"/>
      <c r="Y76" s="40"/>
      <c r="Z76" s="40"/>
      <c r="AA76" s="40"/>
      <c r="AB76" s="40"/>
      <c r="AC76" s="40"/>
      <c r="AD76" s="40"/>
      <c r="AE76" s="40"/>
      <c r="AF76" s="40"/>
      <c r="AG76" s="40"/>
      <c r="AH76" s="40"/>
      <c r="AI76" s="40"/>
      <c r="AJ76" s="40"/>
      <c r="AK76" s="40"/>
      <c r="AL76" s="40"/>
      <c r="AM76" s="40"/>
      <c r="AN76" s="40"/>
      <c r="AO76" s="40"/>
      <c r="AP76" s="40"/>
      <c r="AQ76" s="40"/>
      <c r="AR76" s="40"/>
      <c r="AS76" s="40"/>
      <c r="AT76" s="40"/>
      <c r="AU76" s="40"/>
      <c r="AV76" s="40"/>
      <c r="AW76" s="40"/>
      <c r="AX76" s="40"/>
      <c r="AY76" s="40"/>
      <c r="AZ76" s="40"/>
    </row>
    <row r="77" spans="1:52" ht="49.5" customHeight="1">
      <c r="A77" s="40"/>
      <c r="B77" s="2526" t="s">
        <v>1281</v>
      </c>
      <c r="C77" s="2527"/>
      <c r="D77" s="2527"/>
      <c r="E77" s="2527"/>
      <c r="F77" s="2527"/>
      <c r="G77" s="2527"/>
      <c r="H77" s="2527"/>
      <c r="I77" s="2527"/>
      <c r="J77" s="2528"/>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row>
    <row r="78" spans="1:52" ht="33" customHeight="1">
      <c r="A78" s="40"/>
      <c r="B78" s="2526" t="s">
        <v>1282</v>
      </c>
      <c r="C78" s="2527"/>
      <c r="D78" s="2527"/>
      <c r="E78" s="2527"/>
      <c r="F78" s="2527"/>
      <c r="G78" s="2527"/>
      <c r="H78" s="2527"/>
      <c r="I78" s="2527"/>
      <c r="J78" s="2528"/>
      <c r="K78" s="40"/>
      <c r="L78" s="40"/>
      <c r="M78" s="40"/>
      <c r="N78" s="40"/>
      <c r="O78" s="40"/>
      <c r="P78" s="40"/>
      <c r="Q78" s="40"/>
      <c r="R78" s="40"/>
      <c r="S78" s="40"/>
      <c r="T78" s="40"/>
      <c r="U78" s="40"/>
      <c r="V78" s="40"/>
      <c r="W78" s="40"/>
      <c r="X78" s="40"/>
      <c r="Y78" s="40"/>
      <c r="Z78" s="40"/>
      <c r="AA78" s="40"/>
      <c r="AB78" s="40"/>
      <c r="AC78" s="40"/>
      <c r="AD78" s="40"/>
      <c r="AE78" s="40"/>
      <c r="AF78" s="40"/>
      <c r="AG78" s="40"/>
      <c r="AH78" s="40"/>
      <c r="AI78" s="40"/>
      <c r="AJ78" s="40"/>
      <c r="AK78" s="40"/>
      <c r="AL78" s="40"/>
      <c r="AM78" s="40"/>
      <c r="AN78" s="40"/>
      <c r="AO78" s="40"/>
      <c r="AP78" s="40"/>
      <c r="AQ78" s="40"/>
      <c r="AR78" s="40"/>
      <c r="AS78" s="40"/>
      <c r="AT78" s="40"/>
      <c r="AU78" s="40"/>
      <c r="AV78" s="40"/>
      <c r="AW78" s="40"/>
      <c r="AX78" s="40"/>
      <c r="AY78" s="40"/>
      <c r="AZ78" s="40"/>
    </row>
    <row r="79" spans="1:52" ht="16.5" customHeight="1">
      <c r="A79" s="40"/>
      <c r="B79" s="2526" t="s">
        <v>1283</v>
      </c>
      <c r="C79" s="2527"/>
      <c r="D79" s="2527"/>
      <c r="E79" s="2527"/>
      <c r="F79" s="2527"/>
      <c r="G79" s="2527"/>
      <c r="H79" s="2527"/>
      <c r="I79" s="2527"/>
      <c r="J79" s="2528"/>
      <c r="K79" s="40"/>
      <c r="L79" s="40"/>
      <c r="M79" s="40"/>
      <c r="N79" s="40"/>
      <c r="O79" s="40"/>
      <c r="P79" s="40"/>
      <c r="Q79" s="40"/>
      <c r="R79" s="40"/>
      <c r="S79" s="40"/>
      <c r="T79" s="40"/>
      <c r="U79" s="40"/>
      <c r="V79" s="40"/>
      <c r="W79" s="40"/>
      <c r="X79" s="40"/>
      <c r="Y79" s="40"/>
      <c r="Z79" s="40"/>
      <c r="AA79" s="40"/>
      <c r="AB79" s="40"/>
      <c r="AC79" s="40"/>
      <c r="AD79" s="40"/>
      <c r="AE79" s="40"/>
      <c r="AF79" s="40"/>
      <c r="AG79" s="40"/>
      <c r="AH79" s="40"/>
      <c r="AI79" s="40"/>
      <c r="AJ79" s="40"/>
      <c r="AK79" s="40"/>
      <c r="AL79" s="40"/>
      <c r="AM79" s="40"/>
      <c r="AN79" s="40"/>
      <c r="AO79" s="40"/>
      <c r="AP79" s="40"/>
      <c r="AQ79" s="40"/>
      <c r="AR79" s="40"/>
      <c r="AS79" s="40"/>
      <c r="AT79" s="40"/>
      <c r="AU79" s="40"/>
      <c r="AV79" s="40"/>
      <c r="AW79" s="40"/>
      <c r="AX79" s="40"/>
      <c r="AY79" s="40"/>
      <c r="AZ79" s="40"/>
    </row>
    <row r="80" spans="1:52" ht="66" customHeight="1" thickBot="1">
      <c r="A80" s="40"/>
      <c r="B80" s="2529" t="s">
        <v>1284</v>
      </c>
      <c r="C80" s="2530"/>
      <c r="D80" s="2530"/>
      <c r="E80" s="2530"/>
      <c r="F80" s="2530"/>
      <c r="G80" s="2530"/>
      <c r="H80" s="2530"/>
      <c r="I80" s="2530"/>
      <c r="J80" s="2531"/>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row>
    <row r="81" spans="1:52" ht="16.5" customHeight="1">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c r="AA81" s="40"/>
      <c r="AB81" s="40"/>
      <c r="AC81" s="40"/>
      <c r="AD81" s="40"/>
      <c r="AE81" s="40"/>
      <c r="AF81" s="40"/>
      <c r="AG81" s="40"/>
      <c r="AH81" s="40"/>
      <c r="AI81" s="40"/>
      <c r="AJ81" s="40"/>
      <c r="AK81" s="40"/>
      <c r="AL81" s="40"/>
      <c r="AM81" s="40"/>
      <c r="AN81" s="40"/>
      <c r="AO81" s="40"/>
      <c r="AP81" s="40"/>
      <c r="AQ81" s="40"/>
      <c r="AR81" s="40"/>
      <c r="AS81" s="40"/>
      <c r="AT81" s="40"/>
      <c r="AU81" s="40"/>
      <c r="AV81" s="40"/>
      <c r="AW81" s="40"/>
      <c r="AX81" s="40"/>
      <c r="AY81" s="40"/>
      <c r="AZ81" s="40"/>
    </row>
    <row r="82" spans="1:52" ht="16.5" customHeight="1">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c r="AA82" s="40"/>
      <c r="AB82" s="40"/>
      <c r="AC82" s="40"/>
      <c r="AD82" s="40"/>
      <c r="AE82" s="40"/>
      <c r="AF82" s="40"/>
      <c r="AG82" s="40"/>
      <c r="AH82" s="40"/>
      <c r="AI82" s="40"/>
      <c r="AJ82" s="40"/>
      <c r="AK82" s="40"/>
      <c r="AL82" s="40"/>
      <c r="AM82" s="40"/>
      <c r="AN82" s="40"/>
      <c r="AO82" s="40"/>
      <c r="AP82" s="40"/>
      <c r="AQ82" s="40"/>
      <c r="AR82" s="40"/>
      <c r="AS82" s="40"/>
      <c r="AT82" s="40"/>
      <c r="AU82" s="40"/>
      <c r="AV82" s="40"/>
      <c r="AW82" s="40"/>
      <c r="AX82" s="40"/>
      <c r="AY82" s="40"/>
      <c r="AZ82" s="40"/>
    </row>
    <row r="83" spans="1:52" ht="16.5" customHeight="1">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row>
    <row r="84" spans="1:52" ht="16.5" customHeight="1">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row>
    <row r="85" spans="1:52" ht="16.5" customHeight="1">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c r="AA85" s="40"/>
      <c r="AB85" s="40"/>
      <c r="AC85" s="40"/>
      <c r="AD85" s="40"/>
      <c r="AE85" s="40"/>
      <c r="AF85" s="40"/>
      <c r="AG85" s="40"/>
      <c r="AH85" s="40"/>
      <c r="AI85" s="40"/>
      <c r="AJ85" s="40"/>
      <c r="AK85" s="40"/>
      <c r="AL85" s="40"/>
      <c r="AM85" s="40"/>
      <c r="AN85" s="40"/>
      <c r="AO85" s="40"/>
      <c r="AP85" s="40"/>
      <c r="AQ85" s="40"/>
      <c r="AR85" s="40"/>
      <c r="AS85" s="40"/>
      <c r="AT85" s="40"/>
      <c r="AU85" s="40"/>
      <c r="AV85" s="40"/>
      <c r="AW85" s="40"/>
      <c r="AX85" s="40"/>
      <c r="AY85" s="40"/>
      <c r="AZ85" s="40"/>
    </row>
    <row r="86" spans="1:52" ht="16.5" customHeight="1">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c r="AA86" s="40"/>
      <c r="AB86" s="40"/>
      <c r="AC86" s="40"/>
      <c r="AD86" s="40"/>
      <c r="AE86" s="40"/>
      <c r="AF86" s="40"/>
      <c r="AG86" s="40"/>
      <c r="AH86" s="40"/>
      <c r="AI86" s="40"/>
      <c r="AJ86" s="40"/>
      <c r="AK86" s="40"/>
      <c r="AL86" s="40"/>
      <c r="AM86" s="40"/>
      <c r="AN86" s="40"/>
      <c r="AO86" s="40"/>
      <c r="AP86" s="40"/>
      <c r="AQ86" s="40"/>
      <c r="AR86" s="40"/>
      <c r="AS86" s="40"/>
      <c r="AT86" s="40"/>
      <c r="AU86" s="40"/>
      <c r="AV86" s="40"/>
      <c r="AW86" s="40"/>
      <c r="AX86" s="40"/>
      <c r="AY86" s="40"/>
      <c r="AZ86" s="40"/>
    </row>
    <row r="87" spans="1:52" ht="16.5" customHeight="1">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row>
    <row r="88" spans="1:52" ht="16.5" customHeight="1">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c r="AA88" s="40"/>
      <c r="AB88" s="40"/>
      <c r="AC88" s="40"/>
      <c r="AD88" s="40"/>
      <c r="AE88" s="40"/>
      <c r="AF88" s="40"/>
      <c r="AG88" s="40"/>
      <c r="AH88" s="40"/>
      <c r="AI88" s="40"/>
      <c r="AJ88" s="40"/>
      <c r="AK88" s="40"/>
      <c r="AL88" s="40"/>
      <c r="AM88" s="40"/>
      <c r="AN88" s="40"/>
      <c r="AO88" s="40"/>
      <c r="AP88" s="40"/>
      <c r="AQ88" s="40"/>
      <c r="AR88" s="40"/>
      <c r="AS88" s="40"/>
      <c r="AT88" s="40"/>
      <c r="AU88" s="40"/>
      <c r="AV88" s="40"/>
      <c r="AW88" s="40"/>
      <c r="AX88" s="40"/>
      <c r="AY88" s="40"/>
      <c r="AZ88" s="40"/>
    </row>
    <row r="89" spans="1:52" ht="16.5" customHeight="1">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c r="AA89" s="40"/>
      <c r="AB89" s="40"/>
      <c r="AC89" s="40"/>
      <c r="AD89" s="40"/>
      <c r="AE89" s="40"/>
      <c r="AF89" s="40"/>
      <c r="AG89" s="40"/>
      <c r="AH89" s="40"/>
      <c r="AI89" s="40"/>
      <c r="AJ89" s="40"/>
      <c r="AK89" s="40"/>
      <c r="AL89" s="40"/>
      <c r="AM89" s="40"/>
      <c r="AN89" s="40"/>
      <c r="AO89" s="40"/>
      <c r="AP89" s="40"/>
      <c r="AQ89" s="40"/>
      <c r="AR89" s="40"/>
      <c r="AS89" s="40"/>
      <c r="AT89" s="40"/>
      <c r="AU89" s="40"/>
      <c r="AV89" s="40"/>
      <c r="AW89" s="40"/>
      <c r="AX89" s="40"/>
      <c r="AY89" s="40"/>
      <c r="AZ89" s="40"/>
    </row>
    <row r="90" spans="1:52" ht="16.5" customHeight="1">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c r="AA90" s="40"/>
      <c r="AB90" s="40"/>
      <c r="AC90" s="40"/>
      <c r="AD90" s="40"/>
      <c r="AE90" s="40"/>
      <c r="AF90" s="40"/>
      <c r="AG90" s="40"/>
      <c r="AH90" s="40"/>
      <c r="AI90" s="40"/>
      <c r="AJ90" s="40"/>
      <c r="AK90" s="40"/>
      <c r="AL90" s="40"/>
      <c r="AM90" s="40"/>
      <c r="AN90" s="40"/>
      <c r="AO90" s="40"/>
      <c r="AP90" s="40"/>
      <c r="AQ90" s="40"/>
      <c r="AR90" s="40"/>
      <c r="AS90" s="40"/>
      <c r="AT90" s="40"/>
      <c r="AU90" s="40"/>
      <c r="AV90" s="40"/>
      <c r="AW90" s="40"/>
      <c r="AX90" s="40"/>
      <c r="AY90" s="40"/>
      <c r="AZ90" s="40"/>
    </row>
    <row r="91" spans="1:52" ht="16.5" customHeight="1">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c r="AA91" s="40"/>
      <c r="AB91" s="40"/>
      <c r="AC91" s="40"/>
      <c r="AD91" s="40"/>
      <c r="AE91" s="40"/>
      <c r="AF91" s="40"/>
      <c r="AG91" s="40"/>
      <c r="AH91" s="40"/>
      <c r="AI91" s="40"/>
      <c r="AJ91" s="40"/>
      <c r="AK91" s="40"/>
      <c r="AL91" s="40"/>
      <c r="AM91" s="40"/>
      <c r="AN91" s="40"/>
      <c r="AO91" s="40"/>
      <c r="AP91" s="40"/>
      <c r="AQ91" s="40"/>
      <c r="AR91" s="40"/>
      <c r="AS91" s="40"/>
      <c r="AT91" s="40"/>
      <c r="AU91" s="40"/>
      <c r="AV91" s="40"/>
      <c r="AW91" s="40"/>
      <c r="AX91" s="40"/>
      <c r="AY91" s="40"/>
      <c r="AZ91" s="40"/>
    </row>
    <row r="92" spans="1:52" ht="16.5" customHeight="1">
      <c r="A92" s="40"/>
      <c r="B92" s="40"/>
      <c r="C92" s="40"/>
      <c r="D92" s="40"/>
      <c r="E92" s="40"/>
      <c r="F92" s="40"/>
      <c r="G92" s="44"/>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row>
    <row r="93" spans="1:52" ht="16.5" customHeight="1">
      <c r="A93" s="40"/>
      <c r="B93" s="40"/>
      <c r="C93" s="40"/>
      <c r="D93" s="40"/>
      <c r="E93" s="40"/>
      <c r="F93" s="40"/>
      <c r="G93" s="15"/>
      <c r="H93" s="40"/>
      <c r="I93" s="40"/>
      <c r="J93" s="40"/>
      <c r="K93" s="40"/>
      <c r="L93" s="40"/>
      <c r="M93" s="40"/>
      <c r="N93" s="40"/>
      <c r="O93" s="40"/>
      <c r="P93" s="40"/>
      <c r="Q93" s="40"/>
      <c r="R93" s="40"/>
      <c r="S93" s="40"/>
      <c r="T93" s="40"/>
      <c r="U93" s="40"/>
      <c r="V93" s="40"/>
      <c r="W93" s="40"/>
      <c r="X93" s="40"/>
      <c r="Y93" s="40"/>
      <c r="Z93" s="40"/>
      <c r="AA93" s="40"/>
      <c r="AB93" s="40"/>
      <c r="AC93" s="40"/>
      <c r="AD93" s="40"/>
      <c r="AE93" s="40"/>
      <c r="AF93" s="40"/>
      <c r="AG93" s="40"/>
      <c r="AH93" s="40"/>
      <c r="AI93" s="40"/>
      <c r="AJ93" s="40"/>
      <c r="AK93" s="40"/>
      <c r="AL93" s="40"/>
      <c r="AM93" s="40"/>
      <c r="AN93" s="40"/>
      <c r="AO93" s="40"/>
      <c r="AP93" s="40"/>
      <c r="AQ93" s="40"/>
      <c r="AR93" s="40"/>
      <c r="AS93" s="40"/>
      <c r="AT93" s="40"/>
      <c r="AU93" s="40"/>
      <c r="AV93" s="40"/>
      <c r="AW93" s="40"/>
      <c r="AX93" s="40"/>
      <c r="AY93" s="40"/>
      <c r="AZ93" s="40"/>
    </row>
    <row r="94" spans="1:52" ht="16.5" customHeight="1">
      <c r="A94" s="40"/>
      <c r="B94" s="40"/>
      <c r="C94" s="40"/>
      <c r="D94" s="40"/>
      <c r="E94" s="40"/>
      <c r="F94" s="40"/>
      <c r="G94" s="15"/>
      <c r="H94" s="40"/>
      <c r="I94" s="40"/>
      <c r="J94" s="40"/>
      <c r="K94" s="40"/>
      <c r="L94" s="40"/>
      <c r="M94" s="40"/>
      <c r="N94" s="40"/>
      <c r="O94" s="40"/>
      <c r="P94" s="40"/>
      <c r="Q94" s="40"/>
      <c r="R94" s="40"/>
      <c r="S94" s="40"/>
      <c r="T94" s="40"/>
      <c r="U94" s="40"/>
      <c r="V94" s="40"/>
      <c r="W94" s="40"/>
      <c r="X94" s="40"/>
      <c r="Y94" s="40"/>
      <c r="Z94" s="40"/>
      <c r="AA94" s="40"/>
      <c r="AB94" s="40"/>
      <c r="AC94" s="40"/>
      <c r="AD94" s="40"/>
      <c r="AE94" s="40"/>
      <c r="AF94" s="40"/>
      <c r="AG94" s="40"/>
      <c r="AH94" s="40"/>
      <c r="AI94" s="40"/>
      <c r="AJ94" s="40"/>
      <c r="AK94" s="40"/>
      <c r="AL94" s="40"/>
      <c r="AM94" s="40"/>
      <c r="AN94" s="40"/>
      <c r="AO94" s="40"/>
      <c r="AP94" s="40"/>
      <c r="AQ94" s="40"/>
      <c r="AR94" s="40"/>
      <c r="AS94" s="40"/>
      <c r="AT94" s="40"/>
      <c r="AU94" s="40"/>
      <c r="AV94" s="40"/>
      <c r="AW94" s="40"/>
      <c r="AX94" s="40"/>
      <c r="AY94" s="40"/>
      <c r="AZ94" s="40"/>
    </row>
    <row r="95" spans="1:52" ht="16.5" customHeight="1">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c r="AA95" s="40"/>
      <c r="AB95" s="40"/>
      <c r="AC95" s="40"/>
      <c r="AD95" s="40"/>
      <c r="AE95" s="40"/>
      <c r="AF95" s="40"/>
      <c r="AG95" s="40"/>
      <c r="AH95" s="40"/>
      <c r="AI95" s="40"/>
      <c r="AJ95" s="40"/>
      <c r="AK95" s="40"/>
      <c r="AL95" s="40"/>
      <c r="AM95" s="40"/>
      <c r="AN95" s="40"/>
      <c r="AO95" s="40"/>
      <c r="AP95" s="40"/>
      <c r="AQ95" s="40"/>
      <c r="AR95" s="40"/>
      <c r="AS95" s="40"/>
      <c r="AT95" s="40"/>
      <c r="AU95" s="40"/>
      <c r="AV95" s="40"/>
      <c r="AW95" s="40"/>
      <c r="AX95" s="40"/>
      <c r="AY95" s="40"/>
      <c r="AZ95" s="40"/>
    </row>
    <row r="96" spans="1:52" ht="16.5" customHeight="1">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row>
    <row r="97" spans="1:52" ht="16.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row>
    <row r="98" spans="1:52" ht="16.5" customHeight="1">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c r="AA98" s="40"/>
      <c r="AB98" s="40"/>
      <c r="AC98" s="40"/>
      <c r="AD98" s="40"/>
      <c r="AE98" s="40"/>
      <c r="AF98" s="40"/>
      <c r="AG98" s="40"/>
      <c r="AH98" s="40"/>
      <c r="AI98" s="40"/>
      <c r="AJ98" s="40"/>
      <c r="AK98" s="40"/>
      <c r="AL98" s="40"/>
      <c r="AM98" s="40"/>
      <c r="AN98" s="40"/>
      <c r="AO98" s="40"/>
      <c r="AP98" s="40"/>
      <c r="AQ98" s="40"/>
      <c r="AR98" s="40"/>
      <c r="AS98" s="40"/>
      <c r="AT98" s="40"/>
      <c r="AU98" s="40"/>
      <c r="AV98" s="40"/>
      <c r="AW98" s="40"/>
      <c r="AX98" s="40"/>
      <c r="AY98" s="40"/>
      <c r="AZ98" s="40"/>
    </row>
    <row r="99" spans="1:52" ht="16.5" customHeight="1">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row>
    <row r="100" spans="1:52" ht="16.5" customHeight="1">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4">
        <v>87654321</v>
      </c>
      <c r="AA100" s="40"/>
      <c r="AB100" s="40"/>
      <c r="AC100" s="40"/>
      <c r="AD100" s="40"/>
      <c r="AE100" s="40"/>
      <c r="AF100" s="40"/>
      <c r="AG100" s="40"/>
      <c r="AH100" s="40"/>
      <c r="AI100" s="40"/>
      <c r="AJ100" s="40"/>
      <c r="AK100" s="40"/>
      <c r="AL100" s="40"/>
      <c r="AM100" s="40"/>
      <c r="AN100" s="40"/>
      <c r="AO100" s="40"/>
      <c r="AP100" s="40"/>
      <c r="AQ100" s="40"/>
      <c r="AR100" s="40"/>
      <c r="AS100" s="40"/>
      <c r="AT100" s="40"/>
      <c r="AU100" s="40"/>
      <c r="AV100" s="40"/>
      <c r="AW100" s="40"/>
      <c r="AX100" s="40"/>
      <c r="AY100" s="40"/>
      <c r="AZ100" s="40"/>
    </row>
    <row r="101" spans="1:52" ht="16.5" customHeight="1">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c r="AA101" s="40"/>
      <c r="AB101" s="40"/>
      <c r="AC101" s="40"/>
      <c r="AD101" s="40"/>
      <c r="AE101" s="40"/>
      <c r="AF101" s="40"/>
      <c r="AG101" s="40"/>
      <c r="AH101" s="40"/>
      <c r="AI101" s="40"/>
      <c r="AJ101" s="40"/>
      <c r="AK101" s="40"/>
      <c r="AL101" s="40"/>
      <c r="AM101" s="40"/>
      <c r="AN101" s="40"/>
      <c r="AO101" s="40"/>
      <c r="AP101" s="40"/>
      <c r="AQ101" s="40"/>
      <c r="AR101" s="40"/>
      <c r="AS101" s="40"/>
      <c r="AT101" s="40"/>
      <c r="AU101" s="40"/>
      <c r="AV101" s="40"/>
      <c r="AW101" s="40"/>
      <c r="AX101" s="40"/>
      <c r="AY101" s="40"/>
      <c r="AZ101" s="40"/>
    </row>
    <row r="102" spans="1:52" ht="16.5" customHeight="1">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c r="AA102" s="40"/>
      <c r="AB102" s="40"/>
      <c r="AC102" s="40"/>
      <c r="AD102" s="40"/>
      <c r="AE102" s="40"/>
      <c r="AF102" s="40"/>
      <c r="AG102" s="40"/>
      <c r="AH102" s="40"/>
      <c r="AI102" s="40"/>
      <c r="AJ102" s="40"/>
      <c r="AK102" s="40"/>
      <c r="AL102" s="40"/>
      <c r="AM102" s="40"/>
      <c r="AN102" s="40"/>
      <c r="AO102" s="40"/>
      <c r="AP102" s="40"/>
      <c r="AQ102" s="40"/>
      <c r="AR102" s="40"/>
      <c r="AS102" s="40"/>
      <c r="AT102" s="40"/>
      <c r="AU102" s="40"/>
      <c r="AV102" s="40"/>
      <c r="AW102" s="40"/>
      <c r="AX102" s="40"/>
      <c r="AY102" s="40"/>
      <c r="AZ102" s="40"/>
    </row>
    <row r="103" spans="1:52" ht="16.5" customHeight="1">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row>
    <row r="104" spans="1:52" ht="16.5" customHeight="1">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c r="AA104" s="40"/>
      <c r="AB104" s="40"/>
      <c r="AC104" s="40"/>
      <c r="AD104" s="40"/>
      <c r="AE104" s="40"/>
      <c r="AF104" s="40"/>
      <c r="AG104" s="40"/>
      <c r="AH104" s="40"/>
      <c r="AI104" s="40"/>
      <c r="AJ104" s="40"/>
      <c r="AK104" s="40"/>
      <c r="AL104" s="40"/>
      <c r="AM104" s="40"/>
      <c r="AN104" s="40"/>
      <c r="AO104" s="40"/>
      <c r="AP104" s="40"/>
      <c r="AQ104" s="40"/>
      <c r="AR104" s="40"/>
      <c r="AS104" s="40"/>
      <c r="AT104" s="40"/>
      <c r="AU104" s="40"/>
      <c r="AV104" s="40"/>
      <c r="AW104" s="40"/>
      <c r="AX104" s="40"/>
      <c r="AY104" s="40"/>
      <c r="AZ104" s="40"/>
    </row>
    <row r="105" spans="1:52" ht="16.5" customHeight="1">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c r="AA105" s="40"/>
      <c r="AB105" s="40"/>
      <c r="AC105" s="40"/>
      <c r="AD105" s="40"/>
      <c r="AE105" s="40"/>
      <c r="AF105" s="40"/>
      <c r="AG105" s="40"/>
      <c r="AH105" s="40"/>
      <c r="AI105" s="40"/>
      <c r="AJ105" s="40"/>
      <c r="AK105" s="40"/>
      <c r="AL105" s="40"/>
      <c r="AM105" s="40"/>
      <c r="AN105" s="40"/>
      <c r="AO105" s="40"/>
      <c r="AP105" s="40"/>
      <c r="AQ105" s="40"/>
      <c r="AR105" s="40"/>
      <c r="AS105" s="40"/>
      <c r="AT105" s="40"/>
      <c r="AU105" s="40"/>
      <c r="AV105" s="40"/>
      <c r="AW105" s="40"/>
      <c r="AX105" s="40"/>
      <c r="AY105" s="40"/>
      <c r="AZ105" s="40"/>
    </row>
    <row r="106" spans="1:52" ht="16.5" customHeight="1">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c r="AA106" s="40"/>
      <c r="AB106" s="40"/>
      <c r="AC106" s="40"/>
      <c r="AD106" s="40"/>
      <c r="AE106" s="40"/>
      <c r="AF106" s="40"/>
      <c r="AG106" s="40"/>
      <c r="AH106" s="40"/>
      <c r="AI106" s="40"/>
      <c r="AJ106" s="40"/>
      <c r="AK106" s="40"/>
      <c r="AL106" s="40"/>
      <c r="AM106" s="40"/>
      <c r="AN106" s="40"/>
      <c r="AO106" s="40"/>
      <c r="AP106" s="40"/>
      <c r="AQ106" s="40"/>
      <c r="AR106" s="40"/>
      <c r="AS106" s="40"/>
      <c r="AT106" s="40"/>
      <c r="AU106" s="40"/>
      <c r="AV106" s="40"/>
      <c r="AW106" s="40"/>
      <c r="AX106" s="40"/>
      <c r="AY106" s="40"/>
      <c r="AZ106" s="40"/>
    </row>
    <row r="107" spans="1:52" ht="16.5" customHeight="1">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c r="AA107" s="40"/>
      <c r="AB107" s="40"/>
      <c r="AC107" s="40"/>
      <c r="AD107" s="40"/>
      <c r="AE107" s="40"/>
      <c r="AF107" s="40"/>
      <c r="AG107" s="40"/>
      <c r="AH107" s="40"/>
      <c r="AI107" s="40"/>
      <c r="AJ107" s="40"/>
      <c r="AK107" s="40"/>
      <c r="AL107" s="40"/>
      <c r="AM107" s="40"/>
      <c r="AN107" s="40"/>
      <c r="AO107" s="40"/>
      <c r="AP107" s="40"/>
      <c r="AQ107" s="40"/>
      <c r="AR107" s="40"/>
      <c r="AS107" s="40"/>
      <c r="AT107" s="40"/>
      <c r="AU107" s="40"/>
      <c r="AV107" s="40"/>
      <c r="AW107" s="40"/>
      <c r="AX107" s="40"/>
      <c r="AY107" s="40"/>
      <c r="AZ107" s="40"/>
    </row>
    <row r="108" spans="1:52" ht="16.5" customHeight="1">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row>
    <row r="109" spans="1:52" ht="16.5" customHeight="1">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c r="AA109" s="40"/>
      <c r="AB109" s="40"/>
      <c r="AC109" s="40"/>
      <c r="AD109" s="40"/>
      <c r="AE109" s="40"/>
      <c r="AF109" s="40"/>
      <c r="AG109" s="40"/>
      <c r="AH109" s="40"/>
      <c r="AI109" s="40"/>
      <c r="AJ109" s="40"/>
      <c r="AK109" s="40"/>
      <c r="AL109" s="40"/>
      <c r="AM109" s="40"/>
      <c r="AN109" s="40"/>
      <c r="AO109" s="40"/>
      <c r="AP109" s="40"/>
      <c r="AQ109" s="40"/>
      <c r="AR109" s="40"/>
      <c r="AS109" s="40"/>
      <c r="AT109" s="40"/>
      <c r="AU109" s="40"/>
      <c r="AV109" s="40"/>
      <c r="AW109" s="40"/>
      <c r="AX109" s="40"/>
      <c r="AY109" s="40"/>
      <c r="AZ109" s="40"/>
    </row>
    <row r="110" spans="1:52" ht="16.5" customHeight="1">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c r="AA110" s="40"/>
      <c r="AB110" s="40"/>
      <c r="AC110" s="40"/>
      <c r="AD110" s="40"/>
      <c r="AE110" s="40"/>
      <c r="AF110" s="40"/>
      <c r="AG110" s="40"/>
      <c r="AH110" s="40"/>
      <c r="AI110" s="40"/>
      <c r="AJ110" s="40"/>
      <c r="AK110" s="40"/>
      <c r="AL110" s="40"/>
      <c r="AM110" s="40"/>
      <c r="AN110" s="40"/>
      <c r="AO110" s="40"/>
      <c r="AP110" s="40"/>
      <c r="AQ110" s="40"/>
      <c r="AR110" s="40"/>
      <c r="AS110" s="40"/>
      <c r="AT110" s="40"/>
      <c r="AU110" s="40"/>
      <c r="AV110" s="40"/>
      <c r="AW110" s="40"/>
      <c r="AX110" s="40"/>
      <c r="AY110" s="40"/>
      <c r="AZ110" s="40"/>
    </row>
    <row r="111" spans="1:52" ht="16.5" customHeight="1">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c r="AA111" s="40"/>
      <c r="AB111" s="40"/>
      <c r="AC111" s="40"/>
      <c r="AD111" s="40"/>
      <c r="AE111" s="40"/>
      <c r="AF111" s="40"/>
      <c r="AG111" s="40"/>
      <c r="AH111" s="40"/>
      <c r="AI111" s="40"/>
      <c r="AJ111" s="40"/>
      <c r="AK111" s="40"/>
      <c r="AL111" s="40"/>
      <c r="AM111" s="40"/>
      <c r="AN111" s="40"/>
      <c r="AO111" s="40"/>
      <c r="AP111" s="40"/>
      <c r="AQ111" s="40"/>
      <c r="AR111" s="40"/>
      <c r="AS111" s="40"/>
      <c r="AT111" s="40"/>
      <c r="AU111" s="40"/>
      <c r="AV111" s="40"/>
      <c r="AW111" s="40"/>
      <c r="AX111" s="40"/>
      <c r="AY111" s="40"/>
      <c r="AZ111" s="40"/>
    </row>
    <row r="112" spans="1:52" ht="16.5" customHeight="1">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c r="AA112" s="40"/>
      <c r="AB112" s="40"/>
      <c r="AC112" s="40"/>
      <c r="AD112" s="40"/>
      <c r="AE112" s="40"/>
      <c r="AF112" s="40"/>
      <c r="AG112" s="40"/>
      <c r="AH112" s="40"/>
      <c r="AI112" s="40"/>
      <c r="AJ112" s="40"/>
      <c r="AK112" s="40"/>
      <c r="AL112" s="40"/>
      <c r="AM112" s="40"/>
      <c r="AN112" s="40"/>
      <c r="AO112" s="40"/>
      <c r="AP112" s="40"/>
      <c r="AQ112" s="40"/>
      <c r="AR112" s="40"/>
      <c r="AS112" s="40"/>
      <c r="AT112" s="40"/>
      <c r="AU112" s="40"/>
      <c r="AV112" s="40"/>
      <c r="AW112" s="40"/>
      <c r="AX112" s="40"/>
      <c r="AY112" s="40"/>
      <c r="AZ112" s="40"/>
    </row>
    <row r="113" spans="1:52" ht="16.5" customHeight="1">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c r="AA113" s="40"/>
      <c r="AB113" s="40"/>
      <c r="AC113" s="40"/>
      <c r="AD113" s="40"/>
      <c r="AE113" s="40"/>
      <c r="AF113" s="40"/>
      <c r="AG113" s="40"/>
      <c r="AH113" s="40"/>
      <c r="AI113" s="40"/>
      <c r="AJ113" s="40"/>
      <c r="AK113" s="40"/>
      <c r="AL113" s="40"/>
      <c r="AM113" s="40"/>
      <c r="AN113" s="40"/>
      <c r="AO113" s="40"/>
      <c r="AP113" s="40"/>
      <c r="AQ113" s="40"/>
      <c r="AR113" s="40"/>
      <c r="AS113" s="40"/>
      <c r="AT113" s="40"/>
      <c r="AU113" s="40"/>
      <c r="AV113" s="40"/>
      <c r="AW113" s="40"/>
      <c r="AX113" s="40"/>
      <c r="AY113" s="40"/>
      <c r="AZ113" s="40"/>
    </row>
    <row r="114" spans="1:52" ht="16.5" customHeight="1">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c r="AA114" s="40"/>
      <c r="AB114" s="40"/>
      <c r="AC114" s="40"/>
      <c r="AD114" s="40"/>
      <c r="AE114" s="40"/>
      <c r="AF114" s="40"/>
      <c r="AG114" s="40"/>
      <c r="AH114" s="40"/>
      <c r="AI114" s="40"/>
      <c r="AJ114" s="40"/>
      <c r="AK114" s="40"/>
      <c r="AL114" s="40"/>
      <c r="AM114" s="40"/>
      <c r="AN114" s="40"/>
      <c r="AO114" s="40"/>
      <c r="AP114" s="40"/>
      <c r="AQ114" s="40"/>
      <c r="AR114" s="40"/>
      <c r="AS114" s="40"/>
      <c r="AT114" s="40"/>
      <c r="AU114" s="40"/>
      <c r="AV114" s="40"/>
      <c r="AW114" s="40"/>
      <c r="AX114" s="40"/>
      <c r="AY114" s="40"/>
      <c r="AZ114" s="40"/>
    </row>
    <row r="115" spans="1:52" ht="16.5" customHeight="1">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c r="AA115" s="40"/>
      <c r="AB115" s="40"/>
      <c r="AC115" s="40"/>
      <c r="AD115" s="40"/>
      <c r="AE115" s="40"/>
      <c r="AF115" s="40"/>
      <c r="AG115" s="40"/>
      <c r="AH115" s="40"/>
      <c r="AI115" s="40"/>
      <c r="AJ115" s="40"/>
      <c r="AK115" s="40"/>
      <c r="AL115" s="40"/>
      <c r="AM115" s="40"/>
      <c r="AN115" s="40"/>
      <c r="AO115" s="40"/>
      <c r="AP115" s="40"/>
      <c r="AQ115" s="40"/>
      <c r="AR115" s="40"/>
      <c r="AS115" s="40"/>
      <c r="AT115" s="40"/>
      <c r="AU115" s="40"/>
      <c r="AV115" s="40"/>
      <c r="AW115" s="40"/>
      <c r="AX115" s="40"/>
      <c r="AY115" s="40"/>
      <c r="AZ115" s="40"/>
    </row>
    <row r="116" spans="1:52" ht="16.5" customHeight="1">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c r="AA116" s="40"/>
      <c r="AB116" s="40"/>
      <c r="AC116" s="40"/>
      <c r="AD116" s="40"/>
      <c r="AE116" s="40"/>
      <c r="AF116" s="40"/>
      <c r="AG116" s="40"/>
      <c r="AH116" s="40"/>
      <c r="AI116" s="40"/>
      <c r="AJ116" s="40"/>
      <c r="AK116" s="40"/>
      <c r="AL116" s="40"/>
      <c r="AM116" s="40"/>
      <c r="AN116" s="40"/>
      <c r="AO116" s="40"/>
      <c r="AP116" s="40"/>
      <c r="AQ116" s="40"/>
      <c r="AR116" s="40"/>
      <c r="AS116" s="40"/>
      <c r="AT116" s="40"/>
      <c r="AU116" s="40"/>
      <c r="AV116" s="40"/>
      <c r="AW116" s="40"/>
      <c r="AX116" s="40"/>
      <c r="AY116" s="40"/>
      <c r="AZ116" s="40"/>
    </row>
    <row r="117" spans="1:52" ht="16.5" customHeight="1">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c r="AA117" s="40"/>
      <c r="AB117" s="40"/>
      <c r="AC117" s="40"/>
      <c r="AD117" s="40"/>
      <c r="AE117" s="40"/>
      <c r="AF117" s="40"/>
      <c r="AG117" s="40"/>
      <c r="AH117" s="40"/>
      <c r="AI117" s="40"/>
      <c r="AJ117" s="40"/>
      <c r="AK117" s="40"/>
      <c r="AL117" s="40"/>
      <c r="AM117" s="40"/>
      <c r="AN117" s="40"/>
      <c r="AO117" s="40"/>
      <c r="AP117" s="40"/>
      <c r="AQ117" s="40"/>
      <c r="AR117" s="40"/>
      <c r="AS117" s="40"/>
      <c r="AT117" s="40"/>
      <c r="AU117" s="40"/>
      <c r="AV117" s="40"/>
      <c r="AW117" s="40"/>
      <c r="AX117" s="40"/>
      <c r="AY117" s="40"/>
      <c r="AZ117" s="40"/>
    </row>
    <row r="118" spans="1:52" ht="16.5" customHeight="1">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c r="AA118" s="40"/>
      <c r="AB118" s="40"/>
      <c r="AC118" s="40"/>
      <c r="AD118" s="40"/>
      <c r="AE118" s="40"/>
      <c r="AF118" s="40"/>
      <c r="AG118" s="40"/>
      <c r="AH118" s="40"/>
      <c r="AI118" s="40"/>
      <c r="AJ118" s="40"/>
      <c r="AK118" s="40"/>
      <c r="AL118" s="40"/>
      <c r="AM118" s="40"/>
      <c r="AN118" s="40"/>
      <c r="AO118" s="40"/>
      <c r="AP118" s="40"/>
      <c r="AQ118" s="40"/>
      <c r="AR118" s="40"/>
      <c r="AS118" s="40"/>
      <c r="AT118" s="40"/>
      <c r="AU118" s="40"/>
      <c r="AV118" s="40"/>
      <c r="AW118" s="40"/>
      <c r="AX118" s="40"/>
      <c r="AY118" s="40"/>
      <c r="AZ118" s="40"/>
    </row>
    <row r="119" spans="1:52" ht="16.5" customHeight="1">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c r="AA119" s="40"/>
      <c r="AB119" s="40"/>
      <c r="AC119" s="40"/>
      <c r="AD119" s="40"/>
      <c r="AE119" s="40"/>
      <c r="AF119" s="40"/>
      <c r="AG119" s="40"/>
      <c r="AH119" s="40"/>
      <c r="AI119" s="40"/>
      <c r="AJ119" s="40"/>
      <c r="AK119" s="40"/>
      <c r="AL119" s="40"/>
      <c r="AM119" s="40"/>
      <c r="AN119" s="40"/>
      <c r="AO119" s="40"/>
      <c r="AP119" s="40"/>
      <c r="AQ119" s="40"/>
      <c r="AR119" s="40"/>
      <c r="AS119" s="40"/>
      <c r="AT119" s="40"/>
      <c r="AU119" s="40"/>
      <c r="AV119" s="40"/>
      <c r="AW119" s="40"/>
      <c r="AX119" s="40"/>
      <c r="AY119" s="40"/>
      <c r="AZ119" s="40"/>
    </row>
    <row r="120" spans="1:52" ht="16.5" customHeight="1">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c r="AA120" s="40"/>
      <c r="AB120" s="40"/>
      <c r="AC120" s="40"/>
      <c r="AD120" s="40"/>
      <c r="AE120" s="40"/>
      <c r="AF120" s="40"/>
      <c r="AG120" s="40"/>
      <c r="AH120" s="40"/>
      <c r="AI120" s="40"/>
      <c r="AJ120" s="40"/>
      <c r="AK120" s="40"/>
      <c r="AL120" s="40"/>
      <c r="AM120" s="40"/>
      <c r="AN120" s="40"/>
      <c r="AO120" s="40"/>
      <c r="AP120" s="40"/>
      <c r="AQ120" s="40"/>
      <c r="AR120" s="40"/>
      <c r="AS120" s="40"/>
      <c r="AT120" s="40"/>
      <c r="AU120" s="40"/>
      <c r="AV120" s="40"/>
      <c r="AW120" s="40"/>
      <c r="AX120" s="40"/>
      <c r="AY120" s="40"/>
      <c r="AZ120" s="40"/>
    </row>
    <row r="121" spans="1:52" ht="16.5" customHeight="1">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c r="AA121" s="40"/>
      <c r="AB121" s="40"/>
      <c r="AC121" s="40"/>
      <c r="AD121" s="40"/>
      <c r="AE121" s="40"/>
      <c r="AF121" s="40"/>
      <c r="AG121" s="40"/>
      <c r="AH121" s="40"/>
      <c r="AI121" s="40"/>
      <c r="AJ121" s="40"/>
      <c r="AK121" s="40"/>
      <c r="AL121" s="40"/>
      <c r="AM121" s="40"/>
      <c r="AN121" s="40"/>
      <c r="AO121" s="40"/>
      <c r="AP121" s="40"/>
      <c r="AQ121" s="40"/>
      <c r="AR121" s="40"/>
      <c r="AS121" s="40"/>
      <c r="AT121" s="40"/>
      <c r="AU121" s="40"/>
      <c r="AV121" s="40"/>
      <c r="AW121" s="40"/>
      <c r="AX121" s="40"/>
      <c r="AY121" s="40"/>
      <c r="AZ121" s="40"/>
    </row>
    <row r="122" spans="1:52" ht="16.5" customHeight="1">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c r="AA122" s="40"/>
      <c r="AB122" s="40"/>
      <c r="AC122" s="40"/>
      <c r="AD122" s="40"/>
      <c r="AE122" s="40"/>
      <c r="AF122" s="40"/>
      <c r="AG122" s="40"/>
      <c r="AH122" s="40"/>
      <c r="AI122" s="40"/>
      <c r="AJ122" s="40"/>
      <c r="AK122" s="40"/>
      <c r="AL122" s="40"/>
      <c r="AM122" s="40"/>
      <c r="AN122" s="40"/>
      <c r="AO122" s="40"/>
      <c r="AP122" s="40"/>
      <c r="AQ122" s="40"/>
      <c r="AR122" s="40"/>
      <c r="AS122" s="40"/>
      <c r="AT122" s="40"/>
      <c r="AU122" s="40"/>
      <c r="AV122" s="40"/>
      <c r="AW122" s="40"/>
      <c r="AX122" s="40"/>
      <c r="AY122" s="40"/>
      <c r="AZ122" s="40"/>
    </row>
    <row r="123" spans="1:52" ht="16.5" customHeight="1">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c r="AA123" s="40"/>
      <c r="AB123" s="40"/>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row>
    <row r="124" spans="1:52" ht="16.5" customHeight="1">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c r="AA124" s="40"/>
      <c r="AB124" s="40"/>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row>
    <row r="125" spans="1:52" ht="16.5" customHeight="1">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c r="AA125" s="40"/>
      <c r="AB125" s="40"/>
      <c r="AC125" s="40"/>
      <c r="AD125" s="40"/>
      <c r="AE125" s="40"/>
      <c r="AF125" s="40"/>
      <c r="AG125" s="40"/>
      <c r="AH125" s="40"/>
      <c r="AI125" s="40"/>
      <c r="AJ125" s="40"/>
      <c r="AK125" s="40"/>
      <c r="AL125" s="40"/>
      <c r="AM125" s="40"/>
      <c r="AN125" s="40"/>
      <c r="AO125" s="40"/>
      <c r="AP125" s="40"/>
      <c r="AQ125" s="40"/>
      <c r="AR125" s="40"/>
      <c r="AS125" s="40"/>
      <c r="AT125" s="40"/>
      <c r="AU125" s="40"/>
      <c r="AV125" s="40"/>
      <c r="AW125" s="40"/>
      <c r="AX125" s="40"/>
      <c r="AY125" s="40"/>
      <c r="AZ125" s="40"/>
    </row>
    <row r="126" spans="1:52" ht="16.5" customHeight="1">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c r="AA126" s="40"/>
      <c r="AB126" s="40"/>
      <c r="AC126" s="40"/>
      <c r="AD126" s="40"/>
      <c r="AE126" s="40"/>
      <c r="AF126" s="40"/>
      <c r="AG126" s="40"/>
      <c r="AH126" s="40"/>
      <c r="AI126" s="40"/>
      <c r="AJ126" s="40"/>
      <c r="AK126" s="40"/>
      <c r="AL126" s="40"/>
      <c r="AM126" s="40"/>
      <c r="AN126" s="40"/>
      <c r="AO126" s="40"/>
      <c r="AP126" s="40"/>
      <c r="AQ126" s="40"/>
      <c r="AR126" s="40"/>
      <c r="AS126" s="40"/>
      <c r="AT126" s="40"/>
      <c r="AU126" s="40"/>
      <c r="AV126" s="40"/>
      <c r="AW126" s="40"/>
      <c r="AX126" s="40"/>
      <c r="AY126" s="40"/>
      <c r="AZ126" s="40"/>
    </row>
    <row r="127" spans="1:52" ht="16.5" customHeight="1">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c r="AA127" s="40"/>
      <c r="AB127" s="40"/>
      <c r="AC127" s="40"/>
      <c r="AD127" s="40"/>
      <c r="AE127" s="40"/>
      <c r="AF127" s="40"/>
      <c r="AG127" s="40"/>
      <c r="AH127" s="40"/>
      <c r="AI127" s="40"/>
      <c r="AJ127" s="40"/>
      <c r="AK127" s="40"/>
      <c r="AL127" s="40"/>
      <c r="AM127" s="40"/>
      <c r="AN127" s="40"/>
      <c r="AO127" s="40"/>
      <c r="AP127" s="40"/>
      <c r="AQ127" s="40"/>
      <c r="AR127" s="40"/>
      <c r="AS127" s="40"/>
      <c r="AT127" s="40"/>
      <c r="AU127" s="40"/>
      <c r="AV127" s="40"/>
      <c r="AW127" s="40"/>
      <c r="AX127" s="40"/>
      <c r="AY127" s="40"/>
      <c r="AZ127" s="40"/>
    </row>
    <row r="128" spans="1:52" ht="16.5" customHeight="1">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c r="AA128" s="40"/>
      <c r="AB128" s="40"/>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row>
    <row r="129" spans="1:52" ht="16.5" customHeight="1">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c r="AA129" s="40"/>
      <c r="AB129" s="40"/>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row>
    <row r="130" spans="1:52" ht="16.5" customHeight="1">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c r="AA130" s="40"/>
      <c r="AB130" s="40"/>
      <c r="AC130" s="40"/>
      <c r="AD130" s="40"/>
      <c r="AE130" s="40"/>
      <c r="AF130" s="40"/>
      <c r="AG130" s="40"/>
      <c r="AH130" s="40"/>
      <c r="AI130" s="40"/>
      <c r="AJ130" s="40"/>
      <c r="AK130" s="40"/>
      <c r="AL130" s="40"/>
      <c r="AM130" s="40"/>
      <c r="AN130" s="40"/>
      <c r="AO130" s="40"/>
      <c r="AP130" s="40"/>
      <c r="AQ130" s="40"/>
      <c r="AR130" s="40"/>
      <c r="AS130" s="40"/>
      <c r="AT130" s="40"/>
      <c r="AU130" s="40"/>
      <c r="AV130" s="40"/>
      <c r="AW130" s="40"/>
      <c r="AX130" s="40"/>
      <c r="AY130" s="40"/>
      <c r="AZ130" s="40"/>
    </row>
    <row r="131" spans="1:52" ht="16.5" customHeight="1">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c r="AA131" s="40"/>
      <c r="AB131" s="40"/>
      <c r="AC131" s="40"/>
      <c r="AD131" s="40"/>
      <c r="AE131" s="40"/>
      <c r="AF131" s="40"/>
      <c r="AG131" s="40"/>
      <c r="AH131" s="40"/>
      <c r="AI131" s="40"/>
      <c r="AJ131" s="40"/>
      <c r="AK131" s="40"/>
      <c r="AL131" s="40"/>
      <c r="AM131" s="40"/>
      <c r="AN131" s="40"/>
      <c r="AO131" s="40"/>
      <c r="AP131" s="40"/>
      <c r="AQ131" s="40"/>
      <c r="AR131" s="40"/>
      <c r="AS131" s="40"/>
      <c r="AT131" s="40"/>
      <c r="AU131" s="40"/>
      <c r="AV131" s="40"/>
      <c r="AW131" s="40"/>
      <c r="AX131" s="40"/>
      <c r="AY131" s="40"/>
      <c r="AZ131" s="40"/>
    </row>
    <row r="132" spans="1:52" ht="16.5" customHeight="1">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c r="AA132" s="40"/>
      <c r="AB132" s="40"/>
      <c r="AC132" s="40"/>
      <c r="AD132" s="40"/>
      <c r="AE132" s="40"/>
      <c r="AF132" s="40"/>
      <c r="AG132" s="40"/>
      <c r="AH132" s="40"/>
      <c r="AI132" s="40"/>
      <c r="AJ132" s="40"/>
      <c r="AK132" s="40"/>
      <c r="AL132" s="40"/>
      <c r="AM132" s="40"/>
      <c r="AN132" s="40"/>
      <c r="AO132" s="40"/>
      <c r="AP132" s="40"/>
      <c r="AQ132" s="40"/>
      <c r="AR132" s="40"/>
      <c r="AS132" s="40"/>
      <c r="AT132" s="40"/>
      <c r="AU132" s="40"/>
      <c r="AV132" s="40"/>
      <c r="AW132" s="40"/>
      <c r="AX132" s="40"/>
      <c r="AY132" s="40"/>
      <c r="AZ132" s="40"/>
    </row>
    <row r="133" spans="1:52" ht="16.5" customHeight="1">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c r="AA133" s="40"/>
      <c r="AB133" s="40"/>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row>
    <row r="134" spans="1:52" ht="16.5" customHeight="1">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c r="AA134" s="40"/>
      <c r="AB134" s="40"/>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row>
    <row r="135" spans="1:52" ht="16.5" customHeight="1">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c r="AA135" s="40"/>
      <c r="AB135" s="40"/>
      <c r="AC135" s="40"/>
      <c r="AD135" s="40"/>
      <c r="AE135" s="40"/>
      <c r="AF135" s="40"/>
      <c r="AG135" s="40"/>
      <c r="AH135" s="40"/>
      <c r="AI135" s="40"/>
      <c r="AJ135" s="40"/>
      <c r="AK135" s="40"/>
      <c r="AL135" s="40"/>
      <c r="AM135" s="40"/>
      <c r="AN135" s="40"/>
      <c r="AO135" s="40"/>
      <c r="AP135" s="40"/>
      <c r="AQ135" s="40"/>
      <c r="AR135" s="40"/>
      <c r="AS135" s="40"/>
      <c r="AT135" s="40"/>
      <c r="AU135" s="40"/>
      <c r="AV135" s="40"/>
      <c r="AW135" s="40"/>
      <c r="AX135" s="40"/>
      <c r="AY135" s="40"/>
      <c r="AZ135" s="40"/>
    </row>
    <row r="136" spans="1:52" ht="16.5" customHeight="1">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row>
    <row r="137" spans="1:52" ht="16.5" customHeight="1">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c r="AA137" s="40"/>
      <c r="AB137" s="40"/>
      <c r="AC137" s="40"/>
      <c r="AD137" s="40"/>
      <c r="AE137" s="40"/>
      <c r="AF137" s="40"/>
      <c r="AG137" s="40"/>
      <c r="AH137" s="40"/>
      <c r="AI137" s="40"/>
      <c r="AJ137" s="40"/>
      <c r="AK137" s="40"/>
      <c r="AL137" s="40"/>
      <c r="AM137" s="40"/>
      <c r="AN137" s="40"/>
      <c r="AO137" s="40"/>
      <c r="AP137" s="40"/>
      <c r="AQ137" s="40"/>
      <c r="AR137" s="40"/>
      <c r="AS137" s="40"/>
      <c r="AT137" s="40"/>
      <c r="AU137" s="40"/>
      <c r="AV137" s="40"/>
      <c r="AW137" s="40"/>
      <c r="AX137" s="40"/>
      <c r="AY137" s="40"/>
      <c r="AZ137" s="40"/>
    </row>
    <row r="138" spans="1:52" ht="16.5" customHeight="1">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c r="AA138" s="40"/>
      <c r="AB138" s="40"/>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row>
    <row r="139" spans="1:52" ht="16.5" customHeight="1">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c r="AA139" s="40"/>
      <c r="AB139" s="40"/>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row>
    <row r="140" spans="1:52" ht="16.5" customHeight="1">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c r="AA140" s="40"/>
      <c r="AB140" s="40"/>
      <c r="AC140" s="40"/>
      <c r="AD140" s="40"/>
      <c r="AE140" s="40"/>
      <c r="AF140" s="40"/>
      <c r="AG140" s="40"/>
      <c r="AH140" s="40"/>
      <c r="AI140" s="40"/>
      <c r="AJ140" s="40"/>
      <c r="AK140" s="40"/>
      <c r="AL140" s="40"/>
      <c r="AM140" s="40"/>
      <c r="AN140" s="40"/>
      <c r="AO140" s="40"/>
      <c r="AP140" s="40"/>
      <c r="AQ140" s="40"/>
      <c r="AR140" s="40"/>
      <c r="AS140" s="40"/>
      <c r="AT140" s="40"/>
      <c r="AU140" s="40"/>
      <c r="AV140" s="40"/>
      <c r="AW140" s="40"/>
      <c r="AX140" s="40"/>
      <c r="AY140" s="40"/>
      <c r="AZ140" s="40"/>
    </row>
    <row r="141" spans="1:52" ht="16.5" customHeight="1">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c r="AA141" s="40"/>
      <c r="AB141" s="40"/>
      <c r="AC141" s="40"/>
      <c r="AD141" s="40"/>
      <c r="AE141" s="40"/>
      <c r="AF141" s="40"/>
      <c r="AG141" s="40"/>
      <c r="AH141" s="40"/>
      <c r="AI141" s="40"/>
      <c r="AJ141" s="40"/>
      <c r="AK141" s="40"/>
      <c r="AL141" s="40"/>
      <c r="AM141" s="40"/>
      <c r="AN141" s="40"/>
      <c r="AO141" s="40"/>
      <c r="AP141" s="40"/>
      <c r="AQ141" s="40"/>
      <c r="AR141" s="40"/>
      <c r="AS141" s="40"/>
      <c r="AT141" s="40"/>
      <c r="AU141" s="40"/>
      <c r="AV141" s="40"/>
      <c r="AW141" s="40"/>
      <c r="AX141" s="40"/>
      <c r="AY141" s="40"/>
      <c r="AZ141" s="40"/>
    </row>
    <row r="142" spans="1:52" ht="16.5" customHeight="1">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c r="AA142" s="40"/>
      <c r="AB142" s="40"/>
      <c r="AC142" s="40"/>
      <c r="AD142" s="40"/>
      <c r="AE142" s="40"/>
      <c r="AF142" s="40"/>
      <c r="AG142" s="40"/>
      <c r="AH142" s="40"/>
      <c r="AI142" s="40"/>
      <c r="AJ142" s="40"/>
      <c r="AK142" s="40"/>
      <c r="AL142" s="40"/>
      <c r="AM142" s="40"/>
      <c r="AN142" s="40"/>
      <c r="AO142" s="40"/>
      <c r="AP142" s="40"/>
      <c r="AQ142" s="40"/>
      <c r="AR142" s="40"/>
      <c r="AS142" s="40"/>
      <c r="AT142" s="40"/>
      <c r="AU142" s="40"/>
      <c r="AV142" s="40"/>
      <c r="AW142" s="40"/>
      <c r="AX142" s="40"/>
      <c r="AY142" s="40"/>
      <c r="AZ142" s="40"/>
    </row>
    <row r="143" spans="1:52" ht="16.5" customHeight="1">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c r="AA143" s="40"/>
      <c r="AB143" s="40"/>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row>
    <row r="144" spans="1:52" ht="16.5" customHeight="1">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c r="AA144" s="40"/>
      <c r="AB144" s="40"/>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row>
    <row r="145" spans="1:52" ht="16.5" customHeight="1">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c r="AA145" s="40"/>
      <c r="AB145" s="40"/>
      <c r="AC145" s="40"/>
      <c r="AD145" s="40"/>
      <c r="AE145" s="40"/>
      <c r="AF145" s="40"/>
      <c r="AG145" s="40"/>
      <c r="AH145" s="40"/>
      <c r="AI145" s="40"/>
      <c r="AJ145" s="40"/>
      <c r="AK145" s="40"/>
      <c r="AL145" s="40"/>
      <c r="AM145" s="40"/>
      <c r="AN145" s="40"/>
      <c r="AO145" s="40"/>
      <c r="AP145" s="40"/>
      <c r="AQ145" s="40"/>
      <c r="AR145" s="40"/>
      <c r="AS145" s="40"/>
      <c r="AT145" s="40"/>
      <c r="AU145" s="40"/>
      <c r="AV145" s="40"/>
      <c r="AW145" s="40"/>
      <c r="AX145" s="40"/>
      <c r="AY145" s="40"/>
      <c r="AZ145" s="40"/>
    </row>
    <row r="146" spans="1:52" ht="16.5" customHeight="1">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c r="AA146" s="40"/>
      <c r="AB146" s="40"/>
      <c r="AC146" s="40"/>
      <c r="AD146" s="40"/>
      <c r="AE146" s="40"/>
      <c r="AF146" s="40"/>
      <c r="AG146" s="40"/>
      <c r="AH146" s="40"/>
      <c r="AI146" s="40"/>
      <c r="AJ146" s="40"/>
      <c r="AK146" s="40"/>
      <c r="AL146" s="40"/>
      <c r="AM146" s="40"/>
      <c r="AN146" s="40"/>
      <c r="AO146" s="40"/>
      <c r="AP146" s="40"/>
      <c r="AQ146" s="40"/>
      <c r="AR146" s="40"/>
      <c r="AS146" s="40"/>
      <c r="AT146" s="40"/>
      <c r="AU146" s="40"/>
      <c r="AV146" s="40"/>
      <c r="AW146" s="40"/>
      <c r="AX146" s="40"/>
      <c r="AY146" s="40"/>
      <c r="AZ146" s="40"/>
    </row>
    <row r="147" spans="1:52" ht="16.5" customHeight="1">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c r="AA147" s="40"/>
      <c r="AB147" s="40"/>
      <c r="AC147" s="40"/>
      <c r="AD147" s="40"/>
      <c r="AE147" s="40"/>
      <c r="AF147" s="40"/>
      <c r="AG147" s="40"/>
      <c r="AH147" s="40"/>
      <c r="AI147" s="40"/>
      <c r="AJ147" s="40"/>
      <c r="AK147" s="40"/>
      <c r="AL147" s="40"/>
      <c r="AM147" s="40"/>
      <c r="AN147" s="40"/>
      <c r="AO147" s="40"/>
      <c r="AP147" s="40"/>
      <c r="AQ147" s="40"/>
      <c r="AR147" s="40"/>
      <c r="AS147" s="40"/>
      <c r="AT147" s="40"/>
      <c r="AU147" s="40"/>
      <c r="AV147" s="40"/>
      <c r="AW147" s="40"/>
      <c r="AX147" s="40"/>
      <c r="AY147" s="40"/>
      <c r="AZ147" s="40"/>
    </row>
    <row r="148" spans="1:52" ht="16.5" customHeight="1">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c r="AA148" s="40"/>
      <c r="AB148" s="40"/>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row>
    <row r="149" spans="1:52" ht="16.5" customHeight="1">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c r="AA149" s="40"/>
      <c r="AB149" s="40"/>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row>
    <row r="150" spans="1:52" ht="16.5" customHeight="1">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c r="AA150" s="40"/>
      <c r="AB150" s="40"/>
      <c r="AC150" s="40"/>
      <c r="AD150" s="40"/>
      <c r="AE150" s="40"/>
      <c r="AF150" s="40"/>
      <c r="AG150" s="40"/>
      <c r="AH150" s="40"/>
      <c r="AI150" s="40"/>
      <c r="AJ150" s="40"/>
      <c r="AK150" s="40"/>
      <c r="AL150" s="40"/>
      <c r="AM150" s="40"/>
      <c r="AN150" s="40"/>
      <c r="AO150" s="40"/>
      <c r="AP150" s="40"/>
      <c r="AQ150" s="40"/>
      <c r="AR150" s="40"/>
      <c r="AS150" s="40"/>
      <c r="AT150" s="40"/>
      <c r="AU150" s="40"/>
      <c r="AV150" s="40"/>
      <c r="AW150" s="40"/>
      <c r="AX150" s="40"/>
      <c r="AY150" s="40"/>
      <c r="AZ150" s="40"/>
    </row>
    <row r="151" spans="1:52" ht="16.5" customHeight="1">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c r="AA151" s="40"/>
      <c r="AB151" s="40"/>
      <c r="AC151" s="40"/>
      <c r="AD151" s="40"/>
      <c r="AE151" s="40"/>
      <c r="AF151" s="40"/>
      <c r="AG151" s="40"/>
      <c r="AH151" s="40"/>
      <c r="AI151" s="40"/>
      <c r="AJ151" s="40"/>
      <c r="AK151" s="40"/>
      <c r="AL151" s="40"/>
      <c r="AM151" s="40"/>
      <c r="AN151" s="40"/>
      <c r="AO151" s="40"/>
      <c r="AP151" s="40"/>
      <c r="AQ151" s="40"/>
      <c r="AR151" s="40"/>
      <c r="AS151" s="40"/>
      <c r="AT151" s="40"/>
      <c r="AU151" s="40"/>
      <c r="AV151" s="40"/>
      <c r="AW151" s="40"/>
      <c r="AX151" s="40"/>
      <c r="AY151" s="40"/>
      <c r="AZ151" s="40"/>
    </row>
    <row r="152" spans="1:52" ht="16.5" customHeight="1">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c r="AA152" s="40"/>
      <c r="AB152" s="40"/>
      <c r="AC152" s="40"/>
      <c r="AD152" s="40"/>
      <c r="AE152" s="40"/>
      <c r="AF152" s="40"/>
      <c r="AG152" s="40"/>
      <c r="AH152" s="40"/>
      <c r="AI152" s="40"/>
      <c r="AJ152" s="40"/>
      <c r="AK152" s="40"/>
      <c r="AL152" s="40"/>
      <c r="AM152" s="40"/>
      <c r="AN152" s="40"/>
      <c r="AO152" s="40"/>
      <c r="AP152" s="40"/>
      <c r="AQ152" s="40"/>
      <c r="AR152" s="40"/>
      <c r="AS152" s="40"/>
      <c r="AT152" s="40"/>
      <c r="AU152" s="40"/>
      <c r="AV152" s="40"/>
      <c r="AW152" s="40"/>
      <c r="AX152" s="40"/>
      <c r="AY152" s="40"/>
      <c r="AZ152" s="40"/>
    </row>
    <row r="153" spans="1:52" ht="16.5" customHeight="1">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row>
    <row r="154" spans="1:52" ht="16.5" customHeight="1">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row>
    <row r="155" spans="1:52" ht="16.5" customHeight="1">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c r="AI155" s="40"/>
      <c r="AJ155" s="40"/>
      <c r="AK155" s="40"/>
      <c r="AL155" s="40"/>
      <c r="AM155" s="40"/>
      <c r="AN155" s="40"/>
      <c r="AO155" s="40"/>
      <c r="AP155" s="40"/>
      <c r="AQ155" s="40"/>
      <c r="AR155" s="40"/>
      <c r="AS155" s="40"/>
      <c r="AT155" s="40"/>
      <c r="AU155" s="40"/>
      <c r="AV155" s="40"/>
      <c r="AW155" s="40"/>
      <c r="AX155" s="40"/>
      <c r="AY155" s="40"/>
      <c r="AZ155" s="40"/>
    </row>
    <row r="156" spans="1:52" ht="16.5" customHeight="1">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row>
    <row r="157" spans="1:52" ht="16.5" customHeight="1">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row>
    <row r="158" spans="1:52" ht="16.5" customHeight="1">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c r="AA158" s="40"/>
      <c r="AB158" s="40"/>
      <c r="AC158" s="40"/>
      <c r="AD158" s="40"/>
      <c r="AE158" s="40"/>
      <c r="AF158" s="40"/>
      <c r="AG158" s="40"/>
      <c r="AH158" s="40"/>
      <c r="AI158" s="40"/>
      <c r="AJ158" s="40"/>
      <c r="AK158" s="40"/>
      <c r="AL158" s="40"/>
      <c r="AM158" s="40"/>
      <c r="AN158" s="40"/>
      <c r="AO158" s="40"/>
      <c r="AP158" s="40"/>
      <c r="AQ158" s="40"/>
      <c r="AR158" s="40"/>
      <c r="AS158" s="40"/>
      <c r="AT158" s="40"/>
      <c r="AU158" s="40"/>
      <c r="AV158" s="40"/>
      <c r="AW158" s="40"/>
      <c r="AX158" s="40"/>
      <c r="AY158" s="40"/>
      <c r="AZ158" s="40"/>
    </row>
    <row r="159" spans="1:52" ht="16.5" customHeight="1">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c r="AA159" s="40"/>
      <c r="AB159" s="40"/>
      <c r="AC159" s="40"/>
      <c r="AD159" s="40"/>
      <c r="AE159" s="40"/>
      <c r="AF159" s="40"/>
      <c r="AG159" s="40"/>
      <c r="AH159" s="40"/>
      <c r="AI159" s="40"/>
      <c r="AJ159" s="40"/>
      <c r="AK159" s="40"/>
      <c r="AL159" s="40"/>
      <c r="AM159" s="40"/>
      <c r="AN159" s="40"/>
      <c r="AO159" s="40"/>
      <c r="AP159" s="40"/>
      <c r="AQ159" s="40"/>
      <c r="AR159" s="40"/>
      <c r="AS159" s="40"/>
      <c r="AT159" s="40"/>
      <c r="AU159" s="40"/>
      <c r="AV159" s="40"/>
      <c r="AW159" s="40"/>
      <c r="AX159" s="40"/>
      <c r="AY159" s="40"/>
      <c r="AZ159" s="40"/>
    </row>
    <row r="160" spans="1:52" ht="16.5" customHeight="1">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c r="AA160" s="40"/>
      <c r="AB160" s="40"/>
      <c r="AC160" s="40"/>
      <c r="AD160" s="40"/>
      <c r="AE160" s="40"/>
      <c r="AF160" s="40"/>
      <c r="AG160" s="40"/>
      <c r="AH160" s="40"/>
      <c r="AI160" s="40"/>
      <c r="AJ160" s="40"/>
      <c r="AK160" s="40"/>
      <c r="AL160" s="40"/>
      <c r="AM160" s="40"/>
      <c r="AN160" s="40"/>
      <c r="AO160" s="40"/>
      <c r="AP160" s="40"/>
      <c r="AQ160" s="40"/>
      <c r="AR160" s="40"/>
      <c r="AS160" s="40"/>
      <c r="AT160" s="40"/>
      <c r="AU160" s="40"/>
      <c r="AV160" s="40"/>
      <c r="AW160" s="40"/>
      <c r="AX160" s="40"/>
      <c r="AY160" s="40"/>
      <c r="AZ160" s="40"/>
    </row>
    <row r="161" spans="1:52" ht="16.5" customHeight="1">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c r="AA161" s="40"/>
      <c r="AB161" s="40"/>
      <c r="AC161" s="40"/>
      <c r="AD161" s="40"/>
      <c r="AE161" s="40"/>
      <c r="AF161" s="40"/>
      <c r="AG161" s="40"/>
      <c r="AH161" s="40"/>
      <c r="AI161" s="40"/>
      <c r="AJ161" s="40"/>
      <c r="AK161" s="40"/>
      <c r="AL161" s="40"/>
      <c r="AM161" s="40"/>
      <c r="AN161" s="40"/>
      <c r="AO161" s="40"/>
      <c r="AP161" s="40"/>
      <c r="AQ161" s="40"/>
      <c r="AR161" s="40"/>
      <c r="AS161" s="40"/>
      <c r="AT161" s="40"/>
      <c r="AU161" s="40"/>
      <c r="AV161" s="40"/>
      <c r="AW161" s="40"/>
      <c r="AX161" s="40"/>
      <c r="AY161" s="40"/>
      <c r="AZ161" s="40"/>
    </row>
    <row r="162" spans="1:52" ht="16.5" customHeight="1">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c r="AA162" s="40"/>
      <c r="AB162" s="40"/>
      <c r="AC162" s="40"/>
      <c r="AD162" s="40"/>
      <c r="AE162" s="40"/>
      <c r="AF162" s="40"/>
      <c r="AG162" s="40"/>
      <c r="AH162" s="40"/>
      <c r="AI162" s="40"/>
      <c r="AJ162" s="40"/>
      <c r="AK162" s="40"/>
      <c r="AL162" s="40"/>
      <c r="AM162" s="40"/>
      <c r="AN162" s="40"/>
      <c r="AO162" s="40"/>
      <c r="AP162" s="40"/>
      <c r="AQ162" s="40"/>
      <c r="AR162" s="40"/>
      <c r="AS162" s="40"/>
      <c r="AT162" s="40"/>
      <c r="AU162" s="40"/>
      <c r="AV162" s="40"/>
      <c r="AW162" s="40"/>
      <c r="AX162" s="40"/>
      <c r="AY162" s="40"/>
      <c r="AZ162" s="40"/>
    </row>
    <row r="163" spans="1:52" ht="16.5" customHeight="1">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c r="AA163" s="40"/>
      <c r="AB163" s="40"/>
      <c r="AC163" s="40"/>
      <c r="AD163" s="40"/>
      <c r="AE163" s="40"/>
      <c r="AF163" s="40"/>
      <c r="AG163" s="40"/>
      <c r="AH163" s="40"/>
      <c r="AI163" s="40"/>
      <c r="AJ163" s="40"/>
      <c r="AK163" s="40"/>
      <c r="AL163" s="40"/>
      <c r="AM163" s="40"/>
      <c r="AN163" s="40"/>
      <c r="AO163" s="40"/>
      <c r="AP163" s="40"/>
      <c r="AQ163" s="40"/>
      <c r="AR163" s="40"/>
      <c r="AS163" s="40"/>
      <c r="AT163" s="40"/>
      <c r="AU163" s="40"/>
      <c r="AV163" s="40"/>
      <c r="AW163" s="40"/>
      <c r="AX163" s="40"/>
      <c r="AY163" s="40"/>
      <c r="AZ163" s="40"/>
    </row>
    <row r="164" spans="1:52" ht="16.5" customHeight="1">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c r="AA164" s="40"/>
      <c r="AB164" s="40"/>
      <c r="AC164" s="40"/>
      <c r="AD164" s="40"/>
      <c r="AE164" s="40"/>
      <c r="AF164" s="40"/>
      <c r="AG164" s="40"/>
      <c r="AH164" s="40"/>
      <c r="AI164" s="40"/>
      <c r="AJ164" s="40"/>
      <c r="AK164" s="40"/>
      <c r="AL164" s="40"/>
      <c r="AM164" s="40"/>
      <c r="AN164" s="40"/>
      <c r="AO164" s="40"/>
      <c r="AP164" s="40"/>
      <c r="AQ164" s="40"/>
      <c r="AR164" s="40"/>
      <c r="AS164" s="40"/>
      <c r="AT164" s="40"/>
      <c r="AU164" s="40"/>
      <c r="AV164" s="40"/>
      <c r="AW164" s="40"/>
      <c r="AX164" s="40"/>
      <c r="AY164" s="40"/>
      <c r="AZ164" s="40"/>
    </row>
    <row r="165" spans="1:52" ht="16.5" customHeight="1">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c r="AA165" s="40"/>
      <c r="AB165" s="40"/>
      <c r="AC165" s="40"/>
      <c r="AD165" s="40"/>
      <c r="AE165" s="40"/>
      <c r="AF165" s="40"/>
      <c r="AG165" s="40"/>
      <c r="AH165" s="40"/>
      <c r="AI165" s="40"/>
      <c r="AJ165" s="40"/>
      <c r="AK165" s="40"/>
      <c r="AL165" s="40"/>
      <c r="AM165" s="40"/>
      <c r="AN165" s="40"/>
      <c r="AO165" s="40"/>
      <c r="AP165" s="40"/>
      <c r="AQ165" s="40"/>
      <c r="AR165" s="40"/>
      <c r="AS165" s="40"/>
      <c r="AT165" s="40"/>
      <c r="AU165" s="40"/>
      <c r="AV165" s="40"/>
      <c r="AW165" s="40"/>
      <c r="AX165" s="40"/>
      <c r="AY165" s="40"/>
      <c r="AZ165" s="40"/>
    </row>
    <row r="166" spans="1:52" ht="16.5" customHeight="1">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c r="AA166" s="40"/>
      <c r="AB166" s="40"/>
      <c r="AC166" s="40"/>
      <c r="AD166" s="40"/>
      <c r="AE166" s="40"/>
      <c r="AF166" s="40"/>
      <c r="AG166" s="40"/>
      <c r="AH166" s="40"/>
      <c r="AI166" s="40"/>
      <c r="AJ166" s="40"/>
      <c r="AK166" s="40"/>
      <c r="AL166" s="40"/>
      <c r="AM166" s="40"/>
      <c r="AN166" s="40"/>
      <c r="AO166" s="40"/>
      <c r="AP166" s="40"/>
      <c r="AQ166" s="40"/>
      <c r="AR166" s="40"/>
      <c r="AS166" s="40"/>
      <c r="AT166" s="40"/>
      <c r="AU166" s="40"/>
      <c r="AV166" s="40"/>
      <c r="AW166" s="40"/>
      <c r="AX166" s="40"/>
      <c r="AY166" s="40"/>
      <c r="AZ166" s="40"/>
    </row>
    <row r="167" spans="1:52" ht="16.5" customHeight="1">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c r="AA167" s="40"/>
      <c r="AB167" s="40"/>
      <c r="AC167" s="40"/>
      <c r="AD167" s="40"/>
      <c r="AE167" s="40"/>
      <c r="AF167" s="40"/>
      <c r="AG167" s="40"/>
      <c r="AH167" s="40"/>
      <c r="AI167" s="40"/>
      <c r="AJ167" s="40"/>
      <c r="AK167" s="40"/>
      <c r="AL167" s="40"/>
      <c r="AM167" s="40"/>
      <c r="AN167" s="40"/>
      <c r="AO167" s="40"/>
      <c r="AP167" s="40"/>
      <c r="AQ167" s="40"/>
      <c r="AR167" s="40"/>
      <c r="AS167" s="40"/>
      <c r="AT167" s="40"/>
      <c r="AU167" s="40"/>
      <c r="AV167" s="40"/>
      <c r="AW167" s="40"/>
      <c r="AX167" s="40"/>
      <c r="AY167" s="40"/>
      <c r="AZ167" s="40"/>
    </row>
    <row r="168" spans="1:52" ht="16.5" customHeight="1">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c r="AA168" s="40"/>
      <c r="AB168" s="40"/>
      <c r="AC168" s="40"/>
      <c r="AD168" s="40"/>
      <c r="AE168" s="40"/>
      <c r="AF168" s="40"/>
      <c r="AG168" s="40"/>
      <c r="AH168" s="40"/>
      <c r="AI168" s="40"/>
      <c r="AJ168" s="40"/>
      <c r="AK168" s="40"/>
      <c r="AL168" s="40"/>
      <c r="AM168" s="40"/>
      <c r="AN168" s="40"/>
      <c r="AO168" s="40"/>
      <c r="AP168" s="40"/>
      <c r="AQ168" s="40"/>
      <c r="AR168" s="40"/>
      <c r="AS168" s="40"/>
      <c r="AT168" s="40"/>
      <c r="AU168" s="40"/>
      <c r="AV168" s="40"/>
      <c r="AW168" s="40"/>
      <c r="AX168" s="40"/>
      <c r="AY168" s="40"/>
      <c r="AZ168" s="40"/>
    </row>
    <row r="169" spans="1:52" ht="16.5" customHeight="1">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c r="AA169" s="40"/>
      <c r="AB169" s="40"/>
      <c r="AC169" s="40"/>
      <c r="AD169" s="40"/>
      <c r="AE169" s="40"/>
      <c r="AF169" s="40"/>
      <c r="AG169" s="40"/>
      <c r="AH169" s="40"/>
      <c r="AI169" s="40"/>
      <c r="AJ169" s="40"/>
      <c r="AK169" s="40"/>
      <c r="AL169" s="40"/>
      <c r="AM169" s="40"/>
      <c r="AN169" s="40"/>
      <c r="AO169" s="40"/>
      <c r="AP169" s="40"/>
      <c r="AQ169" s="40"/>
      <c r="AR169" s="40"/>
      <c r="AS169" s="40"/>
      <c r="AT169" s="40"/>
      <c r="AU169" s="40"/>
      <c r="AV169" s="40"/>
      <c r="AW169" s="40"/>
      <c r="AX169" s="40"/>
      <c r="AY169" s="40"/>
      <c r="AZ169" s="40"/>
    </row>
    <row r="170" spans="1:52" ht="16.5" customHeight="1">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c r="AA170" s="40"/>
      <c r="AB170" s="40"/>
      <c r="AC170" s="40"/>
      <c r="AD170" s="40"/>
      <c r="AE170" s="40"/>
      <c r="AF170" s="40"/>
      <c r="AG170" s="40"/>
      <c r="AH170" s="40"/>
      <c r="AI170" s="40"/>
      <c r="AJ170" s="40"/>
      <c r="AK170" s="40"/>
      <c r="AL170" s="40"/>
      <c r="AM170" s="40"/>
      <c r="AN170" s="40"/>
      <c r="AO170" s="40"/>
      <c r="AP170" s="40"/>
      <c r="AQ170" s="40"/>
      <c r="AR170" s="40"/>
      <c r="AS170" s="40"/>
      <c r="AT170" s="40"/>
      <c r="AU170" s="40"/>
      <c r="AV170" s="40"/>
      <c r="AW170" s="40"/>
      <c r="AX170" s="40"/>
      <c r="AY170" s="40"/>
      <c r="AZ170" s="40"/>
    </row>
    <row r="171" spans="1:52" ht="16.5" customHeight="1">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c r="AA171" s="40"/>
      <c r="AB171" s="40"/>
      <c r="AC171" s="40"/>
      <c r="AD171" s="40"/>
      <c r="AE171" s="40"/>
      <c r="AF171" s="40"/>
      <c r="AG171" s="40"/>
      <c r="AH171" s="40"/>
      <c r="AI171" s="40"/>
      <c r="AJ171" s="40"/>
      <c r="AK171" s="40"/>
      <c r="AL171" s="40"/>
      <c r="AM171" s="40"/>
      <c r="AN171" s="40"/>
      <c r="AO171" s="40"/>
      <c r="AP171" s="40"/>
      <c r="AQ171" s="40"/>
      <c r="AR171" s="40"/>
      <c r="AS171" s="40"/>
      <c r="AT171" s="40"/>
      <c r="AU171" s="40"/>
      <c r="AV171" s="40"/>
      <c r="AW171" s="40"/>
      <c r="AX171" s="40"/>
      <c r="AY171" s="40"/>
      <c r="AZ171" s="40"/>
    </row>
    <row r="172" spans="1:52" ht="16.5" customHeight="1">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c r="AA172" s="40"/>
      <c r="AB172" s="40"/>
      <c r="AC172" s="40"/>
      <c r="AD172" s="40"/>
      <c r="AE172" s="40"/>
      <c r="AF172" s="40"/>
      <c r="AG172" s="40"/>
      <c r="AH172" s="40"/>
      <c r="AI172" s="40"/>
      <c r="AJ172" s="40"/>
      <c r="AK172" s="40"/>
      <c r="AL172" s="40"/>
      <c r="AM172" s="40"/>
      <c r="AN172" s="40"/>
      <c r="AO172" s="40"/>
      <c r="AP172" s="40"/>
      <c r="AQ172" s="40"/>
      <c r="AR172" s="40"/>
      <c r="AS172" s="40"/>
      <c r="AT172" s="40"/>
      <c r="AU172" s="40"/>
      <c r="AV172" s="40"/>
      <c r="AW172" s="40"/>
      <c r="AX172" s="40"/>
      <c r="AY172" s="40"/>
      <c r="AZ172" s="40"/>
    </row>
    <row r="173" spans="1:52" ht="16.5" customHeight="1">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c r="AA173" s="40"/>
      <c r="AB173" s="40"/>
      <c r="AC173" s="40"/>
      <c r="AD173" s="40"/>
      <c r="AE173" s="40"/>
      <c r="AF173" s="40"/>
      <c r="AG173" s="40"/>
      <c r="AH173" s="40"/>
      <c r="AI173" s="40"/>
      <c r="AJ173" s="40"/>
      <c r="AK173" s="40"/>
      <c r="AL173" s="40"/>
      <c r="AM173" s="40"/>
      <c r="AN173" s="40"/>
      <c r="AO173" s="40"/>
      <c r="AP173" s="40"/>
      <c r="AQ173" s="40"/>
      <c r="AR173" s="40"/>
      <c r="AS173" s="40"/>
      <c r="AT173" s="40"/>
      <c r="AU173" s="40"/>
      <c r="AV173" s="40"/>
      <c r="AW173" s="40"/>
      <c r="AX173" s="40"/>
      <c r="AY173" s="40"/>
      <c r="AZ173" s="40"/>
    </row>
    <row r="174" spans="1:52" ht="16.5" customHeight="1">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c r="AA174" s="40"/>
      <c r="AB174" s="40"/>
      <c r="AC174" s="40"/>
      <c r="AD174" s="40"/>
      <c r="AE174" s="40"/>
      <c r="AF174" s="40"/>
      <c r="AG174" s="40"/>
      <c r="AH174" s="40"/>
      <c r="AI174" s="40"/>
      <c r="AJ174" s="40"/>
      <c r="AK174" s="40"/>
      <c r="AL174" s="40"/>
      <c r="AM174" s="40"/>
      <c r="AN174" s="40"/>
      <c r="AO174" s="40"/>
      <c r="AP174" s="40"/>
      <c r="AQ174" s="40"/>
      <c r="AR174" s="40"/>
      <c r="AS174" s="40"/>
      <c r="AT174" s="40"/>
      <c r="AU174" s="40"/>
      <c r="AV174" s="40"/>
      <c r="AW174" s="40"/>
      <c r="AX174" s="40"/>
      <c r="AY174" s="40"/>
      <c r="AZ174" s="40"/>
    </row>
    <row r="175" spans="1:52" ht="16.5" customHeight="1">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c r="AA175" s="40"/>
      <c r="AB175" s="40"/>
      <c r="AC175" s="40"/>
      <c r="AD175" s="40"/>
      <c r="AE175" s="40"/>
      <c r="AF175" s="40"/>
      <c r="AG175" s="40"/>
      <c r="AH175" s="40"/>
      <c r="AI175" s="40"/>
      <c r="AJ175" s="40"/>
      <c r="AK175" s="40"/>
      <c r="AL175" s="40"/>
      <c r="AM175" s="40"/>
      <c r="AN175" s="40"/>
      <c r="AO175" s="40"/>
      <c r="AP175" s="40"/>
      <c r="AQ175" s="40"/>
      <c r="AR175" s="40"/>
      <c r="AS175" s="40"/>
      <c r="AT175" s="40"/>
      <c r="AU175" s="40"/>
      <c r="AV175" s="40"/>
      <c r="AW175" s="40"/>
      <c r="AX175" s="40"/>
      <c r="AY175" s="40"/>
      <c r="AZ175" s="40"/>
    </row>
    <row r="176" spans="1:52" ht="16.5" customHeight="1">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c r="AA176" s="40"/>
      <c r="AB176" s="40"/>
      <c r="AC176" s="40"/>
      <c r="AD176" s="40"/>
      <c r="AE176" s="40"/>
      <c r="AF176" s="40"/>
      <c r="AG176" s="40"/>
      <c r="AH176" s="40"/>
      <c r="AI176" s="40"/>
      <c r="AJ176" s="40"/>
      <c r="AK176" s="40"/>
      <c r="AL176" s="40"/>
      <c r="AM176" s="40"/>
      <c r="AN176" s="40"/>
      <c r="AO176" s="40"/>
      <c r="AP176" s="40"/>
      <c r="AQ176" s="40"/>
      <c r="AR176" s="40"/>
      <c r="AS176" s="40"/>
      <c r="AT176" s="40"/>
      <c r="AU176" s="40"/>
      <c r="AV176" s="40"/>
      <c r="AW176" s="40"/>
      <c r="AX176" s="40"/>
      <c r="AY176" s="40"/>
      <c r="AZ176" s="40"/>
    </row>
    <row r="177" spans="1:52" ht="16.5" customHeight="1">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c r="AA177" s="40"/>
      <c r="AB177" s="40"/>
      <c r="AC177" s="40"/>
      <c r="AD177" s="40"/>
      <c r="AE177" s="40"/>
      <c r="AF177" s="40"/>
      <c r="AG177" s="40"/>
      <c r="AH177" s="40"/>
      <c r="AI177" s="40"/>
      <c r="AJ177" s="40"/>
      <c r="AK177" s="40"/>
      <c r="AL177" s="40"/>
      <c r="AM177" s="40"/>
      <c r="AN177" s="40"/>
      <c r="AO177" s="40"/>
      <c r="AP177" s="40"/>
      <c r="AQ177" s="40"/>
      <c r="AR177" s="40"/>
      <c r="AS177" s="40"/>
      <c r="AT177" s="40"/>
      <c r="AU177" s="40"/>
      <c r="AV177" s="40"/>
      <c r="AW177" s="40"/>
      <c r="AX177" s="40"/>
      <c r="AY177" s="40"/>
      <c r="AZ177" s="40"/>
    </row>
    <row r="178" spans="1:52" ht="16.5" customHeight="1">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c r="AA178" s="40"/>
      <c r="AB178" s="40"/>
      <c r="AC178" s="40"/>
      <c r="AD178" s="40"/>
      <c r="AE178" s="40"/>
      <c r="AF178" s="40"/>
      <c r="AG178" s="40"/>
      <c r="AH178" s="40"/>
      <c r="AI178" s="40"/>
      <c r="AJ178" s="40"/>
      <c r="AK178" s="40"/>
      <c r="AL178" s="40"/>
      <c r="AM178" s="40"/>
      <c r="AN178" s="40"/>
      <c r="AO178" s="40"/>
      <c r="AP178" s="40"/>
      <c r="AQ178" s="40"/>
      <c r="AR178" s="40"/>
      <c r="AS178" s="40"/>
      <c r="AT178" s="40"/>
      <c r="AU178" s="40"/>
      <c r="AV178" s="40"/>
      <c r="AW178" s="40"/>
      <c r="AX178" s="40"/>
      <c r="AY178" s="40"/>
      <c r="AZ178" s="40"/>
    </row>
    <row r="179" spans="1:52" ht="16.5" customHeight="1">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c r="AA179" s="40"/>
      <c r="AB179" s="40"/>
      <c r="AC179" s="40"/>
      <c r="AD179" s="40"/>
      <c r="AE179" s="40"/>
      <c r="AF179" s="40"/>
      <c r="AG179" s="40"/>
      <c r="AH179" s="40"/>
      <c r="AI179" s="40"/>
      <c r="AJ179" s="40"/>
      <c r="AK179" s="40"/>
      <c r="AL179" s="40"/>
      <c r="AM179" s="40"/>
      <c r="AN179" s="40"/>
      <c r="AO179" s="40"/>
      <c r="AP179" s="40"/>
      <c r="AQ179" s="40"/>
      <c r="AR179" s="40"/>
      <c r="AS179" s="40"/>
      <c r="AT179" s="40"/>
      <c r="AU179" s="40"/>
      <c r="AV179" s="40"/>
      <c r="AW179" s="40"/>
      <c r="AX179" s="40"/>
      <c r="AY179" s="40"/>
      <c r="AZ179" s="40"/>
    </row>
    <row r="180" spans="1:52" ht="16.5" customHeight="1">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c r="AA180" s="40"/>
      <c r="AB180" s="40"/>
      <c r="AC180" s="40"/>
      <c r="AD180" s="40"/>
      <c r="AE180" s="40"/>
      <c r="AF180" s="40"/>
      <c r="AG180" s="40"/>
      <c r="AH180" s="40"/>
      <c r="AI180" s="40"/>
      <c r="AJ180" s="40"/>
      <c r="AK180" s="40"/>
      <c r="AL180" s="40"/>
      <c r="AM180" s="40"/>
      <c r="AN180" s="40"/>
      <c r="AO180" s="40"/>
      <c r="AP180" s="40"/>
      <c r="AQ180" s="40"/>
      <c r="AR180" s="40"/>
      <c r="AS180" s="40"/>
      <c r="AT180" s="40"/>
      <c r="AU180" s="40"/>
      <c r="AV180" s="40"/>
      <c r="AW180" s="40"/>
      <c r="AX180" s="40"/>
      <c r="AY180" s="40"/>
      <c r="AZ180" s="40"/>
    </row>
    <row r="181" spans="1:52" ht="16.5" customHeight="1">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c r="AA181" s="40"/>
      <c r="AB181" s="40"/>
      <c r="AC181" s="40"/>
      <c r="AD181" s="40"/>
      <c r="AE181" s="40"/>
      <c r="AF181" s="40"/>
      <c r="AG181" s="40"/>
      <c r="AH181" s="40"/>
      <c r="AI181" s="40"/>
      <c r="AJ181" s="40"/>
      <c r="AK181" s="40"/>
      <c r="AL181" s="40"/>
      <c r="AM181" s="40"/>
      <c r="AN181" s="40"/>
      <c r="AO181" s="40"/>
      <c r="AP181" s="40"/>
      <c r="AQ181" s="40"/>
      <c r="AR181" s="40"/>
      <c r="AS181" s="40"/>
      <c r="AT181" s="40"/>
      <c r="AU181" s="40"/>
      <c r="AV181" s="40"/>
      <c r="AW181" s="40"/>
      <c r="AX181" s="40"/>
      <c r="AY181" s="40"/>
      <c r="AZ181" s="40"/>
    </row>
    <row r="182" spans="1:52" ht="16.5" customHeight="1">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c r="AA182" s="40"/>
      <c r="AB182" s="40"/>
      <c r="AC182" s="40"/>
      <c r="AD182" s="40"/>
      <c r="AE182" s="40"/>
      <c r="AF182" s="40"/>
      <c r="AG182" s="40"/>
      <c r="AH182" s="40"/>
      <c r="AI182" s="40"/>
      <c r="AJ182" s="40"/>
      <c r="AK182" s="40"/>
      <c r="AL182" s="40"/>
      <c r="AM182" s="40"/>
      <c r="AN182" s="40"/>
      <c r="AO182" s="40"/>
      <c r="AP182" s="40"/>
      <c r="AQ182" s="40"/>
      <c r="AR182" s="40"/>
      <c r="AS182" s="40"/>
      <c r="AT182" s="40"/>
      <c r="AU182" s="40"/>
      <c r="AV182" s="40"/>
      <c r="AW182" s="40"/>
      <c r="AX182" s="40"/>
      <c r="AY182" s="40"/>
      <c r="AZ182" s="40"/>
    </row>
    <row r="183" spans="1:52" ht="16.5" customHeight="1">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c r="AA183" s="40"/>
      <c r="AB183" s="40"/>
      <c r="AC183" s="40"/>
      <c r="AD183" s="40"/>
      <c r="AE183" s="40"/>
      <c r="AF183" s="40"/>
      <c r="AG183" s="40"/>
      <c r="AH183" s="40"/>
      <c r="AI183" s="40"/>
      <c r="AJ183" s="40"/>
      <c r="AK183" s="40"/>
      <c r="AL183" s="40"/>
      <c r="AM183" s="40"/>
      <c r="AN183" s="40"/>
      <c r="AO183" s="40"/>
      <c r="AP183" s="40"/>
      <c r="AQ183" s="40"/>
      <c r="AR183" s="40"/>
      <c r="AS183" s="40"/>
      <c r="AT183" s="40"/>
      <c r="AU183" s="40"/>
      <c r="AV183" s="40"/>
      <c r="AW183" s="40"/>
      <c r="AX183" s="40"/>
      <c r="AY183" s="40"/>
      <c r="AZ183" s="40"/>
    </row>
    <row r="184" spans="1:52" ht="16.5" customHeight="1">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c r="AA184" s="40"/>
      <c r="AB184" s="40"/>
      <c r="AC184" s="40"/>
      <c r="AD184" s="40"/>
      <c r="AE184" s="40"/>
      <c r="AF184" s="40"/>
      <c r="AG184" s="40"/>
      <c r="AH184" s="40"/>
      <c r="AI184" s="40"/>
      <c r="AJ184" s="40"/>
      <c r="AK184" s="40"/>
      <c r="AL184" s="40"/>
      <c r="AM184" s="40"/>
      <c r="AN184" s="40"/>
      <c r="AO184" s="40"/>
      <c r="AP184" s="40"/>
      <c r="AQ184" s="40"/>
      <c r="AR184" s="40"/>
      <c r="AS184" s="40"/>
      <c r="AT184" s="40"/>
      <c r="AU184" s="40"/>
      <c r="AV184" s="40"/>
      <c r="AW184" s="40"/>
      <c r="AX184" s="40"/>
      <c r="AY184" s="40"/>
      <c r="AZ184" s="40"/>
    </row>
    <row r="185" spans="1:52" ht="16.5" customHeight="1">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c r="AA185" s="40"/>
      <c r="AB185" s="40"/>
      <c r="AC185" s="40"/>
      <c r="AD185" s="40"/>
      <c r="AE185" s="40"/>
      <c r="AF185" s="40"/>
      <c r="AG185" s="40"/>
      <c r="AH185" s="40"/>
      <c r="AI185" s="40"/>
      <c r="AJ185" s="40"/>
      <c r="AK185" s="40"/>
      <c r="AL185" s="40"/>
      <c r="AM185" s="40"/>
      <c r="AN185" s="40"/>
      <c r="AO185" s="40"/>
      <c r="AP185" s="40"/>
      <c r="AQ185" s="40"/>
      <c r="AR185" s="40"/>
      <c r="AS185" s="40"/>
      <c r="AT185" s="40"/>
      <c r="AU185" s="40"/>
      <c r="AV185" s="40"/>
      <c r="AW185" s="40"/>
      <c r="AX185" s="40"/>
      <c r="AY185" s="40"/>
      <c r="AZ185" s="40"/>
    </row>
    <row r="186" spans="1:52" ht="16.5" customHeight="1">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c r="AA186" s="40"/>
      <c r="AB186" s="40"/>
      <c r="AC186" s="40"/>
      <c r="AD186" s="40"/>
      <c r="AE186" s="40"/>
      <c r="AF186" s="40"/>
      <c r="AG186" s="40"/>
      <c r="AH186" s="40"/>
      <c r="AI186" s="40"/>
      <c r="AJ186" s="40"/>
      <c r="AK186" s="40"/>
      <c r="AL186" s="40"/>
      <c r="AM186" s="40"/>
      <c r="AN186" s="40"/>
      <c r="AO186" s="40"/>
      <c r="AP186" s="40"/>
      <c r="AQ186" s="40"/>
      <c r="AR186" s="40"/>
      <c r="AS186" s="40"/>
      <c r="AT186" s="40"/>
      <c r="AU186" s="40"/>
      <c r="AV186" s="40"/>
      <c r="AW186" s="40"/>
      <c r="AX186" s="40"/>
      <c r="AY186" s="40"/>
      <c r="AZ186" s="40"/>
    </row>
    <row r="187" spans="1:52" ht="16.5" customHeight="1">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c r="AA187" s="40"/>
      <c r="AB187" s="40"/>
      <c r="AC187" s="40"/>
      <c r="AD187" s="40"/>
      <c r="AE187" s="40"/>
      <c r="AF187" s="40"/>
      <c r="AG187" s="40"/>
      <c r="AH187" s="40"/>
      <c r="AI187" s="40"/>
      <c r="AJ187" s="40"/>
      <c r="AK187" s="40"/>
      <c r="AL187" s="40"/>
      <c r="AM187" s="40"/>
      <c r="AN187" s="40"/>
      <c r="AO187" s="40"/>
      <c r="AP187" s="40"/>
      <c r="AQ187" s="40"/>
      <c r="AR187" s="40"/>
      <c r="AS187" s="40"/>
      <c r="AT187" s="40"/>
      <c r="AU187" s="40"/>
      <c r="AV187" s="40"/>
      <c r="AW187" s="40"/>
      <c r="AX187" s="40"/>
      <c r="AY187" s="40"/>
      <c r="AZ187" s="40"/>
    </row>
    <row r="188" spans="1:52" ht="16.5" customHeight="1">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c r="AA188" s="40"/>
      <c r="AB188" s="40"/>
      <c r="AC188" s="40"/>
      <c r="AD188" s="40"/>
      <c r="AE188" s="40"/>
      <c r="AF188" s="40"/>
      <c r="AG188" s="40"/>
      <c r="AH188" s="40"/>
      <c r="AI188" s="40"/>
      <c r="AJ188" s="40"/>
      <c r="AK188" s="40"/>
      <c r="AL188" s="40"/>
      <c r="AM188" s="40"/>
      <c r="AN188" s="40"/>
      <c r="AO188" s="40"/>
      <c r="AP188" s="40"/>
      <c r="AQ188" s="40"/>
      <c r="AR188" s="40"/>
      <c r="AS188" s="40"/>
      <c r="AT188" s="40"/>
      <c r="AU188" s="40"/>
      <c r="AV188" s="40"/>
      <c r="AW188" s="40"/>
      <c r="AX188" s="40"/>
      <c r="AY188" s="40"/>
      <c r="AZ188" s="40"/>
    </row>
    <row r="189" spans="1:52" ht="16.5" customHeight="1">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c r="AA189" s="40"/>
      <c r="AB189" s="40"/>
      <c r="AC189" s="40"/>
      <c r="AD189" s="40"/>
      <c r="AE189" s="40"/>
      <c r="AF189" s="40"/>
      <c r="AG189" s="40"/>
      <c r="AH189" s="40"/>
      <c r="AI189" s="40"/>
      <c r="AJ189" s="40"/>
      <c r="AK189" s="40"/>
      <c r="AL189" s="40"/>
      <c r="AM189" s="40"/>
      <c r="AN189" s="40"/>
      <c r="AO189" s="40"/>
      <c r="AP189" s="40"/>
      <c r="AQ189" s="40"/>
      <c r="AR189" s="40"/>
      <c r="AS189" s="40"/>
      <c r="AT189" s="40"/>
      <c r="AU189" s="40"/>
      <c r="AV189" s="40"/>
      <c r="AW189" s="40"/>
      <c r="AX189" s="40"/>
      <c r="AY189" s="40"/>
      <c r="AZ189" s="40"/>
    </row>
    <row r="190" spans="1:52" ht="16.5" customHeight="1">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c r="AA190" s="40"/>
      <c r="AB190" s="40"/>
      <c r="AC190" s="40"/>
      <c r="AD190" s="40"/>
      <c r="AE190" s="40"/>
      <c r="AF190" s="40"/>
      <c r="AG190" s="40"/>
      <c r="AH190" s="40"/>
      <c r="AI190" s="40"/>
      <c r="AJ190" s="40"/>
      <c r="AK190" s="40"/>
      <c r="AL190" s="40"/>
      <c r="AM190" s="40"/>
      <c r="AN190" s="40"/>
      <c r="AO190" s="40"/>
      <c r="AP190" s="40"/>
      <c r="AQ190" s="40"/>
      <c r="AR190" s="40"/>
      <c r="AS190" s="40"/>
      <c r="AT190" s="40"/>
      <c r="AU190" s="40"/>
      <c r="AV190" s="40"/>
      <c r="AW190" s="40"/>
      <c r="AX190" s="40"/>
      <c r="AY190" s="40"/>
      <c r="AZ190" s="40"/>
    </row>
    <row r="191" spans="1:52" ht="16.5" customHeight="1">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c r="AA191" s="40"/>
      <c r="AB191" s="40"/>
      <c r="AC191" s="40"/>
      <c r="AD191" s="40"/>
      <c r="AE191" s="40"/>
      <c r="AF191" s="40"/>
      <c r="AG191" s="40"/>
      <c r="AH191" s="40"/>
      <c r="AI191" s="40"/>
      <c r="AJ191" s="40"/>
      <c r="AK191" s="40"/>
      <c r="AL191" s="40"/>
      <c r="AM191" s="40"/>
      <c r="AN191" s="40"/>
      <c r="AO191" s="40"/>
      <c r="AP191" s="40"/>
      <c r="AQ191" s="40"/>
      <c r="AR191" s="40"/>
      <c r="AS191" s="40"/>
      <c r="AT191" s="40"/>
      <c r="AU191" s="40"/>
      <c r="AV191" s="40"/>
      <c r="AW191" s="40"/>
      <c r="AX191" s="40"/>
      <c r="AY191" s="40"/>
      <c r="AZ191" s="40"/>
    </row>
    <row r="192" spans="1:52" ht="16.5" customHeight="1">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c r="AA192" s="40"/>
      <c r="AB192" s="40"/>
      <c r="AC192" s="40"/>
      <c r="AD192" s="40"/>
      <c r="AE192" s="40"/>
      <c r="AF192" s="40"/>
      <c r="AG192" s="40"/>
      <c r="AH192" s="40"/>
      <c r="AI192" s="40"/>
      <c r="AJ192" s="40"/>
      <c r="AK192" s="40"/>
      <c r="AL192" s="40"/>
      <c r="AM192" s="40"/>
      <c r="AN192" s="40"/>
      <c r="AO192" s="40"/>
      <c r="AP192" s="40"/>
      <c r="AQ192" s="40"/>
      <c r="AR192" s="40"/>
      <c r="AS192" s="40"/>
      <c r="AT192" s="40"/>
      <c r="AU192" s="40"/>
      <c r="AV192" s="40"/>
      <c r="AW192" s="40"/>
      <c r="AX192" s="40"/>
      <c r="AY192" s="40"/>
      <c r="AZ192" s="40"/>
    </row>
    <row r="193" spans="1:52" ht="16.5" customHeight="1">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c r="AA193" s="40"/>
      <c r="AB193" s="40"/>
      <c r="AC193" s="40"/>
      <c r="AD193" s="40"/>
      <c r="AE193" s="40"/>
      <c r="AF193" s="40"/>
      <c r="AG193" s="40"/>
      <c r="AH193" s="40"/>
      <c r="AI193" s="40"/>
      <c r="AJ193" s="40"/>
      <c r="AK193" s="40"/>
      <c r="AL193" s="40"/>
      <c r="AM193" s="40"/>
      <c r="AN193" s="40"/>
      <c r="AO193" s="40"/>
      <c r="AP193" s="40"/>
      <c r="AQ193" s="40"/>
      <c r="AR193" s="40"/>
      <c r="AS193" s="40"/>
      <c r="AT193" s="40"/>
      <c r="AU193" s="40"/>
      <c r="AV193" s="40"/>
      <c r="AW193" s="40"/>
      <c r="AX193" s="40"/>
      <c r="AY193" s="40"/>
      <c r="AZ193" s="40"/>
    </row>
    <row r="194" spans="1:52" ht="16.5" customHeight="1">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c r="AA194" s="40"/>
      <c r="AB194" s="40"/>
      <c r="AC194" s="40"/>
      <c r="AD194" s="40"/>
      <c r="AE194" s="40"/>
      <c r="AF194" s="40"/>
      <c r="AG194" s="40"/>
      <c r="AH194" s="40"/>
      <c r="AI194" s="40"/>
      <c r="AJ194" s="40"/>
      <c r="AK194" s="40"/>
      <c r="AL194" s="40"/>
      <c r="AM194" s="40"/>
      <c r="AN194" s="40"/>
      <c r="AO194" s="40"/>
      <c r="AP194" s="40"/>
      <c r="AQ194" s="40"/>
      <c r="AR194" s="40"/>
      <c r="AS194" s="40"/>
      <c r="AT194" s="40"/>
      <c r="AU194" s="40"/>
      <c r="AV194" s="40"/>
      <c r="AW194" s="40"/>
      <c r="AX194" s="40"/>
      <c r="AY194" s="40"/>
      <c r="AZ194" s="40"/>
    </row>
    <row r="195" spans="1:52" ht="16.5" customHeight="1">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c r="AA195" s="40"/>
      <c r="AB195" s="40"/>
      <c r="AC195" s="40"/>
      <c r="AD195" s="40"/>
      <c r="AE195" s="40"/>
      <c r="AF195" s="40"/>
      <c r="AG195" s="40"/>
      <c r="AH195" s="40"/>
      <c r="AI195" s="40"/>
      <c r="AJ195" s="40"/>
      <c r="AK195" s="40"/>
      <c r="AL195" s="40"/>
      <c r="AM195" s="40"/>
      <c r="AN195" s="40"/>
      <c r="AO195" s="40"/>
      <c r="AP195" s="40"/>
      <c r="AQ195" s="40"/>
      <c r="AR195" s="40"/>
      <c r="AS195" s="40"/>
      <c r="AT195" s="40"/>
      <c r="AU195" s="40"/>
      <c r="AV195" s="40"/>
      <c r="AW195" s="40"/>
      <c r="AX195" s="40"/>
      <c r="AY195" s="40"/>
      <c r="AZ195" s="40"/>
    </row>
    <row r="196" spans="1:52" ht="16.5" customHeight="1">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c r="AA196" s="40"/>
      <c r="AB196" s="40"/>
      <c r="AC196" s="40"/>
      <c r="AD196" s="40"/>
      <c r="AE196" s="40"/>
      <c r="AF196" s="40"/>
      <c r="AG196" s="40"/>
      <c r="AH196" s="40"/>
      <c r="AI196" s="40"/>
      <c r="AJ196" s="40"/>
      <c r="AK196" s="40"/>
      <c r="AL196" s="40"/>
      <c r="AM196" s="40"/>
      <c r="AN196" s="40"/>
      <c r="AO196" s="40"/>
      <c r="AP196" s="40"/>
      <c r="AQ196" s="40"/>
      <c r="AR196" s="40"/>
      <c r="AS196" s="40"/>
      <c r="AT196" s="40"/>
      <c r="AU196" s="40"/>
      <c r="AV196" s="40"/>
      <c r="AW196" s="40"/>
      <c r="AX196" s="40"/>
      <c r="AY196" s="40"/>
      <c r="AZ196" s="40"/>
    </row>
    <row r="197" spans="1:52" ht="16.5" customHeight="1">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c r="AA197" s="40"/>
      <c r="AB197" s="40"/>
      <c r="AC197" s="40"/>
      <c r="AD197" s="40"/>
      <c r="AE197" s="40"/>
      <c r="AF197" s="40"/>
      <c r="AG197" s="40"/>
      <c r="AH197" s="40"/>
      <c r="AI197" s="40"/>
      <c r="AJ197" s="40"/>
      <c r="AK197" s="40"/>
      <c r="AL197" s="40"/>
      <c r="AM197" s="40"/>
      <c r="AN197" s="40"/>
      <c r="AO197" s="40"/>
      <c r="AP197" s="40"/>
      <c r="AQ197" s="40"/>
      <c r="AR197" s="40"/>
      <c r="AS197" s="40"/>
      <c r="AT197" s="40"/>
      <c r="AU197" s="40"/>
      <c r="AV197" s="40"/>
      <c r="AW197" s="40"/>
      <c r="AX197" s="40"/>
      <c r="AY197" s="40"/>
      <c r="AZ197" s="40"/>
    </row>
    <row r="198" spans="1:52" ht="16.5" customHeight="1">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c r="AA198" s="40"/>
      <c r="AB198" s="40"/>
      <c r="AC198" s="40"/>
      <c r="AD198" s="40"/>
      <c r="AE198" s="40"/>
      <c r="AF198" s="40"/>
      <c r="AG198" s="40"/>
      <c r="AH198" s="40"/>
      <c r="AI198" s="40"/>
      <c r="AJ198" s="40"/>
      <c r="AK198" s="40"/>
      <c r="AL198" s="40"/>
      <c r="AM198" s="40"/>
      <c r="AN198" s="40"/>
      <c r="AO198" s="40"/>
      <c r="AP198" s="40"/>
      <c r="AQ198" s="40"/>
      <c r="AR198" s="40"/>
      <c r="AS198" s="40"/>
      <c r="AT198" s="40"/>
      <c r="AU198" s="40"/>
      <c r="AV198" s="40"/>
      <c r="AW198" s="40"/>
      <c r="AX198" s="40"/>
      <c r="AY198" s="40"/>
      <c r="AZ198" s="40"/>
    </row>
    <row r="199" spans="1:52" ht="16.5" customHeight="1">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c r="AA199" s="40"/>
      <c r="AB199" s="40"/>
      <c r="AC199" s="40"/>
      <c r="AD199" s="40"/>
      <c r="AE199" s="40"/>
      <c r="AF199" s="40"/>
      <c r="AG199" s="40"/>
      <c r="AH199" s="40"/>
      <c r="AI199" s="40"/>
      <c r="AJ199" s="40"/>
      <c r="AK199" s="40"/>
      <c r="AL199" s="40"/>
      <c r="AM199" s="40"/>
      <c r="AN199" s="40"/>
      <c r="AO199" s="40"/>
      <c r="AP199" s="40"/>
      <c r="AQ199" s="40"/>
      <c r="AR199" s="40"/>
      <c r="AS199" s="40"/>
      <c r="AT199" s="40"/>
      <c r="AU199" s="40"/>
      <c r="AV199" s="40"/>
      <c r="AW199" s="40"/>
      <c r="AX199" s="40"/>
      <c r="AY199" s="40"/>
      <c r="AZ199" s="40"/>
    </row>
    <row r="200" spans="1:52" ht="16.5" customHeight="1">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c r="AA200" s="40"/>
      <c r="AB200" s="40"/>
      <c r="AC200" s="40"/>
      <c r="AD200" s="40"/>
      <c r="AE200" s="40"/>
      <c r="AF200" s="40"/>
      <c r="AG200" s="40"/>
      <c r="AH200" s="40"/>
      <c r="AI200" s="40"/>
      <c r="AJ200" s="40"/>
      <c r="AK200" s="40"/>
      <c r="AL200" s="40"/>
      <c r="AM200" s="40"/>
      <c r="AN200" s="40"/>
      <c r="AO200" s="40"/>
      <c r="AP200" s="40"/>
      <c r="AQ200" s="40"/>
      <c r="AR200" s="40"/>
      <c r="AS200" s="40"/>
      <c r="AT200" s="40"/>
      <c r="AU200" s="40"/>
      <c r="AV200" s="40"/>
      <c r="AW200" s="40"/>
      <c r="AX200" s="40"/>
      <c r="AY200" s="40"/>
      <c r="AZ200" s="40"/>
    </row>
    <row r="201" spans="1:52" ht="16.5" customHeight="1">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c r="AA201" s="40"/>
      <c r="AB201" s="40"/>
      <c r="AC201" s="40"/>
      <c r="AD201" s="40"/>
      <c r="AE201" s="40"/>
      <c r="AF201" s="40"/>
      <c r="AG201" s="40"/>
      <c r="AH201" s="40"/>
      <c r="AI201" s="40"/>
      <c r="AJ201" s="40"/>
      <c r="AK201" s="40"/>
      <c r="AL201" s="40"/>
      <c r="AM201" s="40"/>
      <c r="AN201" s="40"/>
      <c r="AO201" s="40"/>
      <c r="AP201" s="40"/>
      <c r="AQ201" s="40"/>
      <c r="AR201" s="40"/>
      <c r="AS201" s="40"/>
      <c r="AT201" s="40"/>
      <c r="AU201" s="40"/>
      <c r="AV201" s="40"/>
      <c r="AW201" s="40"/>
      <c r="AX201" s="40"/>
      <c r="AY201" s="40"/>
      <c r="AZ201" s="40"/>
    </row>
    <row r="202" spans="1:52" ht="16.5" customHeight="1">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c r="AA202" s="40"/>
      <c r="AB202" s="40"/>
      <c r="AC202" s="40"/>
      <c r="AD202" s="40"/>
      <c r="AE202" s="40"/>
      <c r="AF202" s="40"/>
      <c r="AG202" s="40"/>
      <c r="AH202" s="40"/>
      <c r="AI202" s="40"/>
      <c r="AJ202" s="40"/>
      <c r="AK202" s="40"/>
      <c r="AL202" s="40"/>
      <c r="AM202" s="40"/>
      <c r="AN202" s="40"/>
      <c r="AO202" s="40"/>
      <c r="AP202" s="40"/>
      <c r="AQ202" s="40"/>
      <c r="AR202" s="40"/>
      <c r="AS202" s="40"/>
      <c r="AT202" s="40"/>
      <c r="AU202" s="40"/>
      <c r="AV202" s="40"/>
      <c r="AW202" s="40"/>
      <c r="AX202" s="40"/>
      <c r="AY202" s="40"/>
      <c r="AZ202" s="40"/>
    </row>
    <row r="203" spans="1:52" ht="16.5" customHeight="1">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c r="AA203" s="40"/>
      <c r="AB203" s="40"/>
      <c r="AC203" s="40"/>
      <c r="AD203" s="40"/>
      <c r="AE203" s="40"/>
      <c r="AF203" s="40"/>
      <c r="AG203" s="40"/>
      <c r="AH203" s="40"/>
      <c r="AI203" s="40"/>
      <c r="AJ203" s="40"/>
      <c r="AK203" s="40"/>
      <c r="AL203" s="40"/>
      <c r="AM203" s="40"/>
      <c r="AN203" s="40"/>
      <c r="AO203" s="40"/>
      <c r="AP203" s="40"/>
      <c r="AQ203" s="40"/>
      <c r="AR203" s="40"/>
      <c r="AS203" s="40"/>
      <c r="AT203" s="40"/>
      <c r="AU203" s="40"/>
      <c r="AV203" s="40"/>
      <c r="AW203" s="40"/>
      <c r="AX203" s="40"/>
      <c r="AY203" s="40"/>
      <c r="AZ203" s="40"/>
    </row>
    <row r="204" spans="1:52" ht="16.5" customHeight="1">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c r="AA204" s="40"/>
      <c r="AB204" s="40"/>
      <c r="AC204" s="40"/>
      <c r="AD204" s="40"/>
      <c r="AE204" s="40"/>
      <c r="AF204" s="40"/>
      <c r="AG204" s="40"/>
      <c r="AH204" s="40"/>
      <c r="AI204" s="40"/>
      <c r="AJ204" s="40"/>
      <c r="AK204" s="40"/>
      <c r="AL204" s="40"/>
      <c r="AM204" s="40"/>
      <c r="AN204" s="40"/>
      <c r="AO204" s="40"/>
      <c r="AP204" s="40"/>
      <c r="AQ204" s="40"/>
      <c r="AR204" s="40"/>
      <c r="AS204" s="40"/>
      <c r="AT204" s="40"/>
      <c r="AU204" s="40"/>
      <c r="AV204" s="40"/>
      <c r="AW204" s="40"/>
      <c r="AX204" s="40"/>
      <c r="AY204" s="40"/>
      <c r="AZ204" s="40"/>
    </row>
    <row r="205" spans="1:52" ht="16.5" customHeight="1">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c r="AA205" s="40"/>
      <c r="AB205" s="40"/>
      <c r="AC205" s="40"/>
      <c r="AD205" s="40"/>
      <c r="AE205" s="40"/>
      <c r="AF205" s="40"/>
      <c r="AG205" s="40"/>
      <c r="AH205" s="40"/>
      <c r="AI205" s="40"/>
      <c r="AJ205" s="40"/>
      <c r="AK205" s="40"/>
      <c r="AL205" s="40"/>
      <c r="AM205" s="40"/>
      <c r="AN205" s="40"/>
      <c r="AO205" s="40"/>
      <c r="AP205" s="40"/>
      <c r="AQ205" s="40"/>
      <c r="AR205" s="40"/>
      <c r="AS205" s="40"/>
      <c r="AT205" s="40"/>
      <c r="AU205" s="40"/>
      <c r="AV205" s="40"/>
      <c r="AW205" s="40"/>
      <c r="AX205" s="40"/>
      <c r="AY205" s="40"/>
      <c r="AZ205" s="40"/>
    </row>
    <row r="206" spans="1:52" ht="16.5" customHeight="1">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c r="AA206" s="40"/>
      <c r="AB206" s="40"/>
      <c r="AC206" s="40"/>
      <c r="AD206" s="40"/>
      <c r="AE206" s="40"/>
      <c r="AF206" s="40"/>
      <c r="AG206" s="40"/>
      <c r="AH206" s="40"/>
      <c r="AI206" s="40"/>
      <c r="AJ206" s="40"/>
      <c r="AK206" s="40"/>
      <c r="AL206" s="40"/>
      <c r="AM206" s="40"/>
      <c r="AN206" s="40"/>
      <c r="AO206" s="40"/>
      <c r="AP206" s="40"/>
      <c r="AQ206" s="40"/>
      <c r="AR206" s="40"/>
      <c r="AS206" s="40"/>
      <c r="AT206" s="40"/>
      <c r="AU206" s="40"/>
      <c r="AV206" s="40"/>
      <c r="AW206" s="40"/>
      <c r="AX206" s="40"/>
      <c r="AY206" s="40"/>
      <c r="AZ206" s="40"/>
    </row>
    <row r="207" spans="1:52" ht="16.5" customHeight="1">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c r="AA207" s="40"/>
      <c r="AB207" s="40"/>
      <c r="AC207" s="40"/>
      <c r="AD207" s="40"/>
      <c r="AE207" s="40"/>
      <c r="AF207" s="40"/>
      <c r="AG207" s="40"/>
      <c r="AH207" s="40"/>
      <c r="AI207" s="40"/>
      <c r="AJ207" s="40"/>
      <c r="AK207" s="40"/>
      <c r="AL207" s="40"/>
      <c r="AM207" s="40"/>
      <c r="AN207" s="40"/>
      <c r="AO207" s="40"/>
      <c r="AP207" s="40"/>
      <c r="AQ207" s="40"/>
      <c r="AR207" s="40"/>
      <c r="AS207" s="40"/>
      <c r="AT207" s="40"/>
      <c r="AU207" s="40"/>
      <c r="AV207" s="40"/>
      <c r="AW207" s="40"/>
      <c r="AX207" s="40"/>
      <c r="AY207" s="40"/>
      <c r="AZ207" s="40"/>
    </row>
    <row r="208" spans="1:52" ht="16.5" customHeight="1">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c r="AA208" s="40"/>
      <c r="AB208" s="40"/>
      <c r="AC208" s="40"/>
      <c r="AD208" s="40"/>
      <c r="AE208" s="40"/>
      <c r="AF208" s="40"/>
      <c r="AG208" s="40"/>
      <c r="AH208" s="40"/>
      <c r="AI208" s="40"/>
      <c r="AJ208" s="40"/>
      <c r="AK208" s="40"/>
      <c r="AL208" s="40"/>
      <c r="AM208" s="40"/>
      <c r="AN208" s="40"/>
      <c r="AO208" s="40"/>
      <c r="AP208" s="40"/>
      <c r="AQ208" s="40"/>
      <c r="AR208" s="40"/>
      <c r="AS208" s="40"/>
      <c r="AT208" s="40"/>
      <c r="AU208" s="40"/>
      <c r="AV208" s="40"/>
      <c r="AW208" s="40"/>
      <c r="AX208" s="40"/>
      <c r="AY208" s="40"/>
      <c r="AZ208" s="40"/>
    </row>
    <row r="209" spans="1:52" ht="16.5" customHeight="1">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c r="AA209" s="40"/>
      <c r="AB209" s="40"/>
      <c r="AC209" s="40"/>
      <c r="AD209" s="40"/>
      <c r="AE209" s="40"/>
      <c r="AF209" s="40"/>
      <c r="AG209" s="40"/>
      <c r="AH209" s="40"/>
      <c r="AI209" s="40"/>
      <c r="AJ209" s="40"/>
      <c r="AK209" s="40"/>
      <c r="AL209" s="40"/>
      <c r="AM209" s="40"/>
      <c r="AN209" s="40"/>
      <c r="AO209" s="40"/>
      <c r="AP209" s="40"/>
      <c r="AQ209" s="40"/>
      <c r="AR209" s="40"/>
      <c r="AS209" s="40"/>
      <c r="AT209" s="40"/>
      <c r="AU209" s="40"/>
      <c r="AV209" s="40"/>
      <c r="AW209" s="40"/>
      <c r="AX209" s="40"/>
      <c r="AY209" s="40"/>
      <c r="AZ209" s="40"/>
    </row>
    <row r="210" spans="1:52" ht="16.5" customHeight="1">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c r="AA210" s="40"/>
      <c r="AB210" s="40"/>
      <c r="AC210" s="40"/>
      <c r="AD210" s="40"/>
      <c r="AE210" s="40"/>
      <c r="AF210" s="40"/>
      <c r="AG210" s="40"/>
      <c r="AH210" s="40"/>
      <c r="AI210" s="40"/>
      <c r="AJ210" s="40"/>
      <c r="AK210" s="40"/>
      <c r="AL210" s="40"/>
      <c r="AM210" s="40"/>
      <c r="AN210" s="40"/>
      <c r="AO210" s="40"/>
      <c r="AP210" s="40"/>
      <c r="AQ210" s="40"/>
      <c r="AR210" s="40"/>
      <c r="AS210" s="40"/>
      <c r="AT210" s="40"/>
      <c r="AU210" s="40"/>
      <c r="AV210" s="40"/>
      <c r="AW210" s="40"/>
      <c r="AX210" s="40"/>
      <c r="AY210" s="40"/>
      <c r="AZ210" s="40"/>
    </row>
    <row r="211" spans="1:52" ht="16.5" customHeight="1">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c r="AA211" s="40"/>
      <c r="AB211" s="40"/>
      <c r="AC211" s="40"/>
      <c r="AD211" s="40"/>
      <c r="AE211" s="40"/>
      <c r="AF211" s="40"/>
      <c r="AG211" s="40"/>
      <c r="AH211" s="40"/>
      <c r="AI211" s="40"/>
      <c r="AJ211" s="40"/>
      <c r="AK211" s="40"/>
      <c r="AL211" s="40"/>
      <c r="AM211" s="40"/>
      <c r="AN211" s="40"/>
      <c r="AO211" s="40"/>
      <c r="AP211" s="40"/>
      <c r="AQ211" s="40"/>
      <c r="AR211" s="40"/>
      <c r="AS211" s="40"/>
      <c r="AT211" s="40"/>
      <c r="AU211" s="40"/>
      <c r="AV211" s="40"/>
      <c r="AW211" s="40"/>
      <c r="AX211" s="40"/>
      <c r="AY211" s="40"/>
      <c r="AZ211" s="40"/>
    </row>
    <row r="212" spans="1:52" ht="16.5" customHeight="1">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c r="AA212" s="40"/>
      <c r="AB212" s="40"/>
      <c r="AC212" s="40"/>
      <c r="AD212" s="40"/>
      <c r="AE212" s="40"/>
      <c r="AF212" s="40"/>
      <c r="AG212" s="40"/>
      <c r="AH212" s="40"/>
      <c r="AI212" s="40"/>
      <c r="AJ212" s="40"/>
      <c r="AK212" s="40"/>
      <c r="AL212" s="40"/>
      <c r="AM212" s="40"/>
      <c r="AN212" s="40"/>
      <c r="AO212" s="40"/>
      <c r="AP212" s="40"/>
      <c r="AQ212" s="40"/>
      <c r="AR212" s="40"/>
      <c r="AS212" s="40"/>
      <c r="AT212" s="40"/>
      <c r="AU212" s="40"/>
      <c r="AV212" s="40"/>
      <c r="AW212" s="40"/>
      <c r="AX212" s="40"/>
      <c r="AY212" s="40"/>
      <c r="AZ212" s="40"/>
    </row>
    <row r="213" spans="1:52" ht="16.5" customHeight="1">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c r="AA213" s="40"/>
      <c r="AB213" s="40"/>
      <c r="AC213" s="40"/>
      <c r="AD213" s="40"/>
      <c r="AE213" s="40"/>
      <c r="AF213" s="40"/>
      <c r="AG213" s="40"/>
      <c r="AH213" s="40"/>
      <c r="AI213" s="40"/>
      <c r="AJ213" s="40"/>
      <c r="AK213" s="40"/>
      <c r="AL213" s="40"/>
      <c r="AM213" s="40"/>
      <c r="AN213" s="40"/>
      <c r="AO213" s="40"/>
      <c r="AP213" s="40"/>
      <c r="AQ213" s="40"/>
      <c r="AR213" s="40"/>
      <c r="AS213" s="40"/>
      <c r="AT213" s="40"/>
      <c r="AU213" s="40"/>
      <c r="AV213" s="40"/>
      <c r="AW213" s="40"/>
      <c r="AX213" s="40"/>
      <c r="AY213" s="40"/>
      <c r="AZ213" s="40"/>
    </row>
    <row r="214" spans="1:52" ht="16.5" customHeight="1">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c r="AA214" s="40"/>
      <c r="AB214" s="40"/>
      <c r="AC214" s="40"/>
      <c r="AD214" s="40"/>
      <c r="AE214" s="40"/>
      <c r="AF214" s="40"/>
      <c r="AG214" s="40"/>
      <c r="AH214" s="40"/>
      <c r="AI214" s="40"/>
      <c r="AJ214" s="40"/>
      <c r="AK214" s="40"/>
      <c r="AL214" s="40"/>
      <c r="AM214" s="40"/>
      <c r="AN214" s="40"/>
      <c r="AO214" s="40"/>
      <c r="AP214" s="40"/>
      <c r="AQ214" s="40"/>
      <c r="AR214" s="40"/>
      <c r="AS214" s="40"/>
      <c r="AT214" s="40"/>
      <c r="AU214" s="40"/>
      <c r="AV214" s="40"/>
      <c r="AW214" s="40"/>
      <c r="AX214" s="40"/>
      <c r="AY214" s="40"/>
      <c r="AZ214" s="40"/>
    </row>
    <row r="215" spans="1:52" ht="16.5" customHeight="1">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c r="AA215" s="40"/>
      <c r="AB215" s="40"/>
      <c r="AC215" s="40"/>
      <c r="AD215" s="40"/>
      <c r="AE215" s="40"/>
      <c r="AF215" s="40"/>
      <c r="AG215" s="40"/>
      <c r="AH215" s="40"/>
      <c r="AI215" s="40"/>
      <c r="AJ215" s="40"/>
      <c r="AK215" s="40"/>
      <c r="AL215" s="40"/>
      <c r="AM215" s="40"/>
      <c r="AN215" s="40"/>
      <c r="AO215" s="40"/>
      <c r="AP215" s="40"/>
      <c r="AQ215" s="40"/>
      <c r="AR215" s="40"/>
      <c r="AS215" s="40"/>
      <c r="AT215" s="40"/>
      <c r="AU215" s="40"/>
      <c r="AV215" s="40"/>
      <c r="AW215" s="40"/>
      <c r="AX215" s="40"/>
      <c r="AY215" s="40"/>
      <c r="AZ215" s="40"/>
    </row>
    <row r="216" spans="1:52" ht="16.5" customHeight="1">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c r="AA216" s="40"/>
      <c r="AB216" s="40"/>
      <c r="AC216" s="40"/>
      <c r="AD216" s="40"/>
      <c r="AE216" s="40"/>
      <c r="AF216" s="40"/>
      <c r="AG216" s="40"/>
      <c r="AH216" s="40"/>
      <c r="AI216" s="40"/>
      <c r="AJ216" s="40"/>
      <c r="AK216" s="40"/>
      <c r="AL216" s="40"/>
      <c r="AM216" s="40"/>
      <c r="AN216" s="40"/>
      <c r="AO216" s="40"/>
      <c r="AP216" s="40"/>
      <c r="AQ216" s="40"/>
      <c r="AR216" s="40"/>
      <c r="AS216" s="40"/>
      <c r="AT216" s="40"/>
      <c r="AU216" s="40"/>
      <c r="AV216" s="40"/>
      <c r="AW216" s="40"/>
      <c r="AX216" s="40"/>
      <c r="AY216" s="40"/>
      <c r="AZ216" s="40"/>
    </row>
    <row r="217" spans="1:52" ht="16.5" customHeight="1">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c r="AA217" s="40"/>
      <c r="AB217" s="40"/>
      <c r="AC217" s="40"/>
      <c r="AD217" s="40"/>
      <c r="AE217" s="40"/>
      <c r="AF217" s="40"/>
      <c r="AG217" s="40"/>
      <c r="AH217" s="40"/>
      <c r="AI217" s="40"/>
      <c r="AJ217" s="40"/>
      <c r="AK217" s="40"/>
      <c r="AL217" s="40"/>
      <c r="AM217" s="40"/>
      <c r="AN217" s="40"/>
      <c r="AO217" s="40"/>
      <c r="AP217" s="40"/>
      <c r="AQ217" s="40"/>
      <c r="AR217" s="40"/>
      <c r="AS217" s="40"/>
      <c r="AT217" s="40"/>
      <c r="AU217" s="40"/>
      <c r="AV217" s="40"/>
      <c r="AW217" s="40"/>
      <c r="AX217" s="40"/>
      <c r="AY217" s="40"/>
      <c r="AZ217" s="40"/>
    </row>
    <row r="218" spans="1:52" ht="16.5" customHeight="1">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c r="AA218" s="40"/>
      <c r="AB218" s="40"/>
      <c r="AC218" s="40"/>
      <c r="AD218" s="40"/>
      <c r="AE218" s="40"/>
      <c r="AF218" s="40"/>
      <c r="AG218" s="40"/>
      <c r="AH218" s="40"/>
      <c r="AI218" s="40"/>
      <c r="AJ218" s="40"/>
      <c r="AK218" s="40"/>
      <c r="AL218" s="40"/>
      <c r="AM218" s="40"/>
      <c r="AN218" s="40"/>
      <c r="AO218" s="40"/>
      <c r="AP218" s="40"/>
      <c r="AQ218" s="40"/>
      <c r="AR218" s="40"/>
      <c r="AS218" s="40"/>
      <c r="AT218" s="40"/>
      <c r="AU218" s="40"/>
      <c r="AV218" s="40"/>
      <c r="AW218" s="40"/>
      <c r="AX218" s="40"/>
      <c r="AY218" s="40"/>
      <c r="AZ218" s="40"/>
    </row>
    <row r="219" spans="1:52" ht="16.5" customHeight="1">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c r="AA219" s="40"/>
      <c r="AB219" s="40"/>
      <c r="AC219" s="40"/>
      <c r="AD219" s="40"/>
      <c r="AE219" s="40"/>
      <c r="AF219" s="40"/>
      <c r="AG219" s="40"/>
      <c r="AH219" s="40"/>
      <c r="AI219" s="40"/>
      <c r="AJ219" s="40"/>
      <c r="AK219" s="40"/>
      <c r="AL219" s="40"/>
      <c r="AM219" s="40"/>
      <c r="AN219" s="40"/>
      <c r="AO219" s="40"/>
      <c r="AP219" s="40"/>
      <c r="AQ219" s="40"/>
      <c r="AR219" s="40"/>
      <c r="AS219" s="40"/>
      <c r="AT219" s="40"/>
      <c r="AU219" s="40"/>
      <c r="AV219" s="40"/>
      <c r="AW219" s="40"/>
      <c r="AX219" s="40"/>
      <c r="AY219" s="40"/>
      <c r="AZ219" s="40"/>
    </row>
    <row r="220" spans="1:52" ht="16.5" customHeight="1">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c r="AA220" s="40"/>
      <c r="AB220" s="40"/>
      <c r="AC220" s="40"/>
      <c r="AD220" s="40"/>
      <c r="AE220" s="40"/>
      <c r="AF220" s="40"/>
      <c r="AG220" s="40"/>
      <c r="AH220" s="40"/>
      <c r="AI220" s="40"/>
      <c r="AJ220" s="40"/>
      <c r="AK220" s="40"/>
      <c r="AL220" s="40"/>
      <c r="AM220" s="40"/>
      <c r="AN220" s="40"/>
      <c r="AO220" s="40"/>
      <c r="AP220" s="40"/>
      <c r="AQ220" s="40"/>
      <c r="AR220" s="40"/>
      <c r="AS220" s="40"/>
      <c r="AT220" s="40"/>
      <c r="AU220" s="40"/>
      <c r="AV220" s="40"/>
      <c r="AW220" s="40"/>
      <c r="AX220" s="40"/>
      <c r="AY220" s="40"/>
      <c r="AZ220" s="40"/>
    </row>
    <row r="221" spans="1:52" ht="16.5" customHeight="1">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c r="AA221" s="40"/>
      <c r="AB221" s="40"/>
      <c r="AC221" s="40"/>
      <c r="AD221" s="40"/>
      <c r="AE221" s="40"/>
      <c r="AF221" s="40"/>
      <c r="AG221" s="40"/>
      <c r="AH221" s="40"/>
      <c r="AI221" s="40"/>
      <c r="AJ221" s="40"/>
      <c r="AK221" s="40"/>
      <c r="AL221" s="40"/>
      <c r="AM221" s="40"/>
      <c r="AN221" s="40"/>
      <c r="AO221" s="40"/>
      <c r="AP221" s="40"/>
      <c r="AQ221" s="40"/>
      <c r="AR221" s="40"/>
      <c r="AS221" s="40"/>
      <c r="AT221" s="40"/>
      <c r="AU221" s="40"/>
      <c r="AV221" s="40"/>
      <c r="AW221" s="40"/>
      <c r="AX221" s="40"/>
      <c r="AY221" s="40"/>
      <c r="AZ221" s="40"/>
    </row>
    <row r="222" spans="1:52" ht="16.5" customHeight="1">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c r="AA222" s="40"/>
      <c r="AB222" s="40"/>
      <c r="AC222" s="40"/>
      <c r="AD222" s="40"/>
      <c r="AE222" s="40"/>
      <c r="AF222" s="40"/>
      <c r="AG222" s="40"/>
      <c r="AH222" s="40"/>
      <c r="AI222" s="40"/>
      <c r="AJ222" s="40"/>
      <c r="AK222" s="40"/>
      <c r="AL222" s="40"/>
      <c r="AM222" s="40"/>
      <c r="AN222" s="40"/>
      <c r="AO222" s="40"/>
      <c r="AP222" s="40"/>
      <c r="AQ222" s="40"/>
      <c r="AR222" s="40"/>
      <c r="AS222" s="40"/>
      <c r="AT222" s="40"/>
      <c r="AU222" s="40"/>
      <c r="AV222" s="40"/>
      <c r="AW222" s="40"/>
      <c r="AX222" s="40"/>
      <c r="AY222" s="40"/>
      <c r="AZ222" s="40"/>
    </row>
    <row r="223" spans="1:52" ht="16.5" customHeight="1">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c r="AA223" s="40"/>
      <c r="AB223" s="40"/>
      <c r="AC223" s="40"/>
      <c r="AD223" s="40"/>
      <c r="AE223" s="40"/>
      <c r="AF223" s="40"/>
      <c r="AG223" s="40"/>
      <c r="AH223" s="40"/>
      <c r="AI223" s="40"/>
      <c r="AJ223" s="40"/>
      <c r="AK223" s="40"/>
      <c r="AL223" s="40"/>
      <c r="AM223" s="40"/>
      <c r="AN223" s="40"/>
      <c r="AO223" s="40"/>
      <c r="AP223" s="40"/>
      <c r="AQ223" s="40"/>
      <c r="AR223" s="40"/>
      <c r="AS223" s="40"/>
      <c r="AT223" s="40"/>
      <c r="AU223" s="40"/>
      <c r="AV223" s="40"/>
      <c r="AW223" s="40"/>
      <c r="AX223" s="40"/>
      <c r="AY223" s="40"/>
      <c r="AZ223" s="40"/>
    </row>
    <row r="224" spans="1:52" ht="16.5" customHeight="1">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c r="AA224" s="40"/>
      <c r="AB224" s="40"/>
      <c r="AC224" s="40"/>
      <c r="AD224" s="40"/>
      <c r="AE224" s="40"/>
      <c r="AF224" s="40"/>
      <c r="AG224" s="40"/>
      <c r="AH224" s="40"/>
      <c r="AI224" s="40"/>
      <c r="AJ224" s="40"/>
      <c r="AK224" s="40"/>
      <c r="AL224" s="40"/>
      <c r="AM224" s="40"/>
      <c r="AN224" s="40"/>
      <c r="AO224" s="40"/>
      <c r="AP224" s="40"/>
      <c r="AQ224" s="40"/>
      <c r="AR224" s="40"/>
      <c r="AS224" s="40"/>
      <c r="AT224" s="40"/>
      <c r="AU224" s="40"/>
      <c r="AV224" s="40"/>
      <c r="AW224" s="40"/>
      <c r="AX224" s="40"/>
      <c r="AY224" s="40"/>
      <c r="AZ224" s="40"/>
    </row>
    <row r="225" spans="1:52" ht="16.5" customHeight="1">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c r="AA225" s="40"/>
      <c r="AB225" s="40"/>
      <c r="AC225" s="40"/>
      <c r="AD225" s="40"/>
      <c r="AE225" s="40"/>
      <c r="AF225" s="40"/>
      <c r="AG225" s="40"/>
      <c r="AH225" s="40"/>
      <c r="AI225" s="40"/>
      <c r="AJ225" s="40"/>
      <c r="AK225" s="40"/>
      <c r="AL225" s="40"/>
      <c r="AM225" s="40"/>
      <c r="AN225" s="40"/>
      <c r="AO225" s="40"/>
      <c r="AP225" s="40"/>
      <c r="AQ225" s="40"/>
      <c r="AR225" s="40"/>
      <c r="AS225" s="40"/>
      <c r="AT225" s="40"/>
      <c r="AU225" s="40"/>
      <c r="AV225" s="40"/>
      <c r="AW225" s="40"/>
      <c r="AX225" s="40"/>
      <c r="AY225" s="40"/>
      <c r="AZ225" s="40"/>
    </row>
    <row r="226" spans="1:52" ht="16.5" customHeight="1">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c r="AA226" s="40"/>
      <c r="AB226" s="40"/>
      <c r="AC226" s="40"/>
      <c r="AD226" s="40"/>
      <c r="AE226" s="40"/>
      <c r="AF226" s="40"/>
      <c r="AG226" s="40"/>
      <c r="AH226" s="40"/>
      <c r="AI226" s="40"/>
      <c r="AJ226" s="40"/>
      <c r="AK226" s="40"/>
      <c r="AL226" s="40"/>
      <c r="AM226" s="40"/>
      <c r="AN226" s="40"/>
      <c r="AO226" s="40"/>
      <c r="AP226" s="40"/>
      <c r="AQ226" s="40"/>
      <c r="AR226" s="40"/>
      <c r="AS226" s="40"/>
      <c r="AT226" s="40"/>
      <c r="AU226" s="40"/>
      <c r="AV226" s="40"/>
      <c r="AW226" s="40"/>
      <c r="AX226" s="40"/>
      <c r="AY226" s="40"/>
      <c r="AZ226" s="40"/>
    </row>
    <row r="227" spans="1:52" ht="16.5" customHeight="1">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c r="AA227" s="40"/>
      <c r="AB227" s="40"/>
      <c r="AC227" s="40"/>
      <c r="AD227" s="40"/>
      <c r="AE227" s="40"/>
      <c r="AF227" s="40"/>
      <c r="AG227" s="40"/>
      <c r="AH227" s="40"/>
      <c r="AI227" s="40"/>
      <c r="AJ227" s="40"/>
      <c r="AK227" s="40"/>
      <c r="AL227" s="40"/>
      <c r="AM227" s="40"/>
      <c r="AN227" s="40"/>
      <c r="AO227" s="40"/>
      <c r="AP227" s="40"/>
      <c r="AQ227" s="40"/>
      <c r="AR227" s="40"/>
      <c r="AS227" s="40"/>
      <c r="AT227" s="40"/>
      <c r="AU227" s="40"/>
      <c r="AV227" s="40"/>
      <c r="AW227" s="40"/>
      <c r="AX227" s="40"/>
      <c r="AY227" s="40"/>
      <c r="AZ227" s="40"/>
    </row>
    <row r="228" spans="1:52" ht="16.5" customHeight="1">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c r="AA228" s="40"/>
      <c r="AB228" s="40"/>
      <c r="AC228" s="40"/>
      <c r="AD228" s="40"/>
      <c r="AE228" s="40"/>
      <c r="AF228" s="40"/>
      <c r="AG228" s="40"/>
      <c r="AH228" s="40"/>
      <c r="AI228" s="40"/>
      <c r="AJ228" s="40"/>
      <c r="AK228" s="40"/>
      <c r="AL228" s="40"/>
      <c r="AM228" s="40"/>
      <c r="AN228" s="40"/>
      <c r="AO228" s="40"/>
      <c r="AP228" s="40"/>
      <c r="AQ228" s="40"/>
      <c r="AR228" s="40"/>
      <c r="AS228" s="40"/>
      <c r="AT228" s="40"/>
      <c r="AU228" s="40"/>
      <c r="AV228" s="40"/>
      <c r="AW228" s="40"/>
      <c r="AX228" s="40"/>
      <c r="AY228" s="40"/>
      <c r="AZ228" s="40"/>
    </row>
    <row r="229" spans="1:52" ht="16.5" customHeight="1">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c r="AA229" s="40"/>
      <c r="AB229" s="40"/>
      <c r="AC229" s="40"/>
      <c r="AD229" s="40"/>
      <c r="AE229" s="40"/>
      <c r="AF229" s="40"/>
      <c r="AG229" s="40"/>
      <c r="AH229" s="40"/>
      <c r="AI229" s="40"/>
      <c r="AJ229" s="40"/>
      <c r="AK229" s="40"/>
      <c r="AL229" s="40"/>
      <c r="AM229" s="40"/>
      <c r="AN229" s="40"/>
      <c r="AO229" s="40"/>
      <c r="AP229" s="40"/>
      <c r="AQ229" s="40"/>
      <c r="AR229" s="40"/>
      <c r="AS229" s="40"/>
      <c r="AT229" s="40"/>
      <c r="AU229" s="40"/>
      <c r="AV229" s="40"/>
      <c r="AW229" s="40"/>
      <c r="AX229" s="40"/>
      <c r="AY229" s="40"/>
      <c r="AZ229" s="40"/>
    </row>
    <row r="230" spans="1:52" ht="16.5" customHeight="1">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c r="AA230" s="40"/>
      <c r="AB230" s="40"/>
      <c r="AC230" s="40"/>
      <c r="AD230" s="40"/>
      <c r="AE230" s="40"/>
      <c r="AF230" s="40"/>
      <c r="AG230" s="40"/>
      <c r="AH230" s="40"/>
      <c r="AI230" s="40"/>
      <c r="AJ230" s="40"/>
      <c r="AK230" s="40"/>
      <c r="AL230" s="40"/>
      <c r="AM230" s="40"/>
      <c r="AN230" s="40"/>
      <c r="AO230" s="40"/>
      <c r="AP230" s="40"/>
      <c r="AQ230" s="40"/>
      <c r="AR230" s="40"/>
      <c r="AS230" s="40"/>
      <c r="AT230" s="40"/>
      <c r="AU230" s="40"/>
      <c r="AV230" s="40"/>
      <c r="AW230" s="40"/>
      <c r="AX230" s="40"/>
      <c r="AY230" s="40"/>
      <c r="AZ230" s="40"/>
    </row>
    <row r="231" spans="1:52" ht="16.5" customHeight="1">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c r="AA231" s="40"/>
      <c r="AB231" s="40"/>
      <c r="AC231" s="40"/>
      <c r="AD231" s="40"/>
      <c r="AE231" s="40"/>
      <c r="AF231" s="40"/>
      <c r="AG231" s="40"/>
      <c r="AH231" s="40"/>
      <c r="AI231" s="40"/>
      <c r="AJ231" s="40"/>
      <c r="AK231" s="40"/>
      <c r="AL231" s="40"/>
      <c r="AM231" s="40"/>
      <c r="AN231" s="40"/>
      <c r="AO231" s="40"/>
      <c r="AP231" s="40"/>
      <c r="AQ231" s="40"/>
      <c r="AR231" s="40"/>
      <c r="AS231" s="40"/>
      <c r="AT231" s="40"/>
      <c r="AU231" s="40"/>
      <c r="AV231" s="40"/>
      <c r="AW231" s="40"/>
      <c r="AX231" s="40"/>
      <c r="AY231" s="40"/>
      <c r="AZ231" s="40"/>
    </row>
    <row r="232" spans="1:52" ht="16.5" customHeight="1">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c r="AA232" s="40"/>
      <c r="AB232" s="40"/>
      <c r="AC232" s="40"/>
      <c r="AD232" s="40"/>
      <c r="AE232" s="40"/>
      <c r="AF232" s="40"/>
      <c r="AG232" s="40"/>
      <c r="AH232" s="40"/>
      <c r="AI232" s="40"/>
      <c r="AJ232" s="40"/>
      <c r="AK232" s="40"/>
      <c r="AL232" s="40"/>
      <c r="AM232" s="40"/>
      <c r="AN232" s="40"/>
      <c r="AO232" s="40"/>
      <c r="AP232" s="40"/>
      <c r="AQ232" s="40"/>
      <c r="AR232" s="40"/>
      <c r="AS232" s="40"/>
      <c r="AT232" s="40"/>
      <c r="AU232" s="40"/>
      <c r="AV232" s="40"/>
      <c r="AW232" s="40"/>
      <c r="AX232" s="40"/>
      <c r="AY232" s="40"/>
      <c r="AZ232" s="40"/>
    </row>
    <row r="233" spans="1:52" ht="16.5" customHeight="1">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c r="AA233" s="40"/>
      <c r="AB233" s="40"/>
      <c r="AC233" s="40"/>
      <c r="AD233" s="40"/>
      <c r="AE233" s="40"/>
      <c r="AF233" s="40"/>
      <c r="AG233" s="40"/>
      <c r="AH233" s="40"/>
      <c r="AI233" s="40"/>
      <c r="AJ233" s="40"/>
      <c r="AK233" s="40"/>
      <c r="AL233" s="40"/>
      <c r="AM233" s="40"/>
      <c r="AN233" s="40"/>
      <c r="AO233" s="40"/>
      <c r="AP233" s="40"/>
      <c r="AQ233" s="40"/>
      <c r="AR233" s="40"/>
      <c r="AS233" s="40"/>
      <c r="AT233" s="40"/>
      <c r="AU233" s="40"/>
      <c r="AV233" s="40"/>
      <c r="AW233" s="40"/>
      <c r="AX233" s="40"/>
      <c r="AY233" s="40"/>
      <c r="AZ233" s="40"/>
    </row>
    <row r="234" spans="1:52" ht="16.5" customHeight="1">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c r="AA234" s="40"/>
      <c r="AB234" s="40"/>
      <c r="AC234" s="40"/>
      <c r="AD234" s="40"/>
      <c r="AE234" s="40"/>
      <c r="AF234" s="40"/>
      <c r="AG234" s="40"/>
      <c r="AH234" s="40"/>
      <c r="AI234" s="40"/>
      <c r="AJ234" s="40"/>
      <c r="AK234" s="40"/>
      <c r="AL234" s="40"/>
      <c r="AM234" s="40"/>
      <c r="AN234" s="40"/>
      <c r="AO234" s="40"/>
      <c r="AP234" s="40"/>
      <c r="AQ234" s="40"/>
      <c r="AR234" s="40"/>
      <c r="AS234" s="40"/>
      <c r="AT234" s="40"/>
      <c r="AU234" s="40"/>
      <c r="AV234" s="40"/>
      <c r="AW234" s="40"/>
      <c r="AX234" s="40"/>
      <c r="AY234" s="40"/>
      <c r="AZ234" s="40"/>
    </row>
    <row r="235" spans="1:52" ht="16.5" customHeight="1">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c r="AA235" s="40"/>
      <c r="AB235" s="40"/>
      <c r="AC235" s="40"/>
      <c r="AD235" s="40"/>
      <c r="AE235" s="40"/>
      <c r="AF235" s="40"/>
      <c r="AG235" s="40"/>
      <c r="AH235" s="40"/>
      <c r="AI235" s="40"/>
      <c r="AJ235" s="40"/>
      <c r="AK235" s="40"/>
      <c r="AL235" s="40"/>
      <c r="AM235" s="40"/>
      <c r="AN235" s="40"/>
      <c r="AO235" s="40"/>
      <c r="AP235" s="40"/>
      <c r="AQ235" s="40"/>
      <c r="AR235" s="40"/>
      <c r="AS235" s="40"/>
      <c r="AT235" s="40"/>
      <c r="AU235" s="40"/>
      <c r="AV235" s="40"/>
      <c r="AW235" s="40"/>
      <c r="AX235" s="40"/>
      <c r="AY235" s="40"/>
      <c r="AZ235" s="40"/>
    </row>
    <row r="236" spans="1:52" ht="16.5" customHeight="1">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c r="AA236" s="40"/>
      <c r="AB236" s="40"/>
      <c r="AC236" s="40"/>
      <c r="AD236" s="40"/>
      <c r="AE236" s="40"/>
      <c r="AF236" s="40"/>
      <c r="AG236" s="40"/>
      <c r="AH236" s="40"/>
      <c r="AI236" s="40"/>
      <c r="AJ236" s="40"/>
      <c r="AK236" s="40"/>
      <c r="AL236" s="40"/>
      <c r="AM236" s="40"/>
      <c r="AN236" s="40"/>
      <c r="AO236" s="40"/>
      <c r="AP236" s="40"/>
      <c r="AQ236" s="40"/>
      <c r="AR236" s="40"/>
      <c r="AS236" s="40"/>
      <c r="AT236" s="40"/>
      <c r="AU236" s="40"/>
      <c r="AV236" s="40"/>
      <c r="AW236" s="40"/>
      <c r="AX236" s="40"/>
      <c r="AY236" s="40"/>
      <c r="AZ236" s="40"/>
    </row>
    <row r="237" spans="1:52" ht="16.5" customHeight="1">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c r="AA237" s="40"/>
      <c r="AB237" s="40"/>
      <c r="AC237" s="40"/>
      <c r="AD237" s="40"/>
      <c r="AE237" s="40"/>
      <c r="AF237" s="40"/>
      <c r="AG237" s="40"/>
      <c r="AH237" s="40"/>
      <c r="AI237" s="40"/>
      <c r="AJ237" s="40"/>
      <c r="AK237" s="40"/>
      <c r="AL237" s="40"/>
      <c r="AM237" s="40"/>
      <c r="AN237" s="40"/>
      <c r="AO237" s="40"/>
      <c r="AP237" s="40"/>
      <c r="AQ237" s="40"/>
      <c r="AR237" s="40"/>
      <c r="AS237" s="40"/>
      <c r="AT237" s="40"/>
      <c r="AU237" s="40"/>
      <c r="AV237" s="40"/>
      <c r="AW237" s="40"/>
      <c r="AX237" s="40"/>
      <c r="AY237" s="40"/>
      <c r="AZ237" s="40"/>
    </row>
    <row r="238" spans="1:52" ht="16.5" customHeight="1">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c r="AA238" s="40"/>
      <c r="AB238" s="40"/>
      <c r="AC238" s="40"/>
      <c r="AD238" s="40"/>
      <c r="AE238" s="40"/>
      <c r="AF238" s="40"/>
      <c r="AG238" s="40"/>
      <c r="AH238" s="40"/>
      <c r="AI238" s="40"/>
      <c r="AJ238" s="40"/>
      <c r="AK238" s="40"/>
      <c r="AL238" s="40"/>
      <c r="AM238" s="40"/>
      <c r="AN238" s="40"/>
      <c r="AO238" s="40"/>
      <c r="AP238" s="40"/>
      <c r="AQ238" s="40"/>
      <c r="AR238" s="40"/>
      <c r="AS238" s="40"/>
      <c r="AT238" s="40"/>
      <c r="AU238" s="40"/>
      <c r="AV238" s="40"/>
      <c r="AW238" s="40"/>
      <c r="AX238" s="40"/>
      <c r="AY238" s="40"/>
      <c r="AZ238" s="40"/>
    </row>
    <row r="239" spans="1:52" ht="16.5" customHeight="1">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c r="AA239" s="40"/>
      <c r="AB239" s="40"/>
      <c r="AC239" s="40"/>
      <c r="AD239" s="40"/>
      <c r="AE239" s="40"/>
      <c r="AF239" s="40"/>
      <c r="AG239" s="40"/>
      <c r="AH239" s="40"/>
      <c r="AI239" s="40"/>
      <c r="AJ239" s="40"/>
      <c r="AK239" s="40"/>
      <c r="AL239" s="40"/>
      <c r="AM239" s="40"/>
      <c r="AN239" s="40"/>
      <c r="AO239" s="40"/>
      <c r="AP239" s="40"/>
      <c r="AQ239" s="40"/>
      <c r="AR239" s="40"/>
      <c r="AS239" s="40"/>
      <c r="AT239" s="40"/>
      <c r="AU239" s="40"/>
      <c r="AV239" s="40"/>
      <c r="AW239" s="40"/>
      <c r="AX239" s="40"/>
      <c r="AY239" s="40"/>
      <c r="AZ239" s="40"/>
    </row>
    <row r="240" spans="1:52" ht="16.5" customHeight="1">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c r="AA240" s="40"/>
      <c r="AB240" s="40"/>
      <c r="AC240" s="40"/>
      <c r="AD240" s="40"/>
      <c r="AE240" s="40"/>
      <c r="AF240" s="40"/>
      <c r="AG240" s="40"/>
      <c r="AH240" s="40"/>
      <c r="AI240" s="40"/>
      <c r="AJ240" s="40"/>
      <c r="AK240" s="40"/>
      <c r="AL240" s="40"/>
      <c r="AM240" s="40"/>
      <c r="AN240" s="40"/>
      <c r="AO240" s="40"/>
      <c r="AP240" s="40"/>
      <c r="AQ240" s="40"/>
      <c r="AR240" s="40"/>
      <c r="AS240" s="40"/>
      <c r="AT240" s="40"/>
      <c r="AU240" s="40"/>
      <c r="AV240" s="40"/>
      <c r="AW240" s="40"/>
      <c r="AX240" s="40"/>
      <c r="AY240" s="40"/>
      <c r="AZ240" s="40"/>
    </row>
    <row r="241" spans="1:52" ht="16.5" customHeight="1">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c r="AA241" s="40"/>
      <c r="AB241" s="40"/>
      <c r="AC241" s="40"/>
      <c r="AD241" s="40"/>
      <c r="AE241" s="40"/>
      <c r="AF241" s="40"/>
      <c r="AG241" s="40"/>
      <c r="AH241" s="40"/>
      <c r="AI241" s="40"/>
      <c r="AJ241" s="40"/>
      <c r="AK241" s="40"/>
      <c r="AL241" s="40"/>
      <c r="AM241" s="40"/>
      <c r="AN241" s="40"/>
      <c r="AO241" s="40"/>
      <c r="AP241" s="40"/>
      <c r="AQ241" s="40"/>
      <c r="AR241" s="40"/>
      <c r="AS241" s="40"/>
      <c r="AT241" s="40"/>
      <c r="AU241" s="40"/>
      <c r="AV241" s="40"/>
      <c r="AW241" s="40"/>
      <c r="AX241" s="40"/>
      <c r="AY241" s="40"/>
      <c r="AZ241" s="40"/>
    </row>
    <row r="242" spans="1:52" ht="16.5" customHeight="1">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c r="AA242" s="40"/>
      <c r="AB242" s="40"/>
      <c r="AC242" s="40"/>
      <c r="AD242" s="40"/>
      <c r="AE242" s="40"/>
      <c r="AF242" s="40"/>
      <c r="AG242" s="40"/>
      <c r="AH242" s="40"/>
      <c r="AI242" s="40"/>
      <c r="AJ242" s="40"/>
      <c r="AK242" s="40"/>
      <c r="AL242" s="40"/>
      <c r="AM242" s="40"/>
      <c r="AN242" s="40"/>
      <c r="AO242" s="40"/>
      <c r="AP242" s="40"/>
      <c r="AQ242" s="40"/>
      <c r="AR242" s="40"/>
      <c r="AS242" s="40"/>
      <c r="AT242" s="40"/>
      <c r="AU242" s="40"/>
      <c r="AV242" s="40"/>
      <c r="AW242" s="40"/>
      <c r="AX242" s="40"/>
      <c r="AY242" s="40"/>
      <c r="AZ242" s="40"/>
    </row>
    <row r="243" spans="1:52" ht="16.5" customHeight="1">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c r="AA243" s="40"/>
      <c r="AB243" s="40"/>
      <c r="AC243" s="40"/>
      <c r="AD243" s="40"/>
      <c r="AE243" s="40"/>
      <c r="AF243" s="40"/>
      <c r="AG243" s="40"/>
      <c r="AH243" s="40"/>
      <c r="AI243" s="40"/>
      <c r="AJ243" s="40"/>
      <c r="AK243" s="40"/>
      <c r="AL243" s="40"/>
      <c r="AM243" s="40"/>
      <c r="AN243" s="40"/>
      <c r="AO243" s="40"/>
      <c r="AP243" s="40"/>
      <c r="AQ243" s="40"/>
      <c r="AR243" s="40"/>
      <c r="AS243" s="40"/>
      <c r="AT243" s="40"/>
      <c r="AU243" s="40"/>
      <c r="AV243" s="40"/>
      <c r="AW243" s="40"/>
      <c r="AX243" s="40"/>
      <c r="AY243" s="40"/>
      <c r="AZ243" s="40"/>
    </row>
    <row r="244" spans="1:52" ht="16.5" customHeight="1">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c r="AA244" s="40"/>
      <c r="AB244" s="40"/>
      <c r="AC244" s="40"/>
      <c r="AD244" s="40"/>
      <c r="AE244" s="40"/>
      <c r="AF244" s="40"/>
      <c r="AG244" s="40"/>
      <c r="AH244" s="40"/>
      <c r="AI244" s="40"/>
      <c r="AJ244" s="40"/>
      <c r="AK244" s="40"/>
      <c r="AL244" s="40"/>
      <c r="AM244" s="40"/>
      <c r="AN244" s="40"/>
      <c r="AO244" s="40"/>
      <c r="AP244" s="40"/>
      <c r="AQ244" s="40"/>
      <c r="AR244" s="40"/>
      <c r="AS244" s="40"/>
      <c r="AT244" s="40"/>
      <c r="AU244" s="40"/>
      <c r="AV244" s="40"/>
      <c r="AW244" s="40"/>
      <c r="AX244" s="40"/>
      <c r="AY244" s="40"/>
      <c r="AZ244" s="40"/>
    </row>
    <row r="245" spans="1:52" ht="16.5" customHeight="1">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c r="AA245" s="40"/>
      <c r="AB245" s="40"/>
      <c r="AC245" s="40"/>
      <c r="AD245" s="40"/>
      <c r="AE245" s="40"/>
      <c r="AF245" s="40"/>
      <c r="AG245" s="40"/>
      <c r="AH245" s="40"/>
      <c r="AI245" s="40"/>
      <c r="AJ245" s="40"/>
      <c r="AK245" s="40"/>
      <c r="AL245" s="40"/>
      <c r="AM245" s="40"/>
      <c r="AN245" s="40"/>
      <c r="AO245" s="40"/>
      <c r="AP245" s="40"/>
      <c r="AQ245" s="40"/>
      <c r="AR245" s="40"/>
      <c r="AS245" s="40"/>
      <c r="AT245" s="40"/>
      <c r="AU245" s="40"/>
      <c r="AV245" s="40"/>
      <c r="AW245" s="40"/>
      <c r="AX245" s="40"/>
      <c r="AY245" s="40"/>
      <c r="AZ245" s="40"/>
    </row>
    <row r="246" spans="1:52" ht="16.5" customHeight="1">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c r="AA246" s="40"/>
      <c r="AB246" s="40"/>
      <c r="AC246" s="40"/>
      <c r="AD246" s="40"/>
      <c r="AE246" s="40"/>
      <c r="AF246" s="40"/>
      <c r="AG246" s="40"/>
      <c r="AH246" s="40"/>
      <c r="AI246" s="40"/>
      <c r="AJ246" s="40"/>
      <c r="AK246" s="40"/>
      <c r="AL246" s="40"/>
      <c r="AM246" s="40"/>
      <c r="AN246" s="40"/>
      <c r="AO246" s="40"/>
      <c r="AP246" s="40"/>
      <c r="AQ246" s="40"/>
      <c r="AR246" s="40"/>
      <c r="AS246" s="40"/>
      <c r="AT246" s="40"/>
      <c r="AU246" s="40"/>
      <c r="AV246" s="40"/>
      <c r="AW246" s="40"/>
      <c r="AX246" s="40"/>
      <c r="AY246" s="40"/>
      <c r="AZ246" s="40"/>
    </row>
    <row r="247" spans="1:52" ht="16.5" customHeight="1">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c r="AA247" s="40"/>
      <c r="AB247" s="40"/>
      <c r="AC247" s="40"/>
      <c r="AD247" s="40"/>
      <c r="AE247" s="40"/>
      <c r="AF247" s="40"/>
      <c r="AG247" s="40"/>
      <c r="AH247" s="40"/>
      <c r="AI247" s="40"/>
      <c r="AJ247" s="40"/>
      <c r="AK247" s="40"/>
      <c r="AL247" s="40"/>
      <c r="AM247" s="40"/>
      <c r="AN247" s="40"/>
      <c r="AO247" s="40"/>
      <c r="AP247" s="40"/>
      <c r="AQ247" s="40"/>
      <c r="AR247" s="40"/>
      <c r="AS247" s="40"/>
      <c r="AT247" s="40"/>
      <c r="AU247" s="40"/>
      <c r="AV247" s="40"/>
      <c r="AW247" s="40"/>
      <c r="AX247" s="40"/>
      <c r="AY247" s="40"/>
      <c r="AZ247" s="40"/>
    </row>
    <row r="248" spans="1:52" ht="16.5" customHeight="1">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c r="AA248" s="40"/>
      <c r="AB248" s="40"/>
      <c r="AC248" s="40"/>
      <c r="AD248" s="40"/>
      <c r="AE248" s="40"/>
      <c r="AF248" s="40"/>
      <c r="AG248" s="40"/>
      <c r="AH248" s="40"/>
      <c r="AI248" s="40"/>
      <c r="AJ248" s="40"/>
      <c r="AK248" s="40"/>
      <c r="AL248" s="40"/>
      <c r="AM248" s="40"/>
      <c r="AN248" s="40"/>
      <c r="AO248" s="40"/>
      <c r="AP248" s="40"/>
      <c r="AQ248" s="40"/>
      <c r="AR248" s="40"/>
      <c r="AS248" s="40"/>
      <c r="AT248" s="40"/>
      <c r="AU248" s="40"/>
      <c r="AV248" s="40"/>
      <c r="AW248" s="40"/>
      <c r="AX248" s="40"/>
      <c r="AY248" s="40"/>
      <c r="AZ248" s="40"/>
    </row>
    <row r="249" spans="1:52" ht="16.5" customHeight="1">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c r="AA249" s="40"/>
      <c r="AB249" s="40"/>
      <c r="AC249" s="40"/>
      <c r="AD249" s="40"/>
      <c r="AE249" s="40"/>
      <c r="AF249" s="40"/>
      <c r="AG249" s="40"/>
      <c r="AH249" s="40"/>
      <c r="AI249" s="40"/>
      <c r="AJ249" s="40"/>
      <c r="AK249" s="40"/>
      <c r="AL249" s="40"/>
      <c r="AM249" s="40"/>
      <c r="AN249" s="40"/>
      <c r="AO249" s="40"/>
      <c r="AP249" s="40"/>
      <c r="AQ249" s="40"/>
      <c r="AR249" s="40"/>
      <c r="AS249" s="40"/>
      <c r="AT249" s="40"/>
      <c r="AU249" s="40"/>
      <c r="AV249" s="40"/>
      <c r="AW249" s="40"/>
      <c r="AX249" s="40"/>
      <c r="AY249" s="40"/>
      <c r="AZ249" s="40"/>
    </row>
    <row r="250" spans="1:52" ht="16.5" customHeight="1">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c r="AA250" s="40"/>
      <c r="AB250" s="40"/>
      <c r="AC250" s="40"/>
      <c r="AD250" s="40"/>
      <c r="AE250" s="40"/>
      <c r="AF250" s="40"/>
      <c r="AG250" s="40"/>
      <c r="AH250" s="40"/>
      <c r="AI250" s="40"/>
      <c r="AJ250" s="40"/>
      <c r="AK250" s="40"/>
      <c r="AL250" s="40"/>
      <c r="AM250" s="40"/>
      <c r="AN250" s="40"/>
      <c r="AO250" s="40"/>
      <c r="AP250" s="40"/>
      <c r="AQ250" s="40"/>
      <c r="AR250" s="40"/>
      <c r="AS250" s="40"/>
      <c r="AT250" s="40"/>
      <c r="AU250" s="40"/>
      <c r="AV250" s="40"/>
      <c r="AW250" s="40"/>
      <c r="AX250" s="40"/>
      <c r="AY250" s="40"/>
      <c r="AZ250" s="40"/>
    </row>
    <row r="251" spans="1:52" ht="16.5" customHeight="1">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c r="AA251" s="40"/>
      <c r="AB251" s="40"/>
      <c r="AC251" s="40"/>
      <c r="AD251" s="40"/>
      <c r="AE251" s="40"/>
      <c r="AF251" s="40"/>
      <c r="AG251" s="40"/>
      <c r="AH251" s="40"/>
      <c r="AI251" s="40"/>
      <c r="AJ251" s="40"/>
      <c r="AK251" s="40"/>
      <c r="AL251" s="40"/>
      <c r="AM251" s="40"/>
      <c r="AN251" s="40"/>
      <c r="AO251" s="40"/>
      <c r="AP251" s="40"/>
      <c r="AQ251" s="40"/>
      <c r="AR251" s="40"/>
      <c r="AS251" s="40"/>
      <c r="AT251" s="40"/>
      <c r="AU251" s="40"/>
      <c r="AV251" s="40"/>
      <c r="AW251" s="40"/>
      <c r="AX251" s="40"/>
      <c r="AY251" s="40"/>
      <c r="AZ251" s="40"/>
    </row>
    <row r="252" spans="1:52" ht="16.5" customHeight="1">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c r="AA252" s="40"/>
      <c r="AB252" s="40"/>
      <c r="AC252" s="40"/>
      <c r="AD252" s="40"/>
      <c r="AE252" s="40"/>
      <c r="AF252" s="40"/>
      <c r="AG252" s="40"/>
      <c r="AH252" s="40"/>
      <c r="AI252" s="40"/>
      <c r="AJ252" s="40"/>
      <c r="AK252" s="40"/>
      <c r="AL252" s="40"/>
      <c r="AM252" s="40"/>
      <c r="AN252" s="40"/>
      <c r="AO252" s="40"/>
      <c r="AP252" s="40"/>
      <c r="AQ252" s="40"/>
      <c r="AR252" s="40"/>
      <c r="AS252" s="40"/>
      <c r="AT252" s="40"/>
      <c r="AU252" s="40"/>
      <c r="AV252" s="40"/>
      <c r="AW252" s="40"/>
      <c r="AX252" s="40"/>
      <c r="AY252" s="40"/>
      <c r="AZ252" s="40"/>
    </row>
    <row r="253" spans="1:52" ht="16.5" customHeight="1">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c r="AA253" s="40"/>
      <c r="AB253" s="40"/>
      <c r="AC253" s="40"/>
      <c r="AD253" s="40"/>
      <c r="AE253" s="40"/>
      <c r="AF253" s="40"/>
      <c r="AG253" s="40"/>
      <c r="AH253" s="40"/>
      <c r="AI253" s="40"/>
      <c r="AJ253" s="40"/>
      <c r="AK253" s="40"/>
      <c r="AL253" s="40"/>
      <c r="AM253" s="40"/>
      <c r="AN253" s="40"/>
      <c r="AO253" s="40"/>
      <c r="AP253" s="40"/>
      <c r="AQ253" s="40"/>
      <c r="AR253" s="40"/>
      <c r="AS253" s="40"/>
      <c r="AT253" s="40"/>
      <c r="AU253" s="40"/>
      <c r="AV253" s="40"/>
      <c r="AW253" s="40"/>
      <c r="AX253" s="40"/>
      <c r="AY253" s="40"/>
      <c r="AZ253" s="40"/>
    </row>
    <row r="254" spans="1:52" ht="16.5" customHeight="1">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c r="AA254" s="40"/>
      <c r="AB254" s="40"/>
      <c r="AC254" s="40"/>
      <c r="AD254" s="40"/>
      <c r="AE254" s="40"/>
      <c r="AF254" s="40"/>
      <c r="AG254" s="40"/>
      <c r="AH254" s="40"/>
      <c r="AI254" s="40"/>
      <c r="AJ254" s="40"/>
      <c r="AK254" s="40"/>
      <c r="AL254" s="40"/>
      <c r="AM254" s="40"/>
      <c r="AN254" s="40"/>
      <c r="AO254" s="40"/>
      <c r="AP254" s="40"/>
      <c r="AQ254" s="40"/>
      <c r="AR254" s="40"/>
      <c r="AS254" s="40"/>
      <c r="AT254" s="40"/>
      <c r="AU254" s="40"/>
      <c r="AV254" s="40"/>
      <c r="AW254" s="40"/>
      <c r="AX254" s="40"/>
      <c r="AY254" s="40"/>
      <c r="AZ254" s="40"/>
    </row>
    <row r="255" spans="1:52" ht="16.5" customHeight="1">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c r="AA255" s="40"/>
      <c r="AB255" s="40"/>
      <c r="AC255" s="40"/>
      <c r="AD255" s="40"/>
      <c r="AE255" s="40"/>
      <c r="AF255" s="40"/>
      <c r="AG255" s="40"/>
      <c r="AH255" s="40"/>
      <c r="AI255" s="40"/>
      <c r="AJ255" s="40"/>
      <c r="AK255" s="40"/>
      <c r="AL255" s="40"/>
      <c r="AM255" s="40"/>
      <c r="AN255" s="40"/>
      <c r="AO255" s="40"/>
      <c r="AP255" s="40"/>
      <c r="AQ255" s="40"/>
      <c r="AR255" s="40"/>
      <c r="AS255" s="40"/>
      <c r="AT255" s="40"/>
      <c r="AU255" s="40"/>
      <c r="AV255" s="40"/>
      <c r="AW255" s="40"/>
      <c r="AX255" s="40"/>
      <c r="AY255" s="40"/>
      <c r="AZ255" s="40"/>
    </row>
    <row r="256" spans="1:52" ht="16.5" customHeight="1">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c r="AA256" s="40"/>
      <c r="AB256" s="40"/>
      <c r="AC256" s="40"/>
      <c r="AD256" s="40"/>
      <c r="AE256" s="40"/>
      <c r="AF256" s="40"/>
      <c r="AG256" s="40"/>
      <c r="AH256" s="40"/>
      <c r="AI256" s="40"/>
      <c r="AJ256" s="40"/>
      <c r="AK256" s="40"/>
      <c r="AL256" s="40"/>
      <c r="AM256" s="40"/>
      <c r="AN256" s="40"/>
      <c r="AO256" s="40"/>
      <c r="AP256" s="40"/>
      <c r="AQ256" s="40"/>
      <c r="AR256" s="40"/>
      <c r="AS256" s="40"/>
      <c r="AT256" s="40"/>
      <c r="AU256" s="40"/>
      <c r="AV256" s="40"/>
      <c r="AW256" s="40"/>
      <c r="AX256" s="40"/>
      <c r="AY256" s="40"/>
      <c r="AZ256" s="40"/>
    </row>
    <row r="257" spans="1:52" ht="16.5" customHeight="1">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c r="AA257" s="40"/>
      <c r="AB257" s="40"/>
      <c r="AC257" s="40"/>
      <c r="AD257" s="40"/>
      <c r="AE257" s="40"/>
      <c r="AF257" s="40"/>
      <c r="AG257" s="40"/>
      <c r="AH257" s="40"/>
      <c r="AI257" s="40"/>
      <c r="AJ257" s="40"/>
      <c r="AK257" s="40"/>
      <c r="AL257" s="40"/>
      <c r="AM257" s="40"/>
      <c r="AN257" s="40"/>
      <c r="AO257" s="40"/>
      <c r="AP257" s="40"/>
      <c r="AQ257" s="40"/>
      <c r="AR257" s="40"/>
      <c r="AS257" s="40"/>
      <c r="AT257" s="40"/>
      <c r="AU257" s="40"/>
      <c r="AV257" s="40"/>
      <c r="AW257" s="40"/>
      <c r="AX257" s="40"/>
      <c r="AY257" s="40"/>
      <c r="AZ257" s="40"/>
    </row>
    <row r="258" spans="1:52" ht="16.5" customHeight="1">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c r="AA258" s="40"/>
      <c r="AB258" s="40"/>
      <c r="AC258" s="40"/>
      <c r="AD258" s="40"/>
      <c r="AE258" s="40"/>
      <c r="AF258" s="40"/>
      <c r="AG258" s="40"/>
      <c r="AH258" s="40"/>
      <c r="AI258" s="40"/>
      <c r="AJ258" s="40"/>
      <c r="AK258" s="40"/>
      <c r="AL258" s="40"/>
      <c r="AM258" s="40"/>
      <c r="AN258" s="40"/>
      <c r="AO258" s="40"/>
      <c r="AP258" s="40"/>
      <c r="AQ258" s="40"/>
      <c r="AR258" s="40"/>
      <c r="AS258" s="40"/>
      <c r="AT258" s="40"/>
      <c r="AU258" s="40"/>
      <c r="AV258" s="40"/>
      <c r="AW258" s="40"/>
      <c r="AX258" s="40"/>
      <c r="AY258" s="40"/>
      <c r="AZ258" s="40"/>
    </row>
    <row r="259" spans="1:52" ht="16.5" customHeight="1">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c r="AA259" s="40"/>
      <c r="AB259" s="40"/>
      <c r="AC259" s="40"/>
      <c r="AD259" s="40"/>
      <c r="AE259" s="40"/>
      <c r="AF259" s="40"/>
      <c r="AG259" s="40"/>
      <c r="AH259" s="40"/>
      <c r="AI259" s="40"/>
      <c r="AJ259" s="40"/>
      <c r="AK259" s="40"/>
      <c r="AL259" s="40"/>
      <c r="AM259" s="40"/>
      <c r="AN259" s="40"/>
      <c r="AO259" s="40"/>
      <c r="AP259" s="40"/>
      <c r="AQ259" s="40"/>
      <c r="AR259" s="40"/>
      <c r="AS259" s="40"/>
      <c r="AT259" s="40"/>
      <c r="AU259" s="40"/>
      <c r="AV259" s="40"/>
      <c r="AW259" s="40"/>
      <c r="AX259" s="40"/>
      <c r="AY259" s="40"/>
      <c r="AZ259" s="40"/>
    </row>
    <row r="260" spans="1:52" ht="16.5" customHeight="1">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c r="AA260" s="40"/>
      <c r="AB260" s="40"/>
      <c r="AC260" s="40"/>
      <c r="AD260" s="40"/>
      <c r="AE260" s="40"/>
      <c r="AF260" s="40"/>
      <c r="AG260" s="40"/>
      <c r="AH260" s="40"/>
      <c r="AI260" s="40"/>
      <c r="AJ260" s="40"/>
      <c r="AK260" s="40"/>
      <c r="AL260" s="40"/>
      <c r="AM260" s="40"/>
      <c r="AN260" s="40"/>
      <c r="AO260" s="40"/>
      <c r="AP260" s="40"/>
      <c r="AQ260" s="40"/>
      <c r="AR260" s="40"/>
      <c r="AS260" s="40"/>
      <c r="AT260" s="40"/>
      <c r="AU260" s="40"/>
      <c r="AV260" s="40"/>
      <c r="AW260" s="40"/>
      <c r="AX260" s="40"/>
      <c r="AY260" s="40"/>
      <c r="AZ260" s="40"/>
    </row>
    <row r="261" spans="1:52" ht="16.5" customHeight="1">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c r="AA261" s="40"/>
      <c r="AB261" s="40"/>
      <c r="AC261" s="40"/>
      <c r="AD261" s="40"/>
      <c r="AE261" s="40"/>
      <c r="AF261" s="40"/>
      <c r="AG261" s="40"/>
      <c r="AH261" s="40"/>
      <c r="AI261" s="40"/>
      <c r="AJ261" s="40"/>
      <c r="AK261" s="40"/>
      <c r="AL261" s="40"/>
      <c r="AM261" s="40"/>
      <c r="AN261" s="40"/>
      <c r="AO261" s="40"/>
      <c r="AP261" s="40"/>
      <c r="AQ261" s="40"/>
      <c r="AR261" s="40"/>
      <c r="AS261" s="40"/>
      <c r="AT261" s="40"/>
      <c r="AU261" s="40"/>
      <c r="AV261" s="40"/>
      <c r="AW261" s="40"/>
      <c r="AX261" s="40"/>
      <c r="AY261" s="40"/>
      <c r="AZ261" s="40"/>
    </row>
    <row r="262" spans="1:52" ht="16.5" customHeight="1">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c r="AA262" s="40"/>
      <c r="AB262" s="40"/>
      <c r="AC262" s="40"/>
      <c r="AD262" s="40"/>
      <c r="AE262" s="40"/>
      <c r="AF262" s="40"/>
      <c r="AG262" s="40"/>
      <c r="AH262" s="40"/>
      <c r="AI262" s="40"/>
      <c r="AJ262" s="40"/>
      <c r="AK262" s="40"/>
      <c r="AL262" s="40"/>
      <c r="AM262" s="40"/>
      <c r="AN262" s="40"/>
      <c r="AO262" s="40"/>
      <c r="AP262" s="40"/>
      <c r="AQ262" s="40"/>
      <c r="AR262" s="40"/>
      <c r="AS262" s="40"/>
      <c r="AT262" s="40"/>
      <c r="AU262" s="40"/>
      <c r="AV262" s="40"/>
      <c r="AW262" s="40"/>
      <c r="AX262" s="40"/>
      <c r="AY262" s="40"/>
      <c r="AZ262" s="40"/>
    </row>
    <row r="263" spans="1:52" ht="16.5" customHeight="1">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c r="AA263" s="40"/>
      <c r="AB263" s="40"/>
      <c r="AC263" s="40"/>
      <c r="AD263" s="40"/>
      <c r="AE263" s="40"/>
      <c r="AF263" s="40"/>
      <c r="AG263" s="40"/>
      <c r="AH263" s="40"/>
      <c r="AI263" s="40"/>
      <c r="AJ263" s="40"/>
      <c r="AK263" s="40"/>
      <c r="AL263" s="40"/>
      <c r="AM263" s="40"/>
      <c r="AN263" s="40"/>
      <c r="AO263" s="40"/>
      <c r="AP263" s="40"/>
      <c r="AQ263" s="40"/>
      <c r="AR263" s="40"/>
      <c r="AS263" s="40"/>
      <c r="AT263" s="40"/>
      <c r="AU263" s="40"/>
      <c r="AV263" s="40"/>
      <c r="AW263" s="40"/>
      <c r="AX263" s="40"/>
      <c r="AY263" s="40"/>
      <c r="AZ263" s="40"/>
    </row>
    <row r="264" spans="1:52" ht="16.5" customHeight="1">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c r="AA264" s="40"/>
      <c r="AB264" s="40"/>
      <c r="AC264" s="40"/>
      <c r="AD264" s="40"/>
      <c r="AE264" s="40"/>
      <c r="AF264" s="40"/>
      <c r="AG264" s="40"/>
      <c r="AH264" s="40"/>
      <c r="AI264" s="40"/>
      <c r="AJ264" s="40"/>
      <c r="AK264" s="40"/>
      <c r="AL264" s="40"/>
      <c r="AM264" s="40"/>
      <c r="AN264" s="40"/>
      <c r="AO264" s="40"/>
      <c r="AP264" s="40"/>
      <c r="AQ264" s="40"/>
      <c r="AR264" s="40"/>
      <c r="AS264" s="40"/>
      <c r="AT264" s="40"/>
      <c r="AU264" s="40"/>
      <c r="AV264" s="40"/>
      <c r="AW264" s="40"/>
      <c r="AX264" s="40"/>
      <c r="AY264" s="40"/>
      <c r="AZ264" s="40"/>
    </row>
    <row r="265" spans="1:52" ht="16.5" customHeight="1">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c r="AA265" s="40"/>
      <c r="AB265" s="40"/>
      <c r="AC265" s="40"/>
      <c r="AD265" s="40"/>
      <c r="AE265" s="40"/>
      <c r="AF265" s="40"/>
      <c r="AG265" s="40"/>
      <c r="AH265" s="40"/>
      <c r="AI265" s="40"/>
      <c r="AJ265" s="40"/>
      <c r="AK265" s="40"/>
      <c r="AL265" s="40"/>
      <c r="AM265" s="40"/>
      <c r="AN265" s="40"/>
      <c r="AO265" s="40"/>
      <c r="AP265" s="40"/>
      <c r="AQ265" s="40"/>
      <c r="AR265" s="40"/>
      <c r="AS265" s="40"/>
      <c r="AT265" s="40"/>
      <c r="AU265" s="40"/>
      <c r="AV265" s="40"/>
      <c r="AW265" s="40"/>
      <c r="AX265" s="40"/>
      <c r="AY265" s="40"/>
      <c r="AZ265" s="40"/>
    </row>
    <row r="266" spans="1:52" ht="16.5" customHeight="1">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c r="AA266" s="40"/>
      <c r="AB266" s="40"/>
      <c r="AC266" s="40"/>
      <c r="AD266" s="40"/>
      <c r="AE266" s="40"/>
      <c r="AF266" s="40"/>
      <c r="AG266" s="40"/>
      <c r="AH266" s="40"/>
      <c r="AI266" s="40"/>
      <c r="AJ266" s="40"/>
      <c r="AK266" s="40"/>
      <c r="AL266" s="40"/>
      <c r="AM266" s="40"/>
      <c r="AN266" s="40"/>
      <c r="AO266" s="40"/>
      <c r="AP266" s="40"/>
      <c r="AQ266" s="40"/>
      <c r="AR266" s="40"/>
      <c r="AS266" s="40"/>
      <c r="AT266" s="40"/>
      <c r="AU266" s="40"/>
      <c r="AV266" s="40"/>
      <c r="AW266" s="40"/>
      <c r="AX266" s="40"/>
      <c r="AY266" s="40"/>
      <c r="AZ266" s="40"/>
    </row>
    <row r="267" spans="1:52" ht="16.5" customHeight="1">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c r="AA267" s="40"/>
      <c r="AB267" s="40"/>
      <c r="AC267" s="40"/>
      <c r="AD267" s="40"/>
      <c r="AE267" s="40"/>
      <c r="AF267" s="40"/>
      <c r="AG267" s="40"/>
      <c r="AH267" s="40"/>
      <c r="AI267" s="40"/>
      <c r="AJ267" s="40"/>
      <c r="AK267" s="40"/>
      <c r="AL267" s="40"/>
      <c r="AM267" s="40"/>
      <c r="AN267" s="40"/>
      <c r="AO267" s="40"/>
      <c r="AP267" s="40"/>
      <c r="AQ267" s="40"/>
      <c r="AR267" s="40"/>
      <c r="AS267" s="40"/>
      <c r="AT267" s="40"/>
      <c r="AU267" s="40"/>
      <c r="AV267" s="40"/>
      <c r="AW267" s="40"/>
      <c r="AX267" s="40"/>
      <c r="AY267" s="40"/>
      <c r="AZ267" s="40"/>
    </row>
    <row r="268" spans="1:52" ht="16.5" customHeight="1">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c r="AA268" s="40"/>
      <c r="AB268" s="40"/>
      <c r="AC268" s="40"/>
      <c r="AD268" s="40"/>
      <c r="AE268" s="40"/>
      <c r="AF268" s="40"/>
      <c r="AG268" s="40"/>
      <c r="AH268" s="40"/>
      <c r="AI268" s="40"/>
      <c r="AJ268" s="40"/>
      <c r="AK268" s="40"/>
      <c r="AL268" s="40"/>
      <c r="AM268" s="40"/>
      <c r="AN268" s="40"/>
      <c r="AO268" s="40"/>
      <c r="AP268" s="40"/>
      <c r="AQ268" s="40"/>
      <c r="AR268" s="40"/>
      <c r="AS268" s="40"/>
      <c r="AT268" s="40"/>
      <c r="AU268" s="40"/>
      <c r="AV268" s="40"/>
      <c r="AW268" s="40"/>
      <c r="AX268" s="40"/>
      <c r="AY268" s="40"/>
      <c r="AZ268" s="40"/>
    </row>
    <row r="269" spans="1:52" ht="16.5" customHeight="1">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c r="AA269" s="40"/>
      <c r="AB269" s="40"/>
      <c r="AC269" s="40"/>
      <c r="AD269" s="40"/>
      <c r="AE269" s="40"/>
      <c r="AF269" s="40"/>
      <c r="AG269" s="40"/>
      <c r="AH269" s="40"/>
      <c r="AI269" s="40"/>
      <c r="AJ269" s="40"/>
      <c r="AK269" s="40"/>
      <c r="AL269" s="40"/>
      <c r="AM269" s="40"/>
      <c r="AN269" s="40"/>
      <c r="AO269" s="40"/>
      <c r="AP269" s="40"/>
      <c r="AQ269" s="40"/>
      <c r="AR269" s="40"/>
      <c r="AS269" s="40"/>
      <c r="AT269" s="40"/>
      <c r="AU269" s="40"/>
      <c r="AV269" s="40"/>
      <c r="AW269" s="40"/>
      <c r="AX269" s="40"/>
      <c r="AY269" s="40"/>
      <c r="AZ269" s="40"/>
    </row>
    <row r="270" spans="1:52" ht="16.5" customHeight="1">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c r="AA270" s="40"/>
      <c r="AB270" s="40"/>
      <c r="AC270" s="40"/>
      <c r="AD270" s="40"/>
      <c r="AE270" s="40"/>
      <c r="AF270" s="40"/>
      <c r="AG270" s="40"/>
      <c r="AH270" s="40"/>
      <c r="AI270" s="40"/>
      <c r="AJ270" s="40"/>
      <c r="AK270" s="40"/>
      <c r="AL270" s="40"/>
      <c r="AM270" s="40"/>
      <c r="AN270" s="40"/>
      <c r="AO270" s="40"/>
      <c r="AP270" s="40"/>
      <c r="AQ270" s="40"/>
      <c r="AR270" s="40"/>
      <c r="AS270" s="40"/>
      <c r="AT270" s="40"/>
      <c r="AU270" s="40"/>
      <c r="AV270" s="40"/>
      <c r="AW270" s="40"/>
      <c r="AX270" s="40"/>
      <c r="AY270" s="40"/>
      <c r="AZ270" s="40"/>
    </row>
    <row r="271" spans="1:52" ht="16.5" customHeight="1">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c r="AA271" s="40"/>
      <c r="AB271" s="40"/>
      <c r="AC271" s="40"/>
      <c r="AD271" s="40"/>
      <c r="AE271" s="40"/>
      <c r="AF271" s="40"/>
      <c r="AG271" s="40"/>
      <c r="AH271" s="40"/>
      <c r="AI271" s="40"/>
      <c r="AJ271" s="40"/>
      <c r="AK271" s="40"/>
      <c r="AL271" s="40"/>
      <c r="AM271" s="40"/>
      <c r="AN271" s="40"/>
      <c r="AO271" s="40"/>
      <c r="AP271" s="40"/>
      <c r="AQ271" s="40"/>
      <c r="AR271" s="40"/>
      <c r="AS271" s="40"/>
      <c r="AT271" s="40"/>
      <c r="AU271" s="40"/>
      <c r="AV271" s="40"/>
      <c r="AW271" s="40"/>
      <c r="AX271" s="40"/>
      <c r="AY271" s="40"/>
      <c r="AZ271" s="40"/>
    </row>
    <row r="272" spans="1:52" ht="16.5" customHeight="1">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c r="AA272" s="40"/>
      <c r="AB272" s="40"/>
      <c r="AC272" s="40"/>
      <c r="AD272" s="40"/>
      <c r="AE272" s="40"/>
      <c r="AF272" s="40"/>
      <c r="AG272" s="40"/>
      <c r="AH272" s="40"/>
      <c r="AI272" s="40"/>
      <c r="AJ272" s="40"/>
      <c r="AK272" s="40"/>
      <c r="AL272" s="40"/>
      <c r="AM272" s="40"/>
      <c r="AN272" s="40"/>
      <c r="AO272" s="40"/>
      <c r="AP272" s="40"/>
      <c r="AQ272" s="40"/>
      <c r="AR272" s="40"/>
      <c r="AS272" s="40"/>
      <c r="AT272" s="40"/>
      <c r="AU272" s="40"/>
      <c r="AV272" s="40"/>
      <c r="AW272" s="40"/>
      <c r="AX272" s="40"/>
      <c r="AY272" s="40"/>
      <c r="AZ272" s="40"/>
    </row>
    <row r="273" spans="1:52" ht="16.5" customHeight="1">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c r="AA273" s="40"/>
      <c r="AB273" s="40"/>
      <c r="AC273" s="40"/>
      <c r="AD273" s="40"/>
      <c r="AE273" s="40"/>
      <c r="AF273" s="40"/>
      <c r="AG273" s="40"/>
      <c r="AH273" s="40"/>
      <c r="AI273" s="40"/>
      <c r="AJ273" s="40"/>
      <c r="AK273" s="40"/>
      <c r="AL273" s="40"/>
      <c r="AM273" s="40"/>
      <c r="AN273" s="40"/>
      <c r="AO273" s="40"/>
      <c r="AP273" s="40"/>
      <c r="AQ273" s="40"/>
      <c r="AR273" s="40"/>
      <c r="AS273" s="40"/>
      <c r="AT273" s="40"/>
      <c r="AU273" s="40"/>
      <c r="AV273" s="40"/>
      <c r="AW273" s="40"/>
      <c r="AX273" s="40"/>
      <c r="AY273" s="40"/>
      <c r="AZ273" s="40"/>
    </row>
    <row r="274" spans="1:52" ht="16.5" customHeight="1">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c r="AA274" s="40"/>
      <c r="AB274" s="40"/>
      <c r="AC274" s="40"/>
      <c r="AD274" s="40"/>
      <c r="AE274" s="40"/>
      <c r="AF274" s="40"/>
      <c r="AG274" s="40"/>
      <c r="AH274" s="40"/>
      <c r="AI274" s="40"/>
      <c r="AJ274" s="40"/>
      <c r="AK274" s="40"/>
      <c r="AL274" s="40"/>
      <c r="AM274" s="40"/>
      <c r="AN274" s="40"/>
      <c r="AO274" s="40"/>
      <c r="AP274" s="40"/>
      <c r="AQ274" s="40"/>
      <c r="AR274" s="40"/>
      <c r="AS274" s="40"/>
      <c r="AT274" s="40"/>
      <c r="AU274" s="40"/>
      <c r="AV274" s="40"/>
      <c r="AW274" s="40"/>
      <c r="AX274" s="40"/>
      <c r="AY274" s="40"/>
      <c r="AZ274" s="40"/>
    </row>
    <row r="275" spans="1:52" ht="16.5" customHeight="1">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c r="AA275" s="40"/>
      <c r="AB275" s="40"/>
      <c r="AC275" s="40"/>
      <c r="AD275" s="40"/>
      <c r="AE275" s="40"/>
      <c r="AF275" s="40"/>
      <c r="AG275" s="40"/>
      <c r="AH275" s="40"/>
      <c r="AI275" s="40"/>
      <c r="AJ275" s="40"/>
      <c r="AK275" s="40"/>
      <c r="AL275" s="40"/>
      <c r="AM275" s="40"/>
      <c r="AN275" s="40"/>
      <c r="AO275" s="40"/>
      <c r="AP275" s="40"/>
      <c r="AQ275" s="40"/>
      <c r="AR275" s="40"/>
      <c r="AS275" s="40"/>
      <c r="AT275" s="40"/>
      <c r="AU275" s="40"/>
      <c r="AV275" s="40"/>
      <c r="AW275" s="40"/>
      <c r="AX275" s="40"/>
      <c r="AY275" s="40"/>
      <c r="AZ275" s="40"/>
    </row>
    <row r="276" spans="1:52" ht="16.5" customHeight="1">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c r="AA276" s="40"/>
      <c r="AB276" s="40"/>
      <c r="AC276" s="40"/>
      <c r="AD276" s="40"/>
      <c r="AE276" s="40"/>
      <c r="AF276" s="40"/>
      <c r="AG276" s="40"/>
      <c r="AH276" s="40"/>
      <c r="AI276" s="40"/>
      <c r="AJ276" s="40"/>
      <c r="AK276" s="40"/>
      <c r="AL276" s="40"/>
      <c r="AM276" s="40"/>
      <c r="AN276" s="40"/>
      <c r="AO276" s="40"/>
      <c r="AP276" s="40"/>
      <c r="AQ276" s="40"/>
      <c r="AR276" s="40"/>
      <c r="AS276" s="40"/>
      <c r="AT276" s="40"/>
      <c r="AU276" s="40"/>
      <c r="AV276" s="40"/>
      <c r="AW276" s="40"/>
      <c r="AX276" s="40"/>
      <c r="AY276" s="40"/>
      <c r="AZ276" s="40"/>
    </row>
    <row r="277" spans="1:52" ht="16.5" customHeight="1">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c r="AA277" s="40"/>
      <c r="AB277" s="40"/>
      <c r="AC277" s="40"/>
      <c r="AD277" s="40"/>
      <c r="AE277" s="40"/>
      <c r="AF277" s="40"/>
      <c r="AG277" s="40"/>
      <c r="AH277" s="40"/>
      <c r="AI277" s="40"/>
      <c r="AJ277" s="40"/>
      <c r="AK277" s="40"/>
      <c r="AL277" s="40"/>
      <c r="AM277" s="40"/>
      <c r="AN277" s="40"/>
      <c r="AO277" s="40"/>
      <c r="AP277" s="40"/>
      <c r="AQ277" s="40"/>
      <c r="AR277" s="40"/>
      <c r="AS277" s="40"/>
      <c r="AT277" s="40"/>
      <c r="AU277" s="40"/>
      <c r="AV277" s="40"/>
      <c r="AW277" s="40"/>
      <c r="AX277" s="40"/>
      <c r="AY277" s="40"/>
      <c r="AZ277" s="40"/>
    </row>
    <row r="278" spans="1:52" ht="16.5" customHeight="1">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c r="AA278" s="40"/>
      <c r="AB278" s="40"/>
      <c r="AC278" s="40"/>
      <c r="AD278" s="40"/>
      <c r="AE278" s="40"/>
      <c r="AF278" s="40"/>
      <c r="AG278" s="40"/>
      <c r="AH278" s="40"/>
      <c r="AI278" s="40"/>
      <c r="AJ278" s="40"/>
      <c r="AK278" s="40"/>
      <c r="AL278" s="40"/>
      <c r="AM278" s="40"/>
      <c r="AN278" s="40"/>
      <c r="AO278" s="40"/>
      <c r="AP278" s="40"/>
      <c r="AQ278" s="40"/>
      <c r="AR278" s="40"/>
      <c r="AS278" s="40"/>
      <c r="AT278" s="40"/>
      <c r="AU278" s="40"/>
      <c r="AV278" s="40"/>
      <c r="AW278" s="40"/>
      <c r="AX278" s="40"/>
      <c r="AY278" s="40"/>
      <c r="AZ278" s="40"/>
    </row>
    <row r="279" spans="1:52" ht="16.5" customHeight="1">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c r="AA279" s="40"/>
      <c r="AB279" s="40"/>
      <c r="AC279" s="40"/>
      <c r="AD279" s="40"/>
      <c r="AE279" s="40"/>
      <c r="AF279" s="40"/>
      <c r="AG279" s="40"/>
      <c r="AH279" s="40"/>
      <c r="AI279" s="40"/>
      <c r="AJ279" s="40"/>
      <c r="AK279" s="40"/>
      <c r="AL279" s="40"/>
      <c r="AM279" s="40"/>
      <c r="AN279" s="40"/>
      <c r="AO279" s="40"/>
      <c r="AP279" s="40"/>
      <c r="AQ279" s="40"/>
      <c r="AR279" s="40"/>
      <c r="AS279" s="40"/>
      <c r="AT279" s="40"/>
      <c r="AU279" s="40"/>
      <c r="AV279" s="40"/>
      <c r="AW279" s="40"/>
      <c r="AX279" s="40"/>
      <c r="AY279" s="40"/>
      <c r="AZ279" s="40"/>
    </row>
    <row r="280" spans="1:52" ht="16.5" customHeight="1">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c r="AA280" s="40"/>
      <c r="AB280" s="40"/>
      <c r="AC280" s="40"/>
      <c r="AD280" s="40"/>
      <c r="AE280" s="40"/>
      <c r="AF280" s="40"/>
      <c r="AG280" s="40"/>
      <c r="AH280" s="40"/>
      <c r="AI280" s="40"/>
      <c r="AJ280" s="40"/>
      <c r="AK280" s="40"/>
      <c r="AL280" s="40"/>
      <c r="AM280" s="40"/>
      <c r="AN280" s="40"/>
      <c r="AO280" s="40"/>
      <c r="AP280" s="40"/>
      <c r="AQ280" s="40"/>
      <c r="AR280" s="40"/>
      <c r="AS280" s="40"/>
      <c r="AT280" s="40"/>
      <c r="AU280" s="40"/>
      <c r="AV280" s="40"/>
      <c r="AW280" s="40"/>
      <c r="AX280" s="40"/>
      <c r="AY280" s="40"/>
      <c r="AZ280" s="40"/>
    </row>
    <row r="281" spans="1:52" ht="16.5" customHeight="1">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c r="AA281" s="40"/>
      <c r="AB281" s="40"/>
      <c r="AC281" s="40"/>
      <c r="AD281" s="40"/>
      <c r="AE281" s="40"/>
      <c r="AF281" s="40"/>
      <c r="AG281" s="40"/>
      <c r="AH281" s="40"/>
      <c r="AI281" s="40"/>
      <c r="AJ281" s="40"/>
      <c r="AK281" s="40"/>
      <c r="AL281" s="40"/>
      <c r="AM281" s="40"/>
      <c r="AN281" s="40"/>
      <c r="AO281" s="40"/>
      <c r="AP281" s="40"/>
      <c r="AQ281" s="40"/>
      <c r="AR281" s="40"/>
      <c r="AS281" s="40"/>
      <c r="AT281" s="40"/>
      <c r="AU281" s="40"/>
      <c r="AV281" s="40"/>
      <c r="AW281" s="40"/>
      <c r="AX281" s="40"/>
      <c r="AY281" s="40"/>
      <c r="AZ281" s="40"/>
    </row>
    <row r="282" spans="1:52" ht="16.5" customHeight="1">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c r="AA282" s="40"/>
      <c r="AB282" s="40"/>
      <c r="AC282" s="40"/>
      <c r="AD282" s="40"/>
      <c r="AE282" s="40"/>
      <c r="AF282" s="40"/>
      <c r="AG282" s="40"/>
      <c r="AH282" s="40"/>
      <c r="AI282" s="40"/>
      <c r="AJ282" s="40"/>
      <c r="AK282" s="40"/>
      <c r="AL282" s="40"/>
      <c r="AM282" s="40"/>
      <c r="AN282" s="40"/>
      <c r="AO282" s="40"/>
      <c r="AP282" s="40"/>
      <c r="AQ282" s="40"/>
      <c r="AR282" s="40"/>
      <c r="AS282" s="40"/>
      <c r="AT282" s="40"/>
      <c r="AU282" s="40"/>
      <c r="AV282" s="40"/>
      <c r="AW282" s="40"/>
      <c r="AX282" s="40"/>
      <c r="AY282" s="40"/>
      <c r="AZ282" s="40"/>
    </row>
    <row r="283" spans="1:52" ht="16.5" customHeight="1">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c r="AA283" s="40"/>
      <c r="AB283" s="40"/>
      <c r="AC283" s="40"/>
      <c r="AD283" s="40"/>
      <c r="AE283" s="40"/>
      <c r="AF283" s="40"/>
      <c r="AG283" s="40"/>
      <c r="AH283" s="40"/>
      <c r="AI283" s="40"/>
      <c r="AJ283" s="40"/>
      <c r="AK283" s="40"/>
      <c r="AL283" s="40"/>
      <c r="AM283" s="40"/>
      <c r="AN283" s="40"/>
      <c r="AO283" s="40"/>
      <c r="AP283" s="40"/>
      <c r="AQ283" s="40"/>
      <c r="AR283" s="40"/>
      <c r="AS283" s="40"/>
      <c r="AT283" s="40"/>
      <c r="AU283" s="40"/>
      <c r="AV283" s="40"/>
      <c r="AW283" s="40"/>
      <c r="AX283" s="40"/>
      <c r="AY283" s="40"/>
      <c r="AZ283" s="40"/>
    </row>
    <row r="284" spans="1:52" ht="16.5" customHeight="1">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c r="AA284" s="40"/>
      <c r="AB284" s="40"/>
      <c r="AC284" s="40"/>
      <c r="AD284" s="40"/>
      <c r="AE284" s="40"/>
      <c r="AF284" s="40"/>
      <c r="AG284" s="40"/>
      <c r="AH284" s="40"/>
      <c r="AI284" s="40"/>
      <c r="AJ284" s="40"/>
      <c r="AK284" s="40"/>
      <c r="AL284" s="40"/>
      <c r="AM284" s="40"/>
      <c r="AN284" s="40"/>
      <c r="AO284" s="40"/>
      <c r="AP284" s="40"/>
      <c r="AQ284" s="40"/>
      <c r="AR284" s="40"/>
      <c r="AS284" s="40"/>
      <c r="AT284" s="40"/>
      <c r="AU284" s="40"/>
      <c r="AV284" s="40"/>
      <c r="AW284" s="40"/>
      <c r="AX284" s="40"/>
      <c r="AY284" s="40"/>
      <c r="AZ284" s="40"/>
    </row>
    <row r="285" spans="1:52" ht="16.5" customHeight="1">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c r="AA285" s="40"/>
      <c r="AB285" s="40"/>
      <c r="AC285" s="40"/>
      <c r="AD285" s="40"/>
      <c r="AE285" s="40"/>
      <c r="AF285" s="40"/>
      <c r="AG285" s="40"/>
      <c r="AH285" s="40"/>
      <c r="AI285" s="40"/>
      <c r="AJ285" s="40"/>
      <c r="AK285" s="40"/>
      <c r="AL285" s="40"/>
      <c r="AM285" s="40"/>
      <c r="AN285" s="40"/>
      <c r="AO285" s="40"/>
      <c r="AP285" s="40"/>
      <c r="AQ285" s="40"/>
      <c r="AR285" s="40"/>
      <c r="AS285" s="40"/>
      <c r="AT285" s="40"/>
      <c r="AU285" s="40"/>
      <c r="AV285" s="40"/>
      <c r="AW285" s="40"/>
      <c r="AX285" s="40"/>
      <c r="AY285" s="40"/>
      <c r="AZ285" s="40"/>
    </row>
    <row r="286" spans="1:52" ht="16.5" customHeight="1">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c r="AA286" s="40"/>
      <c r="AB286" s="40"/>
      <c r="AC286" s="40"/>
      <c r="AD286" s="40"/>
      <c r="AE286" s="40"/>
      <c r="AF286" s="40"/>
      <c r="AG286" s="40"/>
      <c r="AH286" s="40"/>
      <c r="AI286" s="40"/>
      <c r="AJ286" s="40"/>
      <c r="AK286" s="40"/>
      <c r="AL286" s="40"/>
      <c r="AM286" s="40"/>
      <c r="AN286" s="40"/>
      <c r="AO286" s="40"/>
      <c r="AP286" s="40"/>
      <c r="AQ286" s="40"/>
      <c r="AR286" s="40"/>
      <c r="AS286" s="40"/>
      <c r="AT286" s="40"/>
      <c r="AU286" s="40"/>
      <c r="AV286" s="40"/>
      <c r="AW286" s="40"/>
      <c r="AX286" s="40"/>
      <c r="AY286" s="40"/>
      <c r="AZ286" s="40"/>
    </row>
    <row r="287" spans="1:52" ht="16.5" customHeight="1">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c r="AA287" s="40"/>
      <c r="AB287" s="40"/>
      <c r="AC287" s="40"/>
      <c r="AD287" s="40"/>
      <c r="AE287" s="40"/>
      <c r="AF287" s="40"/>
      <c r="AG287" s="40"/>
      <c r="AH287" s="40"/>
      <c r="AI287" s="40"/>
      <c r="AJ287" s="40"/>
      <c r="AK287" s="40"/>
      <c r="AL287" s="40"/>
      <c r="AM287" s="40"/>
      <c r="AN287" s="40"/>
      <c r="AO287" s="40"/>
      <c r="AP287" s="40"/>
      <c r="AQ287" s="40"/>
      <c r="AR287" s="40"/>
      <c r="AS287" s="40"/>
      <c r="AT287" s="40"/>
      <c r="AU287" s="40"/>
      <c r="AV287" s="40"/>
      <c r="AW287" s="40"/>
      <c r="AX287" s="40"/>
      <c r="AY287" s="40"/>
      <c r="AZ287" s="40"/>
    </row>
    <row r="288" spans="1:52" ht="16.5" customHeight="1">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c r="AA288" s="40"/>
      <c r="AB288" s="40"/>
      <c r="AC288" s="40"/>
      <c r="AD288" s="40"/>
      <c r="AE288" s="40"/>
      <c r="AF288" s="40"/>
      <c r="AG288" s="40"/>
      <c r="AH288" s="40"/>
      <c r="AI288" s="40"/>
      <c r="AJ288" s="40"/>
      <c r="AK288" s="40"/>
      <c r="AL288" s="40"/>
      <c r="AM288" s="40"/>
      <c r="AN288" s="40"/>
      <c r="AO288" s="40"/>
      <c r="AP288" s="40"/>
      <c r="AQ288" s="40"/>
      <c r="AR288" s="40"/>
      <c r="AS288" s="40"/>
      <c r="AT288" s="40"/>
      <c r="AU288" s="40"/>
      <c r="AV288" s="40"/>
      <c r="AW288" s="40"/>
      <c r="AX288" s="40"/>
      <c r="AY288" s="40"/>
      <c r="AZ288" s="40"/>
    </row>
    <row r="289" spans="1:52" ht="16.5" customHeight="1">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c r="AA289" s="40"/>
      <c r="AB289" s="40"/>
      <c r="AC289" s="40"/>
      <c r="AD289" s="40"/>
      <c r="AE289" s="40"/>
      <c r="AF289" s="40"/>
      <c r="AG289" s="40"/>
      <c r="AH289" s="40"/>
      <c r="AI289" s="40"/>
      <c r="AJ289" s="40"/>
      <c r="AK289" s="40"/>
      <c r="AL289" s="40"/>
      <c r="AM289" s="40"/>
      <c r="AN289" s="40"/>
      <c r="AO289" s="40"/>
      <c r="AP289" s="40"/>
      <c r="AQ289" s="40"/>
      <c r="AR289" s="40"/>
      <c r="AS289" s="40"/>
      <c r="AT289" s="40"/>
      <c r="AU289" s="40"/>
      <c r="AV289" s="40"/>
      <c r="AW289" s="40"/>
      <c r="AX289" s="40"/>
      <c r="AY289" s="40"/>
      <c r="AZ289" s="40"/>
    </row>
    <row r="290" spans="1:52" ht="16.5" customHeight="1">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c r="AA290" s="40"/>
      <c r="AB290" s="40"/>
      <c r="AC290" s="40"/>
      <c r="AD290" s="40"/>
      <c r="AE290" s="40"/>
      <c r="AF290" s="40"/>
      <c r="AG290" s="40"/>
      <c r="AH290" s="40"/>
      <c r="AI290" s="40"/>
      <c r="AJ290" s="40"/>
      <c r="AK290" s="40"/>
      <c r="AL290" s="40"/>
      <c r="AM290" s="40"/>
      <c r="AN290" s="40"/>
      <c r="AO290" s="40"/>
      <c r="AP290" s="40"/>
      <c r="AQ290" s="40"/>
      <c r="AR290" s="40"/>
      <c r="AS290" s="40"/>
      <c r="AT290" s="40"/>
      <c r="AU290" s="40"/>
      <c r="AV290" s="40"/>
      <c r="AW290" s="40"/>
      <c r="AX290" s="40"/>
      <c r="AY290" s="40"/>
      <c r="AZ290" s="40"/>
    </row>
    <row r="291" spans="1:52" ht="16.5" customHeight="1">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c r="AA291" s="40"/>
      <c r="AB291" s="40"/>
      <c r="AC291" s="40"/>
      <c r="AD291" s="40"/>
      <c r="AE291" s="40"/>
      <c r="AF291" s="40"/>
      <c r="AG291" s="40"/>
      <c r="AH291" s="40"/>
      <c r="AI291" s="40"/>
      <c r="AJ291" s="40"/>
      <c r="AK291" s="40"/>
      <c r="AL291" s="40"/>
      <c r="AM291" s="40"/>
      <c r="AN291" s="40"/>
      <c r="AO291" s="40"/>
      <c r="AP291" s="40"/>
      <c r="AQ291" s="40"/>
      <c r="AR291" s="40"/>
      <c r="AS291" s="40"/>
      <c r="AT291" s="40"/>
      <c r="AU291" s="40"/>
      <c r="AV291" s="40"/>
      <c r="AW291" s="40"/>
      <c r="AX291" s="40"/>
      <c r="AY291" s="40"/>
      <c r="AZ291" s="40"/>
    </row>
    <row r="292" spans="1:52" ht="16.5" customHeight="1">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c r="AA292" s="40"/>
      <c r="AB292" s="40"/>
      <c r="AC292" s="40"/>
      <c r="AD292" s="40"/>
      <c r="AE292" s="40"/>
      <c r="AF292" s="40"/>
      <c r="AG292" s="40"/>
      <c r="AH292" s="40"/>
      <c r="AI292" s="40"/>
      <c r="AJ292" s="40"/>
      <c r="AK292" s="40"/>
      <c r="AL292" s="40"/>
      <c r="AM292" s="40"/>
      <c r="AN292" s="40"/>
      <c r="AO292" s="40"/>
      <c r="AP292" s="40"/>
      <c r="AQ292" s="40"/>
      <c r="AR292" s="40"/>
      <c r="AS292" s="40"/>
      <c r="AT292" s="40"/>
      <c r="AU292" s="40"/>
      <c r="AV292" s="40"/>
      <c r="AW292" s="40"/>
      <c r="AX292" s="40"/>
      <c r="AY292" s="40"/>
      <c r="AZ292" s="40"/>
    </row>
    <row r="293" spans="1:52" ht="16.5" customHeight="1">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c r="AA293" s="40"/>
      <c r="AB293" s="40"/>
      <c r="AC293" s="40"/>
      <c r="AD293" s="40"/>
      <c r="AE293" s="40"/>
      <c r="AF293" s="40"/>
      <c r="AG293" s="40"/>
      <c r="AH293" s="40"/>
      <c r="AI293" s="40"/>
      <c r="AJ293" s="40"/>
      <c r="AK293" s="40"/>
      <c r="AL293" s="40"/>
      <c r="AM293" s="40"/>
      <c r="AN293" s="40"/>
      <c r="AO293" s="40"/>
      <c r="AP293" s="40"/>
      <c r="AQ293" s="40"/>
      <c r="AR293" s="40"/>
      <c r="AS293" s="40"/>
      <c r="AT293" s="40"/>
      <c r="AU293" s="40"/>
      <c r="AV293" s="40"/>
      <c r="AW293" s="40"/>
      <c r="AX293" s="40"/>
      <c r="AY293" s="40"/>
      <c r="AZ293" s="40"/>
    </row>
    <row r="294" spans="1:52" ht="16.5" customHeight="1">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c r="AA294" s="40"/>
      <c r="AB294" s="40"/>
      <c r="AC294" s="40"/>
      <c r="AD294" s="40"/>
      <c r="AE294" s="40"/>
      <c r="AF294" s="40"/>
      <c r="AG294" s="40"/>
      <c r="AH294" s="40"/>
      <c r="AI294" s="40"/>
      <c r="AJ294" s="40"/>
      <c r="AK294" s="40"/>
      <c r="AL294" s="40"/>
      <c r="AM294" s="40"/>
      <c r="AN294" s="40"/>
      <c r="AO294" s="40"/>
      <c r="AP294" s="40"/>
      <c r="AQ294" s="40"/>
      <c r="AR294" s="40"/>
      <c r="AS294" s="40"/>
      <c r="AT294" s="40"/>
      <c r="AU294" s="40"/>
      <c r="AV294" s="40"/>
      <c r="AW294" s="40"/>
      <c r="AX294" s="40"/>
      <c r="AY294" s="40"/>
      <c r="AZ294" s="40"/>
    </row>
    <row r="295" spans="1:52" ht="16.5" customHeight="1">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c r="AA295" s="40"/>
      <c r="AB295" s="40"/>
      <c r="AC295" s="40"/>
      <c r="AD295" s="40"/>
      <c r="AE295" s="40"/>
      <c r="AF295" s="40"/>
      <c r="AG295" s="40"/>
      <c r="AH295" s="40"/>
      <c r="AI295" s="40"/>
      <c r="AJ295" s="40"/>
      <c r="AK295" s="40"/>
      <c r="AL295" s="40"/>
      <c r="AM295" s="40"/>
      <c r="AN295" s="40"/>
      <c r="AO295" s="40"/>
      <c r="AP295" s="40"/>
      <c r="AQ295" s="40"/>
      <c r="AR295" s="40"/>
      <c r="AS295" s="40"/>
      <c r="AT295" s="40"/>
      <c r="AU295" s="40"/>
      <c r="AV295" s="40"/>
      <c r="AW295" s="40"/>
      <c r="AX295" s="40"/>
      <c r="AY295" s="40"/>
      <c r="AZ295" s="40"/>
    </row>
    <row r="296" spans="1:52" ht="16.5" customHeight="1">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c r="AA296" s="40"/>
      <c r="AB296" s="40"/>
      <c r="AC296" s="40"/>
      <c r="AD296" s="40"/>
      <c r="AE296" s="40"/>
      <c r="AF296" s="40"/>
      <c r="AG296" s="40"/>
      <c r="AH296" s="40"/>
      <c r="AI296" s="40"/>
      <c r="AJ296" s="40"/>
      <c r="AK296" s="40"/>
      <c r="AL296" s="40"/>
      <c r="AM296" s="40"/>
      <c r="AN296" s="40"/>
      <c r="AO296" s="40"/>
      <c r="AP296" s="40"/>
      <c r="AQ296" s="40"/>
      <c r="AR296" s="40"/>
      <c r="AS296" s="40"/>
      <c r="AT296" s="40"/>
      <c r="AU296" s="40"/>
      <c r="AV296" s="40"/>
      <c r="AW296" s="40"/>
      <c r="AX296" s="40"/>
      <c r="AY296" s="40"/>
      <c r="AZ296" s="40"/>
    </row>
    <row r="297" spans="1:52" ht="16.5" customHeight="1">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c r="AA297" s="40"/>
      <c r="AB297" s="40"/>
      <c r="AC297" s="40"/>
      <c r="AD297" s="40"/>
      <c r="AE297" s="40"/>
      <c r="AF297" s="40"/>
      <c r="AG297" s="40"/>
      <c r="AH297" s="40"/>
      <c r="AI297" s="40"/>
      <c r="AJ297" s="40"/>
      <c r="AK297" s="40"/>
      <c r="AL297" s="40"/>
      <c r="AM297" s="40"/>
      <c r="AN297" s="40"/>
      <c r="AO297" s="40"/>
      <c r="AP297" s="40"/>
      <c r="AQ297" s="40"/>
      <c r="AR297" s="40"/>
      <c r="AS297" s="40"/>
      <c r="AT297" s="40"/>
      <c r="AU297" s="40"/>
      <c r="AV297" s="40"/>
      <c r="AW297" s="40"/>
      <c r="AX297" s="40"/>
      <c r="AY297" s="40"/>
      <c r="AZ297" s="40"/>
    </row>
    <row r="298" spans="1:52" ht="16.5" customHeight="1">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c r="AA298" s="40"/>
      <c r="AB298" s="40"/>
      <c r="AC298" s="40"/>
      <c r="AD298" s="40"/>
      <c r="AE298" s="40"/>
      <c r="AF298" s="40"/>
      <c r="AG298" s="40"/>
      <c r="AH298" s="40"/>
      <c r="AI298" s="40"/>
      <c r="AJ298" s="40"/>
      <c r="AK298" s="40"/>
      <c r="AL298" s="40"/>
      <c r="AM298" s="40"/>
      <c r="AN298" s="40"/>
      <c r="AO298" s="40"/>
      <c r="AP298" s="40"/>
      <c r="AQ298" s="40"/>
      <c r="AR298" s="40"/>
      <c r="AS298" s="40"/>
      <c r="AT298" s="40"/>
      <c r="AU298" s="40"/>
      <c r="AV298" s="40"/>
      <c r="AW298" s="40"/>
      <c r="AX298" s="40"/>
      <c r="AY298" s="40"/>
      <c r="AZ298" s="40"/>
    </row>
    <row r="299" spans="1:52" ht="16.5" customHeight="1">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c r="AA299" s="40"/>
      <c r="AB299" s="40"/>
      <c r="AC299" s="40"/>
      <c r="AD299" s="40"/>
      <c r="AE299" s="40"/>
      <c r="AF299" s="40"/>
      <c r="AG299" s="40"/>
      <c r="AH299" s="40"/>
      <c r="AI299" s="40"/>
      <c r="AJ299" s="40"/>
      <c r="AK299" s="40"/>
      <c r="AL299" s="40"/>
      <c r="AM299" s="40"/>
      <c r="AN299" s="40"/>
      <c r="AO299" s="40"/>
      <c r="AP299" s="40"/>
      <c r="AQ299" s="40"/>
      <c r="AR299" s="40"/>
      <c r="AS299" s="40"/>
      <c r="AT299" s="40"/>
      <c r="AU299" s="40"/>
      <c r="AV299" s="40"/>
      <c r="AW299" s="40"/>
      <c r="AX299" s="40"/>
      <c r="AY299" s="40"/>
      <c r="AZ299" s="40"/>
    </row>
    <row r="300" spans="1:52" ht="16.5" customHeight="1">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c r="AA300" s="40"/>
      <c r="AB300" s="40"/>
      <c r="AC300" s="40"/>
      <c r="AD300" s="40"/>
      <c r="AE300" s="40"/>
      <c r="AF300" s="40"/>
      <c r="AG300" s="40"/>
      <c r="AH300" s="40"/>
      <c r="AI300" s="40"/>
      <c r="AJ300" s="40"/>
      <c r="AK300" s="40"/>
      <c r="AL300" s="40"/>
      <c r="AM300" s="40"/>
      <c r="AN300" s="40"/>
      <c r="AO300" s="40"/>
      <c r="AP300" s="40"/>
      <c r="AQ300" s="40"/>
      <c r="AR300" s="40"/>
      <c r="AS300" s="40"/>
      <c r="AT300" s="40"/>
      <c r="AU300" s="40"/>
      <c r="AV300" s="40"/>
      <c r="AW300" s="40"/>
      <c r="AX300" s="40"/>
      <c r="AY300" s="40"/>
      <c r="AZ300" s="40"/>
    </row>
    <row r="301" spans="1:52" ht="16.5" customHeight="1">
      <c r="A301" s="40"/>
      <c r="B301" s="40"/>
      <c r="C301" s="40"/>
      <c r="D301" s="40"/>
      <c r="E301" s="40"/>
      <c r="F301" s="40"/>
      <c r="G301" s="40"/>
      <c r="H301" s="40"/>
      <c r="I301" s="40"/>
      <c r="J301" s="40"/>
      <c r="K301" s="40"/>
      <c r="O301" s="40"/>
      <c r="P301" s="40"/>
      <c r="Q301" s="40"/>
      <c r="R301" s="40"/>
      <c r="S301" s="40"/>
      <c r="T301" s="40"/>
      <c r="U301" s="40"/>
      <c r="V301" s="40"/>
      <c r="W301" s="40"/>
      <c r="X301" s="40"/>
      <c r="Y301" s="40"/>
      <c r="Z301" s="40"/>
      <c r="AA301" s="40"/>
      <c r="AB301" s="40"/>
      <c r="AC301" s="40"/>
      <c r="AD301" s="40"/>
      <c r="AE301" s="40"/>
      <c r="AF301" s="40"/>
      <c r="AG301" s="40"/>
      <c r="AH301" s="40"/>
      <c r="AI301" s="40"/>
      <c r="AJ301" s="40"/>
      <c r="AK301" s="40"/>
      <c r="AL301" s="40"/>
      <c r="AM301" s="40"/>
      <c r="AN301" s="40"/>
      <c r="AO301" s="40"/>
      <c r="AP301" s="40"/>
      <c r="AQ301" s="40"/>
      <c r="AR301" s="40"/>
      <c r="AS301" s="40"/>
      <c r="AT301" s="40"/>
      <c r="AU301" s="40"/>
      <c r="AV301" s="40"/>
      <c r="AW301" s="40"/>
      <c r="AX301" s="40"/>
      <c r="AY301" s="40"/>
      <c r="AZ301" s="40"/>
    </row>
  </sheetData>
  <mergeCells count="10">
    <mergeCell ref="B80:J80"/>
    <mergeCell ref="B75:J75"/>
    <mergeCell ref="B76:J76"/>
    <mergeCell ref="B77:J77"/>
    <mergeCell ref="B78:J78"/>
    <mergeCell ref="B71:J71"/>
    <mergeCell ref="B72:J72"/>
    <mergeCell ref="B73:J73"/>
    <mergeCell ref="B74:J74"/>
    <mergeCell ref="B79:J79"/>
  </mergeCells>
  <phoneticPr fontId="21" type="noConversion"/>
  <hyperlinks>
    <hyperlink ref="M14" location="财务摘要!A1" display="财务摘要"/>
    <hyperlink ref="M17" location="利润表!A1" display="利润表"/>
    <hyperlink ref="M18" location="资产负债!A1" display="资产负债"/>
    <hyperlink ref="M20" location="现金流量!A1" display="现金流量"/>
    <hyperlink ref="M15" location="财务分析!A1" display="财务分析"/>
    <hyperlink ref="M22" location="DDM!A1" display="DDM"/>
    <hyperlink ref="M23" location="资金成本!A1" display="资金成本"/>
    <hyperlink ref="M12" location="模型说明!A1" display="模型说明"/>
    <hyperlink ref="M19" location="CAPEX!A1" display="CAPEX"/>
    <hyperlink ref="M21" location="复杂FCFF!A1" display="复杂FCFF"/>
    <hyperlink ref="M13" location="公司说明!A1" display="公司说明"/>
    <hyperlink ref="M16" location="收入拆分!A1" display="收入拆分"/>
    <hyperlink ref="M24" location="可比公司分析!A1" display="可比公司分析"/>
  </hyperlinks>
  <pageMargins left="0.75" right="0.75" top="1" bottom="1" header="0.5" footer="0.5"/>
  <pageSetup firstPageNumber="4294963191"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indexed="43"/>
  </sheetPr>
  <dimension ref="A1:AZ286"/>
  <sheetViews>
    <sheetView showGridLines="0" tabSelected="1" workbookViewId="0">
      <selection activeCell="F12" sqref="F12"/>
    </sheetView>
  </sheetViews>
  <sheetFormatPr defaultRowHeight="17.100000000000001" customHeight="1"/>
  <cols>
    <col min="1" max="1" width="2.375" style="1" customWidth="1"/>
    <col min="2" max="2" width="14.875" style="3" customWidth="1"/>
    <col min="3" max="3" width="10.125" style="3" customWidth="1"/>
    <col min="4" max="4" width="16.875" style="3" customWidth="1"/>
    <col min="5" max="5" width="11.375" style="3" customWidth="1"/>
    <col min="6" max="8" width="10.875" style="3" customWidth="1"/>
    <col min="9" max="9" width="11.625" style="3" customWidth="1"/>
    <col min="10" max="10" width="13.5" style="3" customWidth="1"/>
    <col min="11" max="16384" width="9" style="3"/>
  </cols>
  <sheetData>
    <row r="1" spans="1:52" ht="12" customHeight="1">
      <c r="A1" s="45"/>
      <c r="B1" s="214">
        <f>E12-1</f>
        <v>2019</v>
      </c>
      <c r="C1" s="214">
        <v>20200320</v>
      </c>
      <c r="D1" s="213" t="s">
        <v>67</v>
      </c>
      <c r="E1" s="46"/>
      <c r="F1" s="46"/>
      <c r="G1" s="46"/>
      <c r="H1" s="46"/>
      <c r="I1" s="46"/>
      <c r="J1" s="46"/>
      <c r="K1" s="46"/>
      <c r="L1" s="46"/>
      <c r="M1" s="46"/>
      <c r="N1" s="46"/>
      <c r="O1" s="46"/>
      <c r="P1" s="46"/>
      <c r="Q1" s="46"/>
      <c r="R1" s="46"/>
      <c r="S1" s="46"/>
      <c r="T1" s="46"/>
      <c r="U1" s="46"/>
      <c r="V1" s="46"/>
      <c r="W1" s="46"/>
      <c r="X1" s="46"/>
      <c r="Y1" s="46"/>
      <c r="Z1" s="46"/>
      <c r="AA1" s="46"/>
      <c r="AB1" s="46"/>
      <c r="AC1" s="46"/>
      <c r="AD1" s="46"/>
      <c r="AE1" s="46"/>
      <c r="AF1" s="46"/>
      <c r="AG1" s="46"/>
      <c r="AH1" s="46"/>
      <c r="AI1" s="46"/>
      <c r="AJ1" s="46"/>
      <c r="AK1" s="46"/>
      <c r="AL1" s="46"/>
      <c r="AM1" s="46"/>
      <c r="AN1" s="46"/>
      <c r="AO1" s="46"/>
      <c r="AP1" s="46"/>
      <c r="AQ1" s="46"/>
      <c r="AR1" s="46"/>
      <c r="AS1" s="46"/>
      <c r="AT1" s="46"/>
      <c r="AU1" s="46"/>
      <c r="AV1" s="46"/>
      <c r="AW1" s="46"/>
      <c r="AX1" s="46"/>
      <c r="AY1" s="46"/>
      <c r="AZ1" s="46"/>
    </row>
    <row r="2" spans="1:52" ht="61.5" customHeight="1" thickBot="1">
      <c r="A2" s="47"/>
      <c r="B2" s="48"/>
      <c r="C2" s="48"/>
      <c r="D2" s="48"/>
      <c r="E2" s="2"/>
      <c r="F2" s="48"/>
      <c r="G2" s="49"/>
      <c r="H2" s="48"/>
      <c r="I2" s="48"/>
      <c r="J2" s="48"/>
      <c r="K2" s="48"/>
      <c r="L2" s="48"/>
      <c r="M2" s="48"/>
      <c r="N2" s="48"/>
      <c r="O2" s="48"/>
      <c r="P2" s="48"/>
      <c r="Q2" s="48"/>
      <c r="R2" s="48"/>
      <c r="S2" s="48"/>
      <c r="T2" s="48"/>
      <c r="U2" s="48"/>
      <c r="V2" s="48"/>
      <c r="W2" s="48"/>
      <c r="X2" s="48"/>
      <c r="Y2" s="48"/>
      <c r="Z2" s="48"/>
      <c r="AA2" s="48"/>
      <c r="AB2" s="48"/>
      <c r="AC2" s="48"/>
      <c r="AD2" s="48"/>
      <c r="AE2" s="48"/>
      <c r="AF2" s="48"/>
      <c r="AG2" s="48"/>
      <c r="AH2" s="48"/>
      <c r="AI2" s="48"/>
      <c r="AJ2" s="48"/>
      <c r="AK2" s="48"/>
      <c r="AL2" s="48"/>
      <c r="AM2" s="48"/>
      <c r="AN2" s="48"/>
      <c r="AO2" s="48"/>
      <c r="AP2" s="48"/>
      <c r="AQ2" s="48"/>
      <c r="AR2" s="48"/>
      <c r="AS2" s="48"/>
      <c r="AT2" s="48"/>
      <c r="AU2" s="48"/>
      <c r="AV2" s="48"/>
      <c r="AW2" s="48"/>
      <c r="AX2" s="48"/>
      <c r="AY2" s="48"/>
      <c r="AZ2" s="48"/>
    </row>
    <row r="3" spans="1:52" ht="18" customHeight="1">
      <c r="A3" s="47"/>
      <c r="B3" s="460" t="s">
        <v>16</v>
      </c>
      <c r="C3" s="461"/>
      <c r="D3" s="461"/>
      <c r="E3" s="462"/>
      <c r="F3" s="2"/>
      <c r="K3" s="48"/>
      <c r="L3" s="48"/>
      <c r="M3" s="48"/>
      <c r="N3" s="48"/>
      <c r="O3" s="48"/>
      <c r="P3" s="48"/>
      <c r="Q3" s="48"/>
      <c r="R3" s="48"/>
      <c r="S3" s="48"/>
      <c r="T3" s="48"/>
      <c r="U3" s="48"/>
      <c r="V3" s="48"/>
      <c r="W3" s="48"/>
      <c r="X3" s="48"/>
      <c r="Y3" s="48"/>
      <c r="Z3" s="48"/>
      <c r="AA3" s="48"/>
      <c r="AB3" s="48"/>
      <c r="AC3" s="48"/>
      <c r="AD3" s="48"/>
      <c r="AE3" s="48"/>
      <c r="AF3" s="48"/>
      <c r="AG3" s="48"/>
      <c r="AH3" s="48"/>
      <c r="AI3" s="48"/>
      <c r="AJ3" s="48"/>
      <c r="AK3" s="48"/>
      <c r="AL3" s="48"/>
      <c r="AM3" s="48"/>
      <c r="AN3" s="48"/>
      <c r="AO3" s="48"/>
      <c r="AP3" s="48"/>
      <c r="AQ3" s="48"/>
      <c r="AR3" s="48"/>
      <c r="AS3" s="48"/>
      <c r="AT3" s="48"/>
      <c r="AU3" s="48"/>
      <c r="AV3" s="48"/>
      <c r="AW3" s="48"/>
      <c r="AX3" s="48"/>
      <c r="AY3" s="48"/>
      <c r="AZ3" s="48"/>
    </row>
    <row r="4" spans="1:52" ht="18" customHeight="1">
      <c r="A4" s="47"/>
      <c r="B4" s="511" t="s">
        <v>68</v>
      </c>
      <c r="C4" s="512" t="s">
        <v>1593</v>
      </c>
      <c r="D4" s="513" t="s">
        <v>69</v>
      </c>
      <c r="E4" s="514" t="s">
        <v>1591</v>
      </c>
      <c r="F4" s="48"/>
      <c r="K4" s="48"/>
      <c r="L4" s="48"/>
      <c r="M4" s="48"/>
      <c r="N4" s="48"/>
      <c r="O4" s="48"/>
      <c r="P4" s="48"/>
      <c r="Q4" s="48"/>
      <c r="R4" s="48"/>
      <c r="S4" s="48"/>
      <c r="T4" s="48"/>
      <c r="U4" s="48"/>
      <c r="V4" s="48"/>
      <c r="W4" s="48"/>
      <c r="X4" s="48"/>
      <c r="Y4" s="48"/>
      <c r="Z4" s="48"/>
      <c r="AA4" s="48"/>
      <c r="AB4" s="48"/>
      <c r="AC4" s="48"/>
      <c r="AD4" s="48"/>
      <c r="AE4" s="48"/>
      <c r="AF4" s="48"/>
      <c r="AG4" s="48"/>
      <c r="AH4" s="48"/>
      <c r="AI4" s="48"/>
      <c r="AJ4" s="48"/>
      <c r="AK4" s="48"/>
      <c r="AL4" s="48"/>
      <c r="AM4" s="48"/>
      <c r="AN4" s="48"/>
      <c r="AO4" s="48"/>
      <c r="AP4" s="48"/>
      <c r="AQ4" s="48"/>
      <c r="AR4" s="48"/>
      <c r="AS4" s="48"/>
      <c r="AT4" s="48"/>
      <c r="AU4" s="48"/>
      <c r="AV4" s="48"/>
      <c r="AW4" s="48"/>
      <c r="AX4" s="48"/>
      <c r="AY4" s="48"/>
      <c r="AZ4" s="48"/>
    </row>
    <row r="5" spans="1:52" ht="18" customHeight="1">
      <c r="A5" s="47"/>
      <c r="B5" s="515" t="s">
        <v>825</v>
      </c>
      <c r="C5" s="516" t="s">
        <v>1594</v>
      </c>
      <c r="D5" s="517" t="s">
        <v>829</v>
      </c>
      <c r="E5" s="518">
        <v>630303</v>
      </c>
      <c r="F5" s="48"/>
      <c r="K5" s="48"/>
      <c r="L5" s="48"/>
      <c r="M5" s="50" t="s">
        <v>70</v>
      </c>
      <c r="N5" s="48"/>
      <c r="O5" s="48"/>
      <c r="P5" s="48"/>
      <c r="Q5" s="48"/>
      <c r="R5" s="48"/>
      <c r="S5" s="48"/>
      <c r="T5" s="48"/>
      <c r="U5" s="48"/>
      <c r="V5" s="48"/>
      <c r="W5" s="48"/>
      <c r="X5" s="48"/>
      <c r="Y5" s="48"/>
      <c r="Z5" s="48"/>
      <c r="AA5" s="48"/>
      <c r="AB5" s="48"/>
      <c r="AC5" s="48"/>
      <c r="AD5" s="48"/>
      <c r="AE5" s="48"/>
      <c r="AF5" s="48"/>
      <c r="AG5" s="48"/>
      <c r="AH5" s="48"/>
      <c r="AI5" s="48"/>
      <c r="AJ5" s="48"/>
      <c r="AK5" s="48"/>
      <c r="AL5" s="48"/>
      <c r="AM5" s="48"/>
      <c r="AN5" s="48"/>
      <c r="AO5" s="48"/>
      <c r="AP5" s="48"/>
      <c r="AQ5" s="48"/>
      <c r="AR5" s="48"/>
      <c r="AS5" s="48"/>
      <c r="AT5" s="48"/>
      <c r="AU5" s="48"/>
      <c r="AV5" s="48"/>
      <c r="AW5" s="48"/>
      <c r="AX5" s="48"/>
      <c r="AY5" s="48"/>
      <c r="AZ5" s="48"/>
    </row>
    <row r="6" spans="1:52" ht="18" customHeight="1">
      <c r="A6" s="47"/>
      <c r="B6" s="558" t="s">
        <v>826</v>
      </c>
      <c r="C6" s="520">
        <v>522.6</v>
      </c>
      <c r="D6" s="559" t="s">
        <v>830</v>
      </c>
      <c r="E6" s="522">
        <f>C6*E8</f>
        <v>22827.168000000001</v>
      </c>
      <c r="F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AS6" s="48"/>
      <c r="AT6" s="48"/>
      <c r="AU6" s="48"/>
      <c r="AV6" s="48"/>
      <c r="AW6" s="48"/>
      <c r="AX6" s="48"/>
      <c r="AY6" s="48"/>
      <c r="AZ6" s="48"/>
    </row>
    <row r="7" spans="1:52" ht="18" customHeight="1">
      <c r="A7" s="47"/>
      <c r="B7" s="558" t="s">
        <v>827</v>
      </c>
      <c r="C7" s="520">
        <v>522.6</v>
      </c>
      <c r="D7" s="559" t="s">
        <v>831</v>
      </c>
      <c r="E7" s="522">
        <f>C7*E8</f>
        <v>22827.168000000001</v>
      </c>
      <c r="F7" s="48"/>
      <c r="K7" s="48"/>
      <c r="L7" s="48"/>
      <c r="M7" s="48"/>
      <c r="N7" s="48"/>
      <c r="O7" s="48"/>
      <c r="P7" s="48"/>
      <c r="Q7" s="48"/>
      <c r="R7" s="48"/>
      <c r="S7" s="48"/>
      <c r="T7" s="48"/>
      <c r="U7" s="48"/>
      <c r="V7" s="48"/>
      <c r="W7" s="48"/>
      <c r="X7" s="48"/>
      <c r="Y7" s="48"/>
      <c r="Z7" s="48"/>
      <c r="AA7" s="48"/>
      <c r="AB7" s="48"/>
      <c r="AC7" s="48"/>
      <c r="AD7" s="48"/>
      <c r="AE7" s="48"/>
      <c r="AF7" s="48"/>
      <c r="AG7" s="48"/>
      <c r="AH7" s="48"/>
      <c r="AI7" s="48"/>
      <c r="AJ7" s="48"/>
      <c r="AK7" s="48"/>
      <c r="AL7" s="48"/>
      <c r="AM7" s="48"/>
      <c r="AN7" s="48"/>
      <c r="AO7" s="48"/>
      <c r="AP7" s="48"/>
      <c r="AQ7" s="48"/>
      <c r="AR7" s="48"/>
      <c r="AS7" s="48"/>
      <c r="AT7" s="48"/>
      <c r="AU7" s="48"/>
      <c r="AV7" s="48"/>
      <c r="AW7" s="48"/>
      <c r="AX7" s="48"/>
      <c r="AY7" s="48"/>
      <c r="AZ7" s="48"/>
    </row>
    <row r="8" spans="1:52" ht="18" customHeight="1">
      <c r="A8" s="47"/>
      <c r="B8" s="519" t="s">
        <v>828</v>
      </c>
      <c r="C8" s="520" t="s">
        <v>1601</v>
      </c>
      <c r="D8" s="521" t="s">
        <v>71</v>
      </c>
      <c r="E8" s="523">
        <v>43.68</v>
      </c>
      <c r="F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48"/>
    </row>
    <row r="9" spans="1:52" ht="18" customHeight="1">
      <c r="A9" s="47"/>
      <c r="B9" s="519" t="s">
        <v>72</v>
      </c>
      <c r="C9" s="524">
        <f ca="1">复杂FCFF!D43</f>
        <v>32.651562177904914</v>
      </c>
      <c r="D9" s="218" t="s">
        <v>832</v>
      </c>
      <c r="E9" s="525">
        <v>1</v>
      </c>
      <c r="F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48"/>
    </row>
    <row r="10" spans="1:52" ht="18" customHeight="1">
      <c r="A10" s="47"/>
      <c r="B10" s="519" t="s">
        <v>73</v>
      </c>
      <c r="C10" s="217" t="s">
        <v>1239</v>
      </c>
      <c r="D10" s="521" t="s">
        <v>74</v>
      </c>
      <c r="E10" s="526">
        <f ca="1">WORKDAY(TODAY(),-1)</f>
        <v>43930</v>
      </c>
      <c r="F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48"/>
    </row>
    <row r="11" spans="1:52" ht="18" customHeight="1">
      <c r="A11" s="47"/>
      <c r="B11" s="519" t="s">
        <v>75</v>
      </c>
      <c r="C11" s="1919" t="s">
        <v>1595</v>
      </c>
      <c r="D11" s="496" t="s">
        <v>76</v>
      </c>
      <c r="E11" s="527">
        <v>43.68</v>
      </c>
      <c r="F11" s="48"/>
      <c r="G11"/>
      <c r="H11"/>
      <c r="I11"/>
      <c r="J11"/>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48"/>
    </row>
    <row r="12" spans="1:52" ht="18" customHeight="1" thickBot="1">
      <c r="A12" s="47"/>
      <c r="B12" s="528"/>
      <c r="C12" s="464"/>
      <c r="D12" s="529" t="s">
        <v>818</v>
      </c>
      <c r="E12" s="530">
        <v>2020</v>
      </c>
      <c r="F12" s="48"/>
      <c r="G12" s="53"/>
      <c r="H12" s="48"/>
      <c r="I12" s="2"/>
      <c r="J12" s="2"/>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48"/>
    </row>
    <row r="13" spans="1:52" ht="18" customHeight="1">
      <c r="A13" s="47"/>
      <c r="B13" s="51"/>
      <c r="C13" s="52"/>
      <c r="D13" s="48"/>
      <c r="E13" s="48"/>
      <c r="F13" s="48"/>
      <c r="G13" s="216"/>
      <c r="H13" s="48"/>
      <c r="I13" s="2"/>
      <c r="J13" s="2"/>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48"/>
    </row>
    <row r="14" spans="1:52" ht="18" customHeight="1">
      <c r="A14" s="47"/>
      <c r="B14" s="244"/>
      <c r="C14" s="245"/>
      <c r="D14" s="48"/>
      <c r="E14" s="48"/>
      <c r="F14" s="48"/>
      <c r="G14" s="53"/>
      <c r="H14" s="48"/>
      <c r="I14" s="2"/>
      <c r="J14" s="2"/>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48"/>
    </row>
    <row r="15" spans="1:52" ht="18" customHeight="1">
      <c r="A15" s="47"/>
      <c r="B15" s="168" t="s">
        <v>77</v>
      </c>
      <c r="C15" s="169"/>
      <c r="D15" s="170"/>
      <c r="E15" s="171"/>
      <c r="F15" s="171"/>
      <c r="G15" s="171"/>
      <c r="H15" s="171"/>
      <c r="I15" s="171"/>
      <c r="J15" s="171"/>
      <c r="K15" s="172"/>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48"/>
    </row>
    <row r="16" spans="1:52" ht="33" customHeight="1" thickBot="1">
      <c r="A16" s="54">
        <f>B1-1</f>
        <v>2018</v>
      </c>
      <c r="B16" s="17"/>
      <c r="C16" s="2209" t="s">
        <v>78</v>
      </c>
      <c r="D16" s="2209" t="s">
        <v>79</v>
      </c>
      <c r="E16" s="2209" t="s">
        <v>80</v>
      </c>
      <c r="F16" s="2209" t="s">
        <v>79</v>
      </c>
      <c r="G16" s="2209" t="s">
        <v>81</v>
      </c>
      <c r="H16" s="2209" t="s">
        <v>82</v>
      </c>
      <c r="I16" s="2209" t="s">
        <v>83</v>
      </c>
      <c r="J16" s="2209" t="s">
        <v>84</v>
      </c>
      <c r="K16" s="2210" t="s">
        <v>85</v>
      </c>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48"/>
    </row>
    <row r="17" spans="1:52" ht="18" customHeight="1">
      <c r="A17" s="47">
        <f>B1</f>
        <v>2019</v>
      </c>
      <c r="B17" s="531" t="str">
        <f>$B$1&amp;"A"</f>
        <v>2019A</v>
      </c>
      <c r="C17" s="532">
        <f>利润表!M4</f>
        <v>6378.1513559200002</v>
      </c>
      <c r="D17" s="533">
        <f>利润表!M44*100</f>
        <v>32.609174934937421</v>
      </c>
      <c r="E17" s="534">
        <f>利润表!M32</f>
        <v>957.06279530999996</v>
      </c>
      <c r="F17" s="535">
        <f>IF(财务分析!G54="_","_",财务分析!G54*100)</f>
        <v>27.394775617090538</v>
      </c>
      <c r="G17" s="536">
        <f>财务分析!G22</f>
        <v>1.8313486324339838</v>
      </c>
      <c r="H17" s="537">
        <f>财务分析!G46*100</f>
        <v>20.364534280523451</v>
      </c>
      <c r="I17" s="537">
        <f>财务分析!G44*100</f>
        <v>14.66766350136175</v>
      </c>
      <c r="J17" s="537">
        <f>财务分析!G40</f>
        <v>23.851275080237663</v>
      </c>
      <c r="K17" s="537">
        <f>财务分析!G31</f>
        <v>19.744998333349795</v>
      </c>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48"/>
    </row>
    <row r="18" spans="1:52" ht="16.5" customHeight="1">
      <c r="A18" s="47">
        <f>A17</f>
        <v>2019</v>
      </c>
      <c r="B18" s="538" t="str">
        <f>IF(ISERROR(季报分析!V53)," ",IF(ISERROR(季报分析!W53),季报分析!V3,IF(ISERROR(季报分析!X53),季报分析!W3,IF(ISERROR(季报分析!Y53),季报分析!X3,季报分析!Y3))))</f>
        <v>4Q19</v>
      </c>
      <c r="C18" s="539"/>
      <c r="D18" s="540"/>
      <c r="E18" s="539"/>
      <c r="F18" s="541"/>
      <c r="G18" s="542"/>
      <c r="H18" s="543"/>
      <c r="I18" s="540"/>
      <c r="J18" s="540"/>
      <c r="K18" s="544"/>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48"/>
    </row>
    <row r="19" spans="1:52" ht="16.5" customHeight="1">
      <c r="A19" s="47">
        <f>A17+1</f>
        <v>2020</v>
      </c>
      <c r="B19" s="545" t="str">
        <f>A19&amp;"E"</f>
        <v>2020E</v>
      </c>
      <c r="C19" s="539">
        <f>利润表!N4</f>
        <v>6378.1513559200002</v>
      </c>
      <c r="D19" s="546">
        <f>利润表!N44*100</f>
        <v>0</v>
      </c>
      <c r="E19" s="547">
        <f ca="1">利润表!N32</f>
        <v>-1385.1762566433215</v>
      </c>
      <c r="F19" s="548">
        <f ca="1">IF(财务分析!H54="_","_",财务分析!H54*100)</f>
        <v>-244.73201376453596</v>
      </c>
      <c r="G19" s="549">
        <f ca="1">财务分析!H22</f>
        <v>-2.6505477547709941</v>
      </c>
      <c r="H19" s="550">
        <f>财务分析!H46*100</f>
        <v>20.316179094290064</v>
      </c>
      <c r="I19" s="550">
        <f ca="1">财务分析!H44*100</f>
        <v>-28.083430300040551</v>
      </c>
      <c r="J19" s="550">
        <f ca="1">财务分析!H40</f>
        <v>-16.479612533437994</v>
      </c>
      <c r="K19" s="550">
        <f ca="1">财务分析!H31</f>
        <v>22.85896802918089</v>
      </c>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48"/>
    </row>
    <row r="20" spans="1:52" ht="18" customHeight="1">
      <c r="A20" s="47">
        <f>A19+1</f>
        <v>2021</v>
      </c>
      <c r="B20" s="545" t="str">
        <f>A20&amp;"E"</f>
        <v>2021E</v>
      </c>
      <c r="C20" s="539">
        <f>利润表!O4</f>
        <v>6378.1513559200002</v>
      </c>
      <c r="D20" s="546">
        <f>利润表!O44*100</f>
        <v>0</v>
      </c>
      <c r="E20" s="547">
        <f ca="1">利润表!O32</f>
        <v>-1645.565048547644</v>
      </c>
      <c r="F20" s="548" t="str">
        <f ca="1">IF(财务分析!I54="_","_",财务分析!I54*100)</f>
        <v>_</v>
      </c>
      <c r="G20" s="549">
        <f ca="1">财务分析!I22</f>
        <v>-3.1488041495362493</v>
      </c>
      <c r="H20" s="550">
        <f>财务分析!I46*100</f>
        <v>20.116029609170006</v>
      </c>
      <c r="I20" s="550">
        <f ca="1">财务分析!I44*100</f>
        <v>-50.065927637330233</v>
      </c>
      <c r="J20" s="550">
        <f ca="1">财务分析!I40</f>
        <v>-13.871932938869227</v>
      </c>
      <c r="K20" s="550">
        <f ca="1">财务分析!I31</f>
        <v>25.427530019344719</v>
      </c>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48"/>
    </row>
    <row r="21" spans="1:52" ht="18" customHeight="1">
      <c r="A21" s="47">
        <f>A20+1</f>
        <v>2022</v>
      </c>
      <c r="B21" s="545" t="str">
        <f>A21&amp;"E"</f>
        <v>2022E</v>
      </c>
      <c r="C21" s="539">
        <f>利润表!P4</f>
        <v>6378.1513559200002</v>
      </c>
      <c r="D21" s="546">
        <f>利润表!P44*100</f>
        <v>0</v>
      </c>
      <c r="E21" s="547">
        <f ca="1">利润表!P32</f>
        <v>-1636.00618991734</v>
      </c>
      <c r="F21" s="548" t="str">
        <f ca="1">IF(财务分析!J54="_","_",财务分析!J54*100)</f>
        <v>_</v>
      </c>
      <c r="G21" s="549">
        <f ca="1">财务分析!J22</f>
        <v>-3.1305131839214311</v>
      </c>
      <c r="H21" s="550">
        <f>财务分析!J46*100</f>
        <v>20.265580994661171</v>
      </c>
      <c r="I21" s="550">
        <f ca="1">财务分析!J44*100</f>
        <v>-99.104434715362387</v>
      </c>
      <c r="J21" s="550">
        <f ca="1">财务分析!J40</f>
        <v>-13.95298388275252</v>
      </c>
      <c r="K21" s="550">
        <f ca="1">财务分析!J31</f>
        <v>27.339414051528376</v>
      </c>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48"/>
    </row>
    <row r="22" spans="1:52" ht="18" customHeight="1">
      <c r="A22" s="47">
        <f>A21+1</f>
        <v>2023</v>
      </c>
      <c r="B22" s="545" t="str">
        <f>A22&amp;"E"</f>
        <v>2023E</v>
      </c>
      <c r="C22" s="539">
        <f>利润表!Q4</f>
        <v>6378.1513559200002</v>
      </c>
      <c r="D22" s="546">
        <f>利润表!Q44*100</f>
        <v>0</v>
      </c>
      <c r="E22" s="547">
        <f ca="1">利润表!Q32</f>
        <v>-1638.114451831141</v>
      </c>
      <c r="F22" s="548" t="str">
        <f ca="1">IF(财务分析!K54="_","_",财务分析!K54*100)</f>
        <v>_</v>
      </c>
      <c r="G22" s="549">
        <f ca="1">财务分析!K22</f>
        <v>-3.1345473628609661</v>
      </c>
      <c r="H22" s="550">
        <f>财务分析!K46*100</f>
        <v>20.232596566040417</v>
      </c>
      <c r="I22" s="550">
        <f ca="1">财务分析!K44*100</f>
        <v>-12923.326255619037</v>
      </c>
      <c r="J22" s="550">
        <f ca="1">财务分析!K40</f>
        <v>-13.935026319121356</v>
      </c>
      <c r="K22" s="550">
        <f ca="1">财务分析!K31</f>
        <v>29.470226581232303</v>
      </c>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48"/>
    </row>
    <row r="23" spans="1:52" ht="18" customHeight="1" thickBot="1">
      <c r="A23" s="47">
        <f>A22+1</f>
        <v>2024</v>
      </c>
      <c r="B23" s="551" t="str">
        <f>A23&amp;"E"</f>
        <v>2024E</v>
      </c>
      <c r="C23" s="552">
        <f>利润表!R4</f>
        <v>6378.1513559200002</v>
      </c>
      <c r="D23" s="553">
        <f>利润表!R44*100</f>
        <v>0</v>
      </c>
      <c r="E23" s="554">
        <f ca="1">利润表!R32</f>
        <v>-1639.8952300987085</v>
      </c>
      <c r="F23" s="555" t="str">
        <f ca="1">IF(财务分析!L54="_","_",财务分析!L54*100)</f>
        <v>_</v>
      </c>
      <c r="G23" s="556">
        <f ca="1">财务分析!L22</f>
        <v>-3.1379548987728825</v>
      </c>
      <c r="H23" s="557">
        <f>财务分析!L46*100</f>
        <v>20.204735723290533</v>
      </c>
      <c r="I23" s="557">
        <f ca="1">财务分析!L44*100</f>
        <v>100.77897544781904</v>
      </c>
      <c r="J23" s="557">
        <f ca="1">财务分析!L40</f>
        <v>-13.919894137765125</v>
      </c>
      <c r="K23" s="557">
        <f ca="1">财务分析!L31</f>
        <v>31.689412401851037</v>
      </c>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48"/>
    </row>
    <row r="24" spans="1:52" ht="18" customHeight="1">
      <c r="A24" s="47"/>
      <c r="B24" s="58"/>
      <c r="C24" s="55"/>
      <c r="D24" s="59"/>
      <c r="E24" s="55"/>
      <c r="F24" s="59"/>
      <c r="G24" s="56"/>
      <c r="H24" s="59"/>
      <c r="I24" s="59"/>
      <c r="J24" s="57"/>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48"/>
    </row>
    <row r="25" spans="1:52" ht="18" customHeight="1">
      <c r="A25" s="47"/>
      <c r="B25" s="58"/>
      <c r="C25" s="55"/>
      <c r="D25" s="59"/>
      <c r="E25" s="55"/>
      <c r="F25" s="59"/>
      <c r="G25" s="56"/>
      <c r="H25" s="59"/>
      <c r="I25" s="59"/>
      <c r="J25" s="57"/>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48"/>
    </row>
    <row r="26" spans="1:52" ht="18" customHeight="1">
      <c r="A26" s="47"/>
      <c r="B26" s="60"/>
      <c r="C26" s="55"/>
      <c r="D26" s="59"/>
      <c r="E26" s="61"/>
      <c r="F26" s="59"/>
      <c r="G26" s="56"/>
      <c r="H26" s="59"/>
      <c r="I26" s="59"/>
      <c r="J26" s="57"/>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48"/>
    </row>
    <row r="27" spans="1:52" ht="17.100000000000001" customHeight="1">
      <c r="A27" s="47"/>
      <c r="B27" s="48"/>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48"/>
    </row>
    <row r="28" spans="1:52" ht="17.100000000000001" customHeight="1">
      <c r="A28" s="47"/>
      <c r="B28" s="48"/>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48"/>
    </row>
    <row r="29" spans="1:52" ht="17.100000000000001" customHeight="1">
      <c r="A29" s="47"/>
      <c r="B29" s="48"/>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48"/>
    </row>
    <row r="30" spans="1:52" ht="17.100000000000001" customHeight="1">
      <c r="A30" s="47"/>
      <c r="B30" s="48"/>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48"/>
    </row>
    <row r="31" spans="1:52" ht="17.100000000000001" customHeight="1">
      <c r="A31" s="47"/>
      <c r="B31" s="48"/>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48"/>
    </row>
    <row r="32" spans="1:52" ht="17.100000000000001" customHeight="1">
      <c r="A32" s="47"/>
      <c r="B32" s="4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row>
    <row r="33" spans="1:52" ht="17.100000000000001" customHeight="1">
      <c r="A33" s="47"/>
      <c r="B33" s="48"/>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48"/>
    </row>
    <row r="34" spans="1:52" ht="17.100000000000001" customHeight="1">
      <c r="A34" s="47"/>
      <c r="B34" s="48"/>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48"/>
    </row>
    <row r="35" spans="1:52" ht="17.100000000000001" customHeight="1">
      <c r="A35" s="47"/>
      <c r="B35" s="48"/>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48"/>
    </row>
    <row r="36" spans="1:52" ht="17.100000000000001" customHeight="1">
      <c r="A36" s="47"/>
      <c r="B36" s="48"/>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48"/>
    </row>
    <row r="37" spans="1:52" ht="17.100000000000001" customHeight="1">
      <c r="A37" s="47"/>
      <c r="B37" s="48"/>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48"/>
    </row>
    <row r="38" spans="1:52" ht="17.100000000000001" customHeight="1">
      <c r="A38" s="47"/>
      <c r="B38" s="48"/>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48"/>
    </row>
    <row r="39" spans="1:52" ht="17.100000000000001" customHeight="1">
      <c r="A39" s="47"/>
      <c r="B39" s="48"/>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48"/>
    </row>
    <row r="40" spans="1:52" ht="17.100000000000001" customHeight="1">
      <c r="A40" s="47"/>
      <c r="B40" s="48"/>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48"/>
    </row>
    <row r="41" spans="1:52" ht="17.100000000000001" customHeight="1">
      <c r="A41" s="47"/>
      <c r="B41" s="48"/>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48"/>
    </row>
    <row r="42" spans="1:52" ht="17.100000000000001" customHeight="1">
      <c r="A42" s="47"/>
      <c r="B42" s="48"/>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48"/>
    </row>
    <row r="43" spans="1:52" ht="17.100000000000001" customHeight="1">
      <c r="A43" s="47"/>
      <c r="B43" s="48"/>
      <c r="C43" s="48"/>
      <c r="D43" s="48"/>
      <c r="E43" s="48"/>
      <c r="F43" s="48"/>
      <c r="G43" s="48"/>
      <c r="H43" s="48"/>
      <c r="I43" s="48"/>
      <c r="J43" s="48"/>
      <c r="K43" s="48"/>
      <c r="L43" s="48"/>
      <c r="M43" s="48"/>
      <c r="N43" s="48"/>
      <c r="O43" s="48"/>
      <c r="P43" s="48"/>
      <c r="Q43" s="48"/>
      <c r="R43" s="48"/>
      <c r="S43" s="48"/>
      <c r="T43" s="48"/>
      <c r="U43" s="48"/>
      <c r="V43" s="48"/>
      <c r="W43" s="48"/>
      <c r="X43" s="48"/>
      <c r="Y43" s="48"/>
      <c r="Z43" s="48"/>
      <c r="AA43" s="48"/>
      <c r="AB43" s="48"/>
      <c r="AC43" s="48"/>
      <c r="AD43" s="48"/>
      <c r="AE43" s="48"/>
      <c r="AF43" s="48"/>
      <c r="AG43" s="48"/>
      <c r="AH43" s="48"/>
      <c r="AI43" s="48"/>
      <c r="AJ43" s="48"/>
      <c r="AK43" s="48"/>
      <c r="AL43" s="48"/>
      <c r="AM43" s="48"/>
      <c r="AN43" s="48"/>
      <c r="AO43" s="48"/>
      <c r="AP43" s="48"/>
      <c r="AQ43" s="48"/>
      <c r="AR43" s="48"/>
      <c r="AS43" s="48"/>
      <c r="AT43" s="48"/>
      <c r="AU43" s="48"/>
      <c r="AV43" s="48"/>
      <c r="AW43" s="48"/>
      <c r="AX43" s="48"/>
      <c r="AY43" s="48"/>
      <c r="AZ43" s="48"/>
    </row>
    <row r="44" spans="1:52" ht="17.100000000000001" customHeight="1">
      <c r="A44" s="47"/>
      <c r="B44" s="48"/>
      <c r="C44" s="48"/>
      <c r="D44" s="48"/>
      <c r="E44" s="48"/>
      <c r="F44" s="48"/>
      <c r="G44" s="48"/>
      <c r="H44" s="48"/>
      <c r="I44" s="48"/>
      <c r="J44" s="48"/>
      <c r="K44" s="48"/>
      <c r="L44" s="48"/>
      <c r="M44" s="48"/>
      <c r="N44" s="48"/>
      <c r="O44" s="48"/>
      <c r="P44" s="48"/>
      <c r="Q44" s="48"/>
      <c r="R44" s="48"/>
      <c r="S44" s="48"/>
      <c r="T44" s="48"/>
      <c r="U44" s="48"/>
      <c r="V44" s="48"/>
      <c r="W44" s="48"/>
      <c r="X44" s="48"/>
      <c r="Y44" s="48"/>
      <c r="Z44" s="48"/>
      <c r="AA44" s="48"/>
      <c r="AB44" s="48"/>
      <c r="AC44" s="48"/>
      <c r="AD44" s="48"/>
      <c r="AE44" s="48"/>
      <c r="AF44" s="48"/>
      <c r="AG44" s="48"/>
      <c r="AH44" s="48"/>
      <c r="AI44" s="48"/>
      <c r="AJ44" s="48"/>
      <c r="AK44" s="48"/>
      <c r="AL44" s="48"/>
      <c r="AM44" s="48"/>
      <c r="AN44" s="48"/>
      <c r="AO44" s="48"/>
      <c r="AP44" s="48"/>
      <c r="AQ44" s="48"/>
      <c r="AR44" s="48"/>
      <c r="AS44" s="48"/>
      <c r="AT44" s="48"/>
      <c r="AU44" s="48"/>
      <c r="AV44" s="48"/>
      <c r="AW44" s="48"/>
      <c r="AX44" s="48"/>
      <c r="AY44" s="48"/>
      <c r="AZ44" s="48"/>
    </row>
    <row r="45" spans="1:52" ht="17.100000000000001" customHeight="1">
      <c r="A45" s="47"/>
      <c r="B45" s="48"/>
      <c r="C45" s="48"/>
      <c r="D45" s="48"/>
      <c r="E45" s="48"/>
      <c r="F45" s="48"/>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row>
    <row r="46" spans="1:52" ht="17.100000000000001" customHeight="1">
      <c r="A46" s="47"/>
      <c r="B46" s="48"/>
      <c r="C46" s="48"/>
      <c r="D46" s="48"/>
      <c r="E46" s="48"/>
      <c r="F46" s="48"/>
      <c r="G46" s="48"/>
      <c r="H46" s="48"/>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c r="AH46" s="48"/>
      <c r="AI46" s="48"/>
      <c r="AJ46" s="48"/>
      <c r="AK46" s="48"/>
      <c r="AL46" s="48"/>
      <c r="AM46" s="48"/>
      <c r="AN46" s="48"/>
      <c r="AO46" s="48"/>
      <c r="AP46" s="48"/>
      <c r="AQ46" s="48"/>
      <c r="AR46" s="48"/>
      <c r="AS46" s="48"/>
      <c r="AT46" s="48"/>
      <c r="AU46" s="48"/>
      <c r="AV46" s="48"/>
      <c r="AW46" s="48"/>
      <c r="AX46" s="48"/>
      <c r="AY46" s="48"/>
      <c r="AZ46" s="48"/>
    </row>
    <row r="47" spans="1:52" ht="17.100000000000001" customHeight="1">
      <c r="A47" s="47"/>
      <c r="B47" s="48"/>
      <c r="C47" s="48"/>
      <c r="D47" s="48"/>
      <c r="E47" s="48"/>
      <c r="F47" s="48"/>
      <c r="G47" s="48"/>
      <c r="H47" s="48"/>
      <c r="I47" s="48"/>
      <c r="J47" s="48"/>
      <c r="K47" s="48"/>
      <c r="L47" s="48"/>
      <c r="M47" s="48"/>
      <c r="N47" s="48"/>
      <c r="O47" s="48"/>
      <c r="P47" s="48"/>
      <c r="Q47" s="48"/>
      <c r="R47" s="48"/>
      <c r="S47" s="48"/>
      <c r="T47" s="48"/>
      <c r="U47" s="48"/>
      <c r="V47" s="48"/>
      <c r="W47" s="48"/>
      <c r="X47" s="48"/>
      <c r="Y47" s="48"/>
      <c r="Z47" s="48"/>
      <c r="AA47" s="48"/>
      <c r="AB47" s="48"/>
      <c r="AC47" s="48"/>
      <c r="AD47" s="48"/>
      <c r="AE47" s="48"/>
      <c r="AF47" s="48"/>
      <c r="AG47" s="48"/>
      <c r="AH47" s="48"/>
      <c r="AI47" s="48"/>
      <c r="AJ47" s="48"/>
      <c r="AK47" s="48"/>
      <c r="AL47" s="48"/>
      <c r="AM47" s="48"/>
      <c r="AN47" s="48"/>
      <c r="AO47" s="48"/>
      <c r="AP47" s="48"/>
      <c r="AQ47" s="48"/>
      <c r="AR47" s="48"/>
      <c r="AS47" s="48"/>
      <c r="AT47" s="48"/>
      <c r="AU47" s="48"/>
      <c r="AV47" s="48"/>
      <c r="AW47" s="48"/>
      <c r="AX47" s="48"/>
      <c r="AY47" s="48"/>
      <c r="AZ47" s="48"/>
    </row>
    <row r="48" spans="1:52" ht="17.100000000000001" customHeight="1">
      <c r="A48" s="47"/>
      <c r="B48" s="48"/>
      <c r="C48" s="48"/>
      <c r="D48" s="48"/>
      <c r="E48" s="48"/>
      <c r="F48" s="48"/>
      <c r="G48" s="48"/>
      <c r="H48" s="48"/>
      <c r="I48" s="48"/>
      <c r="J48" s="48"/>
      <c r="K48" s="48"/>
      <c r="L48" s="48"/>
      <c r="M48" s="48"/>
      <c r="N48" s="48"/>
      <c r="O48" s="48"/>
      <c r="P48" s="48"/>
      <c r="Q48" s="48"/>
      <c r="R48" s="48"/>
      <c r="S48" s="48"/>
      <c r="T48" s="48"/>
      <c r="U48" s="48"/>
      <c r="V48" s="48"/>
      <c r="W48" s="48"/>
      <c r="X48" s="48"/>
      <c r="Y48" s="48"/>
      <c r="Z48" s="48"/>
      <c r="AA48" s="48"/>
      <c r="AB48" s="48"/>
      <c r="AC48" s="48"/>
      <c r="AD48" s="48"/>
      <c r="AE48" s="48"/>
      <c r="AF48" s="48"/>
      <c r="AG48" s="48"/>
      <c r="AH48" s="48"/>
      <c r="AI48" s="48"/>
      <c r="AJ48" s="48"/>
      <c r="AK48" s="48"/>
      <c r="AL48" s="48"/>
      <c r="AM48" s="48"/>
      <c r="AN48" s="48"/>
      <c r="AO48" s="48"/>
      <c r="AP48" s="48"/>
      <c r="AQ48" s="48"/>
      <c r="AR48" s="48"/>
      <c r="AS48" s="48"/>
      <c r="AT48" s="48"/>
      <c r="AU48" s="48"/>
      <c r="AV48" s="48"/>
      <c r="AW48" s="48"/>
      <c r="AX48" s="48"/>
      <c r="AY48" s="48"/>
      <c r="AZ48" s="48"/>
    </row>
    <row r="49" spans="1:52" ht="17.100000000000001" customHeight="1">
      <c r="A49" s="47"/>
      <c r="B49" s="48"/>
      <c r="C49" s="48"/>
      <c r="D49" s="48"/>
      <c r="E49" s="48"/>
      <c r="F49" s="48"/>
      <c r="G49" s="48"/>
      <c r="H49" s="48"/>
      <c r="I49" s="48"/>
      <c r="J49" s="48"/>
      <c r="K49" s="48"/>
      <c r="L49" s="48"/>
      <c r="M49" s="48"/>
      <c r="N49" s="48"/>
      <c r="O49" s="48"/>
      <c r="P49" s="48"/>
      <c r="Q49" s="48"/>
      <c r="R49" s="48"/>
      <c r="S49" s="48"/>
      <c r="T49" s="48"/>
      <c r="U49" s="48"/>
      <c r="V49" s="48"/>
      <c r="W49" s="48"/>
      <c r="X49" s="48"/>
      <c r="Y49" s="48"/>
      <c r="Z49" s="48"/>
      <c r="AA49" s="48"/>
      <c r="AB49" s="48"/>
      <c r="AC49" s="48"/>
      <c r="AD49" s="48"/>
      <c r="AE49" s="48"/>
      <c r="AF49" s="48"/>
      <c r="AG49" s="48"/>
      <c r="AH49" s="48"/>
      <c r="AI49" s="48"/>
      <c r="AJ49" s="48"/>
      <c r="AK49" s="48"/>
      <c r="AL49" s="48"/>
      <c r="AM49" s="48"/>
      <c r="AN49" s="48"/>
      <c r="AO49" s="48"/>
      <c r="AP49" s="48"/>
      <c r="AQ49" s="48"/>
      <c r="AR49" s="48"/>
      <c r="AS49" s="48"/>
      <c r="AT49" s="48"/>
      <c r="AU49" s="48"/>
      <c r="AV49" s="48"/>
      <c r="AW49" s="48"/>
      <c r="AX49" s="48"/>
      <c r="AY49" s="48"/>
      <c r="AZ49" s="48"/>
    </row>
    <row r="50" spans="1:52" ht="17.100000000000001" customHeight="1">
      <c r="A50" s="47"/>
      <c r="B50" s="48"/>
      <c r="C50" s="48"/>
      <c r="D50" s="48"/>
      <c r="E50" s="48"/>
      <c r="F50" s="48"/>
      <c r="G50" s="48"/>
      <c r="H50" s="48"/>
      <c r="I50" s="48"/>
      <c r="J50" s="48"/>
      <c r="K50" s="48"/>
      <c r="L50" s="48"/>
      <c r="M50" s="48"/>
      <c r="N50" s="48"/>
      <c r="O50" s="48"/>
      <c r="P50" s="48"/>
      <c r="Q50" s="48"/>
      <c r="R50" s="48"/>
      <c r="S50" s="48"/>
      <c r="T50" s="48"/>
      <c r="U50" s="48"/>
      <c r="V50" s="48"/>
      <c r="W50" s="48"/>
      <c r="X50" s="48"/>
      <c r="Y50" s="48"/>
      <c r="Z50" s="48"/>
      <c r="AA50" s="48"/>
      <c r="AB50" s="48"/>
      <c r="AC50" s="48"/>
      <c r="AD50" s="48"/>
      <c r="AE50" s="48"/>
      <c r="AF50" s="48"/>
      <c r="AG50" s="48"/>
      <c r="AH50" s="48"/>
      <c r="AI50" s="48"/>
      <c r="AJ50" s="48"/>
      <c r="AK50" s="48"/>
      <c r="AL50" s="48"/>
      <c r="AM50" s="48"/>
      <c r="AN50" s="48"/>
      <c r="AO50" s="48"/>
      <c r="AP50" s="48"/>
      <c r="AQ50" s="48"/>
      <c r="AR50" s="48"/>
      <c r="AS50" s="48"/>
      <c r="AT50" s="48"/>
      <c r="AU50" s="48"/>
      <c r="AV50" s="48"/>
      <c r="AW50" s="48"/>
      <c r="AX50" s="48"/>
      <c r="AY50" s="48"/>
      <c r="AZ50" s="48"/>
    </row>
    <row r="51" spans="1:52" ht="17.100000000000001" customHeight="1">
      <c r="A51" s="47"/>
      <c r="B51" s="48"/>
      <c r="C51" s="48"/>
      <c r="D51" s="48"/>
      <c r="E51" s="48"/>
      <c r="F51" s="48"/>
      <c r="G51" s="48"/>
      <c r="H51" s="48"/>
      <c r="I51" s="48"/>
      <c r="J51" s="48"/>
      <c r="K51" s="48"/>
      <c r="L51" s="48"/>
      <c r="M51" s="48"/>
      <c r="N51" s="48"/>
      <c r="O51" s="48"/>
      <c r="P51" s="48"/>
      <c r="Q51" s="48"/>
      <c r="R51" s="48"/>
      <c r="S51" s="48"/>
      <c r="T51" s="48"/>
      <c r="U51" s="48"/>
      <c r="V51" s="48"/>
      <c r="W51" s="48"/>
      <c r="X51" s="48"/>
      <c r="Y51" s="48"/>
      <c r="Z51" s="48"/>
      <c r="AA51" s="48"/>
      <c r="AB51" s="48"/>
      <c r="AC51" s="48"/>
      <c r="AD51" s="48"/>
      <c r="AE51" s="48"/>
      <c r="AF51" s="48"/>
      <c r="AG51" s="48"/>
      <c r="AH51" s="48"/>
      <c r="AI51" s="48"/>
      <c r="AJ51" s="48"/>
      <c r="AK51" s="48"/>
      <c r="AL51" s="48"/>
      <c r="AM51" s="48"/>
      <c r="AN51" s="48"/>
      <c r="AO51" s="48"/>
      <c r="AP51" s="48"/>
      <c r="AQ51" s="48"/>
      <c r="AR51" s="48"/>
      <c r="AS51" s="48"/>
      <c r="AT51" s="48"/>
      <c r="AU51" s="48"/>
      <c r="AV51" s="48"/>
      <c r="AW51" s="48"/>
      <c r="AX51" s="48"/>
      <c r="AY51" s="48"/>
      <c r="AZ51" s="48"/>
    </row>
    <row r="52" spans="1:52" ht="17.100000000000001" customHeight="1">
      <c r="A52" s="47"/>
      <c r="B52" s="48"/>
      <c r="C52" s="48"/>
      <c r="D52" s="48"/>
      <c r="E52" s="48"/>
      <c r="F52" s="48"/>
      <c r="G52" s="48"/>
      <c r="H52" s="48"/>
      <c r="I52" s="48"/>
      <c r="J52" s="48"/>
      <c r="K52" s="48"/>
      <c r="L52" s="48"/>
      <c r="M52" s="48"/>
      <c r="N52" s="48"/>
      <c r="O52" s="48"/>
      <c r="P52" s="48"/>
      <c r="Q52" s="48"/>
      <c r="R52" s="48"/>
      <c r="S52" s="48"/>
      <c r="T52" s="48"/>
      <c r="U52" s="48"/>
      <c r="V52" s="48"/>
      <c r="W52" s="48"/>
      <c r="X52" s="48"/>
      <c r="Y52" s="48"/>
      <c r="Z52" s="48"/>
      <c r="AA52" s="48"/>
      <c r="AB52" s="48"/>
      <c r="AC52" s="48"/>
      <c r="AD52" s="48"/>
      <c r="AE52" s="48"/>
      <c r="AF52" s="48"/>
      <c r="AG52" s="48"/>
      <c r="AH52" s="48"/>
      <c r="AI52" s="48"/>
      <c r="AJ52" s="48"/>
      <c r="AK52" s="48"/>
      <c r="AL52" s="48"/>
      <c r="AM52" s="48"/>
      <c r="AN52" s="48"/>
      <c r="AO52" s="48"/>
      <c r="AP52" s="48"/>
      <c r="AQ52" s="48"/>
      <c r="AR52" s="48"/>
      <c r="AS52" s="48"/>
      <c r="AT52" s="48"/>
      <c r="AU52" s="48"/>
      <c r="AV52" s="48"/>
      <c r="AW52" s="48"/>
      <c r="AX52" s="48"/>
      <c r="AY52" s="48"/>
      <c r="AZ52" s="48"/>
    </row>
    <row r="53" spans="1:52" ht="17.100000000000001" customHeight="1">
      <c r="A53" s="47"/>
      <c r="B53" s="48"/>
      <c r="C53" s="48"/>
      <c r="D53" s="48"/>
      <c r="E53" s="48"/>
      <c r="F53" s="48"/>
      <c r="G53" s="48"/>
      <c r="H53" s="48"/>
      <c r="I53" s="48"/>
      <c r="J53" s="48"/>
      <c r="K53" s="48"/>
      <c r="L53" s="48"/>
      <c r="M53" s="48"/>
      <c r="N53" s="48"/>
      <c r="O53" s="48"/>
      <c r="P53" s="48"/>
      <c r="Q53" s="48"/>
      <c r="R53" s="48"/>
      <c r="S53" s="48"/>
      <c r="T53" s="48"/>
      <c r="U53" s="48"/>
      <c r="V53" s="48"/>
      <c r="W53" s="48"/>
      <c r="X53" s="48"/>
      <c r="Y53" s="48"/>
      <c r="Z53" s="48"/>
      <c r="AA53" s="48"/>
      <c r="AB53" s="48"/>
      <c r="AC53" s="48"/>
      <c r="AD53" s="48"/>
      <c r="AE53" s="48"/>
      <c r="AF53" s="48"/>
      <c r="AG53" s="48"/>
      <c r="AH53" s="48"/>
      <c r="AI53" s="48"/>
      <c r="AJ53" s="48"/>
      <c r="AK53" s="48"/>
      <c r="AL53" s="48"/>
      <c r="AM53" s="48"/>
      <c r="AN53" s="48"/>
      <c r="AO53" s="48"/>
      <c r="AP53" s="48"/>
      <c r="AQ53" s="48"/>
      <c r="AR53" s="48"/>
      <c r="AS53" s="48"/>
      <c r="AT53" s="48"/>
      <c r="AU53" s="48"/>
      <c r="AV53" s="48"/>
      <c r="AW53" s="48"/>
      <c r="AX53" s="48"/>
      <c r="AY53" s="48"/>
      <c r="AZ53" s="48"/>
    </row>
    <row r="54" spans="1:52" ht="17.100000000000001" customHeight="1">
      <c r="A54" s="47"/>
      <c r="B54" s="48"/>
      <c r="C54" s="48"/>
      <c r="D54" s="48"/>
      <c r="E54" s="48"/>
      <c r="F54" s="48"/>
      <c r="G54" s="48"/>
      <c r="H54" s="48"/>
      <c r="I54" s="48"/>
      <c r="J54" s="48"/>
      <c r="K54" s="48"/>
      <c r="L54" s="48"/>
      <c r="M54" s="48"/>
      <c r="N54" s="48"/>
      <c r="O54" s="48"/>
      <c r="P54" s="48"/>
      <c r="Q54" s="48"/>
      <c r="R54" s="48"/>
      <c r="S54" s="48"/>
      <c r="T54" s="48"/>
      <c r="U54" s="48"/>
      <c r="V54" s="48"/>
      <c r="W54" s="48"/>
      <c r="X54" s="48"/>
      <c r="Y54" s="48"/>
      <c r="Z54" s="48"/>
      <c r="AA54" s="48"/>
      <c r="AB54" s="48"/>
      <c r="AC54" s="48"/>
      <c r="AD54" s="48"/>
      <c r="AE54" s="48"/>
      <c r="AF54" s="48"/>
      <c r="AG54" s="48"/>
      <c r="AH54" s="48"/>
      <c r="AI54" s="48"/>
      <c r="AJ54" s="48"/>
      <c r="AK54" s="48"/>
      <c r="AL54" s="48"/>
      <c r="AM54" s="48"/>
      <c r="AN54" s="48"/>
      <c r="AO54" s="48"/>
      <c r="AP54" s="48"/>
      <c r="AQ54" s="48"/>
      <c r="AR54" s="48"/>
      <c r="AS54" s="48"/>
      <c r="AT54" s="48"/>
      <c r="AU54" s="48"/>
      <c r="AV54" s="48"/>
      <c r="AW54" s="48"/>
      <c r="AX54" s="48"/>
      <c r="AY54" s="48"/>
      <c r="AZ54" s="48"/>
    </row>
    <row r="55" spans="1:52" ht="17.100000000000001" customHeight="1">
      <c r="A55" s="47"/>
      <c r="B55" s="48"/>
      <c r="C55" s="48"/>
      <c r="D55" s="48"/>
      <c r="E55" s="48"/>
      <c r="F55" s="48"/>
      <c r="G55" s="48"/>
      <c r="H55" s="48"/>
      <c r="I55" s="48"/>
      <c r="J55" s="48"/>
      <c r="K55" s="48"/>
      <c r="L55" s="48"/>
      <c r="M55" s="48"/>
      <c r="N55" s="48"/>
      <c r="O55" s="48"/>
      <c r="P55" s="48"/>
      <c r="Q55" s="48"/>
      <c r="R55" s="48"/>
      <c r="S55" s="48"/>
      <c r="T55" s="48"/>
      <c r="U55" s="48"/>
      <c r="V55" s="48"/>
      <c r="W55" s="48"/>
      <c r="X55" s="48"/>
      <c r="Y55" s="48"/>
      <c r="Z55" s="48"/>
      <c r="AA55" s="48"/>
      <c r="AB55" s="48"/>
      <c r="AC55" s="48"/>
      <c r="AD55" s="48"/>
      <c r="AE55" s="48"/>
      <c r="AF55" s="48"/>
      <c r="AG55" s="48"/>
      <c r="AH55" s="48"/>
      <c r="AI55" s="48"/>
      <c r="AJ55" s="48"/>
      <c r="AK55" s="48"/>
      <c r="AL55" s="48"/>
      <c r="AM55" s="48"/>
      <c r="AN55" s="48"/>
      <c r="AO55" s="48"/>
      <c r="AP55" s="48"/>
      <c r="AQ55" s="48"/>
      <c r="AR55" s="48"/>
      <c r="AS55" s="48"/>
      <c r="AT55" s="48"/>
      <c r="AU55" s="48"/>
      <c r="AV55" s="48"/>
      <c r="AW55" s="48"/>
      <c r="AX55" s="48"/>
      <c r="AY55" s="48"/>
      <c r="AZ55" s="48"/>
    </row>
    <row r="56" spans="1:52" ht="17.100000000000001" customHeight="1">
      <c r="A56" s="47"/>
      <c r="B56" s="48"/>
      <c r="C56" s="48"/>
      <c r="D56" s="48"/>
      <c r="E56" s="48"/>
      <c r="F56" s="48"/>
      <c r="G56" s="48"/>
      <c r="H56" s="48"/>
      <c r="I56" s="48"/>
      <c r="J56" s="48"/>
      <c r="K56" s="48"/>
      <c r="L56" s="48"/>
      <c r="M56" s="48"/>
      <c r="N56" s="48"/>
      <c r="O56" s="48"/>
      <c r="P56" s="48"/>
      <c r="Q56" s="48"/>
      <c r="R56" s="48"/>
      <c r="S56" s="48"/>
      <c r="T56" s="48"/>
      <c r="U56" s="48"/>
      <c r="V56" s="48"/>
      <c r="W56" s="48"/>
      <c r="X56" s="48"/>
      <c r="Y56" s="48"/>
      <c r="Z56" s="48"/>
      <c r="AA56" s="48"/>
      <c r="AB56" s="48"/>
      <c r="AC56" s="48"/>
      <c r="AD56" s="48"/>
      <c r="AE56" s="48"/>
      <c r="AF56" s="48"/>
      <c r="AG56" s="48"/>
      <c r="AH56" s="48"/>
      <c r="AI56" s="48"/>
      <c r="AJ56" s="48"/>
      <c r="AK56" s="48"/>
      <c r="AL56" s="48"/>
      <c r="AM56" s="48"/>
      <c r="AN56" s="48"/>
      <c r="AO56" s="48"/>
      <c r="AP56" s="48"/>
      <c r="AQ56" s="48"/>
      <c r="AR56" s="48"/>
      <c r="AS56" s="48"/>
      <c r="AT56" s="48"/>
      <c r="AU56" s="48"/>
      <c r="AV56" s="48"/>
      <c r="AW56" s="48"/>
      <c r="AX56" s="48"/>
      <c r="AY56" s="48"/>
      <c r="AZ56" s="48"/>
    </row>
    <row r="57" spans="1:52" ht="17.100000000000001" customHeight="1">
      <c r="A57" s="47"/>
      <c r="B57" s="48"/>
      <c r="C57" s="48"/>
      <c r="D57" s="48"/>
      <c r="E57" s="48"/>
      <c r="F57" s="48"/>
      <c r="G57" s="48"/>
      <c r="H57" s="48"/>
      <c r="I57" s="48"/>
      <c r="J57" s="48"/>
      <c r="K57" s="48"/>
      <c r="L57" s="48"/>
      <c r="M57" s="48"/>
      <c r="N57" s="48"/>
      <c r="O57" s="48"/>
      <c r="P57" s="48"/>
      <c r="Q57" s="48"/>
      <c r="R57" s="48"/>
      <c r="S57" s="48"/>
      <c r="T57" s="48"/>
      <c r="U57" s="48"/>
      <c r="V57" s="48"/>
      <c r="W57" s="48"/>
      <c r="X57" s="48"/>
      <c r="Y57" s="48"/>
      <c r="Z57" s="48"/>
      <c r="AA57" s="48"/>
      <c r="AB57" s="48"/>
      <c r="AC57" s="48"/>
      <c r="AD57" s="48"/>
      <c r="AE57" s="48"/>
      <c r="AF57" s="48"/>
      <c r="AG57" s="48"/>
      <c r="AH57" s="48"/>
      <c r="AI57" s="48"/>
      <c r="AJ57" s="48"/>
      <c r="AK57" s="48"/>
      <c r="AL57" s="48"/>
      <c r="AM57" s="48"/>
      <c r="AN57" s="48"/>
      <c r="AO57" s="48"/>
      <c r="AP57" s="48"/>
      <c r="AQ57" s="48"/>
      <c r="AR57" s="48"/>
      <c r="AS57" s="48"/>
      <c r="AT57" s="48"/>
      <c r="AU57" s="48"/>
      <c r="AV57" s="48"/>
      <c r="AW57" s="48"/>
      <c r="AX57" s="48"/>
      <c r="AY57" s="48"/>
      <c r="AZ57" s="48"/>
    </row>
    <row r="58" spans="1:52" ht="17.100000000000001" customHeight="1">
      <c r="A58" s="47"/>
      <c r="B58" s="48"/>
      <c r="C58" s="48"/>
      <c r="D58" s="48"/>
      <c r="E58" s="48"/>
      <c r="F58" s="48"/>
      <c r="G58" s="48"/>
      <c r="H58" s="48"/>
      <c r="I58" s="48"/>
      <c r="J58" s="48"/>
      <c r="K58" s="48"/>
      <c r="L58" s="48"/>
      <c r="M58" s="48"/>
      <c r="N58" s="48"/>
      <c r="O58" s="48"/>
      <c r="P58" s="48"/>
      <c r="Q58" s="48"/>
      <c r="R58" s="48"/>
      <c r="S58" s="48"/>
      <c r="T58" s="48"/>
      <c r="U58" s="48"/>
      <c r="V58" s="48"/>
      <c r="W58" s="48"/>
      <c r="X58" s="48"/>
      <c r="Y58" s="48"/>
      <c r="Z58" s="48"/>
      <c r="AA58" s="48"/>
      <c r="AB58" s="48"/>
      <c r="AC58" s="48"/>
      <c r="AD58" s="48"/>
      <c r="AE58" s="48"/>
      <c r="AF58" s="48"/>
      <c r="AG58" s="48"/>
      <c r="AH58" s="48"/>
      <c r="AI58" s="48"/>
      <c r="AJ58" s="48"/>
      <c r="AK58" s="48"/>
      <c r="AL58" s="48"/>
      <c r="AM58" s="48"/>
      <c r="AN58" s="48"/>
      <c r="AO58" s="48"/>
      <c r="AP58" s="48"/>
      <c r="AQ58" s="48"/>
      <c r="AR58" s="48"/>
      <c r="AS58" s="48"/>
      <c r="AT58" s="48"/>
      <c r="AU58" s="48"/>
      <c r="AV58" s="48"/>
      <c r="AW58" s="48"/>
      <c r="AX58" s="48"/>
      <c r="AY58" s="48"/>
      <c r="AZ58" s="48"/>
    </row>
    <row r="59" spans="1:52" ht="17.100000000000001" customHeight="1">
      <c r="A59" s="47"/>
      <c r="B59" s="48"/>
      <c r="C59" s="48"/>
      <c r="D59" s="48"/>
      <c r="E59" s="48"/>
      <c r="F59" s="48"/>
      <c r="G59" s="48"/>
      <c r="H59" s="48"/>
      <c r="I59" s="48"/>
      <c r="J59" s="48"/>
      <c r="K59" s="48"/>
      <c r="L59" s="48"/>
      <c r="M59" s="48"/>
      <c r="N59" s="48"/>
      <c r="O59" s="48"/>
      <c r="P59" s="48"/>
      <c r="Q59" s="48"/>
      <c r="R59" s="48"/>
      <c r="S59" s="48"/>
      <c r="T59" s="48"/>
      <c r="U59" s="48"/>
      <c r="V59" s="48"/>
      <c r="W59" s="48"/>
      <c r="X59" s="48"/>
      <c r="Y59" s="48"/>
      <c r="Z59" s="48"/>
      <c r="AA59" s="48"/>
      <c r="AB59" s="48"/>
      <c r="AC59" s="48"/>
      <c r="AD59" s="48"/>
      <c r="AE59" s="48"/>
      <c r="AF59" s="48"/>
      <c r="AG59" s="48"/>
      <c r="AH59" s="48"/>
      <c r="AI59" s="48"/>
      <c r="AJ59" s="48"/>
      <c r="AK59" s="48"/>
      <c r="AL59" s="48"/>
      <c r="AM59" s="48"/>
      <c r="AN59" s="48"/>
      <c r="AO59" s="48"/>
      <c r="AP59" s="48"/>
      <c r="AQ59" s="48"/>
      <c r="AR59" s="48"/>
      <c r="AS59" s="48"/>
      <c r="AT59" s="48"/>
      <c r="AU59" s="48"/>
      <c r="AV59" s="48"/>
      <c r="AW59" s="48"/>
      <c r="AX59" s="48"/>
      <c r="AY59" s="48"/>
      <c r="AZ59" s="48"/>
    </row>
    <row r="60" spans="1:52" ht="17.100000000000001" customHeight="1">
      <c r="A60" s="47"/>
      <c r="B60" s="48"/>
      <c r="C60" s="48"/>
      <c r="D60" s="48"/>
      <c r="E60" s="48"/>
      <c r="F60" s="48"/>
      <c r="G60" s="48"/>
      <c r="H60" s="48"/>
      <c r="I60" s="48"/>
      <c r="J60" s="48"/>
      <c r="K60" s="48"/>
      <c r="L60" s="48"/>
      <c r="M60" s="48"/>
      <c r="N60" s="48"/>
      <c r="O60" s="48"/>
      <c r="P60" s="48"/>
      <c r="Q60" s="48"/>
      <c r="R60" s="48"/>
      <c r="S60" s="48"/>
      <c r="T60" s="48"/>
      <c r="U60" s="48"/>
      <c r="V60" s="48"/>
      <c r="W60" s="48"/>
      <c r="X60" s="48"/>
      <c r="Y60" s="48"/>
      <c r="Z60" s="48"/>
      <c r="AA60" s="48"/>
      <c r="AB60" s="48"/>
      <c r="AC60" s="48"/>
      <c r="AD60" s="48"/>
      <c r="AE60" s="48"/>
      <c r="AF60" s="48"/>
      <c r="AG60" s="48"/>
      <c r="AH60" s="48"/>
      <c r="AI60" s="48"/>
      <c r="AJ60" s="48"/>
      <c r="AK60" s="48"/>
      <c r="AL60" s="48"/>
      <c r="AM60" s="48"/>
      <c r="AN60" s="48"/>
      <c r="AO60" s="48"/>
      <c r="AP60" s="48"/>
      <c r="AQ60" s="48"/>
      <c r="AR60" s="48"/>
      <c r="AS60" s="48"/>
      <c r="AT60" s="48"/>
      <c r="AU60" s="48"/>
      <c r="AV60" s="48"/>
      <c r="AW60" s="48"/>
      <c r="AX60" s="48"/>
      <c r="AY60" s="48"/>
      <c r="AZ60" s="48"/>
    </row>
    <row r="61" spans="1:52" ht="17.100000000000001" customHeight="1">
      <c r="A61" s="47"/>
      <c r="B61" s="48"/>
      <c r="C61" s="48"/>
      <c r="D61" s="48"/>
      <c r="E61" s="48"/>
      <c r="F61" s="48"/>
      <c r="G61" s="48"/>
      <c r="H61" s="48"/>
      <c r="I61" s="48"/>
      <c r="J61" s="48"/>
      <c r="K61" s="48"/>
      <c r="L61" s="48"/>
      <c r="M61" s="48"/>
      <c r="N61" s="48"/>
      <c r="O61" s="48"/>
      <c r="P61" s="48"/>
      <c r="Q61" s="48"/>
      <c r="R61" s="48"/>
      <c r="S61" s="48"/>
      <c r="T61" s="48"/>
      <c r="U61" s="48"/>
      <c r="V61" s="48"/>
      <c r="W61" s="48"/>
      <c r="X61" s="48"/>
      <c r="Y61" s="48"/>
      <c r="Z61" s="48"/>
      <c r="AA61" s="48"/>
      <c r="AB61" s="48"/>
      <c r="AC61" s="48"/>
      <c r="AD61" s="48"/>
      <c r="AE61" s="48"/>
      <c r="AF61" s="48"/>
      <c r="AG61" s="48"/>
      <c r="AH61" s="48"/>
      <c r="AI61" s="48"/>
      <c r="AJ61" s="48"/>
      <c r="AK61" s="48"/>
      <c r="AL61" s="48"/>
      <c r="AM61" s="48"/>
      <c r="AN61" s="48"/>
      <c r="AO61" s="48"/>
      <c r="AP61" s="48"/>
      <c r="AQ61" s="48"/>
      <c r="AR61" s="48"/>
      <c r="AS61" s="48"/>
      <c r="AT61" s="48"/>
      <c r="AU61" s="48"/>
      <c r="AV61" s="48"/>
      <c r="AW61" s="48"/>
      <c r="AX61" s="48"/>
      <c r="AY61" s="48"/>
      <c r="AZ61" s="48"/>
    </row>
    <row r="62" spans="1:52" ht="17.100000000000001" customHeight="1">
      <c r="A62" s="47"/>
      <c r="B62" s="48"/>
      <c r="C62" s="48"/>
      <c r="D62" s="48"/>
      <c r="E62" s="48"/>
      <c r="F62" s="48"/>
      <c r="G62" s="48"/>
      <c r="H62" s="48"/>
      <c r="I62" s="48"/>
      <c r="J62" s="48"/>
      <c r="K62" s="48"/>
      <c r="L62" s="48"/>
      <c r="M62" s="48"/>
      <c r="N62" s="48"/>
      <c r="O62" s="48"/>
      <c r="P62" s="48"/>
      <c r="Q62" s="48"/>
      <c r="R62" s="48"/>
      <c r="S62" s="48"/>
      <c r="T62" s="48"/>
      <c r="U62" s="48"/>
      <c r="V62" s="48"/>
      <c r="W62" s="48"/>
      <c r="X62" s="48"/>
      <c r="Y62" s="48"/>
      <c r="Z62" s="48"/>
      <c r="AA62" s="48"/>
      <c r="AB62" s="48"/>
      <c r="AC62" s="48"/>
      <c r="AD62" s="48"/>
      <c r="AE62" s="48"/>
      <c r="AF62" s="48"/>
      <c r="AG62" s="48"/>
      <c r="AH62" s="48"/>
      <c r="AI62" s="48"/>
      <c r="AJ62" s="48"/>
      <c r="AK62" s="48"/>
      <c r="AL62" s="48"/>
      <c r="AM62" s="48"/>
      <c r="AN62" s="48"/>
      <c r="AO62" s="48"/>
      <c r="AP62" s="48"/>
      <c r="AQ62" s="48"/>
      <c r="AR62" s="48"/>
      <c r="AS62" s="48"/>
      <c r="AT62" s="48"/>
      <c r="AU62" s="48"/>
      <c r="AV62" s="48"/>
      <c r="AW62" s="48"/>
      <c r="AX62" s="48"/>
      <c r="AY62" s="48"/>
      <c r="AZ62" s="48"/>
    </row>
    <row r="63" spans="1:52" ht="17.100000000000001" customHeight="1">
      <c r="A63" s="47"/>
      <c r="B63" s="48"/>
      <c r="C63" s="48"/>
      <c r="D63" s="48"/>
      <c r="E63" s="48"/>
      <c r="F63" s="48"/>
      <c r="G63" s="48"/>
      <c r="H63" s="48"/>
      <c r="I63" s="48"/>
      <c r="J63" s="48"/>
      <c r="K63" s="48"/>
      <c r="L63" s="48"/>
      <c r="M63" s="48"/>
      <c r="N63" s="48"/>
      <c r="O63" s="48"/>
      <c r="P63" s="48"/>
      <c r="Q63" s="48"/>
      <c r="R63" s="48"/>
      <c r="S63" s="48"/>
      <c r="T63" s="48"/>
      <c r="U63" s="48"/>
      <c r="V63" s="48"/>
      <c r="W63" s="48"/>
      <c r="X63" s="48"/>
      <c r="Y63" s="48"/>
      <c r="Z63" s="48"/>
      <c r="AA63" s="48"/>
      <c r="AB63" s="48"/>
      <c r="AC63" s="48"/>
      <c r="AD63" s="48"/>
      <c r="AE63" s="48"/>
      <c r="AF63" s="48"/>
      <c r="AG63" s="48"/>
      <c r="AH63" s="48"/>
      <c r="AI63" s="48"/>
      <c r="AJ63" s="48"/>
      <c r="AK63" s="48"/>
      <c r="AL63" s="48"/>
      <c r="AM63" s="48"/>
      <c r="AN63" s="48"/>
      <c r="AO63" s="48"/>
      <c r="AP63" s="48"/>
      <c r="AQ63" s="48"/>
      <c r="AR63" s="48"/>
      <c r="AS63" s="48"/>
      <c r="AT63" s="48"/>
      <c r="AU63" s="48"/>
      <c r="AV63" s="48"/>
      <c r="AW63" s="48"/>
      <c r="AX63" s="48"/>
      <c r="AY63" s="48"/>
      <c r="AZ63" s="48"/>
    </row>
    <row r="64" spans="1:52" ht="17.100000000000001" customHeight="1">
      <c r="A64" s="47"/>
      <c r="B64" s="48"/>
      <c r="C64" s="48"/>
      <c r="D64" s="48"/>
      <c r="E64" s="48"/>
      <c r="F64" s="48"/>
      <c r="G64" s="48"/>
      <c r="H64" s="48"/>
      <c r="I64" s="48"/>
      <c r="J64" s="48"/>
      <c r="K64" s="48"/>
      <c r="L64" s="48"/>
      <c r="M64" s="48"/>
      <c r="N64" s="48"/>
      <c r="O64" s="48"/>
      <c r="P64" s="48"/>
      <c r="Q64" s="48"/>
      <c r="R64" s="48"/>
      <c r="S64" s="48"/>
      <c r="T64" s="48"/>
      <c r="U64" s="48"/>
      <c r="V64" s="48"/>
      <c r="W64" s="48"/>
      <c r="X64" s="48"/>
      <c r="Y64" s="48"/>
      <c r="Z64" s="48"/>
      <c r="AA64" s="48"/>
      <c r="AB64" s="48"/>
      <c r="AC64" s="48"/>
      <c r="AD64" s="48"/>
      <c r="AE64" s="48"/>
      <c r="AF64" s="48"/>
      <c r="AG64" s="48"/>
      <c r="AH64" s="48"/>
      <c r="AI64" s="48"/>
      <c r="AJ64" s="48"/>
      <c r="AK64" s="48"/>
      <c r="AL64" s="48"/>
      <c r="AM64" s="48"/>
      <c r="AN64" s="48"/>
      <c r="AO64" s="48"/>
      <c r="AP64" s="48"/>
      <c r="AQ64" s="48"/>
      <c r="AR64" s="48"/>
      <c r="AS64" s="48"/>
      <c r="AT64" s="48"/>
      <c r="AU64" s="48"/>
      <c r="AV64" s="48"/>
      <c r="AW64" s="48"/>
      <c r="AX64" s="48"/>
      <c r="AY64" s="48"/>
      <c r="AZ64" s="48"/>
    </row>
    <row r="65" spans="1:52" ht="17.100000000000001" customHeight="1">
      <c r="A65" s="47"/>
      <c r="B65" s="48"/>
      <c r="C65" s="48"/>
      <c r="D65" s="48"/>
      <c r="E65" s="48"/>
      <c r="F65" s="48"/>
      <c r="G65" s="48"/>
      <c r="H65" s="48"/>
      <c r="I65" s="48"/>
      <c r="J65" s="48"/>
      <c r="K65" s="48"/>
      <c r="L65" s="48"/>
      <c r="M65" s="48"/>
      <c r="N65" s="48"/>
      <c r="O65" s="48"/>
      <c r="P65" s="48"/>
      <c r="Q65" s="48"/>
      <c r="R65" s="48"/>
      <c r="S65" s="48"/>
      <c r="T65" s="48"/>
      <c r="U65" s="48"/>
      <c r="V65" s="48"/>
      <c r="W65" s="48"/>
      <c r="X65" s="48"/>
      <c r="Y65" s="48"/>
      <c r="Z65" s="48"/>
      <c r="AA65" s="48"/>
      <c r="AB65" s="48"/>
      <c r="AC65" s="48"/>
      <c r="AD65" s="48"/>
      <c r="AE65" s="48"/>
      <c r="AF65" s="48"/>
      <c r="AG65" s="48"/>
      <c r="AH65" s="48"/>
      <c r="AI65" s="48"/>
      <c r="AJ65" s="48"/>
      <c r="AK65" s="48"/>
      <c r="AL65" s="48"/>
      <c r="AM65" s="48"/>
      <c r="AN65" s="48"/>
      <c r="AO65" s="48"/>
      <c r="AP65" s="48"/>
      <c r="AQ65" s="48"/>
      <c r="AR65" s="48"/>
      <c r="AS65" s="48"/>
      <c r="AT65" s="48"/>
      <c r="AU65" s="48"/>
      <c r="AV65" s="48"/>
      <c r="AW65" s="48"/>
      <c r="AX65" s="48"/>
      <c r="AY65" s="48"/>
      <c r="AZ65" s="48"/>
    </row>
    <row r="66" spans="1:52" ht="17.100000000000001" customHeight="1">
      <c r="A66" s="47"/>
      <c r="B66" s="48"/>
      <c r="C66" s="48"/>
      <c r="D66" s="48"/>
      <c r="E66" s="48"/>
      <c r="F66" s="48"/>
      <c r="G66" s="48"/>
      <c r="H66" s="48"/>
      <c r="I66" s="48"/>
      <c r="J66" s="48"/>
      <c r="K66" s="48"/>
      <c r="L66" s="48"/>
      <c r="M66" s="48"/>
      <c r="N66" s="48"/>
      <c r="O66" s="48"/>
      <c r="P66" s="48"/>
      <c r="Q66" s="48"/>
      <c r="R66" s="48"/>
      <c r="S66" s="48"/>
      <c r="T66" s="48"/>
      <c r="U66" s="48"/>
      <c r="V66" s="48"/>
      <c r="W66" s="48"/>
      <c r="X66" s="48"/>
      <c r="Y66" s="48"/>
      <c r="Z66" s="48"/>
      <c r="AA66" s="48"/>
      <c r="AB66" s="48"/>
      <c r="AC66" s="48"/>
      <c r="AD66" s="48"/>
      <c r="AE66" s="48"/>
      <c r="AF66" s="48"/>
      <c r="AG66" s="48"/>
      <c r="AH66" s="48"/>
      <c r="AI66" s="48"/>
      <c r="AJ66" s="48"/>
      <c r="AK66" s="48"/>
      <c r="AL66" s="48"/>
      <c r="AM66" s="48"/>
      <c r="AN66" s="48"/>
      <c r="AO66" s="48"/>
      <c r="AP66" s="48"/>
      <c r="AQ66" s="48"/>
      <c r="AR66" s="48"/>
      <c r="AS66" s="48"/>
      <c r="AT66" s="48"/>
      <c r="AU66" s="48"/>
      <c r="AV66" s="48"/>
      <c r="AW66" s="48"/>
      <c r="AX66" s="48"/>
      <c r="AY66" s="48"/>
      <c r="AZ66" s="48"/>
    </row>
    <row r="67" spans="1:52" ht="17.100000000000001" customHeight="1">
      <c r="A67" s="47"/>
      <c r="B67" s="48"/>
      <c r="C67" s="48"/>
      <c r="D67" s="48"/>
      <c r="E67" s="48"/>
      <c r="F67" s="48"/>
      <c r="G67" s="48"/>
      <c r="H67" s="48"/>
      <c r="I67" s="48"/>
      <c r="J67" s="48"/>
      <c r="K67" s="48"/>
      <c r="L67" s="48"/>
      <c r="M67" s="48"/>
      <c r="N67" s="48"/>
      <c r="O67" s="48"/>
      <c r="P67" s="48"/>
      <c r="Q67" s="48"/>
      <c r="R67" s="48"/>
      <c r="S67" s="48"/>
      <c r="T67" s="48"/>
      <c r="U67" s="48"/>
      <c r="V67" s="48"/>
      <c r="W67" s="48"/>
      <c r="X67" s="48"/>
      <c r="Y67" s="48"/>
      <c r="Z67" s="48"/>
      <c r="AA67" s="48"/>
      <c r="AB67" s="48"/>
      <c r="AC67" s="48"/>
      <c r="AD67" s="48"/>
      <c r="AE67" s="48"/>
      <c r="AF67" s="48"/>
      <c r="AG67" s="48"/>
      <c r="AH67" s="48"/>
      <c r="AI67" s="48"/>
      <c r="AJ67" s="48"/>
      <c r="AK67" s="48"/>
      <c r="AL67" s="48"/>
      <c r="AM67" s="48"/>
      <c r="AN67" s="48"/>
      <c r="AO67" s="48"/>
      <c r="AP67" s="48"/>
      <c r="AQ67" s="48"/>
      <c r="AR67" s="48"/>
      <c r="AS67" s="48"/>
      <c r="AT67" s="48"/>
      <c r="AU67" s="48"/>
      <c r="AV67" s="48"/>
      <c r="AW67" s="48"/>
      <c r="AX67" s="48"/>
      <c r="AY67" s="48"/>
      <c r="AZ67" s="48"/>
    </row>
    <row r="68" spans="1:52" ht="17.100000000000001" customHeight="1">
      <c r="A68" s="47"/>
      <c r="B68" s="48"/>
      <c r="C68" s="48"/>
      <c r="D68" s="48"/>
      <c r="E68" s="48"/>
      <c r="F68" s="48"/>
      <c r="G68" s="48"/>
      <c r="H68" s="48"/>
      <c r="I68" s="48"/>
      <c r="J68" s="48"/>
      <c r="K68" s="48"/>
      <c r="L68" s="48"/>
      <c r="M68" s="48"/>
      <c r="N68" s="48"/>
      <c r="O68" s="48"/>
      <c r="P68" s="48"/>
      <c r="Q68" s="48"/>
      <c r="R68" s="48"/>
      <c r="S68" s="48"/>
      <c r="T68" s="48"/>
      <c r="U68" s="48"/>
      <c r="V68" s="48"/>
      <c r="W68" s="48"/>
      <c r="X68" s="48"/>
      <c r="Y68" s="48"/>
      <c r="Z68" s="48"/>
      <c r="AA68" s="48"/>
      <c r="AB68" s="48"/>
      <c r="AC68" s="48"/>
      <c r="AD68" s="48"/>
      <c r="AE68" s="48"/>
      <c r="AF68" s="48"/>
      <c r="AG68" s="48"/>
      <c r="AH68" s="48"/>
      <c r="AI68" s="48"/>
      <c r="AJ68" s="48"/>
      <c r="AK68" s="48"/>
      <c r="AL68" s="48"/>
      <c r="AM68" s="48"/>
      <c r="AN68" s="48"/>
      <c r="AO68" s="48"/>
      <c r="AP68" s="48"/>
      <c r="AQ68" s="48"/>
      <c r="AR68" s="48"/>
      <c r="AS68" s="48"/>
      <c r="AT68" s="48"/>
      <c r="AU68" s="48"/>
      <c r="AV68" s="48"/>
      <c r="AW68" s="48"/>
      <c r="AX68" s="48"/>
      <c r="AY68" s="48"/>
      <c r="AZ68" s="48"/>
    </row>
    <row r="69" spans="1:52" ht="17.100000000000001" customHeight="1">
      <c r="A69" s="47"/>
      <c r="B69" s="48"/>
      <c r="C69" s="48"/>
      <c r="D69" s="48"/>
      <c r="E69" s="48"/>
      <c r="F69" s="48"/>
      <c r="G69" s="48"/>
      <c r="H69" s="48"/>
      <c r="I69" s="48"/>
      <c r="J69" s="48"/>
      <c r="K69" s="48"/>
      <c r="L69" s="48"/>
      <c r="M69" s="48"/>
      <c r="N69" s="48"/>
      <c r="O69" s="48"/>
      <c r="P69" s="48"/>
      <c r="Q69" s="48"/>
      <c r="R69" s="48"/>
      <c r="S69" s="48"/>
      <c r="T69" s="48"/>
      <c r="U69" s="48"/>
      <c r="V69" s="48"/>
      <c r="W69" s="48"/>
      <c r="X69" s="48"/>
      <c r="Y69" s="48"/>
      <c r="Z69" s="48"/>
      <c r="AA69" s="48"/>
      <c r="AB69" s="48"/>
      <c r="AC69" s="48"/>
      <c r="AD69" s="48"/>
      <c r="AE69" s="48"/>
      <c r="AF69" s="48"/>
      <c r="AG69" s="48"/>
      <c r="AH69" s="48"/>
      <c r="AI69" s="48"/>
      <c r="AJ69" s="48"/>
      <c r="AK69" s="48"/>
      <c r="AL69" s="48"/>
      <c r="AM69" s="48"/>
      <c r="AN69" s="48"/>
      <c r="AO69" s="48"/>
      <c r="AP69" s="48"/>
      <c r="AQ69" s="48"/>
      <c r="AR69" s="48"/>
      <c r="AS69" s="48"/>
      <c r="AT69" s="48"/>
      <c r="AU69" s="48"/>
      <c r="AV69" s="48"/>
      <c r="AW69" s="48"/>
      <c r="AX69" s="48"/>
      <c r="AY69" s="48"/>
      <c r="AZ69" s="48"/>
    </row>
    <row r="70" spans="1:52" ht="17.100000000000001" customHeight="1">
      <c r="A70" s="47"/>
      <c r="B70" s="48"/>
      <c r="C70" s="48"/>
      <c r="D70" s="48"/>
      <c r="E70" s="48"/>
      <c r="F70" s="48"/>
      <c r="G70" s="48"/>
      <c r="H70" s="48"/>
      <c r="I70" s="48"/>
      <c r="J70" s="48"/>
      <c r="K70" s="48"/>
      <c r="L70" s="48"/>
      <c r="M70" s="48"/>
      <c r="N70" s="48"/>
      <c r="O70" s="48"/>
      <c r="P70" s="48"/>
      <c r="Q70" s="48"/>
      <c r="R70" s="48"/>
      <c r="S70" s="48"/>
      <c r="T70" s="48"/>
      <c r="U70" s="48"/>
      <c r="V70" s="48"/>
      <c r="W70" s="48"/>
      <c r="X70" s="48"/>
      <c r="Y70" s="48"/>
      <c r="Z70" s="48"/>
      <c r="AA70" s="48"/>
      <c r="AB70" s="48"/>
      <c r="AC70" s="48"/>
      <c r="AD70" s="48"/>
      <c r="AE70" s="48"/>
      <c r="AF70" s="48"/>
      <c r="AG70" s="48"/>
      <c r="AH70" s="48"/>
      <c r="AI70" s="48"/>
      <c r="AJ70" s="48"/>
      <c r="AK70" s="48"/>
      <c r="AL70" s="48"/>
      <c r="AM70" s="48"/>
      <c r="AN70" s="48"/>
      <c r="AO70" s="48"/>
      <c r="AP70" s="48"/>
      <c r="AQ70" s="48"/>
      <c r="AR70" s="48"/>
      <c r="AS70" s="48"/>
      <c r="AT70" s="48"/>
      <c r="AU70" s="48"/>
      <c r="AV70" s="48"/>
      <c r="AW70" s="48"/>
      <c r="AX70" s="48"/>
      <c r="AY70" s="48"/>
      <c r="AZ70" s="48"/>
    </row>
    <row r="71" spans="1:52" ht="17.100000000000001" customHeight="1">
      <c r="A71" s="47"/>
      <c r="B71" s="48"/>
      <c r="C71" s="48"/>
      <c r="D71" s="48"/>
      <c r="E71" s="48"/>
      <c r="F71" s="48"/>
      <c r="G71" s="48"/>
      <c r="H71" s="48"/>
      <c r="I71" s="48"/>
      <c r="J71" s="48"/>
      <c r="K71" s="48"/>
      <c r="L71" s="48"/>
      <c r="M71" s="48"/>
      <c r="N71" s="48"/>
      <c r="O71" s="48"/>
      <c r="P71" s="48"/>
      <c r="Q71" s="48"/>
      <c r="R71" s="48"/>
      <c r="S71" s="48"/>
      <c r="T71" s="48"/>
      <c r="U71" s="48"/>
      <c r="V71" s="48"/>
      <c r="W71" s="48"/>
      <c r="X71" s="48"/>
      <c r="Y71" s="48"/>
      <c r="Z71" s="48"/>
      <c r="AA71" s="48"/>
      <c r="AB71" s="48"/>
      <c r="AC71" s="48"/>
      <c r="AD71" s="48"/>
      <c r="AE71" s="48"/>
      <c r="AF71" s="48"/>
      <c r="AG71" s="48"/>
      <c r="AH71" s="48"/>
      <c r="AI71" s="48"/>
      <c r="AJ71" s="48"/>
      <c r="AK71" s="48"/>
      <c r="AL71" s="48"/>
      <c r="AM71" s="48"/>
      <c r="AN71" s="48"/>
      <c r="AO71" s="48"/>
      <c r="AP71" s="48"/>
      <c r="AQ71" s="48"/>
      <c r="AR71" s="48"/>
      <c r="AS71" s="48"/>
      <c r="AT71" s="48"/>
      <c r="AU71" s="48"/>
      <c r="AV71" s="48"/>
      <c r="AW71" s="48"/>
      <c r="AX71" s="48"/>
      <c r="AY71" s="48"/>
      <c r="AZ71" s="48"/>
    </row>
    <row r="72" spans="1:52" ht="17.100000000000001" customHeight="1">
      <c r="A72" s="47"/>
      <c r="B72" s="48"/>
      <c r="C72" s="48"/>
      <c r="D72" s="48"/>
      <c r="E72" s="48"/>
      <c r="F72" s="48"/>
      <c r="G72" s="48"/>
      <c r="H72" s="48"/>
      <c r="I72" s="48"/>
      <c r="J72" s="48"/>
      <c r="K72" s="48"/>
      <c r="L72" s="48"/>
      <c r="M72" s="48"/>
      <c r="N72" s="48"/>
      <c r="O72" s="48"/>
      <c r="P72" s="48"/>
      <c r="Q72" s="48"/>
      <c r="R72" s="48"/>
      <c r="S72" s="48"/>
      <c r="T72" s="48"/>
      <c r="U72" s="48"/>
      <c r="V72" s="48"/>
      <c r="W72" s="48"/>
      <c r="X72" s="48"/>
      <c r="Y72" s="48"/>
      <c r="Z72" s="48"/>
      <c r="AA72" s="48"/>
      <c r="AB72" s="48"/>
      <c r="AC72" s="48"/>
      <c r="AD72" s="48"/>
      <c r="AE72" s="48"/>
      <c r="AF72" s="48"/>
      <c r="AG72" s="48"/>
      <c r="AH72" s="48"/>
      <c r="AI72" s="48"/>
      <c r="AJ72" s="48"/>
      <c r="AK72" s="48"/>
      <c r="AL72" s="48"/>
      <c r="AM72" s="48"/>
      <c r="AN72" s="48"/>
      <c r="AO72" s="48"/>
      <c r="AP72" s="48"/>
      <c r="AQ72" s="48"/>
      <c r="AR72" s="48"/>
      <c r="AS72" s="48"/>
      <c r="AT72" s="48"/>
      <c r="AU72" s="48"/>
      <c r="AV72" s="48"/>
      <c r="AW72" s="48"/>
      <c r="AX72" s="48"/>
      <c r="AY72" s="48"/>
      <c r="AZ72" s="48"/>
    </row>
    <row r="73" spans="1:52" ht="17.100000000000001" customHeight="1">
      <c r="A73" s="47"/>
      <c r="B73" s="48"/>
      <c r="C73" s="48"/>
      <c r="D73" s="48"/>
      <c r="E73" s="48"/>
      <c r="F73" s="48"/>
      <c r="G73" s="48"/>
      <c r="H73" s="48"/>
      <c r="I73" s="48"/>
      <c r="J73" s="48"/>
      <c r="K73" s="48"/>
      <c r="L73" s="48"/>
      <c r="M73" s="48"/>
      <c r="N73" s="48"/>
      <c r="O73" s="48"/>
      <c r="P73" s="48"/>
      <c r="Q73" s="48"/>
      <c r="R73" s="48"/>
      <c r="S73" s="48"/>
      <c r="T73" s="48"/>
      <c r="U73" s="48"/>
      <c r="V73" s="48"/>
      <c r="W73" s="48"/>
      <c r="X73" s="48"/>
      <c r="Y73" s="48"/>
      <c r="Z73" s="48"/>
      <c r="AA73" s="48"/>
      <c r="AB73" s="48"/>
      <c r="AC73" s="48"/>
      <c r="AD73" s="48"/>
      <c r="AE73" s="48"/>
      <c r="AF73" s="48"/>
      <c r="AG73" s="48"/>
      <c r="AH73" s="48"/>
      <c r="AI73" s="48"/>
      <c r="AJ73" s="48"/>
      <c r="AK73" s="48"/>
      <c r="AL73" s="48"/>
      <c r="AM73" s="48"/>
      <c r="AN73" s="48"/>
      <c r="AO73" s="48"/>
      <c r="AP73" s="48"/>
      <c r="AQ73" s="48"/>
      <c r="AR73" s="48"/>
      <c r="AS73" s="48"/>
      <c r="AT73" s="48"/>
      <c r="AU73" s="48"/>
      <c r="AV73" s="48"/>
      <c r="AW73" s="48"/>
      <c r="AX73" s="48"/>
      <c r="AY73" s="48"/>
      <c r="AZ73" s="48"/>
    </row>
    <row r="74" spans="1:52" ht="17.100000000000001" customHeight="1">
      <c r="A74" s="47"/>
      <c r="B74" s="48"/>
      <c r="C74" s="48"/>
      <c r="D74" s="48"/>
      <c r="E74" s="48"/>
      <c r="F74" s="48"/>
      <c r="G74" s="48"/>
      <c r="H74" s="48"/>
      <c r="I74" s="48"/>
      <c r="J74" s="48"/>
      <c r="K74" s="48"/>
      <c r="L74" s="48"/>
      <c r="M74" s="48"/>
      <c r="N74" s="48"/>
      <c r="O74" s="48"/>
      <c r="P74" s="48"/>
      <c r="Q74" s="48"/>
      <c r="R74" s="48"/>
      <c r="S74" s="48"/>
      <c r="T74" s="48"/>
      <c r="U74" s="48"/>
      <c r="V74" s="48"/>
      <c r="W74" s="48"/>
      <c r="X74" s="48"/>
      <c r="Y74" s="48"/>
      <c r="Z74" s="48"/>
      <c r="AA74" s="48"/>
      <c r="AB74" s="48"/>
      <c r="AC74" s="48"/>
      <c r="AD74" s="48"/>
      <c r="AE74" s="48"/>
      <c r="AF74" s="48"/>
      <c r="AG74" s="48"/>
      <c r="AH74" s="48"/>
      <c r="AI74" s="48"/>
      <c r="AJ74" s="48"/>
      <c r="AK74" s="48"/>
      <c r="AL74" s="48"/>
      <c r="AM74" s="48"/>
      <c r="AN74" s="48"/>
      <c r="AO74" s="48"/>
      <c r="AP74" s="48"/>
      <c r="AQ74" s="48"/>
      <c r="AR74" s="48"/>
      <c r="AS74" s="48"/>
      <c r="AT74" s="48"/>
      <c r="AU74" s="48"/>
      <c r="AV74" s="48"/>
      <c r="AW74" s="48"/>
      <c r="AX74" s="48"/>
      <c r="AY74" s="48"/>
      <c r="AZ74" s="48"/>
    </row>
    <row r="75" spans="1:52" ht="17.100000000000001" customHeight="1">
      <c r="A75" s="47"/>
      <c r="B75" s="48"/>
      <c r="C75" s="48"/>
      <c r="D75" s="48"/>
      <c r="E75" s="48"/>
      <c r="F75" s="48"/>
      <c r="G75" s="48"/>
      <c r="H75" s="48"/>
      <c r="I75" s="48"/>
      <c r="J75" s="48"/>
      <c r="K75" s="48"/>
      <c r="L75" s="48"/>
      <c r="M75" s="48"/>
      <c r="N75" s="48"/>
      <c r="O75" s="48"/>
      <c r="P75" s="48"/>
      <c r="Q75" s="48"/>
      <c r="R75" s="48"/>
      <c r="S75" s="48"/>
      <c r="T75" s="48"/>
      <c r="U75" s="48"/>
      <c r="V75" s="48"/>
      <c r="W75" s="48"/>
      <c r="X75" s="48"/>
      <c r="Y75" s="48"/>
      <c r="Z75" s="48"/>
      <c r="AA75" s="48"/>
      <c r="AB75" s="48"/>
      <c r="AC75" s="48"/>
      <c r="AD75" s="48"/>
      <c r="AE75" s="48"/>
      <c r="AF75" s="48"/>
      <c r="AG75" s="48"/>
      <c r="AH75" s="48"/>
      <c r="AI75" s="48"/>
      <c r="AJ75" s="48"/>
      <c r="AK75" s="48"/>
      <c r="AL75" s="48"/>
      <c r="AM75" s="48"/>
      <c r="AN75" s="48"/>
      <c r="AO75" s="48"/>
      <c r="AP75" s="48"/>
      <c r="AQ75" s="48"/>
      <c r="AR75" s="48"/>
      <c r="AS75" s="48"/>
      <c r="AT75" s="48"/>
      <c r="AU75" s="48"/>
      <c r="AV75" s="48"/>
      <c r="AW75" s="48"/>
      <c r="AX75" s="48"/>
      <c r="AY75" s="48"/>
      <c r="AZ75" s="48"/>
    </row>
    <row r="76" spans="1:52" ht="17.100000000000001" customHeight="1">
      <c r="A76" s="47"/>
      <c r="B76" s="48"/>
      <c r="C76" s="48"/>
      <c r="D76" s="48"/>
      <c r="E76" s="48"/>
      <c r="F76" s="48"/>
      <c r="G76" s="48"/>
      <c r="H76" s="48"/>
      <c r="I76" s="48"/>
      <c r="J76" s="48"/>
      <c r="K76" s="48"/>
      <c r="L76" s="48"/>
      <c r="M76" s="48"/>
      <c r="N76" s="48"/>
      <c r="O76" s="48"/>
      <c r="P76" s="48"/>
      <c r="Q76" s="48"/>
      <c r="R76" s="48"/>
      <c r="S76" s="48"/>
      <c r="T76" s="48"/>
      <c r="U76" s="48"/>
      <c r="V76" s="48"/>
      <c r="W76" s="48"/>
      <c r="X76" s="48"/>
      <c r="Y76" s="48"/>
      <c r="Z76" s="48"/>
      <c r="AA76" s="48"/>
      <c r="AB76" s="48"/>
      <c r="AC76" s="48"/>
      <c r="AD76" s="48"/>
      <c r="AE76" s="48"/>
      <c r="AF76" s="48"/>
      <c r="AG76" s="48"/>
      <c r="AH76" s="48"/>
      <c r="AI76" s="48"/>
      <c r="AJ76" s="48"/>
      <c r="AK76" s="48"/>
      <c r="AL76" s="48"/>
      <c r="AM76" s="48"/>
      <c r="AN76" s="48"/>
      <c r="AO76" s="48"/>
      <c r="AP76" s="48"/>
      <c r="AQ76" s="48"/>
      <c r="AR76" s="48"/>
      <c r="AS76" s="48"/>
      <c r="AT76" s="48"/>
      <c r="AU76" s="48"/>
      <c r="AV76" s="48"/>
      <c r="AW76" s="48"/>
      <c r="AX76" s="48"/>
      <c r="AY76" s="48"/>
      <c r="AZ76" s="48"/>
    </row>
    <row r="77" spans="1:52" ht="17.100000000000001" customHeight="1">
      <c r="A77" s="47"/>
      <c r="B77" s="48"/>
      <c r="C77" s="48"/>
      <c r="D77" s="48"/>
      <c r="E77" s="48"/>
      <c r="F77" s="48"/>
      <c r="G77" s="48"/>
      <c r="H77" s="48"/>
      <c r="I77" s="48"/>
      <c r="J77" s="48"/>
      <c r="K77" s="48"/>
      <c r="L77" s="48"/>
      <c r="M77" s="48"/>
      <c r="N77" s="48"/>
      <c r="O77" s="48"/>
      <c r="P77" s="48"/>
      <c r="Q77" s="48"/>
      <c r="R77" s="48"/>
      <c r="S77" s="48"/>
      <c r="T77" s="48"/>
      <c r="U77" s="48"/>
      <c r="V77" s="48"/>
      <c r="W77" s="48"/>
      <c r="X77" s="48"/>
      <c r="Y77" s="48"/>
      <c r="Z77" s="48"/>
      <c r="AA77" s="48"/>
      <c r="AB77" s="48"/>
      <c r="AC77" s="48"/>
      <c r="AD77" s="48"/>
      <c r="AE77" s="48"/>
      <c r="AF77" s="48"/>
      <c r="AG77" s="48"/>
      <c r="AH77" s="48"/>
      <c r="AI77" s="48"/>
      <c r="AJ77" s="48"/>
      <c r="AK77" s="48"/>
      <c r="AL77" s="48"/>
      <c r="AM77" s="48"/>
      <c r="AN77" s="48"/>
      <c r="AO77" s="48"/>
      <c r="AP77" s="48"/>
      <c r="AQ77" s="48"/>
      <c r="AR77" s="48"/>
      <c r="AS77" s="48"/>
      <c r="AT77" s="48"/>
      <c r="AU77" s="48"/>
      <c r="AV77" s="48"/>
      <c r="AW77" s="48"/>
      <c r="AX77" s="48"/>
      <c r="AY77" s="48"/>
      <c r="AZ77" s="48"/>
    </row>
    <row r="78" spans="1:52" ht="17.100000000000001" customHeight="1">
      <c r="A78" s="47"/>
      <c r="B78" s="48"/>
      <c r="C78" s="48"/>
      <c r="D78" s="48"/>
      <c r="E78" s="48"/>
      <c r="F78" s="48"/>
      <c r="G78" s="48"/>
      <c r="H78" s="48"/>
      <c r="I78" s="48"/>
      <c r="J78" s="48"/>
      <c r="K78" s="48"/>
      <c r="L78" s="48"/>
      <c r="M78" s="48"/>
      <c r="N78" s="48"/>
      <c r="O78" s="48"/>
      <c r="P78" s="48"/>
      <c r="Q78" s="48"/>
      <c r="R78" s="48"/>
      <c r="S78" s="48"/>
      <c r="T78" s="48"/>
      <c r="U78" s="48"/>
      <c r="V78" s="48"/>
      <c r="W78" s="48"/>
      <c r="X78" s="48"/>
      <c r="Y78" s="48"/>
      <c r="Z78" s="48"/>
      <c r="AA78" s="48"/>
      <c r="AB78" s="48"/>
      <c r="AC78" s="48"/>
      <c r="AD78" s="48"/>
      <c r="AE78" s="48"/>
      <c r="AF78" s="48"/>
      <c r="AG78" s="48"/>
      <c r="AH78" s="48"/>
      <c r="AI78" s="48"/>
      <c r="AJ78" s="48"/>
      <c r="AK78" s="48"/>
      <c r="AL78" s="48"/>
      <c r="AM78" s="48"/>
      <c r="AN78" s="48"/>
      <c r="AO78" s="48"/>
      <c r="AP78" s="48"/>
      <c r="AQ78" s="48"/>
      <c r="AR78" s="48"/>
      <c r="AS78" s="48"/>
      <c r="AT78" s="48"/>
      <c r="AU78" s="48"/>
      <c r="AV78" s="48"/>
      <c r="AW78" s="48"/>
      <c r="AX78" s="48"/>
      <c r="AY78" s="48"/>
      <c r="AZ78" s="48"/>
    </row>
    <row r="79" spans="1:52" ht="17.100000000000001" customHeight="1">
      <c r="A79" s="47"/>
      <c r="B79" s="48"/>
      <c r="C79" s="48"/>
      <c r="D79" s="48"/>
      <c r="E79" s="48"/>
      <c r="F79" s="48"/>
      <c r="G79" s="48"/>
      <c r="H79" s="48"/>
      <c r="I79" s="48"/>
      <c r="J79" s="48"/>
      <c r="K79" s="48"/>
      <c r="L79" s="48"/>
      <c r="M79" s="48"/>
      <c r="N79" s="48"/>
      <c r="O79" s="48"/>
      <c r="P79" s="48"/>
      <c r="Q79" s="48"/>
      <c r="R79" s="48"/>
      <c r="S79" s="48"/>
      <c r="T79" s="48"/>
      <c r="U79" s="48"/>
      <c r="V79" s="48"/>
      <c r="W79" s="48"/>
      <c r="X79" s="48"/>
      <c r="Y79" s="48"/>
      <c r="Z79" s="48"/>
      <c r="AA79" s="48"/>
      <c r="AB79" s="48"/>
      <c r="AC79" s="48"/>
      <c r="AD79" s="48"/>
      <c r="AE79" s="48"/>
      <c r="AF79" s="48"/>
      <c r="AG79" s="48"/>
      <c r="AH79" s="48"/>
      <c r="AI79" s="48"/>
      <c r="AJ79" s="48"/>
      <c r="AK79" s="48"/>
      <c r="AL79" s="48"/>
      <c r="AM79" s="48"/>
      <c r="AN79" s="48"/>
      <c r="AO79" s="48"/>
      <c r="AP79" s="48"/>
      <c r="AQ79" s="48"/>
      <c r="AR79" s="48"/>
      <c r="AS79" s="48"/>
      <c r="AT79" s="48"/>
      <c r="AU79" s="48"/>
      <c r="AV79" s="48"/>
      <c r="AW79" s="48"/>
      <c r="AX79" s="48"/>
      <c r="AY79" s="48"/>
      <c r="AZ79" s="48"/>
    </row>
    <row r="80" spans="1:52" ht="17.100000000000001" customHeight="1">
      <c r="A80" s="47"/>
      <c r="B80" s="48"/>
      <c r="C80" s="48"/>
      <c r="D80" s="48"/>
      <c r="E80" s="48"/>
      <c r="F80" s="48"/>
      <c r="G80" s="48"/>
      <c r="H80" s="48"/>
      <c r="I80" s="48"/>
      <c r="J80" s="48"/>
      <c r="K80" s="48"/>
      <c r="L80" s="48"/>
      <c r="M80" s="48"/>
      <c r="N80" s="48"/>
      <c r="O80" s="48"/>
      <c r="P80" s="48"/>
      <c r="Q80" s="48"/>
      <c r="R80" s="48"/>
      <c r="S80" s="48"/>
      <c r="T80" s="48"/>
      <c r="U80" s="48"/>
      <c r="V80" s="48"/>
      <c r="W80" s="48"/>
      <c r="X80" s="48"/>
      <c r="Y80" s="48"/>
      <c r="Z80" s="48"/>
      <c r="AA80" s="48"/>
      <c r="AB80" s="48"/>
      <c r="AC80" s="48"/>
      <c r="AD80" s="48"/>
      <c r="AE80" s="48"/>
      <c r="AF80" s="48"/>
      <c r="AG80" s="48"/>
      <c r="AH80" s="48"/>
      <c r="AI80" s="48"/>
      <c r="AJ80" s="48"/>
      <c r="AK80" s="48"/>
      <c r="AL80" s="48"/>
      <c r="AM80" s="48"/>
      <c r="AN80" s="48"/>
      <c r="AO80" s="48"/>
      <c r="AP80" s="48"/>
      <c r="AQ80" s="48"/>
      <c r="AR80" s="48"/>
      <c r="AS80" s="48"/>
      <c r="AT80" s="48"/>
      <c r="AU80" s="48"/>
      <c r="AV80" s="48"/>
      <c r="AW80" s="48"/>
      <c r="AX80" s="48"/>
      <c r="AY80" s="48"/>
      <c r="AZ80" s="48"/>
    </row>
    <row r="81" spans="1:52" ht="17.100000000000001" customHeight="1">
      <c r="A81" s="47"/>
      <c r="B81" s="48"/>
      <c r="C81" s="48"/>
      <c r="D81" s="48"/>
      <c r="E81" s="48"/>
      <c r="F81" s="48"/>
      <c r="G81" s="48"/>
      <c r="H81" s="48"/>
      <c r="I81" s="48"/>
      <c r="J81" s="48"/>
      <c r="K81" s="48"/>
      <c r="L81" s="48"/>
      <c r="M81" s="48"/>
      <c r="N81" s="48"/>
      <c r="O81" s="48"/>
      <c r="P81" s="48"/>
      <c r="Q81" s="48"/>
      <c r="R81" s="48"/>
      <c r="S81" s="48"/>
      <c r="T81" s="48"/>
      <c r="U81" s="48"/>
      <c r="V81" s="48"/>
      <c r="W81" s="48"/>
      <c r="X81" s="48"/>
      <c r="Y81" s="48"/>
      <c r="Z81" s="48"/>
      <c r="AA81" s="48"/>
      <c r="AB81" s="48"/>
      <c r="AC81" s="48"/>
      <c r="AD81" s="48"/>
      <c r="AE81" s="48"/>
      <c r="AF81" s="48"/>
      <c r="AG81" s="48"/>
      <c r="AH81" s="48"/>
      <c r="AI81" s="48"/>
      <c r="AJ81" s="48"/>
      <c r="AK81" s="48"/>
      <c r="AL81" s="48"/>
      <c r="AM81" s="48"/>
      <c r="AN81" s="48"/>
      <c r="AO81" s="48"/>
      <c r="AP81" s="48"/>
      <c r="AQ81" s="48"/>
      <c r="AR81" s="48"/>
      <c r="AS81" s="48"/>
      <c r="AT81" s="48"/>
      <c r="AU81" s="48"/>
      <c r="AV81" s="48"/>
      <c r="AW81" s="48"/>
      <c r="AX81" s="48"/>
      <c r="AY81" s="48"/>
      <c r="AZ81" s="48"/>
    </row>
    <row r="82" spans="1:52" ht="17.100000000000001" customHeight="1">
      <c r="A82" s="47"/>
      <c r="B82" s="48"/>
      <c r="C82" s="48"/>
      <c r="D82" s="48"/>
      <c r="E82" s="48"/>
      <c r="F82" s="48"/>
      <c r="G82" s="48"/>
      <c r="H82" s="48"/>
      <c r="I82" s="48"/>
      <c r="J82" s="48"/>
      <c r="K82" s="48"/>
      <c r="L82" s="48"/>
      <c r="M82" s="48"/>
      <c r="N82" s="48"/>
      <c r="O82" s="48"/>
      <c r="P82" s="48"/>
      <c r="Q82" s="48"/>
      <c r="R82" s="48"/>
      <c r="S82" s="48"/>
      <c r="T82" s="48"/>
      <c r="U82" s="48"/>
      <c r="V82" s="48"/>
      <c r="W82" s="48"/>
      <c r="X82" s="48"/>
      <c r="Y82" s="48"/>
      <c r="Z82" s="48"/>
      <c r="AA82" s="48"/>
      <c r="AB82" s="48"/>
      <c r="AC82" s="48"/>
      <c r="AD82" s="48"/>
      <c r="AE82" s="48"/>
      <c r="AF82" s="48"/>
      <c r="AG82" s="48"/>
      <c r="AH82" s="48"/>
      <c r="AI82" s="48"/>
      <c r="AJ82" s="48"/>
      <c r="AK82" s="48"/>
      <c r="AL82" s="48"/>
      <c r="AM82" s="48"/>
      <c r="AN82" s="48"/>
      <c r="AO82" s="48"/>
      <c r="AP82" s="48"/>
      <c r="AQ82" s="48"/>
      <c r="AR82" s="48"/>
      <c r="AS82" s="48"/>
      <c r="AT82" s="48"/>
      <c r="AU82" s="48"/>
      <c r="AV82" s="48"/>
      <c r="AW82" s="48"/>
      <c r="AX82" s="48"/>
      <c r="AY82" s="48"/>
      <c r="AZ82" s="48"/>
    </row>
    <row r="83" spans="1:52" ht="17.100000000000001" customHeight="1">
      <c r="A83" s="47"/>
      <c r="B83" s="48"/>
      <c r="C83" s="48"/>
      <c r="D83" s="48"/>
      <c r="E83" s="48"/>
      <c r="F83" s="48"/>
      <c r="G83" s="48"/>
      <c r="H83" s="48"/>
      <c r="I83" s="48"/>
      <c r="J83" s="48"/>
      <c r="K83" s="48"/>
      <c r="L83" s="48"/>
      <c r="M83" s="48"/>
      <c r="N83" s="48"/>
      <c r="O83" s="48"/>
      <c r="P83" s="48"/>
      <c r="Q83" s="48"/>
      <c r="R83" s="48"/>
      <c r="S83" s="48"/>
      <c r="T83" s="48"/>
      <c r="U83" s="48"/>
      <c r="V83" s="48"/>
      <c r="W83" s="48"/>
      <c r="X83" s="48"/>
      <c r="Y83" s="48"/>
      <c r="Z83" s="48"/>
      <c r="AA83" s="48"/>
      <c r="AB83" s="48"/>
      <c r="AC83" s="48"/>
      <c r="AD83" s="48"/>
      <c r="AE83" s="48"/>
      <c r="AF83" s="48"/>
      <c r="AG83" s="48"/>
      <c r="AH83" s="48"/>
      <c r="AI83" s="48"/>
      <c r="AJ83" s="48"/>
      <c r="AK83" s="48"/>
      <c r="AL83" s="48"/>
      <c r="AM83" s="48"/>
      <c r="AN83" s="48"/>
      <c r="AO83" s="48"/>
      <c r="AP83" s="48"/>
      <c r="AQ83" s="48"/>
      <c r="AR83" s="48"/>
      <c r="AS83" s="48"/>
      <c r="AT83" s="48"/>
      <c r="AU83" s="48"/>
      <c r="AV83" s="48"/>
      <c r="AW83" s="48"/>
      <c r="AX83" s="48"/>
      <c r="AY83" s="48"/>
      <c r="AZ83" s="48"/>
    </row>
    <row r="84" spans="1:52" ht="17.100000000000001" customHeight="1">
      <c r="A84" s="47"/>
      <c r="B84" s="48"/>
      <c r="C84" s="48"/>
      <c r="D84" s="48"/>
      <c r="E84" s="48"/>
      <c r="F84" s="48"/>
      <c r="G84" s="48"/>
      <c r="H84" s="48"/>
      <c r="I84" s="48"/>
      <c r="J84" s="48"/>
      <c r="K84" s="48"/>
      <c r="L84" s="48"/>
      <c r="M84" s="48"/>
      <c r="N84" s="48"/>
      <c r="O84" s="48"/>
      <c r="P84" s="48"/>
      <c r="Q84" s="48"/>
      <c r="R84" s="48"/>
      <c r="S84" s="48"/>
      <c r="T84" s="48"/>
      <c r="U84" s="48"/>
      <c r="V84" s="48"/>
      <c r="W84" s="48"/>
      <c r="X84" s="48"/>
      <c r="Y84" s="48"/>
      <c r="Z84" s="48"/>
      <c r="AA84" s="48"/>
      <c r="AB84" s="48"/>
      <c r="AC84" s="48"/>
      <c r="AD84" s="48"/>
      <c r="AE84" s="48"/>
      <c r="AF84" s="48"/>
      <c r="AG84" s="48"/>
      <c r="AH84" s="48"/>
      <c r="AI84" s="48"/>
      <c r="AJ84" s="48"/>
      <c r="AK84" s="48"/>
      <c r="AL84" s="48"/>
      <c r="AM84" s="48"/>
      <c r="AN84" s="48"/>
      <c r="AO84" s="48"/>
      <c r="AP84" s="48"/>
      <c r="AQ84" s="48"/>
      <c r="AR84" s="48"/>
      <c r="AS84" s="48"/>
      <c r="AT84" s="48"/>
      <c r="AU84" s="48"/>
      <c r="AV84" s="48"/>
      <c r="AW84" s="48"/>
      <c r="AX84" s="48"/>
      <c r="AY84" s="48"/>
      <c r="AZ84" s="48"/>
    </row>
    <row r="85" spans="1:52" ht="17.100000000000001" customHeight="1">
      <c r="A85" s="47"/>
      <c r="B85" s="48"/>
      <c r="C85" s="48"/>
      <c r="D85" s="48"/>
      <c r="E85" s="48"/>
      <c r="F85" s="48"/>
      <c r="G85" s="48"/>
      <c r="H85" s="48"/>
      <c r="I85" s="48"/>
      <c r="J85" s="48"/>
      <c r="K85" s="48"/>
      <c r="L85" s="48"/>
      <c r="M85" s="48"/>
      <c r="N85" s="48"/>
      <c r="O85" s="48"/>
      <c r="P85" s="48"/>
      <c r="Q85" s="48"/>
      <c r="R85" s="48"/>
      <c r="S85" s="48"/>
      <c r="T85" s="48"/>
      <c r="U85" s="48"/>
      <c r="V85" s="48"/>
      <c r="W85" s="48"/>
      <c r="X85" s="48"/>
      <c r="Y85" s="48"/>
      <c r="Z85" s="48"/>
      <c r="AA85" s="48"/>
      <c r="AB85" s="48"/>
      <c r="AC85" s="48"/>
      <c r="AD85" s="48"/>
      <c r="AE85" s="48"/>
      <c r="AF85" s="48"/>
      <c r="AG85" s="48"/>
      <c r="AH85" s="48"/>
      <c r="AI85" s="48"/>
      <c r="AJ85" s="48"/>
      <c r="AK85" s="48"/>
      <c r="AL85" s="48"/>
      <c r="AM85" s="48"/>
      <c r="AN85" s="48"/>
      <c r="AO85" s="48"/>
      <c r="AP85" s="48"/>
      <c r="AQ85" s="48"/>
      <c r="AR85" s="48"/>
      <c r="AS85" s="48"/>
      <c r="AT85" s="48"/>
      <c r="AU85" s="48"/>
      <c r="AV85" s="48"/>
      <c r="AW85" s="48"/>
      <c r="AX85" s="48"/>
      <c r="AY85" s="48"/>
      <c r="AZ85" s="48"/>
    </row>
    <row r="86" spans="1:52" ht="17.100000000000001" customHeight="1">
      <c r="A86" s="47"/>
      <c r="B86" s="48"/>
      <c r="C86" s="48"/>
      <c r="D86" s="48"/>
      <c r="E86" s="48"/>
      <c r="F86" s="48"/>
      <c r="G86" s="48"/>
      <c r="H86" s="48"/>
      <c r="I86" s="48"/>
      <c r="J86" s="48"/>
      <c r="K86" s="48"/>
      <c r="L86" s="48"/>
      <c r="M86" s="48"/>
      <c r="N86" s="48"/>
      <c r="O86" s="48"/>
      <c r="P86" s="48"/>
      <c r="Q86" s="48"/>
      <c r="R86" s="48"/>
      <c r="S86" s="48"/>
      <c r="T86" s="48"/>
      <c r="U86" s="48"/>
      <c r="V86" s="48"/>
      <c r="W86" s="48"/>
      <c r="X86" s="48"/>
      <c r="Y86" s="48"/>
      <c r="Z86" s="48"/>
      <c r="AA86" s="48"/>
      <c r="AB86" s="48"/>
      <c r="AC86" s="48"/>
      <c r="AD86" s="48"/>
      <c r="AE86" s="48"/>
      <c r="AF86" s="48"/>
      <c r="AG86" s="48"/>
      <c r="AH86" s="48"/>
      <c r="AI86" s="48"/>
      <c r="AJ86" s="48"/>
      <c r="AK86" s="48"/>
      <c r="AL86" s="48"/>
      <c r="AM86" s="48"/>
      <c r="AN86" s="48"/>
      <c r="AO86" s="48"/>
      <c r="AP86" s="48"/>
      <c r="AQ86" s="48"/>
      <c r="AR86" s="48"/>
      <c r="AS86" s="48"/>
      <c r="AT86" s="48"/>
      <c r="AU86" s="48"/>
      <c r="AV86" s="48"/>
      <c r="AW86" s="48"/>
      <c r="AX86" s="48"/>
      <c r="AY86" s="48"/>
      <c r="AZ86" s="48"/>
    </row>
    <row r="87" spans="1:52" ht="17.100000000000001" customHeight="1">
      <c r="A87" s="47"/>
      <c r="B87" s="48"/>
      <c r="C87" s="48"/>
      <c r="D87" s="48"/>
      <c r="E87" s="48"/>
      <c r="F87" s="48"/>
      <c r="G87" s="48"/>
      <c r="H87" s="48"/>
      <c r="I87" s="48"/>
      <c r="J87" s="48"/>
      <c r="K87" s="48"/>
      <c r="L87" s="48"/>
      <c r="M87" s="48"/>
      <c r="N87" s="48"/>
      <c r="O87" s="48"/>
      <c r="P87" s="48"/>
      <c r="Q87" s="48"/>
      <c r="R87" s="48"/>
      <c r="S87" s="48"/>
      <c r="T87" s="48"/>
      <c r="U87" s="48"/>
      <c r="V87" s="48"/>
      <c r="W87" s="48"/>
      <c r="X87" s="48"/>
      <c r="Y87" s="48"/>
      <c r="Z87" s="48"/>
      <c r="AA87" s="48"/>
      <c r="AB87" s="48"/>
      <c r="AC87" s="48"/>
      <c r="AD87" s="48"/>
      <c r="AE87" s="48"/>
      <c r="AF87" s="48"/>
      <c r="AG87" s="48"/>
      <c r="AH87" s="48"/>
      <c r="AI87" s="48"/>
      <c r="AJ87" s="48"/>
      <c r="AK87" s="48"/>
      <c r="AL87" s="48"/>
      <c r="AM87" s="48"/>
      <c r="AN87" s="48"/>
      <c r="AO87" s="48"/>
      <c r="AP87" s="48"/>
      <c r="AQ87" s="48"/>
      <c r="AR87" s="48"/>
      <c r="AS87" s="48"/>
      <c r="AT87" s="48"/>
      <c r="AU87" s="48"/>
      <c r="AV87" s="48"/>
      <c r="AW87" s="48"/>
      <c r="AX87" s="48"/>
      <c r="AY87" s="48"/>
      <c r="AZ87" s="48"/>
    </row>
    <row r="88" spans="1:52" ht="17.100000000000001" customHeight="1">
      <c r="A88" s="47"/>
      <c r="B88" s="48"/>
      <c r="C88" s="48"/>
      <c r="D88" s="48"/>
      <c r="E88" s="48"/>
      <c r="F88" s="48"/>
      <c r="G88" s="48"/>
      <c r="H88" s="48"/>
      <c r="I88" s="48"/>
      <c r="J88" s="48"/>
      <c r="K88" s="48"/>
      <c r="L88" s="48"/>
      <c r="M88" s="48"/>
      <c r="N88" s="48"/>
      <c r="O88" s="48"/>
      <c r="P88" s="48"/>
      <c r="Q88" s="48"/>
      <c r="R88" s="48"/>
      <c r="S88" s="48"/>
      <c r="T88" s="48"/>
      <c r="U88" s="48"/>
      <c r="V88" s="48"/>
      <c r="W88" s="48"/>
      <c r="X88" s="48"/>
      <c r="Y88" s="48"/>
      <c r="Z88" s="48"/>
      <c r="AA88" s="48"/>
      <c r="AB88" s="48"/>
      <c r="AC88" s="48"/>
      <c r="AD88" s="48"/>
      <c r="AE88" s="48"/>
      <c r="AF88" s="48"/>
      <c r="AG88" s="48"/>
      <c r="AH88" s="48"/>
      <c r="AI88" s="48"/>
      <c r="AJ88" s="48"/>
      <c r="AK88" s="48"/>
      <c r="AL88" s="48"/>
      <c r="AM88" s="48"/>
      <c r="AN88" s="48"/>
      <c r="AO88" s="48"/>
      <c r="AP88" s="48"/>
      <c r="AQ88" s="48"/>
      <c r="AR88" s="48"/>
      <c r="AS88" s="48"/>
      <c r="AT88" s="48"/>
      <c r="AU88" s="48"/>
      <c r="AV88" s="48"/>
      <c r="AW88" s="48"/>
      <c r="AX88" s="48"/>
      <c r="AY88" s="48"/>
      <c r="AZ88" s="48"/>
    </row>
    <row r="89" spans="1:52" ht="17.100000000000001" customHeight="1">
      <c r="A89" s="47"/>
      <c r="B89" s="48"/>
      <c r="C89" s="48"/>
      <c r="D89" s="48"/>
      <c r="E89" s="48"/>
      <c r="F89" s="48"/>
      <c r="G89" s="48"/>
      <c r="H89" s="48"/>
      <c r="I89" s="48"/>
      <c r="J89" s="48"/>
      <c r="K89" s="48"/>
      <c r="L89" s="48"/>
      <c r="M89" s="48"/>
      <c r="N89" s="48"/>
      <c r="O89" s="48"/>
      <c r="P89" s="48"/>
      <c r="Q89" s="48"/>
      <c r="R89" s="48"/>
      <c r="S89" s="48"/>
      <c r="T89" s="48"/>
      <c r="U89" s="48"/>
      <c r="V89" s="48"/>
      <c r="W89" s="48"/>
      <c r="X89" s="48"/>
      <c r="Y89" s="48"/>
      <c r="Z89" s="48"/>
      <c r="AA89" s="48"/>
      <c r="AB89" s="48"/>
      <c r="AC89" s="48"/>
      <c r="AD89" s="48"/>
      <c r="AE89" s="48"/>
      <c r="AF89" s="48"/>
      <c r="AG89" s="48"/>
      <c r="AH89" s="48"/>
      <c r="AI89" s="48"/>
      <c r="AJ89" s="48"/>
      <c r="AK89" s="48"/>
      <c r="AL89" s="48"/>
      <c r="AM89" s="48"/>
      <c r="AN89" s="48"/>
      <c r="AO89" s="48"/>
      <c r="AP89" s="48"/>
      <c r="AQ89" s="48"/>
      <c r="AR89" s="48"/>
      <c r="AS89" s="48"/>
      <c r="AT89" s="48"/>
      <c r="AU89" s="48"/>
      <c r="AV89" s="48"/>
      <c r="AW89" s="48"/>
      <c r="AX89" s="48"/>
      <c r="AY89" s="48"/>
      <c r="AZ89" s="48"/>
    </row>
    <row r="90" spans="1:52" ht="17.100000000000001" customHeight="1">
      <c r="A90" s="47"/>
      <c r="B90" s="48"/>
      <c r="C90" s="48"/>
      <c r="D90" s="48"/>
      <c r="E90" s="48"/>
      <c r="F90" s="48"/>
      <c r="G90" s="48"/>
      <c r="H90" s="48"/>
      <c r="I90" s="48"/>
      <c r="J90" s="48"/>
      <c r="K90" s="48"/>
      <c r="L90" s="48"/>
      <c r="M90" s="48"/>
      <c r="N90" s="48"/>
      <c r="O90" s="48"/>
      <c r="P90" s="48"/>
      <c r="Q90" s="48"/>
      <c r="R90" s="48"/>
      <c r="S90" s="48"/>
      <c r="T90" s="48"/>
      <c r="U90" s="48"/>
      <c r="V90" s="48"/>
      <c r="W90" s="48"/>
      <c r="X90" s="48"/>
      <c r="Y90" s="48"/>
      <c r="Z90" s="48"/>
      <c r="AA90" s="48"/>
      <c r="AB90" s="48"/>
      <c r="AC90" s="48"/>
      <c r="AD90" s="48"/>
      <c r="AE90" s="48"/>
      <c r="AF90" s="48"/>
      <c r="AG90" s="48"/>
      <c r="AH90" s="48"/>
      <c r="AI90" s="48"/>
      <c r="AJ90" s="48"/>
      <c r="AK90" s="48"/>
      <c r="AL90" s="48"/>
      <c r="AM90" s="48"/>
      <c r="AN90" s="48"/>
      <c r="AO90" s="48"/>
      <c r="AP90" s="48"/>
      <c r="AQ90" s="48"/>
      <c r="AR90" s="48"/>
      <c r="AS90" s="48"/>
      <c r="AT90" s="48"/>
      <c r="AU90" s="48"/>
      <c r="AV90" s="48"/>
      <c r="AW90" s="48"/>
      <c r="AX90" s="48"/>
      <c r="AY90" s="48"/>
      <c r="AZ90" s="48"/>
    </row>
    <row r="91" spans="1:52" ht="17.100000000000001" customHeight="1">
      <c r="A91" s="47"/>
      <c r="B91" s="48"/>
      <c r="C91" s="48"/>
      <c r="D91" s="48"/>
      <c r="E91" s="48"/>
      <c r="F91" s="48"/>
      <c r="G91" s="48"/>
      <c r="H91" s="48"/>
      <c r="I91" s="48"/>
      <c r="J91" s="48"/>
      <c r="K91" s="48"/>
      <c r="L91" s="48"/>
      <c r="M91" s="48"/>
      <c r="N91" s="48"/>
      <c r="O91" s="48"/>
      <c r="P91" s="48"/>
      <c r="Q91" s="48"/>
      <c r="R91" s="48"/>
      <c r="S91" s="48"/>
      <c r="T91" s="48"/>
      <c r="U91" s="48"/>
      <c r="V91" s="48"/>
      <c r="W91" s="48"/>
      <c r="X91" s="48"/>
      <c r="Y91" s="48"/>
      <c r="Z91" s="48"/>
      <c r="AA91" s="48"/>
      <c r="AB91" s="48"/>
      <c r="AC91" s="48"/>
      <c r="AD91" s="48"/>
      <c r="AE91" s="48"/>
      <c r="AF91" s="48"/>
      <c r="AG91" s="48"/>
      <c r="AH91" s="48"/>
      <c r="AI91" s="48"/>
      <c r="AJ91" s="48"/>
      <c r="AK91" s="48"/>
      <c r="AL91" s="48"/>
      <c r="AM91" s="48"/>
      <c r="AN91" s="48"/>
      <c r="AO91" s="48"/>
      <c r="AP91" s="48"/>
      <c r="AQ91" s="48"/>
      <c r="AR91" s="48"/>
      <c r="AS91" s="48"/>
      <c r="AT91" s="48"/>
      <c r="AU91" s="48"/>
      <c r="AV91" s="48"/>
      <c r="AW91" s="48"/>
      <c r="AX91" s="48"/>
      <c r="AY91" s="48"/>
      <c r="AZ91" s="48"/>
    </row>
    <row r="92" spans="1:52" ht="17.100000000000001" customHeight="1">
      <c r="A92" s="47"/>
      <c r="B92" s="48"/>
      <c r="C92" s="48"/>
      <c r="D92" s="48"/>
      <c r="E92" s="48"/>
      <c r="F92" s="48"/>
      <c r="G92" s="48"/>
      <c r="H92" s="48"/>
      <c r="I92" s="48"/>
      <c r="J92" s="48"/>
      <c r="K92" s="48"/>
      <c r="L92" s="48"/>
      <c r="M92" s="48"/>
      <c r="N92" s="48"/>
      <c r="O92" s="48"/>
      <c r="P92" s="48"/>
      <c r="Q92" s="48"/>
      <c r="R92" s="48"/>
      <c r="S92" s="48"/>
      <c r="T92" s="48"/>
      <c r="U92" s="48"/>
      <c r="V92" s="48"/>
      <c r="W92" s="48"/>
      <c r="X92" s="48"/>
      <c r="Y92" s="48"/>
      <c r="Z92" s="48"/>
      <c r="AA92" s="48"/>
      <c r="AB92" s="48"/>
      <c r="AC92" s="48"/>
      <c r="AD92" s="48"/>
      <c r="AE92" s="48"/>
      <c r="AF92" s="48"/>
      <c r="AG92" s="48"/>
      <c r="AH92" s="48"/>
      <c r="AI92" s="48"/>
      <c r="AJ92" s="48"/>
      <c r="AK92" s="48"/>
      <c r="AL92" s="48"/>
      <c r="AM92" s="48"/>
      <c r="AN92" s="48"/>
      <c r="AO92" s="48"/>
      <c r="AP92" s="48"/>
      <c r="AQ92" s="48"/>
      <c r="AR92" s="48"/>
      <c r="AS92" s="48"/>
      <c r="AT92" s="48"/>
      <c r="AU92" s="48"/>
      <c r="AV92" s="48"/>
      <c r="AW92" s="48"/>
      <c r="AX92" s="48"/>
      <c r="AY92" s="48"/>
      <c r="AZ92" s="48"/>
    </row>
    <row r="93" spans="1:52" ht="17.100000000000001" customHeight="1">
      <c r="A93" s="47"/>
      <c r="B93" s="48"/>
      <c r="C93" s="48"/>
      <c r="D93" s="48"/>
      <c r="E93" s="48"/>
      <c r="F93" s="48"/>
      <c r="G93" s="48"/>
      <c r="H93" s="48"/>
      <c r="I93" s="48"/>
      <c r="J93" s="48"/>
      <c r="K93" s="48"/>
      <c r="L93" s="48"/>
      <c r="M93" s="48"/>
      <c r="N93" s="48"/>
      <c r="O93" s="48"/>
      <c r="P93" s="48"/>
      <c r="Q93" s="48"/>
      <c r="R93" s="48"/>
      <c r="S93" s="48"/>
      <c r="T93" s="48"/>
      <c r="U93" s="48"/>
      <c r="V93" s="48"/>
      <c r="W93" s="48"/>
      <c r="X93" s="48"/>
      <c r="Y93" s="48"/>
      <c r="Z93" s="48"/>
      <c r="AA93" s="48"/>
      <c r="AB93" s="48"/>
      <c r="AC93" s="48"/>
      <c r="AD93" s="48"/>
      <c r="AE93" s="48"/>
      <c r="AF93" s="48"/>
      <c r="AG93" s="48"/>
      <c r="AH93" s="48"/>
      <c r="AI93" s="48"/>
      <c r="AJ93" s="48"/>
      <c r="AK93" s="48"/>
      <c r="AL93" s="48"/>
      <c r="AM93" s="48"/>
      <c r="AN93" s="48"/>
      <c r="AO93" s="48"/>
      <c r="AP93" s="48"/>
      <c r="AQ93" s="48"/>
      <c r="AR93" s="48"/>
      <c r="AS93" s="48"/>
      <c r="AT93" s="48"/>
      <c r="AU93" s="48"/>
      <c r="AV93" s="48"/>
      <c r="AW93" s="48"/>
      <c r="AX93" s="48"/>
      <c r="AY93" s="48"/>
      <c r="AZ93" s="48"/>
    </row>
    <row r="94" spans="1:52" ht="17.100000000000001" customHeight="1">
      <c r="A94" s="47"/>
      <c r="B94" s="48"/>
      <c r="C94" s="48"/>
      <c r="D94" s="48"/>
      <c r="E94" s="48"/>
      <c r="F94" s="48"/>
      <c r="G94" s="48"/>
      <c r="H94" s="48"/>
      <c r="I94" s="48"/>
      <c r="J94" s="48"/>
      <c r="K94" s="48"/>
      <c r="L94" s="48"/>
      <c r="M94" s="48"/>
      <c r="N94" s="48"/>
      <c r="O94" s="48"/>
      <c r="P94" s="48"/>
      <c r="Q94" s="48"/>
      <c r="R94" s="48"/>
      <c r="S94" s="48"/>
      <c r="T94" s="48"/>
      <c r="U94" s="48"/>
      <c r="V94" s="48"/>
      <c r="W94" s="48"/>
      <c r="X94" s="48"/>
      <c r="Y94" s="48"/>
      <c r="Z94" s="48"/>
      <c r="AA94" s="48"/>
      <c r="AB94" s="48"/>
      <c r="AC94" s="48"/>
      <c r="AD94" s="48"/>
      <c r="AE94" s="48"/>
      <c r="AF94" s="48"/>
      <c r="AG94" s="48"/>
      <c r="AH94" s="48"/>
      <c r="AI94" s="48"/>
      <c r="AJ94" s="48"/>
      <c r="AK94" s="48"/>
      <c r="AL94" s="48"/>
      <c r="AM94" s="48"/>
      <c r="AN94" s="48"/>
      <c r="AO94" s="48"/>
      <c r="AP94" s="48"/>
      <c r="AQ94" s="48"/>
      <c r="AR94" s="48"/>
      <c r="AS94" s="48"/>
      <c r="AT94" s="48"/>
      <c r="AU94" s="48"/>
      <c r="AV94" s="48"/>
      <c r="AW94" s="48"/>
      <c r="AX94" s="48"/>
      <c r="AY94" s="48"/>
      <c r="AZ94" s="48"/>
    </row>
    <row r="95" spans="1:52" ht="17.100000000000001" customHeight="1">
      <c r="A95" s="47"/>
      <c r="B95" s="48"/>
      <c r="C95" s="48"/>
      <c r="D95" s="48"/>
      <c r="E95" s="48"/>
      <c r="F95" s="48"/>
      <c r="G95" s="48"/>
      <c r="H95" s="48"/>
      <c r="I95" s="48"/>
      <c r="J95" s="48"/>
      <c r="K95" s="48"/>
      <c r="L95" s="48"/>
      <c r="M95" s="48"/>
      <c r="N95" s="48"/>
      <c r="O95" s="48"/>
      <c r="P95" s="48"/>
      <c r="Q95" s="48"/>
      <c r="R95" s="48"/>
      <c r="S95" s="48"/>
      <c r="T95" s="48"/>
      <c r="U95" s="48"/>
      <c r="V95" s="48"/>
      <c r="W95" s="48"/>
      <c r="X95" s="48"/>
      <c r="Y95" s="48"/>
      <c r="Z95" s="48"/>
      <c r="AA95" s="48"/>
      <c r="AB95" s="48"/>
      <c r="AC95" s="48"/>
      <c r="AD95" s="48"/>
      <c r="AE95" s="48"/>
      <c r="AF95" s="48"/>
      <c r="AG95" s="48"/>
      <c r="AH95" s="48"/>
      <c r="AI95" s="48"/>
      <c r="AJ95" s="48"/>
      <c r="AK95" s="48"/>
      <c r="AL95" s="48"/>
      <c r="AM95" s="48"/>
      <c r="AN95" s="48"/>
      <c r="AO95" s="48"/>
      <c r="AP95" s="48"/>
      <c r="AQ95" s="48"/>
      <c r="AR95" s="48"/>
      <c r="AS95" s="48"/>
      <c r="AT95" s="48"/>
      <c r="AU95" s="48"/>
      <c r="AV95" s="48"/>
      <c r="AW95" s="48"/>
      <c r="AX95" s="48"/>
      <c r="AY95" s="48"/>
      <c r="AZ95" s="48"/>
    </row>
    <row r="96" spans="1:52" ht="17.100000000000001" customHeight="1">
      <c r="A96" s="47"/>
      <c r="B96" s="48"/>
      <c r="C96" s="48"/>
      <c r="D96" s="48"/>
      <c r="E96" s="48"/>
      <c r="F96" s="48"/>
      <c r="G96" s="48"/>
      <c r="H96" s="48"/>
      <c r="I96" s="48"/>
      <c r="J96" s="48"/>
      <c r="K96" s="48"/>
      <c r="L96" s="48"/>
      <c r="M96" s="48"/>
      <c r="N96" s="48"/>
      <c r="O96" s="48"/>
      <c r="P96" s="48"/>
      <c r="Q96" s="48"/>
      <c r="R96" s="48"/>
      <c r="S96" s="48"/>
      <c r="T96" s="48"/>
      <c r="U96" s="48"/>
      <c r="V96" s="48"/>
      <c r="W96" s="48"/>
      <c r="X96" s="48"/>
      <c r="Y96" s="48"/>
      <c r="Z96" s="48"/>
      <c r="AA96" s="48"/>
      <c r="AB96" s="48"/>
      <c r="AC96" s="48"/>
      <c r="AD96" s="48"/>
      <c r="AE96" s="48"/>
      <c r="AF96" s="48"/>
      <c r="AG96" s="48"/>
      <c r="AH96" s="48"/>
      <c r="AI96" s="48"/>
      <c r="AJ96" s="48"/>
      <c r="AK96" s="48"/>
      <c r="AL96" s="48"/>
      <c r="AM96" s="48"/>
      <c r="AN96" s="48"/>
      <c r="AO96" s="48"/>
      <c r="AP96" s="48"/>
      <c r="AQ96" s="48"/>
      <c r="AR96" s="48"/>
      <c r="AS96" s="48"/>
      <c r="AT96" s="48"/>
      <c r="AU96" s="48"/>
      <c r="AV96" s="48"/>
      <c r="AW96" s="48"/>
      <c r="AX96" s="48"/>
      <c r="AY96" s="48"/>
      <c r="AZ96" s="48"/>
    </row>
    <row r="97" spans="1:52" ht="17.100000000000001" customHeight="1">
      <c r="A97" s="47"/>
      <c r="B97" s="48"/>
      <c r="C97" s="48"/>
      <c r="D97" s="48"/>
      <c r="E97" s="48"/>
      <c r="F97" s="48"/>
      <c r="G97" s="48"/>
      <c r="H97" s="48"/>
      <c r="I97" s="48"/>
      <c r="J97" s="48"/>
      <c r="K97" s="48"/>
      <c r="L97" s="48"/>
      <c r="M97" s="48"/>
      <c r="N97" s="48"/>
      <c r="O97" s="48"/>
      <c r="P97" s="48"/>
      <c r="Q97" s="48"/>
      <c r="R97" s="48"/>
      <c r="S97" s="48"/>
      <c r="T97" s="48"/>
      <c r="U97" s="48"/>
      <c r="V97" s="48"/>
      <c r="W97" s="48"/>
      <c r="X97" s="48"/>
      <c r="Y97" s="48"/>
      <c r="Z97" s="48"/>
      <c r="AA97" s="48"/>
      <c r="AB97" s="48"/>
      <c r="AC97" s="48"/>
      <c r="AD97" s="48"/>
      <c r="AE97" s="48"/>
      <c r="AF97" s="48"/>
      <c r="AG97" s="48"/>
      <c r="AH97" s="48"/>
      <c r="AI97" s="48"/>
      <c r="AJ97" s="48"/>
      <c r="AK97" s="48"/>
      <c r="AL97" s="48"/>
      <c r="AM97" s="48"/>
      <c r="AN97" s="48"/>
      <c r="AO97" s="48"/>
      <c r="AP97" s="48"/>
      <c r="AQ97" s="48"/>
      <c r="AR97" s="48"/>
      <c r="AS97" s="48"/>
      <c r="AT97" s="48"/>
      <c r="AU97" s="48"/>
      <c r="AV97" s="48"/>
      <c r="AW97" s="48"/>
      <c r="AX97" s="48"/>
      <c r="AY97" s="48"/>
      <c r="AZ97" s="48"/>
    </row>
    <row r="98" spans="1:52" ht="17.100000000000001" customHeight="1">
      <c r="A98" s="47"/>
      <c r="B98" s="48"/>
      <c r="C98" s="48"/>
      <c r="D98" s="48"/>
      <c r="E98" s="48"/>
      <c r="F98" s="48"/>
      <c r="G98" s="48"/>
      <c r="H98" s="48"/>
      <c r="I98" s="48"/>
      <c r="J98" s="48"/>
      <c r="K98" s="48"/>
      <c r="L98" s="48"/>
      <c r="M98" s="48"/>
      <c r="N98" s="48"/>
      <c r="O98" s="48"/>
      <c r="P98" s="48"/>
      <c r="Q98" s="48"/>
      <c r="R98" s="48"/>
      <c r="S98" s="48"/>
      <c r="T98" s="48"/>
      <c r="U98" s="48"/>
      <c r="V98" s="48"/>
      <c r="W98" s="48"/>
      <c r="X98" s="48"/>
      <c r="Y98" s="48"/>
      <c r="Z98" s="48"/>
      <c r="AA98" s="48"/>
      <c r="AB98" s="48"/>
      <c r="AC98" s="48"/>
      <c r="AD98" s="48"/>
      <c r="AE98" s="48"/>
      <c r="AF98" s="48"/>
      <c r="AG98" s="48"/>
      <c r="AH98" s="48"/>
      <c r="AI98" s="48"/>
      <c r="AJ98" s="48"/>
      <c r="AK98" s="48"/>
      <c r="AL98" s="48"/>
      <c r="AM98" s="48"/>
      <c r="AN98" s="48"/>
      <c r="AO98" s="48"/>
      <c r="AP98" s="48"/>
      <c r="AQ98" s="48"/>
      <c r="AR98" s="48"/>
      <c r="AS98" s="48"/>
      <c r="AT98" s="48"/>
      <c r="AU98" s="48"/>
      <c r="AV98" s="48"/>
      <c r="AW98" s="48"/>
      <c r="AX98" s="48"/>
      <c r="AY98" s="48"/>
      <c r="AZ98" s="48"/>
    </row>
    <row r="99" spans="1:52" ht="17.100000000000001" customHeight="1">
      <c r="A99" s="47"/>
      <c r="B99" s="48"/>
      <c r="C99" s="48"/>
      <c r="D99" s="48"/>
      <c r="E99" s="48"/>
      <c r="F99" s="48"/>
      <c r="G99" s="48"/>
      <c r="H99" s="48"/>
      <c r="I99" s="48"/>
      <c r="J99" s="48"/>
      <c r="K99" s="48"/>
      <c r="L99" s="48"/>
      <c r="M99" s="48"/>
      <c r="N99" s="48"/>
      <c r="O99" s="48"/>
      <c r="P99" s="48"/>
      <c r="Q99" s="48"/>
      <c r="R99" s="48"/>
      <c r="S99" s="48"/>
      <c r="T99" s="48"/>
      <c r="U99" s="48"/>
      <c r="V99" s="48"/>
      <c r="W99" s="48"/>
      <c r="X99" s="48"/>
      <c r="Y99" s="48"/>
      <c r="Z99" s="48"/>
      <c r="AA99" s="48"/>
      <c r="AB99" s="48"/>
      <c r="AC99" s="48"/>
      <c r="AD99" s="48"/>
      <c r="AE99" s="48"/>
      <c r="AF99" s="48"/>
      <c r="AG99" s="48"/>
      <c r="AH99" s="48"/>
      <c r="AI99" s="48"/>
      <c r="AJ99" s="48"/>
      <c r="AK99" s="48"/>
      <c r="AL99" s="48"/>
      <c r="AM99" s="48"/>
      <c r="AN99" s="48"/>
      <c r="AO99" s="48"/>
      <c r="AP99" s="48"/>
      <c r="AQ99" s="48"/>
      <c r="AR99" s="48"/>
      <c r="AS99" s="48"/>
      <c r="AT99" s="48"/>
      <c r="AU99" s="48"/>
      <c r="AV99" s="48"/>
      <c r="AW99" s="48"/>
      <c r="AX99" s="48"/>
      <c r="AY99" s="48"/>
      <c r="AZ99" s="48"/>
    </row>
    <row r="100" spans="1:52" ht="17.100000000000001" customHeight="1">
      <c r="A100" s="47"/>
      <c r="B100" s="48"/>
      <c r="C100" s="48"/>
      <c r="D100" s="48"/>
      <c r="E100" s="48"/>
      <c r="F100" s="48"/>
      <c r="G100" s="48"/>
      <c r="H100" s="48"/>
      <c r="I100" s="48"/>
      <c r="J100" s="48"/>
      <c r="K100" s="48"/>
      <c r="L100" s="48"/>
      <c r="M100" s="48"/>
      <c r="N100" s="48"/>
      <c r="O100" s="48"/>
      <c r="P100" s="48"/>
      <c r="Q100" s="48"/>
      <c r="R100" s="48"/>
      <c r="S100" s="48"/>
      <c r="T100" s="48"/>
      <c r="U100" s="48"/>
      <c r="V100" s="48"/>
      <c r="W100" s="48"/>
      <c r="X100" s="48"/>
      <c r="Y100" s="48"/>
      <c r="Z100" s="48"/>
      <c r="AA100" s="48"/>
      <c r="AB100" s="48"/>
      <c r="AC100" s="48"/>
      <c r="AD100" s="48"/>
      <c r="AE100" s="48"/>
      <c r="AF100" s="48"/>
      <c r="AG100" s="48"/>
      <c r="AH100" s="48"/>
      <c r="AI100" s="48"/>
      <c r="AJ100" s="48"/>
      <c r="AK100" s="48"/>
      <c r="AL100" s="48"/>
      <c r="AM100" s="48"/>
      <c r="AN100" s="48"/>
      <c r="AO100" s="48"/>
      <c r="AP100" s="48"/>
      <c r="AQ100" s="48"/>
      <c r="AR100" s="48"/>
      <c r="AS100" s="48"/>
      <c r="AT100" s="48"/>
      <c r="AU100" s="48"/>
      <c r="AV100" s="48"/>
      <c r="AW100" s="48"/>
      <c r="AX100" s="48"/>
      <c r="AY100" s="48"/>
      <c r="AZ100" s="48"/>
    </row>
    <row r="101" spans="1:52" ht="17.100000000000001" customHeight="1">
      <c r="A101" s="47"/>
      <c r="B101" s="48"/>
      <c r="C101" s="48"/>
      <c r="D101" s="48"/>
      <c r="E101" s="48"/>
      <c r="F101" s="48"/>
      <c r="G101" s="48"/>
      <c r="H101" s="48"/>
      <c r="I101" s="48"/>
      <c r="J101" s="48"/>
      <c r="K101" s="48"/>
      <c r="L101" s="48"/>
      <c r="M101" s="48"/>
      <c r="N101" s="48"/>
      <c r="O101" s="48"/>
      <c r="P101" s="48"/>
      <c r="Q101" s="48"/>
      <c r="R101" s="48"/>
      <c r="S101" s="48"/>
      <c r="T101" s="48"/>
      <c r="U101" s="48"/>
      <c r="V101" s="48"/>
      <c r="W101" s="48"/>
      <c r="X101" s="48"/>
      <c r="Y101" s="48"/>
      <c r="Z101" s="48"/>
      <c r="AA101" s="48"/>
      <c r="AB101" s="48"/>
      <c r="AC101" s="48"/>
      <c r="AD101" s="48"/>
      <c r="AE101" s="48"/>
      <c r="AF101" s="48"/>
      <c r="AG101" s="48"/>
      <c r="AH101" s="48"/>
      <c r="AI101" s="48"/>
      <c r="AJ101" s="48"/>
      <c r="AK101" s="48"/>
      <c r="AL101" s="48"/>
      <c r="AM101" s="48"/>
      <c r="AN101" s="48"/>
      <c r="AO101" s="48"/>
      <c r="AP101" s="48"/>
      <c r="AQ101" s="48"/>
      <c r="AR101" s="48"/>
      <c r="AS101" s="48"/>
      <c r="AT101" s="48"/>
      <c r="AU101" s="48"/>
      <c r="AV101" s="48"/>
      <c r="AW101" s="48"/>
      <c r="AX101" s="48"/>
      <c r="AY101" s="48"/>
      <c r="AZ101" s="48"/>
    </row>
    <row r="102" spans="1:52" ht="17.100000000000001" customHeight="1">
      <c r="A102" s="47"/>
      <c r="B102" s="48"/>
      <c r="C102" s="48"/>
      <c r="D102" s="48"/>
      <c r="E102" s="48"/>
      <c r="F102" s="48"/>
      <c r="G102" s="48"/>
      <c r="H102" s="48"/>
      <c r="I102" s="48"/>
      <c r="J102" s="48"/>
      <c r="K102" s="48"/>
      <c r="L102" s="48"/>
      <c r="M102" s="48"/>
      <c r="N102" s="48"/>
      <c r="O102" s="48"/>
      <c r="P102" s="48"/>
      <c r="Q102" s="48"/>
      <c r="R102" s="48"/>
      <c r="S102" s="48"/>
      <c r="T102" s="48"/>
      <c r="U102" s="48"/>
      <c r="V102" s="48"/>
      <c r="W102" s="48"/>
      <c r="X102" s="48"/>
      <c r="Y102" s="48"/>
      <c r="Z102" s="48"/>
      <c r="AA102" s="48"/>
      <c r="AB102" s="48"/>
      <c r="AC102" s="48"/>
      <c r="AD102" s="48"/>
      <c r="AE102" s="48"/>
      <c r="AF102" s="48"/>
      <c r="AG102" s="48"/>
      <c r="AH102" s="48"/>
      <c r="AI102" s="48"/>
      <c r="AJ102" s="48"/>
      <c r="AK102" s="48"/>
      <c r="AL102" s="48"/>
      <c r="AM102" s="48"/>
      <c r="AN102" s="48"/>
      <c r="AO102" s="48"/>
      <c r="AP102" s="48"/>
      <c r="AQ102" s="48"/>
      <c r="AR102" s="48"/>
      <c r="AS102" s="48"/>
      <c r="AT102" s="48"/>
      <c r="AU102" s="48"/>
      <c r="AV102" s="48"/>
      <c r="AW102" s="48"/>
      <c r="AX102" s="48"/>
      <c r="AY102" s="48"/>
      <c r="AZ102" s="48"/>
    </row>
    <row r="103" spans="1:52" ht="17.100000000000001" customHeight="1">
      <c r="A103" s="47"/>
      <c r="B103" s="48"/>
      <c r="C103" s="48"/>
      <c r="D103" s="48"/>
      <c r="E103" s="48"/>
      <c r="F103" s="48"/>
      <c r="G103" s="48"/>
      <c r="H103" s="48"/>
      <c r="I103" s="48"/>
      <c r="J103" s="48"/>
      <c r="K103" s="48"/>
      <c r="L103" s="48"/>
      <c r="M103" s="48"/>
      <c r="N103" s="48"/>
      <c r="O103" s="48"/>
      <c r="P103" s="48"/>
      <c r="Q103" s="48"/>
      <c r="R103" s="48"/>
      <c r="S103" s="48"/>
      <c r="T103" s="48"/>
      <c r="U103" s="48"/>
      <c r="V103" s="48"/>
      <c r="W103" s="48"/>
      <c r="X103" s="48"/>
      <c r="Y103" s="48"/>
      <c r="Z103" s="48"/>
      <c r="AA103" s="48"/>
      <c r="AB103" s="48"/>
      <c r="AC103" s="48"/>
      <c r="AD103" s="48"/>
      <c r="AE103" s="48"/>
      <c r="AF103" s="48"/>
      <c r="AG103" s="48"/>
      <c r="AH103" s="48"/>
      <c r="AI103" s="48"/>
      <c r="AJ103" s="48"/>
      <c r="AK103" s="48"/>
      <c r="AL103" s="48"/>
      <c r="AM103" s="48"/>
      <c r="AN103" s="48"/>
      <c r="AO103" s="48"/>
      <c r="AP103" s="48"/>
      <c r="AQ103" s="48"/>
      <c r="AR103" s="48"/>
      <c r="AS103" s="48"/>
      <c r="AT103" s="48"/>
      <c r="AU103" s="48"/>
      <c r="AV103" s="48"/>
      <c r="AW103" s="48"/>
      <c r="AX103" s="48"/>
      <c r="AY103" s="48"/>
      <c r="AZ103" s="48"/>
    </row>
    <row r="104" spans="1:52" ht="17.100000000000001" customHeight="1">
      <c r="A104" s="47"/>
      <c r="B104" s="48"/>
      <c r="C104" s="48"/>
      <c r="D104" s="48"/>
      <c r="E104" s="48"/>
      <c r="F104" s="48"/>
      <c r="G104" s="48"/>
      <c r="H104" s="48"/>
      <c r="I104" s="48"/>
      <c r="J104" s="48"/>
      <c r="K104" s="48"/>
      <c r="L104" s="48"/>
      <c r="M104" s="48"/>
      <c r="N104" s="48"/>
      <c r="O104" s="48"/>
      <c r="P104" s="48"/>
      <c r="Q104" s="48"/>
      <c r="R104" s="48"/>
      <c r="S104" s="48"/>
      <c r="T104" s="48"/>
      <c r="U104" s="48"/>
      <c r="V104" s="48"/>
      <c r="W104" s="48"/>
      <c r="X104" s="48"/>
      <c r="Y104" s="48"/>
      <c r="Z104" s="48"/>
      <c r="AA104" s="48"/>
      <c r="AB104" s="48"/>
      <c r="AC104" s="48"/>
      <c r="AD104" s="48"/>
      <c r="AE104" s="48"/>
      <c r="AF104" s="48"/>
      <c r="AG104" s="48"/>
      <c r="AH104" s="48"/>
      <c r="AI104" s="48"/>
      <c r="AJ104" s="48"/>
      <c r="AK104" s="48"/>
      <c r="AL104" s="48"/>
      <c r="AM104" s="48"/>
      <c r="AN104" s="48"/>
      <c r="AO104" s="48"/>
      <c r="AP104" s="48"/>
      <c r="AQ104" s="48"/>
      <c r="AR104" s="48"/>
      <c r="AS104" s="48"/>
      <c r="AT104" s="48"/>
      <c r="AU104" s="48"/>
      <c r="AV104" s="48"/>
      <c r="AW104" s="48"/>
      <c r="AX104" s="48"/>
      <c r="AY104" s="48"/>
      <c r="AZ104" s="48"/>
    </row>
    <row r="105" spans="1:52" ht="17.100000000000001" customHeight="1">
      <c r="A105" s="47"/>
      <c r="B105" s="48"/>
      <c r="C105" s="48"/>
      <c r="D105" s="48"/>
      <c r="E105" s="48"/>
      <c r="F105" s="48"/>
      <c r="G105" s="48"/>
      <c r="H105" s="48"/>
      <c r="I105" s="48"/>
      <c r="J105" s="48"/>
      <c r="K105" s="48"/>
      <c r="L105" s="48"/>
      <c r="M105" s="48"/>
      <c r="N105" s="48"/>
      <c r="O105" s="48"/>
      <c r="P105" s="48"/>
      <c r="Q105" s="48"/>
      <c r="R105" s="48"/>
      <c r="S105" s="48"/>
      <c r="T105" s="48"/>
      <c r="U105" s="48"/>
      <c r="V105" s="48"/>
      <c r="W105" s="48"/>
      <c r="X105" s="48"/>
      <c r="Y105" s="48"/>
      <c r="Z105" s="48"/>
      <c r="AA105" s="48"/>
      <c r="AB105" s="48"/>
      <c r="AC105" s="48"/>
      <c r="AD105" s="48"/>
      <c r="AE105" s="48"/>
      <c r="AF105" s="48"/>
      <c r="AG105" s="48"/>
      <c r="AH105" s="48"/>
      <c r="AI105" s="48"/>
      <c r="AJ105" s="48"/>
      <c r="AK105" s="48"/>
      <c r="AL105" s="48"/>
      <c r="AM105" s="48"/>
      <c r="AN105" s="48"/>
      <c r="AO105" s="48"/>
      <c r="AP105" s="48"/>
      <c r="AQ105" s="48"/>
      <c r="AR105" s="48"/>
      <c r="AS105" s="48"/>
      <c r="AT105" s="48"/>
      <c r="AU105" s="48"/>
      <c r="AV105" s="48"/>
      <c r="AW105" s="48"/>
      <c r="AX105" s="48"/>
      <c r="AY105" s="48"/>
      <c r="AZ105" s="48"/>
    </row>
    <row r="106" spans="1:52" ht="17.100000000000001" customHeight="1">
      <c r="A106" s="47"/>
      <c r="B106" s="48"/>
      <c r="C106" s="48"/>
      <c r="D106" s="48"/>
      <c r="E106" s="48"/>
      <c r="F106" s="48"/>
      <c r="G106" s="48"/>
      <c r="H106" s="48"/>
      <c r="I106" s="48"/>
      <c r="J106" s="48"/>
      <c r="K106" s="48"/>
      <c r="L106" s="48"/>
      <c r="M106" s="48"/>
      <c r="N106" s="48"/>
      <c r="O106" s="48"/>
      <c r="P106" s="48"/>
      <c r="Q106" s="48"/>
      <c r="R106" s="48"/>
      <c r="S106" s="48"/>
      <c r="T106" s="48"/>
      <c r="U106" s="48"/>
      <c r="V106" s="48"/>
      <c r="W106" s="48"/>
      <c r="X106" s="48"/>
      <c r="Y106" s="48"/>
      <c r="Z106" s="48"/>
      <c r="AA106" s="48"/>
      <c r="AB106" s="48"/>
      <c r="AC106" s="48"/>
      <c r="AD106" s="48"/>
      <c r="AE106" s="48"/>
      <c r="AF106" s="48"/>
      <c r="AG106" s="48"/>
      <c r="AH106" s="48"/>
      <c r="AI106" s="48"/>
      <c r="AJ106" s="48"/>
      <c r="AK106" s="48"/>
      <c r="AL106" s="48"/>
      <c r="AM106" s="48"/>
      <c r="AN106" s="48"/>
      <c r="AO106" s="48"/>
      <c r="AP106" s="48"/>
      <c r="AQ106" s="48"/>
      <c r="AR106" s="48"/>
      <c r="AS106" s="48"/>
      <c r="AT106" s="48"/>
      <c r="AU106" s="48"/>
      <c r="AV106" s="48"/>
      <c r="AW106" s="48"/>
      <c r="AX106" s="48"/>
      <c r="AY106" s="48"/>
      <c r="AZ106" s="48"/>
    </row>
    <row r="107" spans="1:52" ht="17.100000000000001" customHeight="1">
      <c r="A107" s="47"/>
      <c r="B107" s="48"/>
      <c r="C107" s="48"/>
      <c r="D107" s="48"/>
      <c r="E107" s="48"/>
      <c r="F107" s="48"/>
      <c r="G107" s="48"/>
      <c r="H107" s="48"/>
      <c r="I107" s="48"/>
      <c r="J107" s="48"/>
      <c r="K107" s="48"/>
      <c r="L107" s="48"/>
      <c r="M107" s="48"/>
      <c r="N107" s="48"/>
      <c r="O107" s="48"/>
      <c r="P107" s="48"/>
      <c r="Q107" s="48"/>
      <c r="R107" s="48"/>
      <c r="S107" s="48"/>
      <c r="T107" s="48"/>
      <c r="U107" s="48"/>
      <c r="V107" s="48"/>
      <c r="W107" s="48"/>
      <c r="X107" s="48"/>
      <c r="Y107" s="48"/>
      <c r="Z107" s="48"/>
      <c r="AA107" s="48"/>
      <c r="AB107" s="48"/>
      <c r="AC107" s="48"/>
      <c r="AD107" s="48"/>
      <c r="AE107" s="48"/>
      <c r="AF107" s="48"/>
      <c r="AG107" s="48"/>
      <c r="AH107" s="48"/>
      <c r="AI107" s="48"/>
      <c r="AJ107" s="48"/>
      <c r="AK107" s="48"/>
      <c r="AL107" s="48"/>
      <c r="AM107" s="48"/>
      <c r="AN107" s="48"/>
      <c r="AO107" s="48"/>
      <c r="AP107" s="48"/>
      <c r="AQ107" s="48"/>
      <c r="AR107" s="48"/>
      <c r="AS107" s="48"/>
      <c r="AT107" s="48"/>
      <c r="AU107" s="48"/>
      <c r="AV107" s="48"/>
      <c r="AW107" s="48"/>
      <c r="AX107" s="48"/>
      <c r="AY107" s="48"/>
      <c r="AZ107" s="48"/>
    </row>
    <row r="108" spans="1:52" ht="17.100000000000001" customHeight="1">
      <c r="A108" s="47"/>
      <c r="B108" s="48"/>
      <c r="C108" s="48"/>
      <c r="D108" s="48"/>
      <c r="E108" s="48"/>
      <c r="F108" s="48"/>
      <c r="G108" s="48"/>
      <c r="H108" s="48"/>
      <c r="I108" s="48"/>
      <c r="J108" s="48"/>
      <c r="K108" s="48"/>
      <c r="L108" s="48"/>
      <c r="M108" s="48"/>
      <c r="N108" s="48"/>
      <c r="O108" s="48"/>
      <c r="P108" s="48"/>
      <c r="Q108" s="48"/>
      <c r="R108" s="48"/>
      <c r="S108" s="48"/>
      <c r="T108" s="48"/>
      <c r="U108" s="48"/>
      <c r="V108" s="48"/>
      <c r="W108" s="48"/>
      <c r="X108" s="48"/>
      <c r="Y108" s="48"/>
      <c r="Z108" s="48"/>
      <c r="AA108" s="48"/>
      <c r="AB108" s="48"/>
      <c r="AC108" s="48"/>
      <c r="AD108" s="48"/>
      <c r="AE108" s="48"/>
      <c r="AF108" s="48"/>
      <c r="AG108" s="48"/>
      <c r="AH108" s="48"/>
      <c r="AI108" s="48"/>
      <c r="AJ108" s="48"/>
      <c r="AK108" s="48"/>
      <c r="AL108" s="48"/>
      <c r="AM108" s="48"/>
      <c r="AN108" s="48"/>
      <c r="AO108" s="48"/>
      <c r="AP108" s="48"/>
      <c r="AQ108" s="48"/>
      <c r="AR108" s="48"/>
      <c r="AS108" s="48"/>
      <c r="AT108" s="48"/>
      <c r="AU108" s="48"/>
      <c r="AV108" s="48"/>
      <c r="AW108" s="48"/>
      <c r="AX108" s="48"/>
      <c r="AY108" s="48"/>
      <c r="AZ108" s="48"/>
    </row>
    <row r="109" spans="1:52" ht="17.100000000000001" customHeight="1">
      <c r="A109" s="47"/>
      <c r="B109" s="48"/>
      <c r="C109" s="48"/>
      <c r="D109" s="48"/>
      <c r="E109" s="48"/>
      <c r="F109" s="48"/>
      <c r="G109" s="48"/>
      <c r="H109" s="48"/>
      <c r="I109" s="48"/>
      <c r="J109" s="48"/>
      <c r="K109" s="48"/>
      <c r="L109" s="48"/>
      <c r="M109" s="48"/>
      <c r="N109" s="48"/>
      <c r="O109" s="48"/>
      <c r="P109" s="48"/>
      <c r="Q109" s="48"/>
      <c r="R109" s="48"/>
      <c r="S109" s="48"/>
      <c r="T109" s="48"/>
      <c r="U109" s="48"/>
      <c r="V109" s="48"/>
      <c r="W109" s="48"/>
      <c r="X109" s="48"/>
      <c r="Y109" s="48"/>
      <c r="Z109" s="48"/>
      <c r="AA109" s="48"/>
      <c r="AB109" s="48"/>
      <c r="AC109" s="48"/>
      <c r="AD109" s="48"/>
      <c r="AE109" s="48"/>
      <c r="AF109" s="48"/>
      <c r="AG109" s="48"/>
      <c r="AH109" s="48"/>
      <c r="AI109" s="48"/>
      <c r="AJ109" s="48"/>
      <c r="AK109" s="48"/>
      <c r="AL109" s="48"/>
      <c r="AM109" s="48"/>
      <c r="AN109" s="48"/>
      <c r="AO109" s="48"/>
      <c r="AP109" s="48"/>
      <c r="AQ109" s="48"/>
      <c r="AR109" s="48"/>
      <c r="AS109" s="48"/>
      <c r="AT109" s="48"/>
      <c r="AU109" s="48"/>
      <c r="AV109" s="48"/>
      <c r="AW109" s="48"/>
      <c r="AX109" s="48"/>
      <c r="AY109" s="48"/>
      <c r="AZ109" s="48"/>
    </row>
    <row r="110" spans="1:52" ht="17.100000000000001" customHeight="1">
      <c r="A110" s="47"/>
      <c r="B110" s="48"/>
      <c r="C110" s="48"/>
      <c r="D110" s="48"/>
      <c r="E110" s="48"/>
      <c r="F110" s="48"/>
      <c r="G110" s="48"/>
      <c r="H110" s="48"/>
      <c r="I110" s="48"/>
      <c r="J110" s="48"/>
      <c r="K110" s="48"/>
      <c r="L110" s="48"/>
      <c r="M110" s="48"/>
      <c r="N110" s="48"/>
      <c r="O110" s="48"/>
      <c r="P110" s="48"/>
      <c r="Q110" s="48"/>
      <c r="R110" s="48"/>
      <c r="S110" s="48"/>
      <c r="T110" s="48"/>
      <c r="U110" s="48"/>
      <c r="V110" s="48"/>
      <c r="W110" s="48"/>
      <c r="X110" s="48"/>
      <c r="Y110" s="48"/>
      <c r="Z110" s="48"/>
      <c r="AA110" s="48"/>
      <c r="AB110" s="48"/>
      <c r="AC110" s="48"/>
      <c r="AD110" s="48"/>
      <c r="AE110" s="48"/>
      <c r="AF110" s="48"/>
      <c r="AG110" s="48"/>
      <c r="AH110" s="48"/>
      <c r="AI110" s="48"/>
      <c r="AJ110" s="48"/>
      <c r="AK110" s="48"/>
      <c r="AL110" s="48"/>
      <c r="AM110" s="48"/>
      <c r="AN110" s="48"/>
      <c r="AO110" s="48"/>
      <c r="AP110" s="48"/>
      <c r="AQ110" s="48"/>
      <c r="AR110" s="48"/>
      <c r="AS110" s="48"/>
      <c r="AT110" s="48"/>
      <c r="AU110" s="48"/>
      <c r="AV110" s="48"/>
      <c r="AW110" s="48"/>
      <c r="AX110" s="48"/>
      <c r="AY110" s="48"/>
      <c r="AZ110" s="48"/>
    </row>
    <row r="111" spans="1:52" ht="17.100000000000001" customHeight="1">
      <c r="A111" s="47"/>
      <c r="B111" s="48"/>
      <c r="C111" s="48"/>
      <c r="D111" s="48"/>
      <c r="E111" s="48"/>
      <c r="F111" s="48"/>
      <c r="G111" s="48"/>
      <c r="H111" s="48"/>
      <c r="I111" s="48"/>
      <c r="J111" s="48"/>
      <c r="K111" s="48"/>
      <c r="L111" s="48"/>
      <c r="M111" s="48"/>
      <c r="N111" s="48"/>
      <c r="O111" s="48"/>
      <c r="P111" s="48"/>
      <c r="Q111" s="48"/>
      <c r="R111" s="48"/>
      <c r="S111" s="48"/>
      <c r="T111" s="48"/>
      <c r="U111" s="48"/>
      <c r="V111" s="48"/>
      <c r="W111" s="48"/>
      <c r="X111" s="48"/>
      <c r="Y111" s="48"/>
      <c r="Z111" s="48"/>
      <c r="AA111" s="48"/>
      <c r="AB111" s="48"/>
      <c r="AC111" s="48"/>
      <c r="AD111" s="48"/>
      <c r="AE111" s="48"/>
      <c r="AF111" s="48"/>
      <c r="AG111" s="48"/>
      <c r="AH111" s="48"/>
      <c r="AI111" s="48"/>
      <c r="AJ111" s="48"/>
      <c r="AK111" s="48"/>
      <c r="AL111" s="48"/>
      <c r="AM111" s="48"/>
      <c r="AN111" s="48"/>
      <c r="AO111" s="48"/>
      <c r="AP111" s="48"/>
      <c r="AQ111" s="48"/>
      <c r="AR111" s="48"/>
      <c r="AS111" s="48"/>
      <c r="AT111" s="48"/>
      <c r="AU111" s="48"/>
      <c r="AV111" s="48"/>
      <c r="AW111" s="48"/>
      <c r="AX111" s="48"/>
      <c r="AY111" s="48"/>
      <c r="AZ111" s="48"/>
    </row>
    <row r="112" spans="1:52" ht="17.100000000000001" customHeight="1">
      <c r="A112" s="47"/>
      <c r="B112" s="48"/>
      <c r="C112" s="48"/>
      <c r="D112" s="48"/>
      <c r="E112" s="48"/>
      <c r="F112" s="48"/>
      <c r="G112" s="48"/>
      <c r="H112" s="48"/>
      <c r="I112" s="48"/>
      <c r="J112" s="48"/>
      <c r="K112" s="48"/>
      <c r="L112" s="48"/>
      <c r="M112" s="48"/>
      <c r="N112" s="48"/>
      <c r="O112" s="48"/>
      <c r="P112" s="48"/>
      <c r="Q112" s="48"/>
      <c r="R112" s="48"/>
      <c r="S112" s="48"/>
      <c r="T112" s="48"/>
      <c r="U112" s="48"/>
      <c r="V112" s="48"/>
      <c r="W112" s="48"/>
      <c r="X112" s="48"/>
      <c r="Y112" s="48"/>
      <c r="Z112" s="48"/>
      <c r="AA112" s="48"/>
      <c r="AB112" s="48"/>
      <c r="AC112" s="48"/>
      <c r="AD112" s="48"/>
      <c r="AE112" s="48"/>
      <c r="AF112" s="48"/>
      <c r="AG112" s="48"/>
      <c r="AH112" s="48"/>
      <c r="AI112" s="48"/>
      <c r="AJ112" s="48"/>
      <c r="AK112" s="48"/>
      <c r="AL112" s="48"/>
      <c r="AM112" s="48"/>
      <c r="AN112" s="48"/>
      <c r="AO112" s="48"/>
      <c r="AP112" s="48"/>
      <c r="AQ112" s="48"/>
      <c r="AR112" s="48"/>
      <c r="AS112" s="48"/>
      <c r="AT112" s="48"/>
      <c r="AU112" s="48"/>
      <c r="AV112" s="48"/>
      <c r="AW112" s="48"/>
      <c r="AX112" s="48"/>
      <c r="AY112" s="48"/>
      <c r="AZ112" s="48"/>
    </row>
    <row r="113" spans="1:52" ht="17.100000000000001" customHeight="1">
      <c r="A113" s="47"/>
      <c r="B113" s="48"/>
      <c r="C113" s="48"/>
      <c r="D113" s="48"/>
      <c r="E113" s="48"/>
      <c r="F113" s="48"/>
      <c r="G113" s="48"/>
      <c r="H113" s="48"/>
      <c r="I113" s="48"/>
      <c r="J113" s="48"/>
      <c r="K113" s="48"/>
      <c r="L113" s="48"/>
      <c r="M113" s="48"/>
      <c r="N113" s="48"/>
      <c r="O113" s="48"/>
      <c r="P113" s="48"/>
      <c r="Q113" s="48"/>
      <c r="R113" s="48"/>
      <c r="S113" s="48"/>
      <c r="T113" s="48"/>
      <c r="U113" s="48"/>
      <c r="V113" s="48"/>
      <c r="W113" s="48"/>
      <c r="X113" s="48"/>
      <c r="Y113" s="48"/>
      <c r="Z113" s="48"/>
      <c r="AA113" s="48"/>
      <c r="AB113" s="48"/>
      <c r="AC113" s="48"/>
      <c r="AD113" s="48"/>
      <c r="AE113" s="48"/>
      <c r="AF113" s="48"/>
      <c r="AG113" s="48"/>
      <c r="AH113" s="48"/>
      <c r="AI113" s="48"/>
      <c r="AJ113" s="48"/>
      <c r="AK113" s="48"/>
      <c r="AL113" s="48"/>
      <c r="AM113" s="48"/>
      <c r="AN113" s="48"/>
      <c r="AO113" s="48"/>
      <c r="AP113" s="48"/>
      <c r="AQ113" s="48"/>
      <c r="AR113" s="48"/>
      <c r="AS113" s="48"/>
      <c r="AT113" s="48"/>
      <c r="AU113" s="48"/>
      <c r="AV113" s="48"/>
      <c r="AW113" s="48"/>
      <c r="AX113" s="48"/>
      <c r="AY113" s="48"/>
      <c r="AZ113" s="48"/>
    </row>
    <row r="114" spans="1:52" ht="17.100000000000001" customHeight="1">
      <c r="A114" s="47"/>
      <c r="B114" s="48"/>
      <c r="C114" s="48"/>
      <c r="D114" s="48"/>
      <c r="E114" s="48"/>
      <c r="F114" s="48"/>
      <c r="G114" s="48"/>
      <c r="H114" s="48"/>
      <c r="I114" s="48"/>
      <c r="J114" s="48"/>
      <c r="K114" s="48"/>
      <c r="L114" s="48"/>
      <c r="M114" s="48"/>
      <c r="N114" s="48"/>
      <c r="O114" s="48"/>
      <c r="P114" s="48"/>
      <c r="Q114" s="48"/>
      <c r="R114" s="48"/>
      <c r="S114" s="48"/>
      <c r="T114" s="48"/>
      <c r="U114" s="48"/>
      <c r="V114" s="48"/>
      <c r="W114" s="48"/>
      <c r="X114" s="48"/>
      <c r="Y114" s="48"/>
      <c r="Z114" s="48"/>
      <c r="AA114" s="48"/>
      <c r="AB114" s="48"/>
      <c r="AC114" s="48"/>
      <c r="AD114" s="48"/>
      <c r="AE114" s="48"/>
      <c r="AF114" s="48"/>
      <c r="AG114" s="48"/>
      <c r="AH114" s="48"/>
      <c r="AI114" s="48"/>
      <c r="AJ114" s="48"/>
      <c r="AK114" s="48"/>
      <c r="AL114" s="48"/>
      <c r="AM114" s="48"/>
      <c r="AN114" s="48"/>
      <c r="AO114" s="48"/>
      <c r="AP114" s="48"/>
      <c r="AQ114" s="48"/>
      <c r="AR114" s="48"/>
      <c r="AS114" s="48"/>
      <c r="AT114" s="48"/>
      <c r="AU114" s="48"/>
      <c r="AV114" s="48"/>
      <c r="AW114" s="48"/>
      <c r="AX114" s="48"/>
      <c r="AY114" s="48"/>
      <c r="AZ114" s="48"/>
    </row>
    <row r="115" spans="1:52" ht="17.100000000000001" customHeight="1">
      <c r="A115" s="47"/>
      <c r="B115" s="48"/>
      <c r="C115" s="48"/>
      <c r="D115" s="48"/>
      <c r="E115" s="48"/>
      <c r="F115" s="48"/>
      <c r="G115" s="48"/>
      <c r="H115" s="48"/>
      <c r="I115" s="48"/>
      <c r="J115" s="48"/>
      <c r="K115" s="48"/>
      <c r="L115" s="48"/>
      <c r="M115" s="48"/>
      <c r="N115" s="48"/>
      <c r="O115" s="48"/>
      <c r="P115" s="48"/>
      <c r="Q115" s="48"/>
      <c r="R115" s="48"/>
      <c r="S115" s="48"/>
      <c r="T115" s="48"/>
      <c r="U115" s="48"/>
      <c r="V115" s="48"/>
      <c r="W115" s="48"/>
      <c r="X115" s="48"/>
      <c r="Y115" s="48"/>
      <c r="Z115" s="48"/>
      <c r="AA115" s="48"/>
      <c r="AB115" s="48"/>
      <c r="AC115" s="48"/>
      <c r="AD115" s="48"/>
      <c r="AE115" s="48"/>
      <c r="AF115" s="48"/>
      <c r="AG115" s="48"/>
      <c r="AH115" s="48"/>
      <c r="AI115" s="48"/>
      <c r="AJ115" s="48"/>
      <c r="AK115" s="48"/>
      <c r="AL115" s="48"/>
      <c r="AM115" s="48"/>
      <c r="AN115" s="48"/>
      <c r="AO115" s="48"/>
      <c r="AP115" s="48"/>
      <c r="AQ115" s="48"/>
      <c r="AR115" s="48"/>
      <c r="AS115" s="48"/>
      <c r="AT115" s="48"/>
      <c r="AU115" s="48"/>
      <c r="AV115" s="48"/>
      <c r="AW115" s="48"/>
      <c r="AX115" s="48"/>
      <c r="AY115" s="48"/>
      <c r="AZ115" s="48"/>
    </row>
    <row r="116" spans="1:52" ht="17.100000000000001" customHeight="1">
      <c r="A116" s="47"/>
      <c r="B116" s="48"/>
      <c r="C116" s="48"/>
      <c r="D116" s="48"/>
      <c r="E116" s="48"/>
      <c r="F116" s="48"/>
      <c r="G116" s="48"/>
      <c r="H116" s="48"/>
      <c r="I116" s="48"/>
      <c r="J116" s="48"/>
      <c r="K116" s="48"/>
      <c r="L116" s="48"/>
      <c r="M116" s="48"/>
      <c r="N116" s="48"/>
      <c r="O116" s="48"/>
      <c r="P116" s="48"/>
      <c r="Q116" s="48"/>
      <c r="R116" s="48"/>
      <c r="S116" s="48"/>
      <c r="T116" s="48"/>
      <c r="U116" s="48"/>
      <c r="V116" s="48"/>
      <c r="W116" s="48"/>
      <c r="X116" s="48"/>
      <c r="Y116" s="48"/>
      <c r="Z116" s="48"/>
      <c r="AA116" s="48"/>
      <c r="AB116" s="48"/>
      <c r="AC116" s="48"/>
      <c r="AD116" s="48"/>
      <c r="AE116" s="48"/>
      <c r="AF116" s="48"/>
      <c r="AG116" s="48"/>
      <c r="AH116" s="48"/>
      <c r="AI116" s="48"/>
      <c r="AJ116" s="48"/>
      <c r="AK116" s="48"/>
      <c r="AL116" s="48"/>
      <c r="AM116" s="48"/>
      <c r="AN116" s="48"/>
      <c r="AO116" s="48"/>
      <c r="AP116" s="48"/>
      <c r="AQ116" s="48"/>
      <c r="AR116" s="48"/>
      <c r="AS116" s="48"/>
      <c r="AT116" s="48"/>
      <c r="AU116" s="48"/>
      <c r="AV116" s="48"/>
      <c r="AW116" s="48"/>
      <c r="AX116" s="48"/>
      <c r="AY116" s="48"/>
      <c r="AZ116" s="48"/>
    </row>
    <row r="117" spans="1:52" ht="17.100000000000001" customHeight="1">
      <c r="A117" s="47"/>
      <c r="B117" s="48"/>
      <c r="C117" s="48"/>
      <c r="D117" s="48"/>
      <c r="E117" s="48"/>
      <c r="F117" s="48"/>
      <c r="G117" s="48"/>
      <c r="H117" s="48"/>
      <c r="I117" s="48"/>
      <c r="J117" s="48"/>
      <c r="K117" s="48"/>
      <c r="L117" s="48"/>
      <c r="M117" s="48"/>
      <c r="N117" s="48"/>
      <c r="O117" s="48"/>
      <c r="P117" s="48"/>
      <c r="Q117" s="48"/>
      <c r="R117" s="48"/>
      <c r="S117" s="48"/>
      <c r="T117" s="48"/>
      <c r="U117" s="48"/>
      <c r="V117" s="48"/>
      <c r="W117" s="48"/>
      <c r="X117" s="48"/>
      <c r="Y117" s="48"/>
      <c r="Z117" s="48"/>
      <c r="AA117" s="48"/>
      <c r="AB117" s="48"/>
      <c r="AC117" s="48"/>
      <c r="AD117" s="48"/>
      <c r="AE117" s="48"/>
      <c r="AF117" s="48"/>
      <c r="AG117" s="48"/>
      <c r="AH117" s="48"/>
      <c r="AI117" s="48"/>
      <c r="AJ117" s="48"/>
      <c r="AK117" s="48"/>
      <c r="AL117" s="48"/>
      <c r="AM117" s="48"/>
      <c r="AN117" s="48"/>
      <c r="AO117" s="48"/>
      <c r="AP117" s="48"/>
      <c r="AQ117" s="48"/>
      <c r="AR117" s="48"/>
      <c r="AS117" s="48"/>
      <c r="AT117" s="48"/>
      <c r="AU117" s="48"/>
      <c r="AV117" s="48"/>
      <c r="AW117" s="48"/>
      <c r="AX117" s="48"/>
      <c r="AY117" s="48"/>
      <c r="AZ117" s="48"/>
    </row>
    <row r="118" spans="1:52" ht="17.100000000000001" customHeight="1">
      <c r="A118" s="47"/>
      <c r="B118" s="48"/>
      <c r="C118" s="48"/>
      <c r="D118" s="48"/>
      <c r="E118" s="48"/>
      <c r="F118" s="48"/>
      <c r="G118" s="48"/>
      <c r="H118" s="48"/>
      <c r="I118" s="48"/>
      <c r="J118" s="48"/>
      <c r="K118" s="48"/>
      <c r="L118" s="48"/>
      <c r="M118" s="48"/>
      <c r="N118" s="48"/>
      <c r="O118" s="48"/>
      <c r="P118" s="48"/>
      <c r="Q118" s="48"/>
      <c r="R118" s="48"/>
      <c r="S118" s="48"/>
      <c r="T118" s="48"/>
      <c r="U118" s="48"/>
      <c r="V118" s="48"/>
      <c r="W118" s="48"/>
      <c r="X118" s="48"/>
      <c r="Y118" s="48"/>
      <c r="Z118" s="48"/>
      <c r="AA118" s="48"/>
      <c r="AB118" s="48"/>
      <c r="AC118" s="48"/>
      <c r="AD118" s="48"/>
      <c r="AE118" s="48"/>
      <c r="AF118" s="48"/>
      <c r="AG118" s="48"/>
      <c r="AH118" s="48"/>
      <c r="AI118" s="48"/>
      <c r="AJ118" s="48"/>
      <c r="AK118" s="48"/>
      <c r="AL118" s="48"/>
      <c r="AM118" s="48"/>
      <c r="AN118" s="48"/>
      <c r="AO118" s="48"/>
      <c r="AP118" s="48"/>
      <c r="AQ118" s="48"/>
      <c r="AR118" s="48"/>
      <c r="AS118" s="48"/>
      <c r="AT118" s="48"/>
      <c r="AU118" s="48"/>
      <c r="AV118" s="48"/>
      <c r="AW118" s="48"/>
      <c r="AX118" s="48"/>
      <c r="AY118" s="48"/>
      <c r="AZ118" s="48"/>
    </row>
    <row r="119" spans="1:52" ht="17.100000000000001" customHeight="1">
      <c r="A119" s="47"/>
      <c r="B119" s="48"/>
      <c r="C119" s="48"/>
      <c r="D119" s="48"/>
      <c r="E119" s="48"/>
      <c r="F119" s="48"/>
      <c r="G119" s="48"/>
      <c r="H119" s="48"/>
      <c r="I119" s="48"/>
      <c r="J119" s="48"/>
      <c r="K119" s="48"/>
      <c r="L119" s="48"/>
      <c r="M119" s="48"/>
      <c r="N119" s="48"/>
      <c r="O119" s="48"/>
      <c r="P119" s="48"/>
      <c r="Q119" s="48"/>
      <c r="R119" s="48"/>
      <c r="S119" s="48"/>
      <c r="T119" s="48"/>
      <c r="U119" s="48"/>
      <c r="V119" s="48"/>
      <c r="W119" s="48"/>
      <c r="X119" s="48"/>
      <c r="Y119" s="48"/>
      <c r="Z119" s="48"/>
      <c r="AA119" s="48"/>
      <c r="AB119" s="48"/>
      <c r="AC119" s="48"/>
      <c r="AD119" s="48"/>
      <c r="AE119" s="48"/>
      <c r="AF119" s="48"/>
      <c r="AG119" s="48"/>
      <c r="AH119" s="48"/>
      <c r="AI119" s="48"/>
      <c r="AJ119" s="48"/>
      <c r="AK119" s="48"/>
      <c r="AL119" s="48"/>
      <c r="AM119" s="48"/>
      <c r="AN119" s="48"/>
      <c r="AO119" s="48"/>
      <c r="AP119" s="48"/>
      <c r="AQ119" s="48"/>
      <c r="AR119" s="48"/>
      <c r="AS119" s="48"/>
      <c r="AT119" s="48"/>
      <c r="AU119" s="48"/>
      <c r="AV119" s="48"/>
      <c r="AW119" s="48"/>
      <c r="AX119" s="48"/>
      <c r="AY119" s="48"/>
      <c r="AZ119" s="48"/>
    </row>
    <row r="120" spans="1:52" ht="17.100000000000001" customHeight="1">
      <c r="A120" s="47"/>
      <c r="B120" s="48"/>
      <c r="C120" s="48"/>
      <c r="D120" s="48"/>
      <c r="E120" s="48"/>
      <c r="F120" s="48"/>
      <c r="G120" s="48"/>
      <c r="H120" s="48"/>
      <c r="I120" s="48"/>
      <c r="J120" s="48"/>
      <c r="K120" s="48"/>
      <c r="L120" s="48"/>
      <c r="M120" s="48"/>
      <c r="N120" s="48"/>
      <c r="O120" s="48"/>
      <c r="P120" s="48"/>
      <c r="Q120" s="48"/>
      <c r="R120" s="48"/>
      <c r="S120" s="48"/>
      <c r="T120" s="48"/>
      <c r="U120" s="48"/>
      <c r="V120" s="48"/>
      <c r="W120" s="48"/>
      <c r="X120" s="48"/>
      <c r="Y120" s="48"/>
      <c r="Z120" s="48"/>
      <c r="AA120" s="48"/>
      <c r="AB120" s="48"/>
      <c r="AC120" s="48"/>
      <c r="AD120" s="48"/>
      <c r="AE120" s="48"/>
      <c r="AF120" s="48"/>
      <c r="AG120" s="48"/>
      <c r="AH120" s="48"/>
      <c r="AI120" s="48"/>
      <c r="AJ120" s="48"/>
      <c r="AK120" s="48"/>
      <c r="AL120" s="48"/>
      <c r="AM120" s="48"/>
      <c r="AN120" s="48"/>
      <c r="AO120" s="48"/>
      <c r="AP120" s="48"/>
      <c r="AQ120" s="48"/>
      <c r="AR120" s="48"/>
      <c r="AS120" s="48"/>
      <c r="AT120" s="48"/>
      <c r="AU120" s="48"/>
      <c r="AV120" s="48"/>
      <c r="AW120" s="48"/>
      <c r="AX120" s="48"/>
      <c r="AY120" s="48"/>
      <c r="AZ120" s="48"/>
    </row>
    <row r="121" spans="1:52" ht="17.100000000000001" customHeight="1">
      <c r="A121" s="47"/>
      <c r="B121" s="48"/>
      <c r="C121" s="48"/>
      <c r="D121" s="48"/>
      <c r="E121" s="48"/>
      <c r="F121" s="48"/>
      <c r="G121" s="48"/>
      <c r="H121" s="48"/>
      <c r="I121" s="48"/>
      <c r="J121" s="48"/>
      <c r="K121" s="48"/>
      <c r="L121" s="48"/>
      <c r="M121" s="48"/>
      <c r="N121" s="48"/>
      <c r="O121" s="48"/>
      <c r="P121" s="48"/>
      <c r="Q121" s="48"/>
      <c r="R121" s="48"/>
      <c r="S121" s="48"/>
      <c r="T121" s="48"/>
      <c r="U121" s="48"/>
      <c r="V121" s="48"/>
      <c r="W121" s="48"/>
      <c r="X121" s="48"/>
      <c r="Y121" s="48"/>
      <c r="Z121" s="48"/>
      <c r="AA121" s="48"/>
      <c r="AB121" s="48"/>
      <c r="AC121" s="48"/>
      <c r="AD121" s="48"/>
      <c r="AE121" s="48"/>
      <c r="AF121" s="48"/>
      <c r="AG121" s="48"/>
      <c r="AH121" s="48"/>
      <c r="AI121" s="48"/>
      <c r="AJ121" s="48"/>
      <c r="AK121" s="48"/>
      <c r="AL121" s="48"/>
      <c r="AM121" s="48"/>
      <c r="AN121" s="48"/>
      <c r="AO121" s="48"/>
      <c r="AP121" s="48"/>
      <c r="AQ121" s="48"/>
      <c r="AR121" s="48"/>
      <c r="AS121" s="48"/>
      <c r="AT121" s="48"/>
      <c r="AU121" s="48"/>
      <c r="AV121" s="48"/>
      <c r="AW121" s="48"/>
      <c r="AX121" s="48"/>
      <c r="AY121" s="48"/>
      <c r="AZ121" s="48"/>
    </row>
    <row r="122" spans="1:52" ht="17.100000000000001" customHeight="1">
      <c r="A122" s="47"/>
      <c r="B122" s="48"/>
      <c r="C122" s="48"/>
      <c r="D122" s="48"/>
      <c r="E122" s="48"/>
      <c r="F122" s="48"/>
      <c r="G122" s="48"/>
      <c r="H122" s="48"/>
      <c r="I122" s="48"/>
      <c r="J122" s="48"/>
      <c r="K122" s="48"/>
      <c r="L122" s="48"/>
      <c r="M122" s="48"/>
      <c r="N122" s="48"/>
      <c r="O122" s="48"/>
      <c r="P122" s="48"/>
      <c r="Q122" s="48"/>
      <c r="R122" s="48"/>
      <c r="S122" s="48"/>
      <c r="T122" s="48"/>
      <c r="U122" s="48"/>
      <c r="V122" s="48"/>
      <c r="W122" s="48"/>
      <c r="X122" s="48"/>
      <c r="Y122" s="48"/>
      <c r="Z122" s="48"/>
      <c r="AA122" s="48"/>
      <c r="AB122" s="48"/>
      <c r="AC122" s="48"/>
      <c r="AD122" s="48"/>
      <c r="AE122" s="48"/>
      <c r="AF122" s="48"/>
      <c r="AG122" s="48"/>
      <c r="AH122" s="48"/>
      <c r="AI122" s="48"/>
      <c r="AJ122" s="48"/>
      <c r="AK122" s="48"/>
      <c r="AL122" s="48"/>
      <c r="AM122" s="48"/>
      <c r="AN122" s="48"/>
      <c r="AO122" s="48"/>
      <c r="AP122" s="48"/>
      <c r="AQ122" s="48"/>
      <c r="AR122" s="48"/>
      <c r="AS122" s="48"/>
      <c r="AT122" s="48"/>
      <c r="AU122" s="48"/>
      <c r="AV122" s="48"/>
      <c r="AW122" s="48"/>
      <c r="AX122" s="48"/>
      <c r="AY122" s="48"/>
      <c r="AZ122" s="48"/>
    </row>
    <row r="123" spans="1:52" ht="17.100000000000001" customHeight="1">
      <c r="A123" s="47"/>
      <c r="B123" s="48"/>
      <c r="C123" s="48"/>
      <c r="D123" s="48"/>
      <c r="E123" s="48"/>
      <c r="F123" s="48"/>
      <c r="G123" s="48"/>
      <c r="H123" s="48"/>
      <c r="I123" s="48"/>
      <c r="J123" s="48"/>
      <c r="K123" s="48"/>
      <c r="L123" s="48"/>
      <c r="M123" s="48"/>
      <c r="N123" s="48"/>
      <c r="O123" s="48"/>
      <c r="P123" s="48"/>
      <c r="Q123" s="48"/>
      <c r="R123" s="48"/>
      <c r="S123" s="48"/>
      <c r="T123" s="48"/>
      <c r="U123" s="48"/>
      <c r="V123" s="48"/>
      <c r="W123" s="48"/>
      <c r="X123" s="48"/>
      <c r="Y123" s="48"/>
      <c r="Z123" s="48"/>
      <c r="AA123" s="48"/>
      <c r="AB123" s="48"/>
      <c r="AC123" s="48"/>
      <c r="AD123" s="48"/>
      <c r="AE123" s="48"/>
      <c r="AF123" s="48"/>
      <c r="AG123" s="48"/>
      <c r="AH123" s="48"/>
      <c r="AI123" s="48"/>
      <c r="AJ123" s="48"/>
      <c r="AK123" s="48"/>
      <c r="AL123" s="48"/>
      <c r="AM123" s="48"/>
      <c r="AN123" s="48"/>
      <c r="AO123" s="48"/>
      <c r="AP123" s="48"/>
      <c r="AQ123" s="48"/>
      <c r="AR123" s="48"/>
      <c r="AS123" s="48"/>
      <c r="AT123" s="48"/>
      <c r="AU123" s="48"/>
      <c r="AV123" s="48"/>
      <c r="AW123" s="48"/>
      <c r="AX123" s="48"/>
      <c r="AY123" s="48"/>
      <c r="AZ123" s="48"/>
    </row>
    <row r="124" spans="1:52" ht="17.100000000000001" customHeight="1">
      <c r="A124" s="47"/>
      <c r="B124" s="48"/>
      <c r="C124" s="48"/>
      <c r="D124" s="48"/>
      <c r="E124" s="48"/>
      <c r="F124" s="48"/>
      <c r="G124" s="48"/>
      <c r="H124" s="48"/>
      <c r="I124" s="48"/>
      <c r="J124" s="48"/>
      <c r="K124" s="48"/>
      <c r="L124" s="48"/>
      <c r="M124" s="48"/>
      <c r="N124" s="48"/>
      <c r="O124" s="48"/>
      <c r="P124" s="48"/>
      <c r="Q124" s="48"/>
      <c r="R124" s="48"/>
      <c r="S124" s="48"/>
      <c r="T124" s="48"/>
      <c r="U124" s="48"/>
      <c r="V124" s="48"/>
      <c r="W124" s="48"/>
      <c r="X124" s="48"/>
      <c r="Y124" s="48"/>
      <c r="Z124" s="48"/>
      <c r="AA124" s="48"/>
      <c r="AB124" s="48"/>
      <c r="AC124" s="48"/>
      <c r="AD124" s="48"/>
      <c r="AE124" s="48"/>
      <c r="AF124" s="48"/>
      <c r="AG124" s="48"/>
      <c r="AH124" s="48"/>
      <c r="AI124" s="48"/>
      <c r="AJ124" s="48"/>
      <c r="AK124" s="48"/>
      <c r="AL124" s="48"/>
      <c r="AM124" s="48"/>
      <c r="AN124" s="48"/>
      <c r="AO124" s="48"/>
      <c r="AP124" s="48"/>
      <c r="AQ124" s="48"/>
      <c r="AR124" s="48"/>
      <c r="AS124" s="48"/>
      <c r="AT124" s="48"/>
      <c r="AU124" s="48"/>
      <c r="AV124" s="48"/>
      <c r="AW124" s="48"/>
      <c r="AX124" s="48"/>
      <c r="AY124" s="48"/>
      <c r="AZ124" s="48"/>
    </row>
    <row r="125" spans="1:52" ht="17.100000000000001" customHeight="1">
      <c r="A125" s="47"/>
      <c r="B125" s="48"/>
      <c r="C125" s="48"/>
      <c r="D125" s="48"/>
      <c r="E125" s="48"/>
      <c r="F125" s="48"/>
      <c r="G125" s="48"/>
      <c r="H125" s="48"/>
      <c r="I125" s="48"/>
      <c r="J125" s="48"/>
      <c r="K125" s="48"/>
      <c r="L125" s="48"/>
      <c r="M125" s="48"/>
      <c r="N125" s="48"/>
      <c r="O125" s="48"/>
      <c r="P125" s="48"/>
      <c r="Q125" s="48"/>
      <c r="R125" s="48"/>
      <c r="S125" s="48"/>
      <c r="T125" s="48"/>
      <c r="U125" s="48"/>
      <c r="V125" s="48"/>
      <c r="W125" s="48"/>
      <c r="X125" s="48"/>
      <c r="Y125" s="48"/>
      <c r="Z125" s="48"/>
      <c r="AA125" s="48"/>
      <c r="AB125" s="48"/>
      <c r="AC125" s="48"/>
      <c r="AD125" s="48"/>
      <c r="AE125" s="48"/>
      <c r="AF125" s="48"/>
      <c r="AG125" s="48"/>
      <c r="AH125" s="48"/>
      <c r="AI125" s="48"/>
      <c r="AJ125" s="48"/>
      <c r="AK125" s="48"/>
      <c r="AL125" s="48"/>
      <c r="AM125" s="48"/>
      <c r="AN125" s="48"/>
      <c r="AO125" s="48"/>
      <c r="AP125" s="48"/>
      <c r="AQ125" s="48"/>
      <c r="AR125" s="48"/>
      <c r="AS125" s="48"/>
      <c r="AT125" s="48"/>
      <c r="AU125" s="48"/>
      <c r="AV125" s="48"/>
      <c r="AW125" s="48"/>
      <c r="AX125" s="48"/>
      <c r="AY125" s="48"/>
      <c r="AZ125" s="48"/>
    </row>
    <row r="126" spans="1:52" ht="17.100000000000001" customHeight="1">
      <c r="A126" s="47"/>
      <c r="B126" s="48"/>
      <c r="C126" s="48"/>
      <c r="D126" s="48"/>
      <c r="E126" s="48"/>
      <c r="F126" s="48"/>
      <c r="G126" s="48"/>
      <c r="H126" s="48"/>
      <c r="I126" s="48"/>
      <c r="J126" s="48"/>
      <c r="K126" s="48"/>
      <c r="L126" s="48"/>
      <c r="M126" s="48"/>
      <c r="N126" s="48"/>
      <c r="O126" s="48"/>
      <c r="P126" s="48"/>
      <c r="Q126" s="48"/>
      <c r="R126" s="48"/>
      <c r="S126" s="48"/>
      <c r="T126" s="48"/>
      <c r="U126" s="48"/>
      <c r="V126" s="48"/>
      <c r="W126" s="48"/>
      <c r="X126" s="48"/>
      <c r="Y126" s="48"/>
      <c r="Z126" s="48"/>
      <c r="AA126" s="48"/>
      <c r="AB126" s="48"/>
      <c r="AC126" s="48"/>
      <c r="AD126" s="48"/>
      <c r="AE126" s="48"/>
      <c r="AF126" s="48"/>
      <c r="AG126" s="48"/>
      <c r="AH126" s="48"/>
      <c r="AI126" s="48"/>
      <c r="AJ126" s="48"/>
      <c r="AK126" s="48"/>
      <c r="AL126" s="48"/>
      <c r="AM126" s="48"/>
      <c r="AN126" s="48"/>
      <c r="AO126" s="48"/>
      <c r="AP126" s="48"/>
      <c r="AQ126" s="48"/>
      <c r="AR126" s="48"/>
      <c r="AS126" s="48"/>
      <c r="AT126" s="48"/>
      <c r="AU126" s="48"/>
      <c r="AV126" s="48"/>
      <c r="AW126" s="48"/>
      <c r="AX126" s="48"/>
      <c r="AY126" s="48"/>
      <c r="AZ126" s="48"/>
    </row>
    <row r="127" spans="1:52" ht="17.100000000000001" customHeight="1">
      <c r="A127" s="47"/>
      <c r="B127" s="48"/>
      <c r="C127" s="48"/>
      <c r="D127" s="48"/>
      <c r="E127" s="48"/>
      <c r="F127" s="48"/>
      <c r="G127" s="48"/>
      <c r="H127" s="48"/>
      <c r="I127" s="48"/>
      <c r="J127" s="48"/>
      <c r="K127" s="48"/>
      <c r="L127" s="48"/>
      <c r="M127" s="48"/>
      <c r="N127" s="48"/>
      <c r="O127" s="48"/>
      <c r="P127" s="48"/>
      <c r="Q127" s="48"/>
      <c r="R127" s="48"/>
      <c r="S127" s="48"/>
      <c r="T127" s="48"/>
      <c r="U127" s="48"/>
      <c r="V127" s="48"/>
      <c r="W127" s="48"/>
      <c r="X127" s="48"/>
      <c r="Y127" s="48"/>
      <c r="Z127" s="48"/>
      <c r="AA127" s="48"/>
      <c r="AB127" s="48"/>
      <c r="AC127" s="48"/>
      <c r="AD127" s="48"/>
      <c r="AE127" s="48"/>
      <c r="AF127" s="48"/>
      <c r="AG127" s="48"/>
      <c r="AH127" s="48"/>
      <c r="AI127" s="48"/>
      <c r="AJ127" s="48"/>
      <c r="AK127" s="48"/>
      <c r="AL127" s="48"/>
      <c r="AM127" s="48"/>
      <c r="AN127" s="48"/>
      <c r="AO127" s="48"/>
      <c r="AP127" s="48"/>
      <c r="AQ127" s="48"/>
      <c r="AR127" s="48"/>
      <c r="AS127" s="48"/>
      <c r="AT127" s="48"/>
      <c r="AU127" s="48"/>
      <c r="AV127" s="48"/>
      <c r="AW127" s="48"/>
      <c r="AX127" s="48"/>
      <c r="AY127" s="48"/>
      <c r="AZ127" s="48"/>
    </row>
    <row r="128" spans="1:52" ht="17.100000000000001" customHeight="1">
      <c r="A128" s="47"/>
      <c r="B128" s="48"/>
      <c r="C128" s="48"/>
      <c r="D128" s="48"/>
      <c r="E128" s="48"/>
      <c r="F128" s="48"/>
      <c r="G128" s="48"/>
      <c r="H128" s="48"/>
      <c r="I128" s="48"/>
      <c r="J128" s="48"/>
      <c r="K128" s="48"/>
      <c r="L128" s="48"/>
      <c r="M128" s="48"/>
      <c r="N128" s="48"/>
      <c r="O128" s="48"/>
      <c r="P128" s="48"/>
      <c r="Q128" s="48"/>
      <c r="R128" s="48"/>
      <c r="S128" s="48"/>
      <c r="T128" s="48"/>
      <c r="U128" s="48"/>
      <c r="V128" s="48"/>
      <c r="W128" s="48"/>
      <c r="X128" s="48"/>
      <c r="Y128" s="48"/>
      <c r="Z128" s="48"/>
      <c r="AA128" s="48"/>
      <c r="AB128" s="48"/>
      <c r="AC128" s="48"/>
      <c r="AD128" s="48"/>
      <c r="AE128" s="48"/>
      <c r="AF128" s="48"/>
      <c r="AG128" s="48"/>
      <c r="AH128" s="48"/>
      <c r="AI128" s="48"/>
      <c r="AJ128" s="48"/>
      <c r="AK128" s="48"/>
      <c r="AL128" s="48"/>
      <c r="AM128" s="48"/>
      <c r="AN128" s="48"/>
      <c r="AO128" s="48"/>
      <c r="AP128" s="48"/>
      <c r="AQ128" s="48"/>
      <c r="AR128" s="48"/>
      <c r="AS128" s="48"/>
      <c r="AT128" s="48"/>
      <c r="AU128" s="48"/>
      <c r="AV128" s="48"/>
      <c r="AW128" s="48"/>
      <c r="AX128" s="48"/>
      <c r="AY128" s="48"/>
      <c r="AZ128" s="48"/>
    </row>
    <row r="129" spans="1:52" ht="17.100000000000001" customHeight="1">
      <c r="A129" s="47"/>
      <c r="B129" s="48"/>
      <c r="C129" s="48"/>
      <c r="D129" s="48"/>
      <c r="E129" s="48"/>
      <c r="F129" s="48"/>
      <c r="G129" s="48"/>
      <c r="H129" s="48"/>
      <c r="I129" s="48"/>
      <c r="J129" s="48"/>
      <c r="K129" s="48"/>
      <c r="L129" s="48"/>
      <c r="M129" s="48"/>
      <c r="N129" s="48"/>
      <c r="O129" s="48"/>
      <c r="P129" s="48"/>
      <c r="Q129" s="48"/>
      <c r="R129" s="48"/>
      <c r="S129" s="48"/>
      <c r="T129" s="48"/>
      <c r="U129" s="48"/>
      <c r="V129" s="48"/>
      <c r="W129" s="48"/>
      <c r="X129" s="48"/>
      <c r="Y129" s="48"/>
      <c r="Z129" s="48"/>
      <c r="AA129" s="48"/>
      <c r="AB129" s="48"/>
      <c r="AC129" s="48"/>
      <c r="AD129" s="48"/>
      <c r="AE129" s="48"/>
      <c r="AF129" s="48"/>
      <c r="AG129" s="48"/>
      <c r="AH129" s="48"/>
      <c r="AI129" s="48"/>
      <c r="AJ129" s="48"/>
      <c r="AK129" s="48"/>
      <c r="AL129" s="48"/>
      <c r="AM129" s="48"/>
      <c r="AN129" s="48"/>
      <c r="AO129" s="48"/>
      <c r="AP129" s="48"/>
      <c r="AQ129" s="48"/>
      <c r="AR129" s="48"/>
      <c r="AS129" s="48"/>
      <c r="AT129" s="48"/>
      <c r="AU129" s="48"/>
      <c r="AV129" s="48"/>
      <c r="AW129" s="48"/>
      <c r="AX129" s="48"/>
      <c r="AY129" s="48"/>
      <c r="AZ129" s="48"/>
    </row>
    <row r="130" spans="1:52" ht="17.100000000000001" customHeight="1">
      <c r="A130" s="47"/>
      <c r="B130" s="48"/>
      <c r="C130" s="48"/>
      <c r="D130" s="48"/>
      <c r="E130" s="48"/>
      <c r="F130" s="48"/>
      <c r="G130" s="48"/>
      <c r="H130" s="48"/>
      <c r="I130" s="48"/>
      <c r="J130" s="48"/>
      <c r="K130" s="48"/>
      <c r="L130" s="48"/>
      <c r="M130" s="48"/>
      <c r="N130" s="48"/>
      <c r="O130" s="48"/>
      <c r="P130" s="48"/>
      <c r="Q130" s="48"/>
      <c r="R130" s="48"/>
      <c r="S130" s="48"/>
      <c r="T130" s="48"/>
      <c r="U130" s="48"/>
      <c r="V130" s="48"/>
      <c r="W130" s="48"/>
      <c r="X130" s="48"/>
      <c r="Y130" s="48"/>
      <c r="Z130" s="48"/>
      <c r="AA130" s="48"/>
      <c r="AB130" s="48"/>
      <c r="AC130" s="48"/>
      <c r="AD130" s="48"/>
      <c r="AE130" s="48"/>
      <c r="AF130" s="48"/>
      <c r="AG130" s="48"/>
      <c r="AH130" s="48"/>
      <c r="AI130" s="48"/>
      <c r="AJ130" s="48"/>
      <c r="AK130" s="48"/>
      <c r="AL130" s="48"/>
      <c r="AM130" s="48"/>
      <c r="AN130" s="48"/>
      <c r="AO130" s="48"/>
      <c r="AP130" s="48"/>
      <c r="AQ130" s="48"/>
      <c r="AR130" s="48"/>
      <c r="AS130" s="48"/>
      <c r="AT130" s="48"/>
      <c r="AU130" s="48"/>
      <c r="AV130" s="48"/>
      <c r="AW130" s="48"/>
      <c r="AX130" s="48"/>
      <c r="AY130" s="48"/>
      <c r="AZ130" s="48"/>
    </row>
    <row r="131" spans="1:52" ht="17.100000000000001" customHeight="1">
      <c r="A131" s="47"/>
      <c r="B131" s="48"/>
      <c r="C131" s="48"/>
      <c r="D131" s="48"/>
      <c r="E131" s="48"/>
      <c r="F131" s="48"/>
      <c r="G131" s="48"/>
      <c r="H131" s="48"/>
      <c r="I131" s="48"/>
      <c r="J131" s="48"/>
      <c r="K131" s="48"/>
      <c r="L131" s="48"/>
      <c r="M131" s="48"/>
      <c r="N131" s="48"/>
      <c r="O131" s="48"/>
      <c r="P131" s="48"/>
      <c r="Q131" s="48"/>
      <c r="R131" s="48"/>
      <c r="S131" s="48"/>
      <c r="T131" s="48"/>
      <c r="U131" s="48"/>
      <c r="V131" s="48"/>
      <c r="W131" s="48"/>
      <c r="X131" s="48"/>
      <c r="Y131" s="48"/>
      <c r="Z131" s="48"/>
      <c r="AA131" s="48"/>
      <c r="AB131" s="48"/>
      <c r="AC131" s="48"/>
      <c r="AD131" s="48"/>
      <c r="AE131" s="48"/>
      <c r="AF131" s="48"/>
      <c r="AG131" s="48"/>
      <c r="AH131" s="48"/>
      <c r="AI131" s="48"/>
      <c r="AJ131" s="48"/>
      <c r="AK131" s="48"/>
      <c r="AL131" s="48"/>
      <c r="AM131" s="48"/>
      <c r="AN131" s="48"/>
      <c r="AO131" s="48"/>
      <c r="AP131" s="48"/>
      <c r="AQ131" s="48"/>
      <c r="AR131" s="48"/>
      <c r="AS131" s="48"/>
      <c r="AT131" s="48"/>
      <c r="AU131" s="48"/>
      <c r="AV131" s="48"/>
      <c r="AW131" s="48"/>
      <c r="AX131" s="48"/>
      <c r="AY131" s="48"/>
      <c r="AZ131" s="48"/>
    </row>
    <row r="132" spans="1:52" ht="17.100000000000001" customHeight="1">
      <c r="A132" s="47"/>
      <c r="B132" s="48"/>
      <c r="C132" s="48"/>
      <c r="D132" s="48"/>
      <c r="E132" s="48"/>
      <c r="F132" s="48"/>
      <c r="G132" s="48"/>
      <c r="H132" s="48"/>
      <c r="I132" s="48"/>
      <c r="J132" s="48"/>
      <c r="K132" s="48"/>
      <c r="L132" s="48"/>
      <c r="M132" s="48"/>
      <c r="N132" s="48"/>
      <c r="O132" s="48"/>
      <c r="P132" s="48"/>
      <c r="Q132" s="48"/>
      <c r="R132" s="48"/>
      <c r="S132" s="48"/>
      <c r="T132" s="48"/>
      <c r="U132" s="48"/>
      <c r="V132" s="48"/>
      <c r="W132" s="48"/>
      <c r="X132" s="48"/>
      <c r="Y132" s="48"/>
      <c r="Z132" s="48"/>
      <c r="AA132" s="48"/>
      <c r="AB132" s="48"/>
      <c r="AC132" s="48"/>
      <c r="AD132" s="48"/>
      <c r="AE132" s="48"/>
      <c r="AF132" s="48"/>
      <c r="AG132" s="48"/>
      <c r="AH132" s="48"/>
      <c r="AI132" s="48"/>
      <c r="AJ132" s="48"/>
      <c r="AK132" s="48"/>
      <c r="AL132" s="48"/>
      <c r="AM132" s="48"/>
      <c r="AN132" s="48"/>
      <c r="AO132" s="48"/>
      <c r="AP132" s="48"/>
      <c r="AQ132" s="48"/>
      <c r="AR132" s="48"/>
      <c r="AS132" s="48"/>
      <c r="AT132" s="48"/>
      <c r="AU132" s="48"/>
      <c r="AV132" s="48"/>
      <c r="AW132" s="48"/>
      <c r="AX132" s="48"/>
      <c r="AY132" s="48"/>
      <c r="AZ132" s="48"/>
    </row>
    <row r="133" spans="1:52" ht="17.100000000000001" customHeight="1">
      <c r="A133" s="47"/>
      <c r="B133" s="48"/>
      <c r="C133" s="48"/>
      <c r="D133" s="48"/>
      <c r="E133" s="48"/>
      <c r="F133" s="48"/>
      <c r="G133" s="48"/>
      <c r="H133" s="48"/>
      <c r="I133" s="48"/>
      <c r="J133" s="48"/>
      <c r="K133" s="48"/>
      <c r="L133" s="48"/>
      <c r="M133" s="48"/>
      <c r="N133" s="48"/>
      <c r="O133" s="48"/>
      <c r="P133" s="48"/>
      <c r="Q133" s="48"/>
      <c r="R133" s="48"/>
      <c r="S133" s="48"/>
      <c r="T133" s="48"/>
      <c r="U133" s="48"/>
      <c r="V133" s="48"/>
      <c r="W133" s="48"/>
      <c r="X133" s="48"/>
      <c r="Y133" s="48"/>
      <c r="Z133" s="48"/>
      <c r="AA133" s="48"/>
      <c r="AB133" s="48"/>
      <c r="AC133" s="48"/>
      <c r="AD133" s="48"/>
      <c r="AE133" s="48"/>
      <c r="AF133" s="48"/>
      <c r="AG133" s="48"/>
      <c r="AH133" s="48"/>
      <c r="AI133" s="48"/>
      <c r="AJ133" s="48"/>
      <c r="AK133" s="48"/>
      <c r="AL133" s="48"/>
      <c r="AM133" s="48"/>
      <c r="AN133" s="48"/>
      <c r="AO133" s="48"/>
      <c r="AP133" s="48"/>
      <c r="AQ133" s="48"/>
      <c r="AR133" s="48"/>
      <c r="AS133" s="48"/>
      <c r="AT133" s="48"/>
      <c r="AU133" s="48"/>
      <c r="AV133" s="48"/>
      <c r="AW133" s="48"/>
      <c r="AX133" s="48"/>
      <c r="AY133" s="48"/>
      <c r="AZ133" s="48"/>
    </row>
    <row r="134" spans="1:52" ht="17.100000000000001" customHeight="1">
      <c r="A134" s="47"/>
      <c r="B134" s="48"/>
      <c r="C134" s="48"/>
      <c r="D134" s="48"/>
      <c r="E134" s="48"/>
      <c r="F134" s="48"/>
      <c r="G134" s="48"/>
      <c r="H134" s="48"/>
      <c r="I134" s="48"/>
      <c r="J134" s="48"/>
      <c r="K134" s="48"/>
      <c r="L134" s="48"/>
      <c r="M134" s="48"/>
      <c r="N134" s="48"/>
      <c r="O134" s="48"/>
      <c r="P134" s="48"/>
      <c r="Q134" s="48"/>
      <c r="R134" s="48"/>
      <c r="S134" s="48"/>
      <c r="T134" s="48"/>
      <c r="U134" s="48"/>
      <c r="V134" s="48"/>
      <c r="W134" s="48"/>
      <c r="X134" s="48"/>
      <c r="Y134" s="48"/>
      <c r="Z134" s="48"/>
      <c r="AA134" s="48"/>
      <c r="AB134" s="48"/>
      <c r="AC134" s="48"/>
      <c r="AD134" s="48"/>
      <c r="AE134" s="48"/>
      <c r="AF134" s="48"/>
      <c r="AG134" s="48"/>
      <c r="AH134" s="48"/>
      <c r="AI134" s="48"/>
      <c r="AJ134" s="48"/>
      <c r="AK134" s="48"/>
      <c r="AL134" s="48"/>
      <c r="AM134" s="48"/>
      <c r="AN134" s="48"/>
      <c r="AO134" s="48"/>
      <c r="AP134" s="48"/>
      <c r="AQ134" s="48"/>
      <c r="AR134" s="48"/>
      <c r="AS134" s="48"/>
      <c r="AT134" s="48"/>
      <c r="AU134" s="48"/>
      <c r="AV134" s="48"/>
      <c r="AW134" s="48"/>
      <c r="AX134" s="48"/>
      <c r="AY134" s="48"/>
      <c r="AZ134" s="48"/>
    </row>
    <row r="135" spans="1:52" ht="17.100000000000001" customHeight="1">
      <c r="A135" s="47"/>
      <c r="B135" s="48"/>
      <c r="C135" s="48"/>
      <c r="D135" s="48"/>
      <c r="E135" s="48"/>
      <c r="F135" s="48"/>
      <c r="G135" s="48"/>
      <c r="H135" s="48"/>
      <c r="I135" s="48"/>
      <c r="J135" s="48"/>
      <c r="K135" s="48"/>
      <c r="L135" s="48"/>
      <c r="M135" s="48"/>
      <c r="N135" s="48"/>
      <c r="O135" s="48"/>
      <c r="P135" s="48"/>
      <c r="Q135" s="48"/>
      <c r="R135" s="48"/>
      <c r="S135" s="48"/>
      <c r="T135" s="48"/>
      <c r="U135" s="48"/>
      <c r="V135" s="48"/>
      <c r="W135" s="48"/>
      <c r="X135" s="48"/>
      <c r="Y135" s="48"/>
      <c r="Z135" s="48"/>
      <c r="AA135" s="48"/>
      <c r="AB135" s="48"/>
      <c r="AC135" s="48"/>
      <c r="AD135" s="48"/>
      <c r="AE135" s="48"/>
      <c r="AF135" s="48"/>
      <c r="AG135" s="48"/>
      <c r="AH135" s="48"/>
      <c r="AI135" s="48"/>
      <c r="AJ135" s="48"/>
      <c r="AK135" s="48"/>
      <c r="AL135" s="48"/>
      <c r="AM135" s="48"/>
      <c r="AN135" s="48"/>
      <c r="AO135" s="48"/>
      <c r="AP135" s="48"/>
      <c r="AQ135" s="48"/>
      <c r="AR135" s="48"/>
      <c r="AS135" s="48"/>
      <c r="AT135" s="48"/>
      <c r="AU135" s="48"/>
      <c r="AV135" s="48"/>
      <c r="AW135" s="48"/>
      <c r="AX135" s="48"/>
      <c r="AY135" s="48"/>
      <c r="AZ135" s="48"/>
    </row>
    <row r="136" spans="1:52" ht="17.100000000000001" customHeight="1">
      <c r="A136" s="47"/>
      <c r="B136" s="48"/>
      <c r="C136" s="48"/>
      <c r="D136" s="48"/>
      <c r="E136" s="48"/>
      <c r="F136" s="48"/>
      <c r="G136" s="48"/>
      <c r="H136" s="48"/>
      <c r="I136" s="48"/>
      <c r="J136" s="48"/>
      <c r="K136" s="48"/>
      <c r="L136" s="48"/>
      <c r="M136" s="48"/>
      <c r="N136" s="48"/>
      <c r="O136" s="48"/>
      <c r="P136" s="48"/>
      <c r="Q136" s="48"/>
      <c r="R136" s="48"/>
      <c r="S136" s="48"/>
      <c r="T136" s="48"/>
      <c r="U136" s="48"/>
      <c r="V136" s="48"/>
      <c r="W136" s="48"/>
      <c r="X136" s="48"/>
      <c r="Y136" s="48"/>
      <c r="Z136" s="48"/>
      <c r="AA136" s="48"/>
      <c r="AB136" s="48"/>
      <c r="AC136" s="48"/>
      <c r="AD136" s="48"/>
      <c r="AE136" s="48"/>
      <c r="AF136" s="48"/>
      <c r="AG136" s="48"/>
      <c r="AH136" s="48"/>
      <c r="AI136" s="48"/>
      <c r="AJ136" s="48"/>
      <c r="AK136" s="48"/>
      <c r="AL136" s="48"/>
      <c r="AM136" s="48"/>
      <c r="AN136" s="48"/>
      <c r="AO136" s="48"/>
      <c r="AP136" s="48"/>
      <c r="AQ136" s="48"/>
      <c r="AR136" s="48"/>
      <c r="AS136" s="48"/>
      <c r="AT136" s="48"/>
      <c r="AU136" s="48"/>
      <c r="AV136" s="48"/>
      <c r="AW136" s="48"/>
      <c r="AX136" s="48"/>
      <c r="AY136" s="48"/>
      <c r="AZ136" s="48"/>
    </row>
    <row r="137" spans="1:52" ht="17.100000000000001" customHeight="1">
      <c r="A137" s="47"/>
      <c r="B137" s="48"/>
      <c r="C137" s="48"/>
      <c r="D137" s="48"/>
      <c r="E137" s="48"/>
      <c r="F137" s="48"/>
      <c r="G137" s="48"/>
      <c r="H137" s="48"/>
      <c r="I137" s="48"/>
      <c r="J137" s="48"/>
      <c r="K137" s="48"/>
      <c r="L137" s="48"/>
      <c r="M137" s="48"/>
      <c r="N137" s="48"/>
      <c r="O137" s="48"/>
      <c r="P137" s="48"/>
      <c r="Q137" s="48"/>
      <c r="R137" s="48"/>
      <c r="S137" s="48"/>
      <c r="T137" s="48"/>
      <c r="U137" s="48"/>
      <c r="V137" s="48"/>
      <c r="W137" s="48"/>
      <c r="X137" s="48"/>
      <c r="Y137" s="48"/>
      <c r="Z137" s="48"/>
      <c r="AA137" s="48"/>
      <c r="AB137" s="48"/>
      <c r="AC137" s="48"/>
      <c r="AD137" s="48"/>
      <c r="AE137" s="48"/>
      <c r="AF137" s="48"/>
      <c r="AG137" s="48"/>
      <c r="AH137" s="48"/>
      <c r="AI137" s="48"/>
      <c r="AJ137" s="48"/>
      <c r="AK137" s="48"/>
      <c r="AL137" s="48"/>
      <c r="AM137" s="48"/>
      <c r="AN137" s="48"/>
      <c r="AO137" s="48"/>
      <c r="AP137" s="48"/>
      <c r="AQ137" s="48"/>
      <c r="AR137" s="48"/>
      <c r="AS137" s="48"/>
      <c r="AT137" s="48"/>
      <c r="AU137" s="48"/>
      <c r="AV137" s="48"/>
      <c r="AW137" s="48"/>
      <c r="AX137" s="48"/>
      <c r="AY137" s="48"/>
      <c r="AZ137" s="48"/>
    </row>
    <row r="138" spans="1:52" ht="17.100000000000001" customHeight="1">
      <c r="A138" s="47"/>
      <c r="B138" s="48"/>
      <c r="C138" s="48"/>
      <c r="D138" s="48"/>
      <c r="E138" s="48"/>
      <c r="F138" s="48"/>
      <c r="G138" s="48"/>
      <c r="H138" s="48"/>
      <c r="I138" s="48"/>
      <c r="J138" s="48"/>
      <c r="K138" s="48"/>
      <c r="L138" s="48"/>
      <c r="M138" s="48"/>
      <c r="N138" s="48"/>
      <c r="O138" s="48"/>
      <c r="P138" s="48"/>
      <c r="Q138" s="48"/>
      <c r="R138" s="48"/>
      <c r="S138" s="48"/>
      <c r="T138" s="48"/>
      <c r="U138" s="48"/>
      <c r="V138" s="48"/>
      <c r="W138" s="48"/>
      <c r="X138" s="48"/>
      <c r="Y138" s="48"/>
      <c r="Z138" s="48"/>
      <c r="AA138" s="48"/>
      <c r="AB138" s="48"/>
      <c r="AC138" s="48"/>
      <c r="AD138" s="48"/>
      <c r="AE138" s="48"/>
      <c r="AF138" s="48"/>
      <c r="AG138" s="48"/>
      <c r="AH138" s="48"/>
      <c r="AI138" s="48"/>
      <c r="AJ138" s="48"/>
      <c r="AK138" s="48"/>
      <c r="AL138" s="48"/>
      <c r="AM138" s="48"/>
      <c r="AN138" s="48"/>
      <c r="AO138" s="48"/>
      <c r="AP138" s="48"/>
      <c r="AQ138" s="48"/>
      <c r="AR138" s="48"/>
      <c r="AS138" s="48"/>
      <c r="AT138" s="48"/>
      <c r="AU138" s="48"/>
      <c r="AV138" s="48"/>
      <c r="AW138" s="48"/>
      <c r="AX138" s="48"/>
      <c r="AY138" s="48"/>
      <c r="AZ138" s="48"/>
    </row>
    <row r="139" spans="1:52" ht="17.100000000000001" customHeight="1">
      <c r="A139" s="47"/>
      <c r="B139" s="48"/>
      <c r="C139" s="48"/>
      <c r="D139" s="48"/>
      <c r="E139" s="48"/>
      <c r="F139" s="48"/>
      <c r="G139" s="48"/>
      <c r="H139" s="48"/>
      <c r="I139" s="48"/>
      <c r="J139" s="48"/>
      <c r="K139" s="48"/>
      <c r="L139" s="48"/>
      <c r="M139" s="48"/>
      <c r="N139" s="48"/>
      <c r="O139" s="48"/>
      <c r="P139" s="48"/>
      <c r="Q139" s="48"/>
      <c r="R139" s="48"/>
      <c r="S139" s="48"/>
      <c r="T139" s="48"/>
      <c r="U139" s="48"/>
      <c r="V139" s="48"/>
      <c r="W139" s="48"/>
      <c r="X139" s="48"/>
      <c r="Y139" s="48"/>
      <c r="Z139" s="48"/>
      <c r="AA139" s="48"/>
      <c r="AB139" s="48"/>
      <c r="AC139" s="48"/>
      <c r="AD139" s="48"/>
      <c r="AE139" s="48"/>
      <c r="AF139" s="48"/>
      <c r="AG139" s="48"/>
      <c r="AH139" s="48"/>
      <c r="AI139" s="48"/>
      <c r="AJ139" s="48"/>
      <c r="AK139" s="48"/>
      <c r="AL139" s="48"/>
      <c r="AM139" s="48"/>
      <c r="AN139" s="48"/>
      <c r="AO139" s="48"/>
      <c r="AP139" s="48"/>
      <c r="AQ139" s="48"/>
      <c r="AR139" s="48"/>
      <c r="AS139" s="48"/>
      <c r="AT139" s="48"/>
      <c r="AU139" s="48"/>
      <c r="AV139" s="48"/>
      <c r="AW139" s="48"/>
      <c r="AX139" s="48"/>
      <c r="AY139" s="48"/>
      <c r="AZ139" s="48"/>
    </row>
    <row r="140" spans="1:52" ht="17.100000000000001" customHeight="1">
      <c r="A140" s="47"/>
      <c r="B140" s="48"/>
      <c r="C140" s="48"/>
      <c r="D140" s="48"/>
      <c r="E140" s="48"/>
      <c r="F140" s="48"/>
      <c r="G140" s="48"/>
      <c r="H140" s="48"/>
      <c r="I140" s="48"/>
      <c r="J140" s="48"/>
      <c r="K140" s="48"/>
      <c r="L140" s="48"/>
      <c r="M140" s="48"/>
      <c r="N140" s="48"/>
      <c r="O140" s="48"/>
      <c r="P140" s="48"/>
      <c r="Q140" s="48"/>
      <c r="R140" s="48"/>
      <c r="S140" s="48"/>
      <c r="T140" s="48"/>
      <c r="U140" s="48"/>
      <c r="V140" s="48"/>
      <c r="W140" s="48"/>
      <c r="X140" s="48"/>
      <c r="Y140" s="48"/>
      <c r="Z140" s="48"/>
      <c r="AA140" s="48"/>
      <c r="AB140" s="48"/>
      <c r="AC140" s="48"/>
      <c r="AD140" s="48"/>
      <c r="AE140" s="48"/>
      <c r="AF140" s="48"/>
      <c r="AG140" s="48"/>
      <c r="AH140" s="48"/>
      <c r="AI140" s="48"/>
      <c r="AJ140" s="48"/>
      <c r="AK140" s="48"/>
      <c r="AL140" s="48"/>
      <c r="AM140" s="48"/>
      <c r="AN140" s="48"/>
      <c r="AO140" s="48"/>
      <c r="AP140" s="48"/>
      <c r="AQ140" s="48"/>
      <c r="AR140" s="48"/>
      <c r="AS140" s="48"/>
      <c r="AT140" s="48"/>
      <c r="AU140" s="48"/>
      <c r="AV140" s="48"/>
      <c r="AW140" s="48"/>
      <c r="AX140" s="48"/>
      <c r="AY140" s="48"/>
      <c r="AZ140" s="48"/>
    </row>
    <row r="141" spans="1:52" ht="17.100000000000001" customHeight="1">
      <c r="A141" s="47"/>
      <c r="B141" s="48"/>
      <c r="C141" s="48"/>
      <c r="D141" s="48"/>
      <c r="E141" s="48"/>
      <c r="F141" s="48"/>
      <c r="G141" s="48"/>
      <c r="H141" s="48"/>
      <c r="I141" s="48"/>
      <c r="J141" s="48"/>
      <c r="K141" s="48"/>
      <c r="L141" s="48"/>
      <c r="M141" s="48"/>
      <c r="N141" s="48"/>
      <c r="O141" s="48"/>
      <c r="P141" s="48"/>
      <c r="Q141" s="48"/>
      <c r="R141" s="48"/>
      <c r="S141" s="48"/>
      <c r="T141" s="48"/>
      <c r="U141" s="48"/>
      <c r="V141" s="48"/>
      <c r="W141" s="48"/>
      <c r="X141" s="48"/>
      <c r="Y141" s="48"/>
      <c r="Z141" s="48"/>
      <c r="AA141" s="48"/>
      <c r="AB141" s="48"/>
      <c r="AC141" s="48"/>
      <c r="AD141" s="48"/>
      <c r="AE141" s="48"/>
      <c r="AF141" s="48"/>
      <c r="AG141" s="48"/>
      <c r="AH141" s="48"/>
      <c r="AI141" s="48"/>
      <c r="AJ141" s="48"/>
      <c r="AK141" s="48"/>
      <c r="AL141" s="48"/>
      <c r="AM141" s="48"/>
      <c r="AN141" s="48"/>
      <c r="AO141" s="48"/>
      <c r="AP141" s="48"/>
      <c r="AQ141" s="48"/>
      <c r="AR141" s="48"/>
      <c r="AS141" s="48"/>
      <c r="AT141" s="48"/>
      <c r="AU141" s="48"/>
      <c r="AV141" s="48"/>
      <c r="AW141" s="48"/>
      <c r="AX141" s="48"/>
      <c r="AY141" s="48"/>
      <c r="AZ141" s="48"/>
    </row>
    <row r="142" spans="1:52" ht="17.100000000000001" customHeight="1">
      <c r="A142" s="47"/>
      <c r="B142" s="48"/>
      <c r="C142" s="48"/>
      <c r="D142" s="48"/>
      <c r="E142" s="48"/>
      <c r="F142" s="48"/>
      <c r="G142" s="48"/>
      <c r="H142" s="48"/>
      <c r="I142" s="48"/>
      <c r="J142" s="48"/>
      <c r="K142" s="48"/>
      <c r="L142" s="48"/>
      <c r="M142" s="48"/>
      <c r="N142" s="48"/>
      <c r="O142" s="48"/>
      <c r="P142" s="48"/>
      <c r="Q142" s="48"/>
      <c r="R142" s="48"/>
      <c r="S142" s="48"/>
      <c r="T142" s="48"/>
      <c r="U142" s="48"/>
      <c r="V142" s="48"/>
      <c r="W142" s="48"/>
      <c r="X142" s="48"/>
      <c r="Y142" s="48"/>
      <c r="Z142" s="48"/>
      <c r="AA142" s="48"/>
      <c r="AB142" s="48"/>
      <c r="AC142" s="48"/>
      <c r="AD142" s="48"/>
      <c r="AE142" s="48"/>
      <c r="AF142" s="48"/>
      <c r="AG142" s="48"/>
      <c r="AH142" s="48"/>
      <c r="AI142" s="48"/>
      <c r="AJ142" s="48"/>
      <c r="AK142" s="48"/>
      <c r="AL142" s="48"/>
      <c r="AM142" s="48"/>
      <c r="AN142" s="48"/>
      <c r="AO142" s="48"/>
      <c r="AP142" s="48"/>
      <c r="AQ142" s="48"/>
      <c r="AR142" s="48"/>
      <c r="AS142" s="48"/>
      <c r="AT142" s="48"/>
      <c r="AU142" s="48"/>
      <c r="AV142" s="48"/>
      <c r="AW142" s="48"/>
      <c r="AX142" s="48"/>
      <c r="AY142" s="48"/>
      <c r="AZ142" s="48"/>
    </row>
    <row r="143" spans="1:52" ht="17.100000000000001" customHeight="1">
      <c r="A143" s="47"/>
      <c r="B143" s="48"/>
      <c r="C143" s="48"/>
      <c r="D143" s="48"/>
      <c r="E143" s="48"/>
      <c r="F143" s="48"/>
      <c r="G143" s="48"/>
      <c r="H143" s="48"/>
      <c r="I143" s="48"/>
      <c r="J143" s="48"/>
      <c r="K143" s="48"/>
      <c r="L143" s="48"/>
      <c r="M143" s="48"/>
      <c r="N143" s="48"/>
      <c r="O143" s="48"/>
      <c r="P143" s="48"/>
      <c r="Q143" s="48"/>
      <c r="R143" s="48"/>
      <c r="S143" s="48"/>
      <c r="T143" s="48"/>
      <c r="U143" s="48"/>
      <c r="V143" s="48"/>
      <c r="W143" s="48"/>
      <c r="X143" s="48"/>
      <c r="Y143" s="48"/>
      <c r="Z143" s="48"/>
      <c r="AA143" s="48"/>
      <c r="AB143" s="48"/>
      <c r="AC143" s="48"/>
      <c r="AD143" s="48"/>
      <c r="AE143" s="48"/>
      <c r="AF143" s="48"/>
      <c r="AG143" s="48"/>
      <c r="AH143" s="48"/>
      <c r="AI143" s="48"/>
      <c r="AJ143" s="48"/>
      <c r="AK143" s="48"/>
      <c r="AL143" s="48"/>
      <c r="AM143" s="48"/>
      <c r="AN143" s="48"/>
      <c r="AO143" s="48"/>
      <c r="AP143" s="48"/>
      <c r="AQ143" s="48"/>
      <c r="AR143" s="48"/>
      <c r="AS143" s="48"/>
      <c r="AT143" s="48"/>
      <c r="AU143" s="48"/>
      <c r="AV143" s="48"/>
      <c r="AW143" s="48"/>
      <c r="AX143" s="48"/>
      <c r="AY143" s="48"/>
      <c r="AZ143" s="48"/>
    </row>
    <row r="144" spans="1:52" ht="17.100000000000001" customHeight="1">
      <c r="A144" s="47"/>
      <c r="B144" s="48"/>
      <c r="C144" s="48"/>
      <c r="D144" s="48"/>
      <c r="E144" s="48"/>
      <c r="F144" s="48"/>
      <c r="G144" s="48"/>
      <c r="H144" s="48"/>
      <c r="I144" s="48"/>
      <c r="J144" s="48"/>
      <c r="K144" s="48"/>
      <c r="L144" s="48"/>
      <c r="M144" s="48"/>
      <c r="N144" s="48"/>
      <c r="O144" s="48"/>
      <c r="P144" s="48"/>
      <c r="Q144" s="48"/>
      <c r="R144" s="48"/>
      <c r="S144" s="48"/>
      <c r="T144" s="48"/>
      <c r="U144" s="48"/>
      <c r="V144" s="48"/>
      <c r="W144" s="48"/>
      <c r="X144" s="48"/>
      <c r="Y144" s="48"/>
      <c r="Z144" s="48"/>
      <c r="AA144" s="48"/>
      <c r="AB144" s="48"/>
      <c r="AC144" s="48"/>
      <c r="AD144" s="48"/>
      <c r="AE144" s="48"/>
      <c r="AF144" s="48"/>
      <c r="AG144" s="48"/>
      <c r="AH144" s="48"/>
      <c r="AI144" s="48"/>
      <c r="AJ144" s="48"/>
      <c r="AK144" s="48"/>
      <c r="AL144" s="48"/>
      <c r="AM144" s="48"/>
      <c r="AN144" s="48"/>
      <c r="AO144" s="48"/>
      <c r="AP144" s="48"/>
      <c r="AQ144" s="48"/>
      <c r="AR144" s="48"/>
      <c r="AS144" s="48"/>
      <c r="AT144" s="48"/>
      <c r="AU144" s="48"/>
      <c r="AV144" s="48"/>
      <c r="AW144" s="48"/>
      <c r="AX144" s="48"/>
      <c r="AY144" s="48"/>
      <c r="AZ144" s="48"/>
    </row>
    <row r="145" spans="1:52" ht="17.100000000000001" customHeight="1">
      <c r="A145" s="47"/>
      <c r="B145" s="48"/>
      <c r="C145" s="48"/>
      <c r="D145" s="48"/>
      <c r="E145" s="48"/>
      <c r="F145" s="48"/>
      <c r="G145" s="48"/>
      <c r="H145" s="48"/>
      <c r="I145" s="48"/>
      <c r="J145" s="48"/>
      <c r="K145" s="48"/>
      <c r="L145" s="48"/>
      <c r="M145" s="48"/>
      <c r="N145" s="48"/>
      <c r="O145" s="48"/>
      <c r="P145" s="48"/>
      <c r="Q145" s="48"/>
      <c r="R145" s="48"/>
      <c r="S145" s="48"/>
      <c r="T145" s="48"/>
      <c r="U145" s="48"/>
      <c r="V145" s="48"/>
      <c r="W145" s="48"/>
      <c r="X145" s="48"/>
      <c r="Y145" s="48"/>
      <c r="Z145" s="48"/>
      <c r="AA145" s="48"/>
      <c r="AB145" s="48"/>
      <c r="AC145" s="48"/>
      <c r="AD145" s="48"/>
      <c r="AE145" s="48"/>
      <c r="AF145" s="48"/>
      <c r="AG145" s="48"/>
      <c r="AH145" s="48"/>
      <c r="AI145" s="48"/>
      <c r="AJ145" s="48"/>
      <c r="AK145" s="48"/>
      <c r="AL145" s="48"/>
      <c r="AM145" s="48"/>
      <c r="AN145" s="48"/>
      <c r="AO145" s="48"/>
      <c r="AP145" s="48"/>
      <c r="AQ145" s="48"/>
      <c r="AR145" s="48"/>
      <c r="AS145" s="48"/>
      <c r="AT145" s="48"/>
      <c r="AU145" s="48"/>
      <c r="AV145" s="48"/>
      <c r="AW145" s="48"/>
      <c r="AX145" s="48"/>
      <c r="AY145" s="48"/>
      <c r="AZ145" s="48"/>
    </row>
    <row r="146" spans="1:52" ht="17.100000000000001" customHeight="1">
      <c r="A146" s="47"/>
      <c r="B146" s="48"/>
      <c r="C146" s="48"/>
      <c r="D146" s="48"/>
      <c r="E146" s="48"/>
      <c r="F146" s="48"/>
      <c r="G146" s="48"/>
      <c r="H146" s="48"/>
      <c r="I146" s="48"/>
      <c r="J146" s="48"/>
      <c r="K146" s="48"/>
      <c r="L146" s="48"/>
      <c r="M146" s="48"/>
      <c r="N146" s="48"/>
      <c r="O146" s="48"/>
      <c r="P146" s="48"/>
      <c r="Q146" s="48"/>
      <c r="R146" s="48"/>
      <c r="S146" s="48"/>
      <c r="T146" s="48"/>
      <c r="U146" s="48"/>
      <c r="V146" s="48"/>
      <c r="W146" s="48"/>
      <c r="X146" s="48"/>
      <c r="Y146" s="48"/>
      <c r="Z146" s="48"/>
      <c r="AA146" s="48"/>
      <c r="AB146" s="48"/>
      <c r="AC146" s="48"/>
      <c r="AD146" s="48"/>
      <c r="AE146" s="48"/>
      <c r="AF146" s="48"/>
      <c r="AG146" s="48"/>
      <c r="AH146" s="48"/>
      <c r="AI146" s="48"/>
      <c r="AJ146" s="48"/>
      <c r="AK146" s="48"/>
      <c r="AL146" s="48"/>
      <c r="AM146" s="48"/>
      <c r="AN146" s="48"/>
      <c r="AO146" s="48"/>
      <c r="AP146" s="48"/>
      <c r="AQ146" s="48"/>
      <c r="AR146" s="48"/>
      <c r="AS146" s="48"/>
      <c r="AT146" s="48"/>
      <c r="AU146" s="48"/>
      <c r="AV146" s="48"/>
      <c r="AW146" s="48"/>
      <c r="AX146" s="48"/>
      <c r="AY146" s="48"/>
      <c r="AZ146" s="48"/>
    </row>
    <row r="147" spans="1:52" ht="17.100000000000001" customHeight="1">
      <c r="A147" s="47"/>
      <c r="B147" s="48"/>
      <c r="C147" s="48"/>
      <c r="D147" s="48"/>
      <c r="E147" s="48"/>
      <c r="F147" s="48"/>
      <c r="G147" s="48"/>
      <c r="H147" s="48"/>
      <c r="I147" s="48"/>
      <c r="J147" s="48"/>
      <c r="K147" s="48"/>
      <c r="L147" s="48"/>
      <c r="M147" s="48"/>
      <c r="N147" s="48"/>
      <c r="O147" s="48"/>
      <c r="P147" s="48"/>
      <c r="Q147" s="48"/>
      <c r="R147" s="48"/>
      <c r="S147" s="48"/>
      <c r="T147" s="48"/>
      <c r="U147" s="48"/>
      <c r="V147" s="48"/>
      <c r="W147" s="48"/>
      <c r="X147" s="48"/>
      <c r="Y147" s="48"/>
      <c r="Z147" s="48"/>
      <c r="AA147" s="48"/>
      <c r="AB147" s="48"/>
      <c r="AC147" s="48"/>
      <c r="AD147" s="48"/>
      <c r="AE147" s="48"/>
      <c r="AF147" s="48"/>
      <c r="AG147" s="48"/>
      <c r="AH147" s="48"/>
      <c r="AI147" s="48"/>
      <c r="AJ147" s="48"/>
      <c r="AK147" s="48"/>
      <c r="AL147" s="48"/>
      <c r="AM147" s="48"/>
      <c r="AN147" s="48"/>
      <c r="AO147" s="48"/>
      <c r="AP147" s="48"/>
      <c r="AQ147" s="48"/>
      <c r="AR147" s="48"/>
      <c r="AS147" s="48"/>
      <c r="AT147" s="48"/>
      <c r="AU147" s="48"/>
      <c r="AV147" s="48"/>
      <c r="AW147" s="48"/>
      <c r="AX147" s="48"/>
      <c r="AY147" s="48"/>
      <c r="AZ147" s="48"/>
    </row>
    <row r="148" spans="1:52" ht="17.100000000000001" customHeight="1">
      <c r="A148" s="47"/>
      <c r="B148" s="48"/>
      <c r="C148" s="48"/>
      <c r="D148" s="48"/>
      <c r="E148" s="48"/>
      <c r="F148" s="48"/>
      <c r="G148" s="48"/>
      <c r="H148" s="48"/>
      <c r="I148" s="48"/>
      <c r="J148" s="48"/>
      <c r="K148" s="48"/>
      <c r="L148" s="48"/>
      <c r="M148" s="48"/>
      <c r="N148" s="48"/>
      <c r="O148" s="48"/>
      <c r="P148" s="48"/>
      <c r="Q148" s="48"/>
      <c r="R148" s="48"/>
      <c r="S148" s="48"/>
      <c r="T148" s="48"/>
      <c r="U148" s="48"/>
      <c r="V148" s="48"/>
      <c r="W148" s="48"/>
      <c r="X148" s="48"/>
      <c r="Y148" s="48"/>
      <c r="Z148" s="48"/>
      <c r="AA148" s="48"/>
      <c r="AB148" s="48"/>
      <c r="AC148" s="48"/>
      <c r="AD148" s="48"/>
      <c r="AE148" s="48"/>
      <c r="AF148" s="48"/>
      <c r="AG148" s="48"/>
      <c r="AH148" s="48"/>
      <c r="AI148" s="48"/>
      <c r="AJ148" s="48"/>
      <c r="AK148" s="48"/>
      <c r="AL148" s="48"/>
      <c r="AM148" s="48"/>
      <c r="AN148" s="48"/>
      <c r="AO148" s="48"/>
      <c r="AP148" s="48"/>
      <c r="AQ148" s="48"/>
      <c r="AR148" s="48"/>
      <c r="AS148" s="48"/>
      <c r="AT148" s="48"/>
      <c r="AU148" s="48"/>
      <c r="AV148" s="48"/>
      <c r="AW148" s="48"/>
      <c r="AX148" s="48"/>
      <c r="AY148" s="48"/>
      <c r="AZ148" s="48"/>
    </row>
    <row r="149" spans="1:52" ht="17.100000000000001" customHeight="1">
      <c r="A149" s="47"/>
      <c r="B149" s="48"/>
      <c r="C149" s="48"/>
      <c r="D149" s="48"/>
      <c r="E149" s="48"/>
      <c r="F149" s="48"/>
      <c r="G149" s="48"/>
      <c r="H149" s="48"/>
      <c r="I149" s="48"/>
      <c r="J149" s="48"/>
      <c r="K149" s="48"/>
      <c r="L149" s="48"/>
      <c r="M149" s="48"/>
      <c r="N149" s="48"/>
      <c r="O149" s="48"/>
      <c r="P149" s="48"/>
      <c r="Q149" s="48"/>
      <c r="R149" s="48"/>
      <c r="S149" s="48"/>
      <c r="T149" s="48"/>
      <c r="U149" s="48"/>
      <c r="V149" s="48"/>
      <c r="W149" s="48"/>
      <c r="X149" s="48"/>
      <c r="Y149" s="48"/>
      <c r="Z149" s="48"/>
      <c r="AA149" s="48"/>
      <c r="AB149" s="48"/>
      <c r="AC149" s="48"/>
      <c r="AD149" s="48"/>
      <c r="AE149" s="48"/>
      <c r="AF149" s="48"/>
      <c r="AG149" s="48"/>
      <c r="AH149" s="48"/>
      <c r="AI149" s="48"/>
      <c r="AJ149" s="48"/>
      <c r="AK149" s="48"/>
      <c r="AL149" s="48"/>
      <c r="AM149" s="48"/>
      <c r="AN149" s="48"/>
      <c r="AO149" s="48"/>
      <c r="AP149" s="48"/>
      <c r="AQ149" s="48"/>
      <c r="AR149" s="48"/>
      <c r="AS149" s="48"/>
      <c r="AT149" s="48"/>
      <c r="AU149" s="48"/>
      <c r="AV149" s="48"/>
      <c r="AW149" s="48"/>
      <c r="AX149" s="48"/>
      <c r="AY149" s="48"/>
      <c r="AZ149" s="48"/>
    </row>
    <row r="150" spans="1:52" ht="17.100000000000001" customHeight="1">
      <c r="A150" s="47"/>
      <c r="B150" s="48"/>
      <c r="C150" s="48"/>
      <c r="D150" s="48"/>
      <c r="E150" s="48"/>
      <c r="F150" s="48"/>
      <c r="G150" s="48"/>
      <c r="H150" s="48"/>
      <c r="I150" s="48"/>
      <c r="J150" s="48"/>
      <c r="K150" s="48"/>
      <c r="L150" s="48"/>
      <c r="M150" s="48"/>
      <c r="N150" s="48"/>
      <c r="O150" s="48"/>
      <c r="P150" s="48"/>
      <c r="Q150" s="48"/>
      <c r="R150" s="48"/>
      <c r="S150" s="48"/>
      <c r="T150" s="48"/>
      <c r="U150" s="48"/>
      <c r="V150" s="48"/>
      <c r="W150" s="48"/>
      <c r="X150" s="48"/>
      <c r="Y150" s="48"/>
      <c r="Z150" s="48"/>
      <c r="AA150" s="48"/>
      <c r="AB150" s="48"/>
      <c r="AC150" s="48"/>
      <c r="AD150" s="48"/>
      <c r="AE150" s="48"/>
      <c r="AF150" s="48"/>
      <c r="AG150" s="48"/>
      <c r="AH150" s="48"/>
      <c r="AI150" s="48"/>
      <c r="AJ150" s="48"/>
      <c r="AK150" s="48"/>
      <c r="AL150" s="48"/>
      <c r="AM150" s="48"/>
      <c r="AN150" s="48"/>
      <c r="AO150" s="48"/>
      <c r="AP150" s="48"/>
      <c r="AQ150" s="48"/>
      <c r="AR150" s="48"/>
      <c r="AS150" s="48"/>
      <c r="AT150" s="48"/>
      <c r="AU150" s="48"/>
      <c r="AV150" s="48"/>
      <c r="AW150" s="48"/>
      <c r="AX150" s="48"/>
      <c r="AY150" s="48"/>
      <c r="AZ150" s="48"/>
    </row>
    <row r="151" spans="1:52" ht="17.100000000000001" customHeight="1">
      <c r="A151" s="47"/>
      <c r="B151" s="48"/>
      <c r="C151" s="48"/>
      <c r="D151" s="48"/>
      <c r="E151" s="48"/>
      <c r="F151" s="48"/>
      <c r="G151" s="48"/>
      <c r="H151" s="48"/>
      <c r="I151" s="48"/>
      <c r="J151" s="48"/>
      <c r="K151" s="48"/>
      <c r="L151" s="48"/>
      <c r="M151" s="48"/>
      <c r="N151" s="48"/>
      <c r="O151" s="48"/>
      <c r="P151" s="48"/>
      <c r="Q151" s="48"/>
      <c r="R151" s="48"/>
      <c r="S151" s="48"/>
      <c r="T151" s="48"/>
      <c r="U151" s="48"/>
      <c r="V151" s="48"/>
      <c r="W151" s="48"/>
      <c r="X151" s="48"/>
      <c r="Y151" s="48"/>
      <c r="Z151" s="48"/>
      <c r="AA151" s="48"/>
      <c r="AB151" s="48"/>
      <c r="AC151" s="48"/>
      <c r="AD151" s="48"/>
      <c r="AE151" s="48"/>
      <c r="AF151" s="48"/>
      <c r="AG151" s="48"/>
      <c r="AH151" s="48"/>
      <c r="AI151" s="48"/>
      <c r="AJ151" s="48"/>
      <c r="AK151" s="48"/>
      <c r="AL151" s="48"/>
      <c r="AM151" s="48"/>
      <c r="AN151" s="48"/>
      <c r="AO151" s="48"/>
      <c r="AP151" s="48"/>
      <c r="AQ151" s="48"/>
      <c r="AR151" s="48"/>
      <c r="AS151" s="48"/>
      <c r="AT151" s="48"/>
      <c r="AU151" s="48"/>
      <c r="AV151" s="48"/>
      <c r="AW151" s="48"/>
      <c r="AX151" s="48"/>
      <c r="AY151" s="48"/>
      <c r="AZ151" s="48"/>
    </row>
    <row r="152" spans="1:52" ht="17.100000000000001" customHeight="1">
      <c r="A152" s="47"/>
      <c r="B152" s="48"/>
      <c r="C152" s="48"/>
      <c r="D152" s="48"/>
      <c r="E152" s="48"/>
      <c r="F152" s="48"/>
      <c r="G152" s="48"/>
      <c r="H152" s="48"/>
      <c r="I152" s="48"/>
      <c r="J152" s="48"/>
      <c r="K152" s="48"/>
      <c r="L152" s="48"/>
      <c r="M152" s="48"/>
      <c r="N152" s="48"/>
      <c r="O152" s="48"/>
      <c r="P152" s="48"/>
      <c r="Q152" s="48"/>
      <c r="R152" s="48"/>
      <c r="S152" s="48"/>
      <c r="T152" s="48"/>
      <c r="U152" s="48"/>
      <c r="V152" s="48"/>
      <c r="W152" s="48"/>
      <c r="X152" s="48"/>
      <c r="Y152" s="48"/>
      <c r="Z152" s="48"/>
      <c r="AA152" s="48"/>
      <c r="AB152" s="48"/>
      <c r="AC152" s="48"/>
      <c r="AD152" s="48"/>
      <c r="AE152" s="48"/>
      <c r="AF152" s="48"/>
      <c r="AG152" s="48"/>
      <c r="AH152" s="48"/>
      <c r="AI152" s="48"/>
      <c r="AJ152" s="48"/>
      <c r="AK152" s="48"/>
      <c r="AL152" s="48"/>
      <c r="AM152" s="48"/>
      <c r="AN152" s="48"/>
      <c r="AO152" s="48"/>
      <c r="AP152" s="48"/>
      <c r="AQ152" s="48"/>
      <c r="AR152" s="48"/>
      <c r="AS152" s="48"/>
      <c r="AT152" s="48"/>
      <c r="AU152" s="48"/>
      <c r="AV152" s="48"/>
      <c r="AW152" s="48"/>
      <c r="AX152" s="48"/>
      <c r="AY152" s="48"/>
      <c r="AZ152" s="48"/>
    </row>
    <row r="153" spans="1:52" ht="17.100000000000001" customHeight="1">
      <c r="A153" s="47"/>
      <c r="B153" s="48"/>
      <c r="C153" s="48"/>
      <c r="D153" s="48"/>
      <c r="E153" s="48"/>
      <c r="F153" s="48"/>
      <c r="G153" s="48"/>
      <c r="H153" s="48"/>
      <c r="I153" s="48"/>
      <c r="J153" s="48"/>
      <c r="K153" s="48"/>
      <c r="L153" s="48"/>
      <c r="M153" s="48"/>
      <c r="N153" s="48"/>
      <c r="O153" s="48"/>
      <c r="P153" s="48"/>
      <c r="Q153" s="48"/>
      <c r="R153" s="48"/>
      <c r="S153" s="48"/>
      <c r="T153" s="48"/>
      <c r="U153" s="48"/>
      <c r="V153" s="48"/>
      <c r="W153" s="48"/>
      <c r="X153" s="48"/>
      <c r="Y153" s="48"/>
      <c r="Z153" s="48"/>
      <c r="AA153" s="48"/>
      <c r="AB153" s="48"/>
      <c r="AC153" s="48"/>
      <c r="AD153" s="48"/>
      <c r="AE153" s="48"/>
      <c r="AF153" s="48"/>
      <c r="AG153" s="48"/>
      <c r="AH153" s="48"/>
      <c r="AI153" s="48"/>
      <c r="AJ153" s="48"/>
      <c r="AK153" s="48"/>
      <c r="AL153" s="48"/>
      <c r="AM153" s="48"/>
      <c r="AN153" s="48"/>
      <c r="AO153" s="48"/>
      <c r="AP153" s="48"/>
      <c r="AQ153" s="48"/>
      <c r="AR153" s="48"/>
      <c r="AS153" s="48"/>
      <c r="AT153" s="48"/>
      <c r="AU153" s="48"/>
      <c r="AV153" s="48"/>
      <c r="AW153" s="48"/>
      <c r="AX153" s="48"/>
      <c r="AY153" s="48"/>
      <c r="AZ153" s="48"/>
    </row>
    <row r="154" spans="1:52" ht="17.100000000000001" customHeight="1">
      <c r="A154" s="47"/>
      <c r="B154" s="48"/>
      <c r="C154" s="48"/>
      <c r="D154" s="48"/>
      <c r="E154" s="48"/>
      <c r="F154" s="48"/>
      <c r="G154" s="48"/>
      <c r="H154" s="48"/>
      <c r="I154" s="48"/>
      <c r="J154" s="48"/>
      <c r="K154" s="48"/>
      <c r="L154" s="48"/>
      <c r="M154" s="48"/>
      <c r="N154" s="48"/>
      <c r="O154" s="48"/>
      <c r="P154" s="48"/>
      <c r="Q154" s="48"/>
      <c r="R154" s="48"/>
      <c r="S154" s="48"/>
      <c r="T154" s="48"/>
      <c r="U154" s="48"/>
      <c r="V154" s="48"/>
      <c r="W154" s="48"/>
      <c r="X154" s="48"/>
      <c r="Y154" s="48"/>
      <c r="Z154" s="48"/>
      <c r="AA154" s="48"/>
      <c r="AB154" s="48"/>
      <c r="AC154" s="48"/>
      <c r="AD154" s="48"/>
      <c r="AE154" s="48"/>
      <c r="AF154" s="48"/>
      <c r="AG154" s="48"/>
      <c r="AH154" s="48"/>
      <c r="AI154" s="48"/>
      <c r="AJ154" s="48"/>
      <c r="AK154" s="48"/>
      <c r="AL154" s="48"/>
      <c r="AM154" s="48"/>
      <c r="AN154" s="48"/>
      <c r="AO154" s="48"/>
      <c r="AP154" s="48"/>
      <c r="AQ154" s="48"/>
      <c r="AR154" s="48"/>
      <c r="AS154" s="48"/>
      <c r="AT154" s="48"/>
      <c r="AU154" s="48"/>
      <c r="AV154" s="48"/>
      <c r="AW154" s="48"/>
      <c r="AX154" s="48"/>
      <c r="AY154" s="48"/>
      <c r="AZ154" s="48"/>
    </row>
    <row r="155" spans="1:52" ht="17.100000000000001" customHeight="1">
      <c r="A155" s="47"/>
      <c r="B155" s="48"/>
      <c r="C155" s="48"/>
      <c r="D155" s="48"/>
      <c r="E155" s="48"/>
      <c r="F155" s="48"/>
      <c r="G155" s="48"/>
      <c r="H155" s="48"/>
      <c r="I155" s="48"/>
      <c r="J155" s="48"/>
      <c r="K155" s="48"/>
      <c r="L155" s="48"/>
      <c r="M155" s="48"/>
      <c r="N155" s="48"/>
      <c r="O155" s="48"/>
      <c r="P155" s="48"/>
      <c r="Q155" s="48"/>
      <c r="R155" s="48"/>
      <c r="S155" s="48"/>
      <c r="T155" s="48"/>
      <c r="U155" s="48"/>
      <c r="V155" s="48"/>
      <c r="W155" s="48"/>
      <c r="X155" s="48"/>
      <c r="Y155" s="48"/>
      <c r="Z155" s="48"/>
      <c r="AA155" s="48"/>
      <c r="AB155" s="48"/>
      <c r="AC155" s="48"/>
      <c r="AD155" s="48"/>
      <c r="AE155" s="48"/>
      <c r="AF155" s="48"/>
      <c r="AG155" s="48"/>
      <c r="AH155" s="48"/>
      <c r="AI155" s="48"/>
      <c r="AJ155" s="48"/>
      <c r="AK155" s="48"/>
      <c r="AL155" s="48"/>
      <c r="AM155" s="48"/>
      <c r="AN155" s="48"/>
      <c r="AO155" s="48"/>
      <c r="AP155" s="48"/>
      <c r="AQ155" s="48"/>
      <c r="AR155" s="48"/>
      <c r="AS155" s="48"/>
      <c r="AT155" s="48"/>
      <c r="AU155" s="48"/>
      <c r="AV155" s="48"/>
      <c r="AW155" s="48"/>
      <c r="AX155" s="48"/>
      <c r="AY155" s="48"/>
      <c r="AZ155" s="48"/>
    </row>
    <row r="156" spans="1:52" ht="17.100000000000001" customHeight="1">
      <c r="A156" s="47"/>
      <c r="B156" s="48"/>
      <c r="C156" s="48"/>
      <c r="D156" s="48"/>
      <c r="E156" s="48"/>
      <c r="F156" s="48"/>
      <c r="G156" s="48"/>
      <c r="H156" s="48"/>
      <c r="I156" s="48"/>
      <c r="J156" s="48"/>
      <c r="K156" s="48"/>
      <c r="L156" s="48"/>
      <c r="M156" s="48"/>
      <c r="N156" s="48"/>
      <c r="O156" s="48"/>
      <c r="P156" s="48"/>
      <c r="Q156" s="48"/>
      <c r="R156" s="48"/>
      <c r="S156" s="48"/>
      <c r="T156" s="48"/>
      <c r="U156" s="48"/>
      <c r="V156" s="48"/>
      <c r="W156" s="48"/>
      <c r="X156" s="48"/>
      <c r="Y156" s="48"/>
      <c r="Z156" s="48"/>
      <c r="AA156" s="48"/>
      <c r="AB156" s="48"/>
      <c r="AC156" s="48"/>
      <c r="AD156" s="48"/>
      <c r="AE156" s="48"/>
      <c r="AF156" s="48"/>
      <c r="AG156" s="48"/>
      <c r="AH156" s="48"/>
      <c r="AI156" s="48"/>
      <c r="AJ156" s="48"/>
      <c r="AK156" s="48"/>
      <c r="AL156" s="48"/>
      <c r="AM156" s="48"/>
      <c r="AN156" s="48"/>
      <c r="AO156" s="48"/>
      <c r="AP156" s="48"/>
      <c r="AQ156" s="48"/>
      <c r="AR156" s="48"/>
      <c r="AS156" s="48"/>
      <c r="AT156" s="48"/>
      <c r="AU156" s="48"/>
      <c r="AV156" s="48"/>
      <c r="AW156" s="48"/>
      <c r="AX156" s="48"/>
      <c r="AY156" s="48"/>
      <c r="AZ156" s="48"/>
    </row>
    <row r="157" spans="1:52" ht="17.100000000000001" customHeight="1">
      <c r="A157" s="47"/>
      <c r="B157" s="48"/>
      <c r="C157" s="48"/>
      <c r="D157" s="48"/>
      <c r="E157" s="48"/>
      <c r="F157" s="48"/>
      <c r="G157" s="48"/>
      <c r="H157" s="48"/>
      <c r="I157" s="48"/>
      <c r="J157" s="48"/>
      <c r="K157" s="48"/>
      <c r="L157" s="48"/>
      <c r="M157" s="48"/>
      <c r="N157" s="48"/>
      <c r="O157" s="48"/>
      <c r="P157" s="48"/>
      <c r="Q157" s="48"/>
      <c r="R157" s="48"/>
      <c r="S157" s="48"/>
      <c r="T157" s="48"/>
      <c r="U157" s="48"/>
      <c r="V157" s="48"/>
      <c r="W157" s="48"/>
      <c r="X157" s="48"/>
      <c r="Y157" s="48"/>
      <c r="Z157" s="48"/>
      <c r="AA157" s="48"/>
      <c r="AB157" s="48"/>
      <c r="AC157" s="48"/>
      <c r="AD157" s="48"/>
      <c r="AE157" s="48"/>
      <c r="AF157" s="48"/>
      <c r="AG157" s="48"/>
      <c r="AH157" s="48"/>
      <c r="AI157" s="48"/>
      <c r="AJ157" s="48"/>
      <c r="AK157" s="48"/>
      <c r="AL157" s="48"/>
      <c r="AM157" s="48"/>
      <c r="AN157" s="48"/>
      <c r="AO157" s="48"/>
      <c r="AP157" s="48"/>
      <c r="AQ157" s="48"/>
      <c r="AR157" s="48"/>
      <c r="AS157" s="48"/>
      <c r="AT157" s="48"/>
      <c r="AU157" s="48"/>
      <c r="AV157" s="48"/>
      <c r="AW157" s="48"/>
      <c r="AX157" s="48"/>
      <c r="AY157" s="48"/>
      <c r="AZ157" s="48"/>
    </row>
    <row r="158" spans="1:52" ht="17.100000000000001" customHeight="1">
      <c r="A158" s="47"/>
      <c r="B158" s="48"/>
      <c r="C158" s="48"/>
      <c r="D158" s="48"/>
      <c r="E158" s="48"/>
      <c r="F158" s="48"/>
      <c r="G158" s="48"/>
      <c r="H158" s="48"/>
      <c r="I158" s="48"/>
      <c r="J158" s="48"/>
      <c r="K158" s="48"/>
      <c r="L158" s="48"/>
      <c r="M158" s="48"/>
      <c r="N158" s="48"/>
      <c r="O158" s="48"/>
      <c r="P158" s="48"/>
      <c r="Q158" s="48"/>
      <c r="R158" s="48"/>
      <c r="S158" s="48"/>
      <c r="T158" s="48"/>
      <c r="U158" s="48"/>
      <c r="V158" s="48"/>
      <c r="W158" s="48"/>
      <c r="X158" s="48"/>
      <c r="Y158" s="48"/>
      <c r="Z158" s="48"/>
      <c r="AA158" s="48"/>
      <c r="AB158" s="48"/>
      <c r="AC158" s="48"/>
      <c r="AD158" s="48"/>
      <c r="AE158" s="48"/>
      <c r="AF158" s="48"/>
      <c r="AG158" s="48"/>
      <c r="AH158" s="48"/>
      <c r="AI158" s="48"/>
      <c r="AJ158" s="48"/>
      <c r="AK158" s="48"/>
      <c r="AL158" s="48"/>
      <c r="AM158" s="48"/>
      <c r="AN158" s="48"/>
      <c r="AO158" s="48"/>
      <c r="AP158" s="48"/>
      <c r="AQ158" s="48"/>
      <c r="AR158" s="48"/>
      <c r="AS158" s="48"/>
      <c r="AT158" s="48"/>
      <c r="AU158" s="48"/>
      <c r="AV158" s="48"/>
      <c r="AW158" s="48"/>
      <c r="AX158" s="48"/>
      <c r="AY158" s="48"/>
      <c r="AZ158" s="48"/>
    </row>
    <row r="159" spans="1:52" ht="17.100000000000001" customHeight="1">
      <c r="A159" s="47"/>
      <c r="B159" s="48"/>
      <c r="C159" s="48"/>
      <c r="D159" s="48"/>
      <c r="E159" s="48"/>
      <c r="F159" s="48"/>
      <c r="G159" s="48"/>
      <c r="H159" s="48"/>
      <c r="I159" s="48"/>
      <c r="J159" s="48"/>
      <c r="K159" s="48"/>
      <c r="L159" s="48"/>
      <c r="M159" s="48"/>
      <c r="N159" s="48"/>
      <c r="O159" s="48"/>
      <c r="P159" s="48"/>
      <c r="Q159" s="48"/>
      <c r="R159" s="48"/>
      <c r="S159" s="48"/>
      <c r="T159" s="48"/>
      <c r="U159" s="48"/>
      <c r="V159" s="48"/>
      <c r="W159" s="48"/>
      <c r="X159" s="48"/>
      <c r="Y159" s="48"/>
      <c r="Z159" s="48"/>
      <c r="AA159" s="48"/>
      <c r="AB159" s="48"/>
      <c r="AC159" s="48"/>
      <c r="AD159" s="48"/>
      <c r="AE159" s="48"/>
      <c r="AF159" s="48"/>
      <c r="AG159" s="48"/>
      <c r="AH159" s="48"/>
      <c r="AI159" s="48"/>
      <c r="AJ159" s="48"/>
      <c r="AK159" s="48"/>
      <c r="AL159" s="48"/>
      <c r="AM159" s="48"/>
      <c r="AN159" s="48"/>
      <c r="AO159" s="48"/>
      <c r="AP159" s="48"/>
      <c r="AQ159" s="48"/>
      <c r="AR159" s="48"/>
      <c r="AS159" s="48"/>
      <c r="AT159" s="48"/>
      <c r="AU159" s="48"/>
      <c r="AV159" s="48"/>
      <c r="AW159" s="48"/>
      <c r="AX159" s="48"/>
      <c r="AY159" s="48"/>
      <c r="AZ159" s="48"/>
    </row>
    <row r="160" spans="1:52" ht="17.100000000000001" customHeight="1">
      <c r="A160" s="47"/>
      <c r="B160" s="48"/>
      <c r="C160" s="48"/>
      <c r="D160" s="48"/>
      <c r="E160" s="48"/>
      <c r="F160" s="48"/>
      <c r="G160" s="48"/>
      <c r="H160" s="48"/>
      <c r="I160" s="48"/>
      <c r="J160" s="48"/>
      <c r="K160" s="48"/>
      <c r="L160" s="48"/>
      <c r="M160" s="48"/>
      <c r="N160" s="48"/>
      <c r="O160" s="48"/>
      <c r="P160" s="48"/>
      <c r="Q160" s="48"/>
      <c r="R160" s="48"/>
      <c r="S160" s="48"/>
      <c r="T160" s="48"/>
      <c r="U160" s="48"/>
      <c r="V160" s="48"/>
      <c r="W160" s="48"/>
      <c r="X160" s="48"/>
      <c r="Y160" s="48"/>
      <c r="Z160" s="48"/>
      <c r="AA160" s="48"/>
      <c r="AB160" s="48"/>
      <c r="AC160" s="48"/>
      <c r="AD160" s="48"/>
      <c r="AE160" s="48"/>
      <c r="AF160" s="48"/>
      <c r="AG160" s="48"/>
      <c r="AH160" s="48"/>
      <c r="AI160" s="48"/>
      <c r="AJ160" s="48"/>
      <c r="AK160" s="48"/>
      <c r="AL160" s="48"/>
      <c r="AM160" s="48"/>
      <c r="AN160" s="48"/>
      <c r="AO160" s="48"/>
      <c r="AP160" s="48"/>
      <c r="AQ160" s="48"/>
      <c r="AR160" s="48"/>
      <c r="AS160" s="48"/>
      <c r="AT160" s="48"/>
      <c r="AU160" s="48"/>
      <c r="AV160" s="48"/>
      <c r="AW160" s="48"/>
      <c r="AX160" s="48"/>
      <c r="AY160" s="48"/>
      <c r="AZ160" s="48"/>
    </row>
    <row r="161" spans="1:52" ht="17.100000000000001" customHeight="1">
      <c r="A161" s="47"/>
      <c r="B161" s="48"/>
      <c r="C161" s="48"/>
      <c r="D161" s="48"/>
      <c r="E161" s="48"/>
      <c r="F161" s="48"/>
      <c r="G161" s="48"/>
      <c r="H161" s="48"/>
      <c r="I161" s="48"/>
      <c r="J161" s="48"/>
      <c r="K161" s="48"/>
      <c r="L161" s="48"/>
      <c r="M161" s="48"/>
      <c r="N161" s="48"/>
      <c r="O161" s="48"/>
      <c r="P161" s="48"/>
      <c r="Q161" s="48"/>
      <c r="R161" s="48"/>
      <c r="S161" s="48"/>
      <c r="T161" s="48"/>
      <c r="U161" s="48"/>
      <c r="V161" s="48"/>
      <c r="W161" s="48"/>
      <c r="X161" s="48"/>
      <c r="Y161" s="48"/>
      <c r="Z161" s="48"/>
      <c r="AA161" s="48"/>
      <c r="AB161" s="48"/>
      <c r="AC161" s="48"/>
      <c r="AD161" s="48"/>
      <c r="AE161" s="48"/>
      <c r="AF161" s="48"/>
      <c r="AG161" s="48"/>
      <c r="AH161" s="48"/>
      <c r="AI161" s="48"/>
      <c r="AJ161" s="48"/>
      <c r="AK161" s="48"/>
      <c r="AL161" s="48"/>
      <c r="AM161" s="48"/>
      <c r="AN161" s="48"/>
      <c r="AO161" s="48"/>
      <c r="AP161" s="48"/>
      <c r="AQ161" s="48"/>
      <c r="AR161" s="48"/>
      <c r="AS161" s="48"/>
      <c r="AT161" s="48"/>
      <c r="AU161" s="48"/>
      <c r="AV161" s="48"/>
      <c r="AW161" s="48"/>
      <c r="AX161" s="48"/>
      <c r="AY161" s="48"/>
      <c r="AZ161" s="48"/>
    </row>
    <row r="162" spans="1:52" ht="17.100000000000001" customHeight="1">
      <c r="A162" s="47"/>
      <c r="B162" s="48"/>
      <c r="C162" s="48"/>
      <c r="D162" s="48"/>
      <c r="E162" s="48"/>
      <c r="F162" s="48"/>
      <c r="G162" s="48"/>
      <c r="H162" s="48"/>
      <c r="I162" s="48"/>
      <c r="J162" s="48"/>
      <c r="K162" s="48"/>
      <c r="L162" s="48"/>
      <c r="M162" s="48"/>
      <c r="N162" s="48"/>
      <c r="O162" s="48"/>
      <c r="P162" s="48"/>
      <c r="Q162" s="48"/>
      <c r="R162" s="48"/>
      <c r="S162" s="48"/>
      <c r="T162" s="48"/>
      <c r="U162" s="48"/>
      <c r="V162" s="48"/>
      <c r="W162" s="48"/>
      <c r="X162" s="48"/>
      <c r="Y162" s="48"/>
      <c r="Z162" s="48"/>
      <c r="AA162" s="48"/>
      <c r="AB162" s="48"/>
      <c r="AC162" s="48"/>
      <c r="AD162" s="48"/>
      <c r="AE162" s="48"/>
      <c r="AF162" s="48"/>
      <c r="AG162" s="48"/>
      <c r="AH162" s="48"/>
      <c r="AI162" s="48"/>
      <c r="AJ162" s="48"/>
      <c r="AK162" s="48"/>
      <c r="AL162" s="48"/>
      <c r="AM162" s="48"/>
      <c r="AN162" s="48"/>
      <c r="AO162" s="48"/>
      <c r="AP162" s="48"/>
      <c r="AQ162" s="48"/>
      <c r="AR162" s="48"/>
      <c r="AS162" s="48"/>
      <c r="AT162" s="48"/>
      <c r="AU162" s="48"/>
      <c r="AV162" s="48"/>
      <c r="AW162" s="48"/>
      <c r="AX162" s="48"/>
      <c r="AY162" s="48"/>
      <c r="AZ162" s="48"/>
    </row>
    <row r="163" spans="1:52" ht="17.100000000000001" customHeight="1">
      <c r="A163" s="47"/>
      <c r="B163" s="48"/>
      <c r="C163" s="48"/>
      <c r="D163" s="48"/>
      <c r="E163" s="48"/>
      <c r="F163" s="48"/>
      <c r="G163" s="48"/>
      <c r="H163" s="48"/>
      <c r="I163" s="48"/>
      <c r="J163" s="48"/>
      <c r="K163" s="48"/>
      <c r="L163" s="48"/>
      <c r="M163" s="48"/>
      <c r="N163" s="48"/>
      <c r="O163" s="48"/>
      <c r="P163" s="48"/>
      <c r="Q163" s="48"/>
      <c r="R163" s="48"/>
      <c r="S163" s="48"/>
      <c r="T163" s="48"/>
      <c r="U163" s="48"/>
      <c r="V163" s="48"/>
      <c r="W163" s="48"/>
      <c r="X163" s="48"/>
      <c r="Y163" s="48"/>
      <c r="Z163" s="48"/>
      <c r="AA163" s="48"/>
      <c r="AB163" s="48"/>
      <c r="AC163" s="48"/>
      <c r="AD163" s="48"/>
      <c r="AE163" s="48"/>
      <c r="AF163" s="48"/>
      <c r="AG163" s="48"/>
      <c r="AH163" s="48"/>
      <c r="AI163" s="48"/>
      <c r="AJ163" s="48"/>
      <c r="AK163" s="48"/>
      <c r="AL163" s="48"/>
      <c r="AM163" s="48"/>
      <c r="AN163" s="48"/>
      <c r="AO163" s="48"/>
      <c r="AP163" s="48"/>
      <c r="AQ163" s="48"/>
      <c r="AR163" s="48"/>
      <c r="AS163" s="48"/>
      <c r="AT163" s="48"/>
      <c r="AU163" s="48"/>
      <c r="AV163" s="48"/>
      <c r="AW163" s="48"/>
      <c r="AX163" s="48"/>
      <c r="AY163" s="48"/>
      <c r="AZ163" s="48"/>
    </row>
    <row r="164" spans="1:52" ht="17.100000000000001" customHeight="1">
      <c r="A164" s="47"/>
      <c r="B164" s="48"/>
      <c r="C164" s="48"/>
      <c r="D164" s="48"/>
      <c r="E164" s="48"/>
      <c r="F164" s="48"/>
      <c r="G164" s="48"/>
      <c r="H164" s="48"/>
      <c r="I164" s="48"/>
      <c r="J164" s="48"/>
      <c r="K164" s="48"/>
      <c r="L164" s="48"/>
      <c r="M164" s="48"/>
      <c r="N164" s="48"/>
      <c r="O164" s="48"/>
      <c r="P164" s="48"/>
      <c r="Q164" s="48"/>
      <c r="R164" s="48"/>
      <c r="S164" s="48"/>
      <c r="T164" s="48"/>
      <c r="U164" s="48"/>
      <c r="V164" s="48"/>
      <c r="W164" s="48"/>
      <c r="X164" s="48"/>
      <c r="Y164" s="48"/>
      <c r="Z164" s="48"/>
      <c r="AA164" s="48"/>
      <c r="AB164" s="48"/>
      <c r="AC164" s="48"/>
      <c r="AD164" s="48"/>
      <c r="AE164" s="48"/>
      <c r="AF164" s="48"/>
      <c r="AG164" s="48"/>
      <c r="AH164" s="48"/>
      <c r="AI164" s="48"/>
      <c r="AJ164" s="48"/>
      <c r="AK164" s="48"/>
      <c r="AL164" s="48"/>
      <c r="AM164" s="48"/>
      <c r="AN164" s="48"/>
      <c r="AO164" s="48"/>
      <c r="AP164" s="48"/>
      <c r="AQ164" s="48"/>
      <c r="AR164" s="48"/>
      <c r="AS164" s="48"/>
      <c r="AT164" s="48"/>
      <c r="AU164" s="48"/>
      <c r="AV164" s="48"/>
      <c r="AW164" s="48"/>
      <c r="AX164" s="48"/>
      <c r="AY164" s="48"/>
      <c r="AZ164" s="48"/>
    </row>
    <row r="165" spans="1:52" ht="17.100000000000001" customHeight="1">
      <c r="A165" s="47"/>
      <c r="B165" s="48"/>
      <c r="C165" s="48"/>
      <c r="D165" s="48"/>
      <c r="E165" s="48"/>
      <c r="F165" s="48"/>
      <c r="G165" s="48"/>
      <c r="H165" s="48"/>
      <c r="I165" s="48"/>
      <c r="J165" s="48"/>
      <c r="K165" s="48"/>
      <c r="L165" s="48"/>
      <c r="M165" s="48"/>
      <c r="N165" s="48"/>
      <c r="O165" s="48"/>
      <c r="P165" s="48"/>
      <c r="Q165" s="48"/>
      <c r="R165" s="48"/>
      <c r="S165" s="48"/>
      <c r="T165" s="48"/>
      <c r="U165" s="48"/>
      <c r="V165" s="48"/>
      <c r="W165" s="48"/>
      <c r="X165" s="48"/>
      <c r="Y165" s="48"/>
      <c r="Z165" s="48"/>
      <c r="AA165" s="48"/>
      <c r="AB165" s="48"/>
      <c r="AC165" s="48"/>
      <c r="AD165" s="48"/>
      <c r="AE165" s="48"/>
      <c r="AF165" s="48"/>
      <c r="AG165" s="48"/>
      <c r="AH165" s="48"/>
      <c r="AI165" s="48"/>
      <c r="AJ165" s="48"/>
      <c r="AK165" s="48"/>
      <c r="AL165" s="48"/>
      <c r="AM165" s="48"/>
      <c r="AN165" s="48"/>
      <c r="AO165" s="48"/>
      <c r="AP165" s="48"/>
      <c r="AQ165" s="48"/>
      <c r="AR165" s="48"/>
      <c r="AS165" s="48"/>
      <c r="AT165" s="48"/>
      <c r="AU165" s="48"/>
      <c r="AV165" s="48"/>
      <c r="AW165" s="48"/>
      <c r="AX165" s="48"/>
      <c r="AY165" s="48"/>
      <c r="AZ165" s="48"/>
    </row>
    <row r="166" spans="1:52" ht="17.100000000000001" customHeight="1">
      <c r="A166" s="47"/>
      <c r="B166" s="48"/>
      <c r="C166" s="48"/>
      <c r="D166" s="48"/>
      <c r="E166" s="48"/>
      <c r="F166" s="48"/>
      <c r="G166" s="48"/>
      <c r="H166" s="48"/>
      <c r="I166" s="48"/>
      <c r="J166" s="48"/>
      <c r="K166" s="48"/>
      <c r="L166" s="48"/>
      <c r="M166" s="48"/>
      <c r="N166" s="48"/>
      <c r="O166" s="48"/>
      <c r="P166" s="48"/>
      <c r="Q166" s="48"/>
      <c r="R166" s="48"/>
      <c r="S166" s="48"/>
      <c r="T166" s="48"/>
      <c r="U166" s="48"/>
      <c r="V166" s="48"/>
      <c r="W166" s="48"/>
      <c r="X166" s="48"/>
      <c r="Y166" s="48"/>
      <c r="Z166" s="48"/>
      <c r="AA166" s="48"/>
      <c r="AB166" s="48"/>
      <c r="AC166" s="48"/>
      <c r="AD166" s="48"/>
      <c r="AE166" s="48"/>
      <c r="AF166" s="48"/>
      <c r="AG166" s="48"/>
      <c r="AH166" s="48"/>
      <c r="AI166" s="48"/>
      <c r="AJ166" s="48"/>
      <c r="AK166" s="48"/>
      <c r="AL166" s="48"/>
      <c r="AM166" s="48"/>
      <c r="AN166" s="48"/>
      <c r="AO166" s="48"/>
      <c r="AP166" s="48"/>
      <c r="AQ166" s="48"/>
      <c r="AR166" s="48"/>
      <c r="AS166" s="48"/>
      <c r="AT166" s="48"/>
      <c r="AU166" s="48"/>
      <c r="AV166" s="48"/>
      <c r="AW166" s="48"/>
      <c r="AX166" s="48"/>
      <c r="AY166" s="48"/>
      <c r="AZ166" s="48"/>
    </row>
    <row r="167" spans="1:52" ht="17.100000000000001" customHeight="1">
      <c r="A167" s="47"/>
      <c r="B167" s="48"/>
      <c r="C167" s="48"/>
      <c r="D167" s="48"/>
      <c r="E167" s="48"/>
      <c r="F167" s="48"/>
      <c r="G167" s="48"/>
      <c r="H167" s="48"/>
      <c r="I167" s="48"/>
      <c r="J167" s="48"/>
      <c r="K167" s="48"/>
      <c r="L167" s="48"/>
      <c r="M167" s="48"/>
      <c r="N167" s="48"/>
      <c r="O167" s="48"/>
      <c r="P167" s="48"/>
      <c r="Q167" s="48"/>
      <c r="R167" s="48"/>
      <c r="S167" s="48"/>
      <c r="T167" s="48"/>
      <c r="U167" s="48"/>
      <c r="V167" s="48"/>
      <c r="W167" s="48"/>
      <c r="X167" s="48"/>
      <c r="Y167" s="48"/>
      <c r="Z167" s="48"/>
      <c r="AA167" s="48"/>
      <c r="AB167" s="48"/>
      <c r="AC167" s="48"/>
      <c r="AD167" s="48"/>
      <c r="AE167" s="48"/>
      <c r="AF167" s="48"/>
      <c r="AG167" s="48"/>
      <c r="AH167" s="48"/>
      <c r="AI167" s="48"/>
      <c r="AJ167" s="48"/>
      <c r="AK167" s="48"/>
      <c r="AL167" s="48"/>
      <c r="AM167" s="48"/>
      <c r="AN167" s="48"/>
      <c r="AO167" s="48"/>
      <c r="AP167" s="48"/>
      <c r="AQ167" s="48"/>
      <c r="AR167" s="48"/>
      <c r="AS167" s="48"/>
      <c r="AT167" s="48"/>
      <c r="AU167" s="48"/>
      <c r="AV167" s="48"/>
      <c r="AW167" s="48"/>
      <c r="AX167" s="48"/>
      <c r="AY167" s="48"/>
      <c r="AZ167" s="48"/>
    </row>
    <row r="168" spans="1:52" ht="17.100000000000001" customHeight="1">
      <c r="A168" s="47"/>
      <c r="B168" s="48"/>
      <c r="C168" s="48"/>
      <c r="D168" s="48"/>
      <c r="E168" s="48"/>
      <c r="F168" s="48"/>
      <c r="G168" s="48"/>
      <c r="H168" s="48"/>
      <c r="I168" s="48"/>
      <c r="J168" s="48"/>
      <c r="K168" s="48"/>
      <c r="L168" s="48"/>
      <c r="M168" s="48"/>
      <c r="N168" s="48"/>
      <c r="O168" s="48"/>
      <c r="P168" s="48"/>
      <c r="Q168" s="48"/>
      <c r="R168" s="48"/>
      <c r="S168" s="48"/>
      <c r="T168" s="48"/>
      <c r="U168" s="48"/>
      <c r="V168" s="48"/>
      <c r="W168" s="48"/>
      <c r="X168" s="48"/>
      <c r="Y168" s="48"/>
      <c r="Z168" s="48"/>
      <c r="AA168" s="48"/>
      <c r="AB168" s="48"/>
      <c r="AC168" s="48"/>
      <c r="AD168" s="48"/>
      <c r="AE168" s="48"/>
      <c r="AF168" s="48"/>
      <c r="AG168" s="48"/>
      <c r="AH168" s="48"/>
      <c r="AI168" s="48"/>
      <c r="AJ168" s="48"/>
      <c r="AK168" s="48"/>
      <c r="AL168" s="48"/>
      <c r="AM168" s="48"/>
      <c r="AN168" s="48"/>
      <c r="AO168" s="48"/>
      <c r="AP168" s="48"/>
      <c r="AQ168" s="48"/>
      <c r="AR168" s="48"/>
      <c r="AS168" s="48"/>
      <c r="AT168" s="48"/>
      <c r="AU168" s="48"/>
      <c r="AV168" s="48"/>
      <c r="AW168" s="48"/>
      <c r="AX168" s="48"/>
      <c r="AY168" s="48"/>
      <c r="AZ168" s="48"/>
    </row>
    <row r="169" spans="1:52" ht="17.100000000000001" customHeight="1">
      <c r="A169" s="47"/>
      <c r="B169" s="48"/>
      <c r="C169" s="48"/>
      <c r="D169" s="48"/>
      <c r="E169" s="48"/>
      <c r="F169" s="48"/>
      <c r="G169" s="48"/>
      <c r="H169" s="48"/>
      <c r="I169" s="48"/>
      <c r="J169" s="48"/>
      <c r="K169" s="48"/>
      <c r="L169" s="48"/>
      <c r="M169" s="48"/>
      <c r="N169" s="48"/>
      <c r="O169" s="48"/>
      <c r="P169" s="48"/>
      <c r="Q169" s="48"/>
      <c r="R169" s="48"/>
      <c r="S169" s="48"/>
      <c r="T169" s="48"/>
      <c r="U169" s="48"/>
      <c r="V169" s="48"/>
      <c r="W169" s="48"/>
      <c r="X169" s="48"/>
      <c r="Y169" s="48"/>
      <c r="Z169" s="48"/>
      <c r="AA169" s="48"/>
      <c r="AB169" s="48"/>
      <c r="AC169" s="48"/>
      <c r="AD169" s="48"/>
      <c r="AE169" s="48"/>
      <c r="AF169" s="48"/>
      <c r="AG169" s="48"/>
      <c r="AH169" s="48"/>
      <c r="AI169" s="48"/>
      <c r="AJ169" s="48"/>
      <c r="AK169" s="48"/>
      <c r="AL169" s="48"/>
      <c r="AM169" s="48"/>
      <c r="AN169" s="48"/>
      <c r="AO169" s="48"/>
      <c r="AP169" s="48"/>
      <c r="AQ169" s="48"/>
      <c r="AR169" s="48"/>
      <c r="AS169" s="48"/>
      <c r="AT169" s="48"/>
      <c r="AU169" s="48"/>
      <c r="AV169" s="48"/>
      <c r="AW169" s="48"/>
      <c r="AX169" s="48"/>
      <c r="AY169" s="48"/>
      <c r="AZ169" s="48"/>
    </row>
    <row r="170" spans="1:52" ht="17.100000000000001" customHeight="1">
      <c r="A170" s="47"/>
      <c r="B170" s="48"/>
      <c r="C170" s="48"/>
      <c r="D170" s="48"/>
      <c r="E170" s="48"/>
      <c r="F170" s="48"/>
      <c r="G170" s="48"/>
      <c r="H170" s="48"/>
      <c r="I170" s="48"/>
      <c r="J170" s="48"/>
      <c r="K170" s="48"/>
      <c r="L170" s="48"/>
      <c r="M170" s="48"/>
      <c r="N170" s="48"/>
      <c r="O170" s="48"/>
      <c r="P170" s="48"/>
      <c r="Q170" s="48"/>
      <c r="R170" s="48"/>
      <c r="S170" s="48"/>
      <c r="T170" s="48"/>
      <c r="U170" s="48"/>
      <c r="V170" s="48"/>
      <c r="W170" s="48"/>
      <c r="X170" s="48"/>
      <c r="Y170" s="48"/>
      <c r="Z170" s="48"/>
      <c r="AA170" s="48"/>
      <c r="AB170" s="48"/>
      <c r="AC170" s="48"/>
      <c r="AD170" s="48"/>
      <c r="AE170" s="48"/>
      <c r="AF170" s="48"/>
      <c r="AG170" s="48"/>
      <c r="AH170" s="48"/>
      <c r="AI170" s="48"/>
      <c r="AJ170" s="48"/>
      <c r="AK170" s="48"/>
      <c r="AL170" s="48"/>
      <c r="AM170" s="48"/>
      <c r="AN170" s="48"/>
      <c r="AO170" s="48"/>
      <c r="AP170" s="48"/>
      <c r="AQ170" s="48"/>
      <c r="AR170" s="48"/>
      <c r="AS170" s="48"/>
      <c r="AT170" s="48"/>
      <c r="AU170" s="48"/>
      <c r="AV170" s="48"/>
      <c r="AW170" s="48"/>
      <c r="AX170" s="48"/>
      <c r="AY170" s="48"/>
      <c r="AZ170" s="48"/>
    </row>
    <row r="171" spans="1:52" ht="17.100000000000001" customHeight="1">
      <c r="A171" s="47"/>
      <c r="B171" s="48"/>
      <c r="C171" s="48"/>
      <c r="D171" s="48"/>
      <c r="E171" s="48"/>
      <c r="F171" s="48"/>
      <c r="G171" s="48"/>
      <c r="H171" s="48"/>
      <c r="I171" s="48"/>
      <c r="J171" s="48"/>
      <c r="K171" s="48"/>
      <c r="L171" s="48"/>
      <c r="M171" s="48"/>
      <c r="N171" s="48"/>
      <c r="O171" s="48"/>
      <c r="P171" s="48"/>
      <c r="Q171" s="48"/>
      <c r="R171" s="48"/>
      <c r="S171" s="48"/>
      <c r="T171" s="48"/>
      <c r="U171" s="48"/>
      <c r="V171" s="48"/>
      <c r="W171" s="48"/>
      <c r="X171" s="48"/>
      <c r="Y171" s="48"/>
      <c r="Z171" s="48"/>
      <c r="AA171" s="48"/>
      <c r="AB171" s="48"/>
      <c r="AC171" s="48"/>
      <c r="AD171" s="48"/>
      <c r="AE171" s="48"/>
      <c r="AF171" s="48"/>
      <c r="AG171" s="48"/>
      <c r="AH171" s="48"/>
      <c r="AI171" s="48"/>
      <c r="AJ171" s="48"/>
      <c r="AK171" s="48"/>
      <c r="AL171" s="48"/>
      <c r="AM171" s="48"/>
      <c r="AN171" s="48"/>
      <c r="AO171" s="48"/>
      <c r="AP171" s="48"/>
      <c r="AQ171" s="48"/>
      <c r="AR171" s="48"/>
      <c r="AS171" s="48"/>
      <c r="AT171" s="48"/>
      <c r="AU171" s="48"/>
      <c r="AV171" s="48"/>
      <c r="AW171" s="48"/>
      <c r="AX171" s="48"/>
      <c r="AY171" s="48"/>
      <c r="AZ171" s="48"/>
    </row>
    <row r="172" spans="1:52" ht="17.100000000000001" customHeight="1">
      <c r="A172" s="47"/>
      <c r="B172" s="48"/>
      <c r="C172" s="48"/>
      <c r="D172" s="48"/>
      <c r="E172" s="48"/>
      <c r="F172" s="48"/>
      <c r="G172" s="48"/>
      <c r="H172" s="48"/>
      <c r="I172" s="48"/>
      <c r="J172" s="48"/>
      <c r="K172" s="48"/>
      <c r="L172" s="48"/>
      <c r="M172" s="48"/>
      <c r="N172" s="48"/>
      <c r="O172" s="48"/>
      <c r="P172" s="48"/>
      <c r="Q172" s="48"/>
      <c r="R172" s="48"/>
      <c r="S172" s="48"/>
      <c r="T172" s="48"/>
      <c r="U172" s="48"/>
      <c r="V172" s="48"/>
      <c r="W172" s="48"/>
      <c r="X172" s="48"/>
      <c r="Y172" s="48"/>
      <c r="Z172" s="48"/>
      <c r="AA172" s="48"/>
      <c r="AB172" s="48"/>
      <c r="AC172" s="48"/>
      <c r="AD172" s="48"/>
      <c r="AE172" s="48"/>
      <c r="AF172" s="48"/>
      <c r="AG172" s="48"/>
      <c r="AH172" s="48"/>
      <c r="AI172" s="48"/>
      <c r="AJ172" s="48"/>
      <c r="AK172" s="48"/>
      <c r="AL172" s="48"/>
      <c r="AM172" s="48"/>
      <c r="AN172" s="48"/>
      <c r="AO172" s="48"/>
      <c r="AP172" s="48"/>
      <c r="AQ172" s="48"/>
      <c r="AR172" s="48"/>
      <c r="AS172" s="48"/>
      <c r="AT172" s="48"/>
      <c r="AU172" s="48"/>
      <c r="AV172" s="48"/>
      <c r="AW172" s="48"/>
      <c r="AX172" s="48"/>
      <c r="AY172" s="48"/>
      <c r="AZ172" s="48"/>
    </row>
    <row r="173" spans="1:52" ht="17.100000000000001" customHeight="1">
      <c r="A173" s="47"/>
      <c r="B173" s="48"/>
      <c r="C173" s="48"/>
      <c r="D173" s="48"/>
      <c r="E173" s="48"/>
      <c r="F173" s="48"/>
      <c r="G173" s="48"/>
      <c r="H173" s="48"/>
      <c r="I173" s="48"/>
      <c r="J173" s="48"/>
      <c r="K173" s="48"/>
      <c r="L173" s="48"/>
      <c r="M173" s="48"/>
      <c r="N173" s="48"/>
      <c r="O173" s="48"/>
      <c r="P173" s="48"/>
      <c r="Q173" s="48"/>
      <c r="R173" s="48"/>
      <c r="S173" s="48"/>
      <c r="T173" s="48"/>
      <c r="U173" s="48"/>
      <c r="V173" s="48"/>
      <c r="W173" s="48"/>
      <c r="X173" s="48"/>
      <c r="Y173" s="48"/>
      <c r="Z173" s="48"/>
      <c r="AA173" s="48"/>
      <c r="AB173" s="48"/>
      <c r="AC173" s="48"/>
      <c r="AD173" s="48"/>
      <c r="AE173" s="48"/>
      <c r="AF173" s="48"/>
      <c r="AG173" s="48"/>
      <c r="AH173" s="48"/>
      <c r="AI173" s="48"/>
      <c r="AJ173" s="48"/>
      <c r="AK173" s="48"/>
      <c r="AL173" s="48"/>
      <c r="AM173" s="48"/>
      <c r="AN173" s="48"/>
      <c r="AO173" s="48"/>
      <c r="AP173" s="48"/>
      <c r="AQ173" s="48"/>
      <c r="AR173" s="48"/>
      <c r="AS173" s="48"/>
      <c r="AT173" s="48"/>
      <c r="AU173" s="48"/>
      <c r="AV173" s="48"/>
      <c r="AW173" s="48"/>
      <c r="AX173" s="48"/>
      <c r="AY173" s="48"/>
      <c r="AZ173" s="48"/>
    </row>
    <row r="174" spans="1:52" ht="17.100000000000001" customHeight="1">
      <c r="A174" s="47"/>
      <c r="B174" s="48"/>
      <c r="C174" s="48"/>
      <c r="D174" s="48"/>
      <c r="E174" s="48"/>
      <c r="F174" s="48"/>
      <c r="G174" s="48"/>
      <c r="H174" s="48"/>
      <c r="I174" s="48"/>
      <c r="J174" s="48"/>
      <c r="K174" s="48"/>
      <c r="L174" s="48"/>
      <c r="M174" s="48"/>
      <c r="N174" s="48"/>
      <c r="O174" s="48"/>
      <c r="P174" s="48"/>
      <c r="Q174" s="48"/>
      <c r="R174" s="48"/>
      <c r="S174" s="48"/>
      <c r="T174" s="48"/>
      <c r="U174" s="48"/>
      <c r="V174" s="48"/>
      <c r="W174" s="48"/>
      <c r="X174" s="48"/>
      <c r="Y174" s="48"/>
      <c r="Z174" s="48"/>
      <c r="AA174" s="48"/>
      <c r="AB174" s="48"/>
      <c r="AC174" s="48"/>
      <c r="AD174" s="48"/>
      <c r="AE174" s="48"/>
      <c r="AF174" s="48"/>
      <c r="AG174" s="48"/>
      <c r="AH174" s="48"/>
      <c r="AI174" s="48"/>
      <c r="AJ174" s="48"/>
      <c r="AK174" s="48"/>
      <c r="AL174" s="48"/>
      <c r="AM174" s="48"/>
      <c r="AN174" s="48"/>
      <c r="AO174" s="48"/>
      <c r="AP174" s="48"/>
      <c r="AQ174" s="48"/>
      <c r="AR174" s="48"/>
      <c r="AS174" s="48"/>
      <c r="AT174" s="48"/>
      <c r="AU174" s="48"/>
      <c r="AV174" s="48"/>
      <c r="AW174" s="48"/>
      <c r="AX174" s="48"/>
      <c r="AY174" s="48"/>
      <c r="AZ174" s="48"/>
    </row>
    <row r="175" spans="1:52" ht="17.100000000000001" customHeight="1">
      <c r="A175" s="47"/>
      <c r="B175" s="48"/>
      <c r="C175" s="48"/>
      <c r="D175" s="48"/>
      <c r="E175" s="48"/>
      <c r="F175" s="48"/>
      <c r="G175" s="48"/>
      <c r="H175" s="48"/>
      <c r="I175" s="48"/>
      <c r="J175" s="48"/>
      <c r="K175" s="48"/>
      <c r="L175" s="48"/>
      <c r="M175" s="48"/>
      <c r="N175" s="48"/>
      <c r="O175" s="48"/>
      <c r="P175" s="48"/>
      <c r="Q175" s="48"/>
      <c r="R175" s="48"/>
      <c r="S175" s="48"/>
      <c r="T175" s="48"/>
      <c r="U175" s="48"/>
      <c r="V175" s="48"/>
      <c r="W175" s="48"/>
      <c r="X175" s="48"/>
      <c r="Y175" s="48"/>
      <c r="Z175" s="48"/>
      <c r="AA175" s="48"/>
      <c r="AB175" s="48"/>
      <c r="AC175" s="48"/>
      <c r="AD175" s="48"/>
      <c r="AE175" s="48"/>
      <c r="AF175" s="48"/>
      <c r="AG175" s="48"/>
      <c r="AH175" s="48"/>
      <c r="AI175" s="48"/>
      <c r="AJ175" s="48"/>
      <c r="AK175" s="48"/>
      <c r="AL175" s="48"/>
      <c r="AM175" s="48"/>
      <c r="AN175" s="48"/>
      <c r="AO175" s="48"/>
      <c r="AP175" s="48"/>
      <c r="AQ175" s="48"/>
      <c r="AR175" s="48"/>
      <c r="AS175" s="48"/>
      <c r="AT175" s="48"/>
      <c r="AU175" s="48"/>
      <c r="AV175" s="48"/>
      <c r="AW175" s="48"/>
      <c r="AX175" s="48"/>
      <c r="AY175" s="48"/>
      <c r="AZ175" s="48"/>
    </row>
    <row r="176" spans="1:52" ht="17.100000000000001" customHeight="1">
      <c r="A176" s="47"/>
      <c r="B176" s="48"/>
      <c r="C176" s="48"/>
      <c r="D176" s="48"/>
      <c r="E176" s="48"/>
      <c r="F176" s="48"/>
      <c r="G176" s="48"/>
      <c r="H176" s="48"/>
      <c r="I176" s="48"/>
      <c r="J176" s="48"/>
      <c r="K176" s="48"/>
      <c r="L176" s="48"/>
      <c r="M176" s="48"/>
      <c r="N176" s="48"/>
      <c r="O176" s="48"/>
      <c r="P176" s="48"/>
      <c r="Q176" s="48"/>
      <c r="R176" s="48"/>
      <c r="S176" s="48"/>
      <c r="T176" s="48"/>
      <c r="U176" s="48"/>
      <c r="V176" s="48"/>
      <c r="W176" s="48"/>
      <c r="X176" s="48"/>
      <c r="Y176" s="48"/>
      <c r="Z176" s="48"/>
      <c r="AA176" s="48"/>
      <c r="AB176" s="48"/>
      <c r="AC176" s="48"/>
      <c r="AD176" s="48"/>
      <c r="AE176" s="48"/>
      <c r="AF176" s="48"/>
      <c r="AG176" s="48"/>
      <c r="AH176" s="48"/>
      <c r="AI176" s="48"/>
      <c r="AJ176" s="48"/>
      <c r="AK176" s="48"/>
      <c r="AL176" s="48"/>
      <c r="AM176" s="48"/>
      <c r="AN176" s="48"/>
      <c r="AO176" s="48"/>
      <c r="AP176" s="48"/>
      <c r="AQ176" s="48"/>
      <c r="AR176" s="48"/>
      <c r="AS176" s="48"/>
      <c r="AT176" s="48"/>
      <c r="AU176" s="48"/>
      <c r="AV176" s="48"/>
      <c r="AW176" s="48"/>
      <c r="AX176" s="48"/>
      <c r="AY176" s="48"/>
      <c r="AZ176" s="48"/>
    </row>
    <row r="177" spans="1:52" ht="17.100000000000001" customHeight="1">
      <c r="A177" s="47"/>
      <c r="B177" s="48"/>
      <c r="C177" s="48"/>
      <c r="D177" s="48"/>
      <c r="E177" s="48"/>
      <c r="F177" s="48"/>
      <c r="G177" s="48"/>
      <c r="H177" s="48"/>
      <c r="I177" s="48"/>
      <c r="J177" s="48"/>
      <c r="K177" s="48"/>
      <c r="L177" s="48"/>
      <c r="M177" s="48"/>
      <c r="N177" s="48"/>
      <c r="O177" s="48"/>
      <c r="P177" s="48"/>
      <c r="Q177" s="48"/>
      <c r="R177" s="48"/>
      <c r="S177" s="48"/>
      <c r="T177" s="48"/>
      <c r="U177" s="48"/>
      <c r="V177" s="48"/>
      <c r="W177" s="48"/>
      <c r="X177" s="48"/>
      <c r="Y177" s="48"/>
      <c r="Z177" s="48"/>
      <c r="AA177" s="48"/>
      <c r="AB177" s="48"/>
      <c r="AC177" s="48"/>
      <c r="AD177" s="48"/>
      <c r="AE177" s="48"/>
      <c r="AF177" s="48"/>
      <c r="AG177" s="48"/>
      <c r="AH177" s="48"/>
      <c r="AI177" s="48"/>
      <c r="AJ177" s="48"/>
      <c r="AK177" s="48"/>
      <c r="AL177" s="48"/>
      <c r="AM177" s="48"/>
      <c r="AN177" s="48"/>
      <c r="AO177" s="48"/>
      <c r="AP177" s="48"/>
      <c r="AQ177" s="48"/>
      <c r="AR177" s="48"/>
      <c r="AS177" s="48"/>
      <c r="AT177" s="48"/>
      <c r="AU177" s="48"/>
      <c r="AV177" s="48"/>
      <c r="AW177" s="48"/>
      <c r="AX177" s="48"/>
      <c r="AY177" s="48"/>
      <c r="AZ177" s="48"/>
    </row>
    <row r="178" spans="1:52" ht="17.100000000000001" customHeight="1">
      <c r="A178" s="47"/>
      <c r="B178" s="48"/>
      <c r="C178" s="48"/>
      <c r="D178" s="48"/>
      <c r="E178" s="48"/>
      <c r="F178" s="48"/>
      <c r="G178" s="48"/>
      <c r="H178" s="48"/>
      <c r="I178" s="48"/>
      <c r="J178" s="48"/>
      <c r="K178" s="48"/>
      <c r="L178" s="48"/>
      <c r="M178" s="48"/>
      <c r="N178" s="48"/>
      <c r="O178" s="48"/>
      <c r="P178" s="48"/>
      <c r="Q178" s="48"/>
      <c r="R178" s="48"/>
      <c r="S178" s="48"/>
      <c r="T178" s="48"/>
      <c r="U178" s="48"/>
      <c r="V178" s="48"/>
      <c r="W178" s="48"/>
      <c r="X178" s="48"/>
      <c r="Y178" s="48"/>
      <c r="Z178" s="48"/>
      <c r="AA178" s="48"/>
      <c r="AB178" s="48"/>
      <c r="AC178" s="48"/>
      <c r="AD178" s="48"/>
      <c r="AE178" s="48"/>
      <c r="AF178" s="48"/>
      <c r="AG178" s="48"/>
      <c r="AH178" s="48"/>
      <c r="AI178" s="48"/>
      <c r="AJ178" s="48"/>
      <c r="AK178" s="48"/>
      <c r="AL178" s="48"/>
      <c r="AM178" s="48"/>
      <c r="AN178" s="48"/>
      <c r="AO178" s="48"/>
      <c r="AP178" s="48"/>
      <c r="AQ178" s="48"/>
      <c r="AR178" s="48"/>
      <c r="AS178" s="48"/>
      <c r="AT178" s="48"/>
      <c r="AU178" s="48"/>
      <c r="AV178" s="48"/>
      <c r="AW178" s="48"/>
      <c r="AX178" s="48"/>
      <c r="AY178" s="48"/>
      <c r="AZ178" s="48"/>
    </row>
    <row r="179" spans="1:52" ht="17.100000000000001" customHeight="1">
      <c r="A179" s="47"/>
      <c r="B179" s="48"/>
      <c r="C179" s="48"/>
      <c r="D179" s="48"/>
      <c r="E179" s="48"/>
      <c r="F179" s="48"/>
      <c r="G179" s="48"/>
      <c r="H179" s="48"/>
      <c r="I179" s="48"/>
      <c r="J179" s="48"/>
      <c r="K179" s="48"/>
      <c r="L179" s="48"/>
      <c r="M179" s="48"/>
      <c r="N179" s="48"/>
      <c r="O179" s="48"/>
      <c r="P179" s="48"/>
      <c r="Q179" s="48"/>
      <c r="R179" s="48"/>
      <c r="S179" s="48"/>
      <c r="T179" s="48"/>
      <c r="U179" s="48"/>
      <c r="V179" s="48"/>
      <c r="W179" s="48"/>
      <c r="X179" s="48"/>
      <c r="Y179" s="48"/>
      <c r="Z179" s="48"/>
      <c r="AA179" s="48"/>
      <c r="AB179" s="48"/>
      <c r="AC179" s="48"/>
      <c r="AD179" s="48"/>
      <c r="AE179" s="48"/>
      <c r="AF179" s="48"/>
      <c r="AG179" s="48"/>
      <c r="AH179" s="48"/>
      <c r="AI179" s="48"/>
      <c r="AJ179" s="48"/>
      <c r="AK179" s="48"/>
      <c r="AL179" s="48"/>
      <c r="AM179" s="48"/>
      <c r="AN179" s="48"/>
      <c r="AO179" s="48"/>
      <c r="AP179" s="48"/>
      <c r="AQ179" s="48"/>
      <c r="AR179" s="48"/>
      <c r="AS179" s="48"/>
      <c r="AT179" s="48"/>
      <c r="AU179" s="48"/>
      <c r="AV179" s="48"/>
      <c r="AW179" s="48"/>
      <c r="AX179" s="48"/>
      <c r="AY179" s="48"/>
      <c r="AZ179" s="48"/>
    </row>
    <row r="180" spans="1:52" ht="17.100000000000001" customHeight="1">
      <c r="A180" s="47"/>
      <c r="B180" s="48"/>
      <c r="C180" s="48"/>
      <c r="D180" s="48"/>
      <c r="E180" s="48"/>
      <c r="F180" s="48"/>
      <c r="G180" s="48"/>
      <c r="H180" s="48"/>
      <c r="I180" s="48"/>
      <c r="J180" s="48"/>
      <c r="K180" s="48"/>
      <c r="L180" s="48"/>
      <c r="M180" s="48"/>
      <c r="N180" s="48"/>
      <c r="O180" s="48"/>
      <c r="P180" s="48"/>
      <c r="Q180" s="48"/>
      <c r="R180" s="48"/>
      <c r="S180" s="48"/>
      <c r="T180" s="48"/>
      <c r="U180" s="48"/>
      <c r="V180" s="48"/>
      <c r="W180" s="48"/>
      <c r="X180" s="48"/>
      <c r="Y180" s="48"/>
      <c r="Z180" s="48"/>
      <c r="AA180" s="48"/>
      <c r="AB180" s="48"/>
      <c r="AC180" s="48"/>
      <c r="AD180" s="48"/>
      <c r="AE180" s="48"/>
      <c r="AF180" s="48"/>
      <c r="AG180" s="48"/>
      <c r="AH180" s="48"/>
      <c r="AI180" s="48"/>
      <c r="AJ180" s="48"/>
      <c r="AK180" s="48"/>
      <c r="AL180" s="48"/>
      <c r="AM180" s="48"/>
      <c r="AN180" s="48"/>
      <c r="AO180" s="48"/>
      <c r="AP180" s="48"/>
      <c r="AQ180" s="48"/>
      <c r="AR180" s="48"/>
      <c r="AS180" s="48"/>
      <c r="AT180" s="48"/>
      <c r="AU180" s="48"/>
      <c r="AV180" s="48"/>
      <c r="AW180" s="48"/>
      <c r="AX180" s="48"/>
      <c r="AY180" s="48"/>
      <c r="AZ180" s="48"/>
    </row>
    <row r="181" spans="1:52" ht="17.100000000000001" customHeight="1">
      <c r="A181" s="47"/>
      <c r="B181" s="48"/>
      <c r="C181" s="48"/>
      <c r="D181" s="48"/>
      <c r="E181" s="48"/>
      <c r="F181" s="48"/>
      <c r="G181" s="48"/>
      <c r="H181" s="48"/>
      <c r="I181" s="48"/>
      <c r="J181" s="48"/>
      <c r="K181" s="48"/>
      <c r="L181" s="48"/>
      <c r="M181" s="48"/>
      <c r="N181" s="48"/>
      <c r="O181" s="48"/>
      <c r="P181" s="48"/>
      <c r="Q181" s="48"/>
      <c r="R181" s="48"/>
      <c r="S181" s="48"/>
      <c r="T181" s="48"/>
      <c r="U181" s="48"/>
      <c r="V181" s="48"/>
      <c r="W181" s="48"/>
      <c r="X181" s="48"/>
      <c r="Y181" s="48"/>
      <c r="Z181" s="48"/>
      <c r="AA181" s="48"/>
      <c r="AB181" s="48"/>
      <c r="AC181" s="48"/>
      <c r="AD181" s="48"/>
      <c r="AE181" s="48"/>
      <c r="AF181" s="48"/>
      <c r="AG181" s="48"/>
      <c r="AH181" s="48"/>
      <c r="AI181" s="48"/>
      <c r="AJ181" s="48"/>
      <c r="AK181" s="48"/>
      <c r="AL181" s="48"/>
      <c r="AM181" s="48"/>
      <c r="AN181" s="48"/>
      <c r="AO181" s="48"/>
      <c r="AP181" s="48"/>
      <c r="AQ181" s="48"/>
      <c r="AR181" s="48"/>
      <c r="AS181" s="48"/>
      <c r="AT181" s="48"/>
      <c r="AU181" s="48"/>
      <c r="AV181" s="48"/>
      <c r="AW181" s="48"/>
      <c r="AX181" s="48"/>
      <c r="AY181" s="48"/>
      <c r="AZ181" s="48"/>
    </row>
    <row r="182" spans="1:52" ht="17.100000000000001" customHeight="1">
      <c r="A182" s="47"/>
      <c r="B182" s="48"/>
      <c r="C182" s="48"/>
      <c r="D182" s="48"/>
      <c r="E182" s="48"/>
      <c r="F182" s="48"/>
      <c r="G182" s="48"/>
      <c r="H182" s="48"/>
      <c r="I182" s="48"/>
      <c r="J182" s="48"/>
      <c r="K182" s="48"/>
      <c r="L182" s="48"/>
      <c r="M182" s="48"/>
      <c r="N182" s="48"/>
      <c r="O182" s="48"/>
      <c r="P182" s="48"/>
      <c r="Q182" s="48"/>
      <c r="R182" s="48"/>
      <c r="S182" s="48"/>
      <c r="T182" s="48"/>
      <c r="U182" s="48"/>
      <c r="V182" s="48"/>
      <c r="W182" s="48"/>
      <c r="X182" s="48"/>
      <c r="Y182" s="48"/>
      <c r="Z182" s="48"/>
      <c r="AA182" s="48"/>
      <c r="AB182" s="48"/>
      <c r="AC182" s="48"/>
      <c r="AD182" s="48"/>
      <c r="AE182" s="48"/>
      <c r="AF182" s="48"/>
      <c r="AG182" s="48"/>
      <c r="AH182" s="48"/>
      <c r="AI182" s="48"/>
      <c r="AJ182" s="48"/>
      <c r="AK182" s="48"/>
      <c r="AL182" s="48"/>
      <c r="AM182" s="48"/>
      <c r="AN182" s="48"/>
      <c r="AO182" s="48"/>
      <c r="AP182" s="48"/>
      <c r="AQ182" s="48"/>
      <c r="AR182" s="48"/>
      <c r="AS182" s="48"/>
      <c r="AT182" s="48"/>
      <c r="AU182" s="48"/>
      <c r="AV182" s="48"/>
      <c r="AW182" s="48"/>
      <c r="AX182" s="48"/>
      <c r="AY182" s="48"/>
      <c r="AZ182" s="48"/>
    </row>
    <row r="183" spans="1:52" ht="17.100000000000001" customHeight="1">
      <c r="A183" s="47"/>
      <c r="B183" s="48"/>
      <c r="C183" s="48"/>
      <c r="D183" s="48"/>
      <c r="E183" s="48"/>
      <c r="F183" s="48"/>
      <c r="G183" s="48"/>
      <c r="H183" s="48"/>
      <c r="I183" s="48"/>
      <c r="J183" s="48"/>
      <c r="K183" s="48"/>
      <c r="L183" s="48"/>
      <c r="M183" s="48"/>
      <c r="N183" s="48"/>
      <c r="O183" s="48"/>
      <c r="P183" s="48"/>
      <c r="Q183" s="48"/>
      <c r="R183" s="48"/>
      <c r="S183" s="48"/>
      <c r="T183" s="48"/>
      <c r="U183" s="48"/>
      <c r="V183" s="48"/>
      <c r="W183" s="48"/>
      <c r="X183" s="48"/>
      <c r="Y183" s="48"/>
      <c r="Z183" s="48"/>
      <c r="AA183" s="48"/>
      <c r="AB183" s="48"/>
      <c r="AC183" s="48"/>
      <c r="AD183" s="48"/>
      <c r="AE183" s="48"/>
      <c r="AF183" s="48"/>
      <c r="AG183" s="48"/>
      <c r="AH183" s="48"/>
      <c r="AI183" s="48"/>
      <c r="AJ183" s="48"/>
      <c r="AK183" s="48"/>
      <c r="AL183" s="48"/>
      <c r="AM183" s="48"/>
      <c r="AN183" s="48"/>
      <c r="AO183" s="48"/>
      <c r="AP183" s="48"/>
      <c r="AQ183" s="48"/>
      <c r="AR183" s="48"/>
      <c r="AS183" s="48"/>
      <c r="AT183" s="48"/>
      <c r="AU183" s="48"/>
      <c r="AV183" s="48"/>
      <c r="AW183" s="48"/>
      <c r="AX183" s="48"/>
      <c r="AY183" s="48"/>
      <c r="AZ183" s="48"/>
    </row>
    <row r="184" spans="1:52" ht="17.100000000000001" customHeight="1">
      <c r="A184" s="47"/>
      <c r="B184" s="48"/>
      <c r="C184" s="48"/>
      <c r="D184" s="48"/>
      <c r="E184" s="48"/>
      <c r="F184" s="48"/>
      <c r="G184" s="48"/>
      <c r="H184" s="48"/>
      <c r="I184" s="48"/>
      <c r="J184" s="48"/>
      <c r="K184" s="48"/>
      <c r="L184" s="48"/>
      <c r="M184" s="48"/>
      <c r="N184" s="48"/>
      <c r="O184" s="48"/>
      <c r="P184" s="48"/>
      <c r="Q184" s="48"/>
      <c r="R184" s="48"/>
      <c r="S184" s="48"/>
      <c r="T184" s="48"/>
      <c r="U184" s="48"/>
      <c r="V184" s="48"/>
      <c r="W184" s="48"/>
      <c r="X184" s="48"/>
      <c r="Y184" s="48"/>
      <c r="Z184" s="48"/>
      <c r="AA184" s="48"/>
      <c r="AB184" s="48"/>
      <c r="AC184" s="48"/>
      <c r="AD184" s="48"/>
      <c r="AE184" s="48"/>
      <c r="AF184" s="48"/>
      <c r="AG184" s="48"/>
      <c r="AH184" s="48"/>
      <c r="AI184" s="48"/>
      <c r="AJ184" s="48"/>
      <c r="AK184" s="48"/>
      <c r="AL184" s="48"/>
      <c r="AM184" s="48"/>
      <c r="AN184" s="48"/>
      <c r="AO184" s="48"/>
      <c r="AP184" s="48"/>
      <c r="AQ184" s="48"/>
      <c r="AR184" s="48"/>
      <c r="AS184" s="48"/>
      <c r="AT184" s="48"/>
      <c r="AU184" s="48"/>
      <c r="AV184" s="48"/>
      <c r="AW184" s="48"/>
      <c r="AX184" s="48"/>
      <c r="AY184" s="48"/>
      <c r="AZ184" s="48"/>
    </row>
    <row r="185" spans="1:52" ht="17.100000000000001" customHeight="1">
      <c r="A185" s="47"/>
      <c r="B185" s="48"/>
      <c r="C185" s="48"/>
      <c r="D185" s="48"/>
      <c r="E185" s="48"/>
      <c r="F185" s="48"/>
      <c r="G185" s="48"/>
      <c r="H185" s="48"/>
      <c r="I185" s="48"/>
      <c r="J185" s="48"/>
      <c r="K185" s="48"/>
      <c r="L185" s="48"/>
      <c r="M185" s="48"/>
      <c r="N185" s="48"/>
      <c r="O185" s="48"/>
      <c r="P185" s="48"/>
      <c r="Q185" s="48"/>
      <c r="R185" s="48"/>
      <c r="S185" s="48"/>
      <c r="T185" s="48"/>
      <c r="U185" s="48"/>
      <c r="V185" s="48"/>
      <c r="W185" s="48"/>
      <c r="X185" s="48"/>
      <c r="Y185" s="48"/>
      <c r="Z185" s="48"/>
      <c r="AA185" s="48"/>
      <c r="AB185" s="48"/>
      <c r="AC185" s="48"/>
      <c r="AD185" s="48"/>
      <c r="AE185" s="48"/>
      <c r="AF185" s="48"/>
      <c r="AG185" s="48"/>
      <c r="AH185" s="48"/>
      <c r="AI185" s="48"/>
      <c r="AJ185" s="48"/>
      <c r="AK185" s="48"/>
      <c r="AL185" s="48"/>
      <c r="AM185" s="48"/>
      <c r="AN185" s="48"/>
      <c r="AO185" s="48"/>
      <c r="AP185" s="48"/>
      <c r="AQ185" s="48"/>
      <c r="AR185" s="48"/>
      <c r="AS185" s="48"/>
      <c r="AT185" s="48"/>
      <c r="AU185" s="48"/>
      <c r="AV185" s="48"/>
      <c r="AW185" s="48"/>
      <c r="AX185" s="48"/>
      <c r="AY185" s="48"/>
      <c r="AZ185" s="48"/>
    </row>
    <row r="186" spans="1:52" ht="17.100000000000001" customHeight="1">
      <c r="A186" s="47"/>
      <c r="B186" s="48"/>
      <c r="C186" s="48"/>
      <c r="D186" s="48"/>
      <c r="E186" s="48"/>
      <c r="F186" s="48"/>
      <c r="G186" s="48"/>
      <c r="H186" s="48"/>
      <c r="I186" s="48"/>
      <c r="J186" s="48"/>
      <c r="K186" s="48"/>
      <c r="L186" s="48"/>
      <c r="M186" s="48"/>
      <c r="N186" s="48"/>
      <c r="O186" s="48"/>
      <c r="P186" s="48"/>
      <c r="Q186" s="48"/>
      <c r="R186" s="48"/>
      <c r="S186" s="48"/>
      <c r="T186" s="48"/>
      <c r="U186" s="48"/>
      <c r="V186" s="48"/>
      <c r="W186" s="48"/>
      <c r="X186" s="48"/>
      <c r="Y186" s="48"/>
      <c r="Z186" s="48"/>
      <c r="AA186" s="48"/>
      <c r="AB186" s="48"/>
      <c r="AC186" s="48"/>
      <c r="AD186" s="48"/>
      <c r="AE186" s="48"/>
      <c r="AF186" s="48"/>
      <c r="AG186" s="48"/>
      <c r="AH186" s="48"/>
      <c r="AI186" s="48"/>
      <c r="AJ186" s="48"/>
      <c r="AK186" s="48"/>
      <c r="AL186" s="48"/>
      <c r="AM186" s="48"/>
      <c r="AN186" s="48"/>
      <c r="AO186" s="48"/>
      <c r="AP186" s="48"/>
      <c r="AQ186" s="48"/>
      <c r="AR186" s="48"/>
      <c r="AS186" s="48"/>
      <c r="AT186" s="48"/>
      <c r="AU186" s="48"/>
      <c r="AV186" s="48"/>
      <c r="AW186" s="48"/>
      <c r="AX186" s="48"/>
      <c r="AY186" s="48"/>
      <c r="AZ186" s="48"/>
    </row>
    <row r="187" spans="1:52" ht="17.100000000000001" customHeight="1">
      <c r="A187" s="47"/>
      <c r="B187" s="48"/>
      <c r="C187" s="48"/>
      <c r="D187" s="48"/>
      <c r="E187" s="48"/>
      <c r="F187" s="48"/>
      <c r="G187" s="48"/>
      <c r="H187" s="48"/>
      <c r="I187" s="48"/>
      <c r="J187" s="48"/>
      <c r="K187" s="48"/>
      <c r="L187" s="48"/>
      <c r="M187" s="48"/>
      <c r="N187" s="48"/>
      <c r="O187" s="48"/>
      <c r="P187" s="48"/>
      <c r="Q187" s="48"/>
      <c r="R187" s="48"/>
      <c r="S187" s="48"/>
      <c r="T187" s="48"/>
      <c r="U187" s="48"/>
      <c r="V187" s="48"/>
      <c r="W187" s="48"/>
      <c r="X187" s="48"/>
      <c r="Y187" s="48"/>
      <c r="Z187" s="48"/>
      <c r="AA187" s="48"/>
      <c r="AB187" s="48"/>
      <c r="AC187" s="48"/>
      <c r="AD187" s="48"/>
      <c r="AE187" s="48"/>
      <c r="AF187" s="48"/>
      <c r="AG187" s="48"/>
      <c r="AH187" s="48"/>
      <c r="AI187" s="48"/>
      <c r="AJ187" s="48"/>
      <c r="AK187" s="48"/>
      <c r="AL187" s="48"/>
      <c r="AM187" s="48"/>
      <c r="AN187" s="48"/>
      <c r="AO187" s="48"/>
      <c r="AP187" s="48"/>
      <c r="AQ187" s="48"/>
      <c r="AR187" s="48"/>
      <c r="AS187" s="48"/>
      <c r="AT187" s="48"/>
      <c r="AU187" s="48"/>
      <c r="AV187" s="48"/>
      <c r="AW187" s="48"/>
      <c r="AX187" s="48"/>
      <c r="AY187" s="48"/>
      <c r="AZ187" s="48"/>
    </row>
    <row r="188" spans="1:52" ht="17.100000000000001" customHeight="1">
      <c r="A188" s="47"/>
      <c r="B188" s="48"/>
      <c r="C188" s="48"/>
      <c r="D188" s="48"/>
      <c r="E188" s="48"/>
      <c r="F188" s="48"/>
      <c r="G188" s="48"/>
      <c r="H188" s="48"/>
      <c r="I188" s="48"/>
      <c r="J188" s="48"/>
      <c r="K188" s="48"/>
      <c r="L188" s="48"/>
      <c r="M188" s="48"/>
      <c r="N188" s="48"/>
      <c r="O188" s="48"/>
      <c r="P188" s="48"/>
      <c r="Q188" s="48"/>
      <c r="R188" s="48"/>
      <c r="S188" s="48"/>
      <c r="T188" s="48"/>
      <c r="U188" s="48"/>
      <c r="V188" s="48"/>
      <c r="W188" s="48"/>
      <c r="X188" s="48"/>
      <c r="Y188" s="48"/>
      <c r="Z188" s="48"/>
      <c r="AA188" s="48"/>
      <c r="AB188" s="48"/>
      <c r="AC188" s="48"/>
      <c r="AD188" s="48"/>
      <c r="AE188" s="48"/>
      <c r="AF188" s="48"/>
      <c r="AG188" s="48"/>
      <c r="AH188" s="48"/>
      <c r="AI188" s="48"/>
      <c r="AJ188" s="48"/>
      <c r="AK188" s="48"/>
      <c r="AL188" s="48"/>
      <c r="AM188" s="48"/>
      <c r="AN188" s="48"/>
      <c r="AO188" s="48"/>
      <c r="AP188" s="48"/>
      <c r="AQ188" s="48"/>
      <c r="AR188" s="48"/>
      <c r="AS188" s="48"/>
      <c r="AT188" s="48"/>
      <c r="AU188" s="48"/>
      <c r="AV188" s="48"/>
      <c r="AW188" s="48"/>
      <c r="AX188" s="48"/>
      <c r="AY188" s="48"/>
      <c r="AZ188" s="48"/>
    </row>
    <row r="189" spans="1:52" ht="17.100000000000001" customHeight="1">
      <c r="A189" s="47"/>
      <c r="B189" s="48"/>
      <c r="C189" s="48"/>
      <c r="D189" s="48"/>
      <c r="E189" s="48"/>
      <c r="F189" s="48"/>
      <c r="G189" s="48"/>
      <c r="H189" s="48"/>
      <c r="I189" s="48"/>
      <c r="J189" s="48"/>
      <c r="K189" s="48"/>
      <c r="L189" s="48"/>
      <c r="M189" s="48"/>
      <c r="N189" s="48"/>
      <c r="O189" s="48"/>
      <c r="P189" s="48"/>
      <c r="Q189" s="48"/>
      <c r="R189" s="48"/>
      <c r="S189" s="48"/>
      <c r="T189" s="48"/>
      <c r="U189" s="48"/>
      <c r="V189" s="48"/>
      <c r="W189" s="48"/>
      <c r="X189" s="48"/>
      <c r="Y189" s="48"/>
      <c r="Z189" s="48"/>
      <c r="AA189" s="48"/>
      <c r="AB189" s="48"/>
      <c r="AC189" s="48"/>
      <c r="AD189" s="48"/>
      <c r="AE189" s="48"/>
      <c r="AF189" s="48"/>
      <c r="AG189" s="48"/>
      <c r="AH189" s="48"/>
      <c r="AI189" s="48"/>
      <c r="AJ189" s="48"/>
      <c r="AK189" s="48"/>
      <c r="AL189" s="48"/>
      <c r="AM189" s="48"/>
      <c r="AN189" s="48"/>
      <c r="AO189" s="48"/>
      <c r="AP189" s="48"/>
      <c r="AQ189" s="48"/>
      <c r="AR189" s="48"/>
      <c r="AS189" s="48"/>
      <c r="AT189" s="48"/>
      <c r="AU189" s="48"/>
      <c r="AV189" s="48"/>
      <c r="AW189" s="48"/>
      <c r="AX189" s="48"/>
      <c r="AY189" s="48"/>
      <c r="AZ189" s="48"/>
    </row>
    <row r="190" spans="1:52" ht="17.100000000000001" customHeight="1">
      <c r="A190" s="47"/>
      <c r="B190" s="48"/>
      <c r="C190" s="48"/>
      <c r="D190" s="48"/>
      <c r="E190" s="48"/>
      <c r="F190" s="48"/>
      <c r="G190" s="48"/>
      <c r="H190" s="48"/>
      <c r="I190" s="48"/>
      <c r="J190" s="48"/>
      <c r="K190" s="48"/>
      <c r="L190" s="48"/>
      <c r="M190" s="48"/>
      <c r="N190" s="48"/>
      <c r="O190" s="48"/>
      <c r="P190" s="48"/>
      <c r="Q190" s="48"/>
      <c r="R190" s="48"/>
      <c r="S190" s="48"/>
      <c r="T190" s="48"/>
      <c r="U190" s="48"/>
      <c r="V190" s="48"/>
      <c r="W190" s="48"/>
      <c r="X190" s="48"/>
      <c r="Y190" s="48"/>
      <c r="Z190" s="48"/>
      <c r="AA190" s="48"/>
      <c r="AB190" s="48"/>
      <c r="AC190" s="48"/>
      <c r="AD190" s="48"/>
      <c r="AE190" s="48"/>
      <c r="AF190" s="48"/>
      <c r="AG190" s="48"/>
      <c r="AH190" s="48"/>
      <c r="AI190" s="48"/>
      <c r="AJ190" s="48"/>
      <c r="AK190" s="48"/>
      <c r="AL190" s="48"/>
      <c r="AM190" s="48"/>
      <c r="AN190" s="48"/>
      <c r="AO190" s="48"/>
      <c r="AP190" s="48"/>
      <c r="AQ190" s="48"/>
      <c r="AR190" s="48"/>
      <c r="AS190" s="48"/>
      <c r="AT190" s="48"/>
      <c r="AU190" s="48"/>
      <c r="AV190" s="48"/>
      <c r="AW190" s="48"/>
      <c r="AX190" s="48"/>
      <c r="AY190" s="48"/>
      <c r="AZ190" s="48"/>
    </row>
    <row r="191" spans="1:52" ht="17.100000000000001" customHeight="1">
      <c r="A191" s="47"/>
      <c r="B191" s="48"/>
      <c r="C191" s="48"/>
      <c r="D191" s="48"/>
      <c r="E191" s="48"/>
      <c r="F191" s="48"/>
      <c r="G191" s="48"/>
      <c r="H191" s="48"/>
      <c r="I191" s="48"/>
      <c r="J191" s="48"/>
      <c r="K191" s="48"/>
      <c r="L191" s="48"/>
      <c r="M191" s="48"/>
      <c r="N191" s="48"/>
      <c r="O191" s="48"/>
      <c r="P191" s="48"/>
      <c r="Q191" s="48"/>
      <c r="R191" s="48"/>
      <c r="S191" s="48"/>
      <c r="T191" s="48"/>
      <c r="U191" s="48"/>
      <c r="V191" s="48"/>
      <c r="W191" s="48"/>
      <c r="X191" s="48"/>
      <c r="Y191" s="48"/>
      <c r="Z191" s="48"/>
      <c r="AA191" s="48"/>
      <c r="AB191" s="48"/>
      <c r="AC191" s="48"/>
      <c r="AD191" s="48"/>
      <c r="AE191" s="48"/>
      <c r="AF191" s="48"/>
      <c r="AG191" s="48"/>
      <c r="AH191" s="48"/>
      <c r="AI191" s="48"/>
      <c r="AJ191" s="48"/>
      <c r="AK191" s="48"/>
      <c r="AL191" s="48"/>
      <c r="AM191" s="48"/>
      <c r="AN191" s="48"/>
      <c r="AO191" s="48"/>
      <c r="AP191" s="48"/>
      <c r="AQ191" s="48"/>
      <c r="AR191" s="48"/>
      <c r="AS191" s="48"/>
      <c r="AT191" s="48"/>
      <c r="AU191" s="48"/>
      <c r="AV191" s="48"/>
      <c r="AW191" s="48"/>
      <c r="AX191" s="48"/>
      <c r="AY191" s="48"/>
      <c r="AZ191" s="48"/>
    </row>
    <row r="192" spans="1:52" ht="17.100000000000001" customHeight="1">
      <c r="A192" s="47"/>
      <c r="B192" s="48"/>
      <c r="C192" s="48"/>
      <c r="D192" s="48"/>
      <c r="E192" s="48"/>
      <c r="F192" s="48"/>
      <c r="G192" s="48"/>
      <c r="H192" s="48"/>
      <c r="I192" s="48"/>
      <c r="J192" s="48"/>
      <c r="K192" s="48"/>
      <c r="L192" s="48"/>
      <c r="M192" s="48"/>
      <c r="N192" s="48"/>
      <c r="O192" s="48"/>
      <c r="P192" s="48"/>
      <c r="Q192" s="48"/>
      <c r="R192" s="48"/>
      <c r="S192" s="48"/>
      <c r="T192" s="48"/>
      <c r="U192" s="48"/>
      <c r="V192" s="48"/>
      <c r="W192" s="48"/>
      <c r="X192" s="48"/>
      <c r="Y192" s="48"/>
      <c r="Z192" s="48"/>
      <c r="AA192" s="48"/>
      <c r="AB192" s="48"/>
      <c r="AC192" s="48"/>
      <c r="AD192" s="48"/>
      <c r="AE192" s="48"/>
      <c r="AF192" s="48"/>
      <c r="AG192" s="48"/>
      <c r="AH192" s="48"/>
      <c r="AI192" s="48"/>
      <c r="AJ192" s="48"/>
      <c r="AK192" s="48"/>
      <c r="AL192" s="48"/>
      <c r="AM192" s="48"/>
      <c r="AN192" s="48"/>
      <c r="AO192" s="48"/>
      <c r="AP192" s="48"/>
      <c r="AQ192" s="48"/>
      <c r="AR192" s="48"/>
      <c r="AS192" s="48"/>
      <c r="AT192" s="48"/>
      <c r="AU192" s="48"/>
      <c r="AV192" s="48"/>
      <c r="AW192" s="48"/>
      <c r="AX192" s="48"/>
      <c r="AY192" s="48"/>
      <c r="AZ192" s="48"/>
    </row>
    <row r="193" spans="1:52" ht="17.100000000000001" customHeight="1">
      <c r="A193" s="47"/>
      <c r="B193" s="48"/>
      <c r="C193" s="48"/>
      <c r="D193" s="48"/>
      <c r="E193" s="48"/>
      <c r="F193" s="48"/>
      <c r="G193" s="48"/>
      <c r="H193" s="48"/>
      <c r="I193" s="48"/>
      <c r="J193" s="48"/>
      <c r="K193" s="48"/>
      <c r="L193" s="48"/>
      <c r="M193" s="48"/>
      <c r="N193" s="48"/>
      <c r="O193" s="48"/>
      <c r="P193" s="48"/>
      <c r="Q193" s="48"/>
      <c r="R193" s="48"/>
      <c r="S193" s="48"/>
      <c r="T193" s="48"/>
      <c r="U193" s="48"/>
      <c r="V193" s="48"/>
      <c r="W193" s="48"/>
      <c r="X193" s="48"/>
      <c r="Y193" s="48"/>
      <c r="Z193" s="48"/>
      <c r="AA193" s="48"/>
      <c r="AB193" s="48"/>
      <c r="AC193" s="48"/>
      <c r="AD193" s="48"/>
      <c r="AE193" s="48"/>
      <c r="AF193" s="48"/>
      <c r="AG193" s="48"/>
      <c r="AH193" s="48"/>
      <c r="AI193" s="48"/>
      <c r="AJ193" s="48"/>
      <c r="AK193" s="48"/>
      <c r="AL193" s="48"/>
      <c r="AM193" s="48"/>
      <c r="AN193" s="48"/>
      <c r="AO193" s="48"/>
      <c r="AP193" s="48"/>
      <c r="AQ193" s="48"/>
      <c r="AR193" s="48"/>
      <c r="AS193" s="48"/>
      <c r="AT193" s="48"/>
      <c r="AU193" s="48"/>
      <c r="AV193" s="48"/>
      <c r="AW193" s="48"/>
      <c r="AX193" s="48"/>
      <c r="AY193" s="48"/>
      <c r="AZ193" s="48"/>
    </row>
    <row r="194" spans="1:52" ht="17.100000000000001" customHeight="1">
      <c r="A194" s="47"/>
      <c r="B194" s="48"/>
      <c r="C194" s="48"/>
      <c r="D194" s="48"/>
      <c r="E194" s="48"/>
      <c r="F194" s="48"/>
      <c r="G194" s="48"/>
      <c r="H194" s="48"/>
      <c r="I194" s="48"/>
      <c r="J194" s="48"/>
      <c r="K194" s="48"/>
      <c r="L194" s="48"/>
      <c r="M194" s="48"/>
      <c r="N194" s="48"/>
      <c r="O194" s="48"/>
      <c r="P194" s="48"/>
      <c r="Q194" s="48"/>
      <c r="R194" s="48"/>
      <c r="S194" s="48"/>
      <c r="T194" s="48"/>
      <c r="U194" s="48"/>
      <c r="V194" s="48"/>
      <c r="W194" s="48"/>
      <c r="X194" s="48"/>
      <c r="Y194" s="48"/>
      <c r="Z194" s="48"/>
      <c r="AA194" s="48"/>
      <c r="AB194" s="48"/>
      <c r="AC194" s="48"/>
      <c r="AD194" s="48"/>
      <c r="AE194" s="48"/>
      <c r="AF194" s="48"/>
      <c r="AG194" s="48"/>
      <c r="AH194" s="48"/>
      <c r="AI194" s="48"/>
      <c r="AJ194" s="48"/>
      <c r="AK194" s="48"/>
      <c r="AL194" s="48"/>
      <c r="AM194" s="48"/>
      <c r="AN194" s="48"/>
      <c r="AO194" s="48"/>
      <c r="AP194" s="48"/>
      <c r="AQ194" s="48"/>
      <c r="AR194" s="48"/>
      <c r="AS194" s="48"/>
      <c r="AT194" s="48"/>
      <c r="AU194" s="48"/>
      <c r="AV194" s="48"/>
      <c r="AW194" s="48"/>
      <c r="AX194" s="48"/>
      <c r="AY194" s="48"/>
      <c r="AZ194" s="48"/>
    </row>
    <row r="195" spans="1:52" ht="17.100000000000001" customHeight="1">
      <c r="A195" s="47"/>
      <c r="B195" s="48"/>
      <c r="C195" s="48"/>
      <c r="D195" s="48"/>
      <c r="E195" s="48"/>
      <c r="F195" s="48"/>
      <c r="G195" s="48"/>
      <c r="H195" s="48"/>
      <c r="I195" s="48"/>
      <c r="J195" s="48"/>
      <c r="K195" s="48"/>
      <c r="L195" s="48"/>
      <c r="M195" s="48"/>
      <c r="N195" s="48"/>
      <c r="O195" s="48"/>
      <c r="P195" s="48"/>
      <c r="Q195" s="48"/>
      <c r="R195" s="48"/>
      <c r="S195" s="48"/>
      <c r="T195" s="48"/>
      <c r="U195" s="48"/>
      <c r="V195" s="48"/>
      <c r="W195" s="48"/>
      <c r="X195" s="48"/>
      <c r="Y195" s="48"/>
      <c r="Z195" s="48"/>
      <c r="AA195" s="48"/>
      <c r="AB195" s="48"/>
      <c r="AC195" s="48"/>
      <c r="AD195" s="48"/>
      <c r="AE195" s="48"/>
      <c r="AF195" s="48"/>
      <c r="AG195" s="48"/>
      <c r="AH195" s="48"/>
      <c r="AI195" s="48"/>
      <c r="AJ195" s="48"/>
      <c r="AK195" s="48"/>
      <c r="AL195" s="48"/>
      <c r="AM195" s="48"/>
      <c r="AN195" s="48"/>
      <c r="AO195" s="48"/>
      <c r="AP195" s="48"/>
      <c r="AQ195" s="48"/>
      <c r="AR195" s="48"/>
      <c r="AS195" s="48"/>
      <c r="AT195" s="48"/>
      <c r="AU195" s="48"/>
      <c r="AV195" s="48"/>
      <c r="AW195" s="48"/>
      <c r="AX195" s="48"/>
      <c r="AY195" s="48"/>
      <c r="AZ195" s="48"/>
    </row>
    <row r="196" spans="1:52" ht="17.100000000000001" customHeight="1">
      <c r="A196" s="47"/>
      <c r="B196" s="48"/>
      <c r="C196" s="48"/>
      <c r="D196" s="48"/>
      <c r="E196" s="48"/>
      <c r="F196" s="48"/>
      <c r="G196" s="48"/>
      <c r="H196" s="48"/>
      <c r="I196" s="48"/>
      <c r="J196" s="48"/>
      <c r="K196" s="48"/>
      <c r="L196" s="48"/>
      <c r="M196" s="48"/>
      <c r="N196" s="48"/>
      <c r="O196" s="48"/>
      <c r="P196" s="48"/>
      <c r="Q196" s="48"/>
      <c r="R196" s="48"/>
      <c r="S196" s="48"/>
      <c r="T196" s="48"/>
      <c r="U196" s="48"/>
      <c r="V196" s="48"/>
      <c r="W196" s="48"/>
      <c r="X196" s="48"/>
      <c r="Y196" s="48"/>
      <c r="Z196" s="48"/>
      <c r="AA196" s="48"/>
      <c r="AB196" s="48"/>
      <c r="AC196" s="48"/>
      <c r="AD196" s="48"/>
      <c r="AE196" s="48"/>
      <c r="AF196" s="48"/>
      <c r="AG196" s="48"/>
      <c r="AH196" s="48"/>
      <c r="AI196" s="48"/>
      <c r="AJ196" s="48"/>
      <c r="AK196" s="48"/>
      <c r="AL196" s="48"/>
      <c r="AM196" s="48"/>
      <c r="AN196" s="48"/>
      <c r="AO196" s="48"/>
      <c r="AP196" s="48"/>
      <c r="AQ196" s="48"/>
      <c r="AR196" s="48"/>
      <c r="AS196" s="48"/>
      <c r="AT196" s="48"/>
      <c r="AU196" s="48"/>
      <c r="AV196" s="48"/>
      <c r="AW196" s="48"/>
      <c r="AX196" s="48"/>
      <c r="AY196" s="48"/>
      <c r="AZ196" s="48"/>
    </row>
    <row r="197" spans="1:52" ht="17.100000000000001" customHeight="1">
      <c r="A197" s="47"/>
      <c r="B197" s="48"/>
      <c r="C197" s="48"/>
      <c r="D197" s="48"/>
      <c r="E197" s="48"/>
      <c r="F197" s="48"/>
      <c r="G197" s="48"/>
      <c r="H197" s="48"/>
      <c r="I197" s="48"/>
      <c r="J197" s="48"/>
      <c r="K197" s="48"/>
      <c r="L197" s="48"/>
      <c r="M197" s="48"/>
      <c r="N197" s="48"/>
      <c r="O197" s="48"/>
      <c r="P197" s="48"/>
      <c r="Q197" s="48"/>
      <c r="R197" s="48"/>
      <c r="S197" s="48"/>
      <c r="T197" s="48"/>
      <c r="U197" s="48"/>
      <c r="V197" s="48"/>
      <c r="W197" s="48"/>
      <c r="X197" s="48"/>
      <c r="Y197" s="48"/>
      <c r="Z197" s="48"/>
      <c r="AA197" s="48"/>
      <c r="AB197" s="48"/>
      <c r="AC197" s="48"/>
      <c r="AD197" s="48"/>
      <c r="AE197" s="48"/>
      <c r="AF197" s="48"/>
      <c r="AG197" s="48"/>
      <c r="AH197" s="48"/>
      <c r="AI197" s="48"/>
      <c r="AJ197" s="48"/>
      <c r="AK197" s="48"/>
      <c r="AL197" s="48"/>
      <c r="AM197" s="48"/>
      <c r="AN197" s="48"/>
      <c r="AO197" s="48"/>
      <c r="AP197" s="48"/>
      <c r="AQ197" s="48"/>
      <c r="AR197" s="48"/>
      <c r="AS197" s="48"/>
      <c r="AT197" s="48"/>
      <c r="AU197" s="48"/>
      <c r="AV197" s="48"/>
      <c r="AW197" s="48"/>
      <c r="AX197" s="48"/>
      <c r="AY197" s="48"/>
      <c r="AZ197" s="48"/>
    </row>
    <row r="198" spans="1:52" ht="17.100000000000001" customHeight="1">
      <c r="A198" s="47"/>
      <c r="B198" s="48"/>
      <c r="C198" s="48"/>
      <c r="D198" s="48"/>
      <c r="E198" s="48"/>
      <c r="F198" s="48"/>
      <c r="G198" s="48"/>
      <c r="H198" s="48"/>
      <c r="I198" s="48"/>
      <c r="J198" s="48"/>
      <c r="K198" s="48"/>
      <c r="L198" s="48"/>
      <c r="M198" s="48"/>
      <c r="N198" s="48"/>
      <c r="O198" s="48"/>
      <c r="P198" s="48"/>
      <c r="Q198" s="48"/>
      <c r="R198" s="48"/>
      <c r="S198" s="48"/>
      <c r="T198" s="48"/>
      <c r="U198" s="48"/>
      <c r="V198" s="48"/>
      <c r="W198" s="48"/>
      <c r="X198" s="48"/>
      <c r="Y198" s="48"/>
      <c r="Z198" s="48"/>
      <c r="AA198" s="48"/>
      <c r="AB198" s="48"/>
      <c r="AC198" s="48"/>
      <c r="AD198" s="48"/>
      <c r="AE198" s="48"/>
      <c r="AF198" s="48"/>
      <c r="AG198" s="48"/>
      <c r="AH198" s="48"/>
      <c r="AI198" s="48"/>
      <c r="AJ198" s="48"/>
      <c r="AK198" s="48"/>
      <c r="AL198" s="48"/>
      <c r="AM198" s="48"/>
      <c r="AN198" s="48"/>
      <c r="AO198" s="48"/>
      <c r="AP198" s="48"/>
      <c r="AQ198" s="48"/>
      <c r="AR198" s="48"/>
      <c r="AS198" s="48"/>
      <c r="AT198" s="48"/>
      <c r="AU198" s="48"/>
      <c r="AV198" s="48"/>
      <c r="AW198" s="48"/>
      <c r="AX198" s="48"/>
      <c r="AY198" s="48"/>
      <c r="AZ198" s="48"/>
    </row>
    <row r="199" spans="1:52" ht="17.100000000000001" customHeight="1">
      <c r="A199" s="47"/>
      <c r="B199" s="48"/>
      <c r="C199" s="48"/>
      <c r="D199" s="48"/>
      <c r="E199" s="48"/>
      <c r="F199" s="48"/>
      <c r="G199" s="48"/>
      <c r="H199" s="48"/>
      <c r="I199" s="48"/>
      <c r="J199" s="48"/>
      <c r="K199" s="48"/>
      <c r="L199" s="48"/>
      <c r="M199" s="48"/>
      <c r="N199" s="48"/>
      <c r="O199" s="48"/>
      <c r="P199" s="48"/>
      <c r="Q199" s="48"/>
      <c r="R199" s="48"/>
      <c r="S199" s="48"/>
      <c r="T199" s="48"/>
      <c r="U199" s="48"/>
      <c r="V199" s="48"/>
      <c r="W199" s="48"/>
      <c r="X199" s="48"/>
      <c r="Y199" s="48"/>
      <c r="Z199" s="48"/>
      <c r="AA199" s="48"/>
      <c r="AB199" s="48"/>
      <c r="AC199" s="48"/>
      <c r="AD199" s="48"/>
      <c r="AE199" s="48"/>
      <c r="AF199" s="48"/>
      <c r="AG199" s="48"/>
      <c r="AH199" s="48"/>
      <c r="AI199" s="48"/>
      <c r="AJ199" s="48"/>
      <c r="AK199" s="48"/>
      <c r="AL199" s="48"/>
      <c r="AM199" s="48"/>
      <c r="AN199" s="48"/>
      <c r="AO199" s="48"/>
      <c r="AP199" s="48"/>
      <c r="AQ199" s="48"/>
      <c r="AR199" s="48"/>
      <c r="AS199" s="48"/>
      <c r="AT199" s="48"/>
      <c r="AU199" s="48"/>
      <c r="AV199" s="48"/>
      <c r="AW199" s="48"/>
      <c r="AX199" s="48"/>
      <c r="AY199" s="48"/>
      <c r="AZ199" s="48"/>
    </row>
    <row r="200" spans="1:52" ht="17.100000000000001" customHeight="1">
      <c r="A200" s="47"/>
      <c r="B200" s="48"/>
      <c r="C200" s="48"/>
      <c r="D200" s="48"/>
      <c r="E200" s="48"/>
      <c r="F200" s="48"/>
      <c r="G200" s="48"/>
      <c r="H200" s="48"/>
      <c r="I200" s="48"/>
      <c r="J200" s="48"/>
      <c r="K200" s="48"/>
      <c r="L200" s="48"/>
      <c r="M200" s="48"/>
      <c r="N200" s="48"/>
      <c r="O200" s="48"/>
      <c r="P200" s="48"/>
      <c r="Q200" s="48"/>
      <c r="R200" s="48"/>
      <c r="S200" s="48"/>
      <c r="T200" s="48"/>
      <c r="U200" s="48"/>
      <c r="V200" s="48"/>
      <c r="W200" s="48"/>
      <c r="X200" s="48"/>
      <c r="Y200" s="48"/>
      <c r="Z200" s="48"/>
      <c r="AA200" s="48"/>
      <c r="AB200" s="48"/>
      <c r="AC200" s="48"/>
      <c r="AD200" s="48"/>
      <c r="AE200" s="48"/>
      <c r="AF200" s="48"/>
      <c r="AG200" s="48"/>
      <c r="AH200" s="48"/>
      <c r="AI200" s="48"/>
      <c r="AJ200" s="48"/>
      <c r="AK200" s="48"/>
      <c r="AL200" s="48"/>
      <c r="AM200" s="48"/>
      <c r="AN200" s="48"/>
      <c r="AO200" s="48"/>
      <c r="AP200" s="48"/>
      <c r="AQ200" s="48"/>
      <c r="AR200" s="48"/>
      <c r="AS200" s="48"/>
      <c r="AT200" s="48"/>
      <c r="AU200" s="48"/>
      <c r="AV200" s="48"/>
      <c r="AW200" s="48"/>
      <c r="AX200" s="48"/>
      <c r="AY200" s="48"/>
      <c r="AZ200" s="48"/>
    </row>
    <row r="201" spans="1:52" ht="17.100000000000001" customHeight="1">
      <c r="A201" s="47"/>
      <c r="B201" s="48"/>
      <c r="C201" s="48"/>
      <c r="D201" s="48"/>
      <c r="E201" s="48"/>
      <c r="F201" s="48"/>
      <c r="G201" s="48"/>
      <c r="H201" s="48"/>
      <c r="I201" s="48"/>
      <c r="J201" s="48"/>
      <c r="K201" s="48"/>
      <c r="L201" s="48"/>
      <c r="M201" s="48"/>
      <c r="N201" s="48"/>
      <c r="O201" s="48"/>
      <c r="P201" s="48"/>
      <c r="Q201" s="48"/>
      <c r="R201" s="48"/>
      <c r="S201" s="48"/>
      <c r="T201" s="48"/>
      <c r="U201" s="48"/>
      <c r="V201" s="48"/>
      <c r="W201" s="48"/>
      <c r="X201" s="48"/>
      <c r="Y201" s="48"/>
      <c r="Z201" s="48"/>
      <c r="AA201" s="48"/>
      <c r="AB201" s="48"/>
      <c r="AC201" s="48"/>
      <c r="AD201" s="48"/>
      <c r="AE201" s="48"/>
      <c r="AF201" s="48"/>
      <c r="AG201" s="48"/>
      <c r="AH201" s="48"/>
      <c r="AI201" s="48"/>
      <c r="AJ201" s="48"/>
      <c r="AK201" s="48"/>
      <c r="AL201" s="48"/>
      <c r="AM201" s="48"/>
      <c r="AN201" s="48"/>
      <c r="AO201" s="48"/>
      <c r="AP201" s="48"/>
      <c r="AQ201" s="48"/>
      <c r="AR201" s="48"/>
      <c r="AS201" s="48"/>
      <c r="AT201" s="48"/>
      <c r="AU201" s="48"/>
      <c r="AV201" s="48"/>
      <c r="AW201" s="48"/>
      <c r="AX201" s="48"/>
      <c r="AY201" s="48"/>
      <c r="AZ201" s="48"/>
    </row>
    <row r="202" spans="1:52" ht="17.100000000000001" customHeight="1">
      <c r="A202" s="47"/>
      <c r="B202" s="48"/>
      <c r="C202" s="48"/>
      <c r="D202" s="48"/>
      <c r="E202" s="48"/>
      <c r="F202" s="48"/>
      <c r="G202" s="48"/>
      <c r="H202" s="48"/>
      <c r="I202" s="48"/>
      <c r="J202" s="48"/>
      <c r="K202" s="48"/>
      <c r="L202" s="48"/>
      <c r="M202" s="48"/>
      <c r="N202" s="48"/>
      <c r="O202" s="48"/>
      <c r="P202" s="48"/>
      <c r="Q202" s="48"/>
      <c r="R202" s="48"/>
      <c r="S202" s="48"/>
      <c r="T202" s="48"/>
      <c r="U202" s="48"/>
      <c r="V202" s="48"/>
      <c r="W202" s="48"/>
      <c r="X202" s="48"/>
      <c r="Y202" s="48"/>
      <c r="Z202" s="48"/>
      <c r="AA202" s="48"/>
      <c r="AB202" s="48"/>
      <c r="AC202" s="48"/>
      <c r="AD202" s="48"/>
      <c r="AE202" s="48"/>
      <c r="AF202" s="48"/>
      <c r="AG202" s="48"/>
      <c r="AH202" s="48"/>
      <c r="AI202" s="48"/>
      <c r="AJ202" s="48"/>
      <c r="AK202" s="48"/>
      <c r="AL202" s="48"/>
      <c r="AM202" s="48"/>
      <c r="AN202" s="48"/>
      <c r="AO202" s="48"/>
      <c r="AP202" s="48"/>
      <c r="AQ202" s="48"/>
      <c r="AR202" s="48"/>
      <c r="AS202" s="48"/>
      <c r="AT202" s="48"/>
      <c r="AU202" s="48"/>
      <c r="AV202" s="48"/>
      <c r="AW202" s="48"/>
      <c r="AX202" s="48"/>
      <c r="AY202" s="48"/>
      <c r="AZ202" s="48"/>
    </row>
    <row r="203" spans="1:52" ht="17.100000000000001" customHeight="1">
      <c r="A203" s="47"/>
      <c r="B203" s="48"/>
      <c r="C203" s="48"/>
      <c r="D203" s="48"/>
      <c r="E203" s="48"/>
      <c r="F203" s="48"/>
      <c r="G203" s="48"/>
      <c r="H203" s="48"/>
      <c r="I203" s="48"/>
      <c r="J203" s="48"/>
      <c r="K203" s="48"/>
      <c r="L203" s="48"/>
      <c r="M203" s="48"/>
      <c r="N203" s="48"/>
      <c r="O203" s="48"/>
      <c r="P203" s="48"/>
      <c r="Q203" s="48"/>
      <c r="R203" s="48"/>
      <c r="S203" s="48"/>
      <c r="T203" s="48"/>
      <c r="U203" s="48"/>
      <c r="V203" s="48"/>
      <c r="W203" s="48"/>
      <c r="X203" s="48"/>
      <c r="Y203" s="48"/>
      <c r="Z203" s="48"/>
      <c r="AA203" s="48"/>
      <c r="AB203" s="48"/>
      <c r="AC203" s="48"/>
      <c r="AD203" s="48"/>
      <c r="AE203" s="48"/>
      <c r="AF203" s="48"/>
      <c r="AG203" s="48"/>
      <c r="AH203" s="48"/>
      <c r="AI203" s="48"/>
      <c r="AJ203" s="48"/>
      <c r="AK203" s="48"/>
      <c r="AL203" s="48"/>
      <c r="AM203" s="48"/>
      <c r="AN203" s="48"/>
      <c r="AO203" s="48"/>
      <c r="AP203" s="48"/>
      <c r="AQ203" s="48"/>
      <c r="AR203" s="48"/>
      <c r="AS203" s="48"/>
      <c r="AT203" s="48"/>
      <c r="AU203" s="48"/>
      <c r="AV203" s="48"/>
      <c r="AW203" s="48"/>
      <c r="AX203" s="48"/>
      <c r="AY203" s="48"/>
      <c r="AZ203" s="48"/>
    </row>
    <row r="204" spans="1:52" ht="17.100000000000001" customHeight="1">
      <c r="A204" s="47"/>
      <c r="B204" s="48"/>
      <c r="C204" s="48"/>
      <c r="D204" s="48"/>
      <c r="E204" s="48"/>
      <c r="F204" s="48"/>
      <c r="G204" s="48"/>
      <c r="H204" s="48"/>
      <c r="I204" s="48"/>
      <c r="J204" s="48"/>
      <c r="K204" s="48"/>
      <c r="L204" s="48"/>
      <c r="M204" s="48"/>
      <c r="N204" s="48"/>
      <c r="O204" s="48"/>
      <c r="P204" s="48"/>
      <c r="Q204" s="48"/>
      <c r="R204" s="48"/>
      <c r="S204" s="48"/>
      <c r="T204" s="48"/>
      <c r="U204" s="48"/>
      <c r="V204" s="48"/>
      <c r="W204" s="48"/>
      <c r="X204" s="48"/>
      <c r="Y204" s="48"/>
      <c r="Z204" s="48"/>
      <c r="AA204" s="48"/>
      <c r="AB204" s="48"/>
      <c r="AC204" s="48"/>
      <c r="AD204" s="48"/>
      <c r="AE204" s="48"/>
      <c r="AF204" s="48"/>
      <c r="AG204" s="48"/>
      <c r="AH204" s="48"/>
      <c r="AI204" s="48"/>
      <c r="AJ204" s="48"/>
      <c r="AK204" s="48"/>
      <c r="AL204" s="48"/>
      <c r="AM204" s="48"/>
      <c r="AN204" s="48"/>
      <c r="AO204" s="48"/>
      <c r="AP204" s="48"/>
      <c r="AQ204" s="48"/>
      <c r="AR204" s="48"/>
      <c r="AS204" s="48"/>
      <c r="AT204" s="48"/>
      <c r="AU204" s="48"/>
      <c r="AV204" s="48"/>
      <c r="AW204" s="48"/>
      <c r="AX204" s="48"/>
      <c r="AY204" s="48"/>
      <c r="AZ204" s="48"/>
    </row>
    <row r="205" spans="1:52" ht="17.100000000000001" customHeight="1">
      <c r="A205" s="47"/>
      <c r="B205" s="48"/>
      <c r="C205" s="48"/>
      <c r="D205" s="48"/>
      <c r="E205" s="48"/>
      <c r="F205" s="48"/>
      <c r="G205" s="48"/>
      <c r="H205" s="48"/>
      <c r="I205" s="48"/>
      <c r="J205" s="48"/>
      <c r="K205" s="48"/>
      <c r="L205" s="48"/>
      <c r="M205" s="48"/>
      <c r="N205" s="48"/>
      <c r="O205" s="48"/>
      <c r="P205" s="48"/>
      <c r="Q205" s="48"/>
      <c r="R205" s="48"/>
      <c r="S205" s="48"/>
      <c r="T205" s="48"/>
      <c r="U205" s="48"/>
      <c r="V205" s="48"/>
      <c r="W205" s="48"/>
      <c r="X205" s="48"/>
      <c r="Y205" s="48"/>
      <c r="Z205" s="48"/>
      <c r="AA205" s="48"/>
      <c r="AB205" s="48"/>
      <c r="AC205" s="48"/>
      <c r="AD205" s="48"/>
      <c r="AE205" s="48"/>
      <c r="AF205" s="48"/>
      <c r="AG205" s="48"/>
      <c r="AH205" s="48"/>
      <c r="AI205" s="48"/>
      <c r="AJ205" s="48"/>
      <c r="AK205" s="48"/>
      <c r="AL205" s="48"/>
      <c r="AM205" s="48"/>
      <c r="AN205" s="48"/>
      <c r="AO205" s="48"/>
      <c r="AP205" s="48"/>
      <c r="AQ205" s="48"/>
      <c r="AR205" s="48"/>
      <c r="AS205" s="48"/>
      <c r="AT205" s="48"/>
      <c r="AU205" s="48"/>
      <c r="AV205" s="48"/>
      <c r="AW205" s="48"/>
      <c r="AX205" s="48"/>
      <c r="AY205" s="48"/>
      <c r="AZ205" s="48"/>
    </row>
    <row r="206" spans="1:52" ht="17.100000000000001" customHeight="1">
      <c r="A206" s="47"/>
      <c r="B206" s="48"/>
      <c r="C206" s="48"/>
      <c r="D206" s="48"/>
      <c r="E206" s="48"/>
      <c r="F206" s="48"/>
      <c r="G206" s="48"/>
      <c r="H206" s="48"/>
      <c r="I206" s="48"/>
      <c r="J206" s="48"/>
      <c r="K206" s="48"/>
      <c r="L206" s="48"/>
      <c r="M206" s="48"/>
      <c r="N206" s="48"/>
      <c r="O206" s="48"/>
      <c r="P206" s="48"/>
      <c r="Q206" s="48"/>
      <c r="R206" s="48"/>
      <c r="S206" s="48"/>
      <c r="T206" s="48"/>
      <c r="U206" s="48"/>
      <c r="V206" s="48"/>
      <c r="W206" s="48"/>
      <c r="X206" s="48"/>
      <c r="Y206" s="48"/>
      <c r="Z206" s="48"/>
      <c r="AA206" s="48"/>
      <c r="AB206" s="48"/>
      <c r="AC206" s="48"/>
      <c r="AD206" s="48"/>
      <c r="AE206" s="48"/>
      <c r="AF206" s="48"/>
      <c r="AG206" s="48"/>
      <c r="AH206" s="48"/>
      <c r="AI206" s="48"/>
      <c r="AJ206" s="48"/>
      <c r="AK206" s="48"/>
      <c r="AL206" s="48"/>
      <c r="AM206" s="48"/>
      <c r="AN206" s="48"/>
      <c r="AO206" s="48"/>
      <c r="AP206" s="48"/>
      <c r="AQ206" s="48"/>
      <c r="AR206" s="48"/>
      <c r="AS206" s="48"/>
      <c r="AT206" s="48"/>
      <c r="AU206" s="48"/>
      <c r="AV206" s="48"/>
      <c r="AW206" s="48"/>
      <c r="AX206" s="48"/>
      <c r="AY206" s="48"/>
      <c r="AZ206" s="48"/>
    </row>
    <row r="207" spans="1:52" ht="17.100000000000001" customHeight="1">
      <c r="A207" s="47"/>
      <c r="B207" s="48"/>
      <c r="C207" s="48"/>
      <c r="D207" s="48"/>
      <c r="E207" s="48"/>
      <c r="F207" s="48"/>
      <c r="G207" s="48"/>
      <c r="H207" s="48"/>
      <c r="I207" s="48"/>
      <c r="J207" s="48"/>
      <c r="K207" s="48"/>
      <c r="L207" s="48"/>
      <c r="M207" s="48"/>
      <c r="N207" s="48"/>
      <c r="O207" s="48"/>
      <c r="P207" s="48"/>
      <c r="Q207" s="48"/>
      <c r="R207" s="48"/>
      <c r="S207" s="48"/>
      <c r="T207" s="48"/>
      <c r="U207" s="48"/>
      <c r="V207" s="48"/>
      <c r="W207" s="48"/>
      <c r="X207" s="48"/>
      <c r="Y207" s="48"/>
      <c r="Z207" s="48"/>
      <c r="AA207" s="48"/>
      <c r="AB207" s="48"/>
      <c r="AC207" s="48"/>
      <c r="AD207" s="48"/>
      <c r="AE207" s="48"/>
      <c r="AF207" s="48"/>
      <c r="AG207" s="48"/>
      <c r="AH207" s="48"/>
      <c r="AI207" s="48"/>
      <c r="AJ207" s="48"/>
      <c r="AK207" s="48"/>
      <c r="AL207" s="48"/>
      <c r="AM207" s="48"/>
      <c r="AN207" s="48"/>
      <c r="AO207" s="48"/>
      <c r="AP207" s="48"/>
      <c r="AQ207" s="48"/>
      <c r="AR207" s="48"/>
      <c r="AS207" s="48"/>
      <c r="AT207" s="48"/>
      <c r="AU207" s="48"/>
      <c r="AV207" s="48"/>
      <c r="AW207" s="48"/>
      <c r="AX207" s="48"/>
      <c r="AY207" s="48"/>
      <c r="AZ207" s="48"/>
    </row>
    <row r="208" spans="1:52" ht="17.100000000000001" customHeight="1">
      <c r="A208" s="47"/>
      <c r="B208" s="48"/>
      <c r="C208" s="48"/>
      <c r="D208" s="48"/>
      <c r="E208" s="48"/>
      <c r="F208" s="48"/>
      <c r="G208" s="48"/>
      <c r="H208" s="48"/>
      <c r="I208" s="48"/>
      <c r="J208" s="48"/>
      <c r="K208" s="48"/>
      <c r="L208" s="48"/>
      <c r="M208" s="48"/>
      <c r="N208" s="48"/>
      <c r="O208" s="48"/>
      <c r="P208" s="48"/>
      <c r="Q208" s="48"/>
      <c r="R208" s="48"/>
      <c r="S208" s="48"/>
      <c r="T208" s="48"/>
      <c r="U208" s="48"/>
      <c r="V208" s="48"/>
      <c r="W208" s="48"/>
      <c r="X208" s="48"/>
      <c r="Y208" s="48"/>
      <c r="Z208" s="48"/>
      <c r="AA208" s="48"/>
      <c r="AB208" s="48"/>
      <c r="AC208" s="48"/>
      <c r="AD208" s="48"/>
      <c r="AE208" s="48"/>
      <c r="AF208" s="48"/>
      <c r="AG208" s="48"/>
      <c r="AH208" s="48"/>
      <c r="AI208" s="48"/>
      <c r="AJ208" s="48"/>
      <c r="AK208" s="48"/>
      <c r="AL208" s="48"/>
      <c r="AM208" s="48"/>
      <c r="AN208" s="48"/>
      <c r="AO208" s="48"/>
      <c r="AP208" s="48"/>
      <c r="AQ208" s="48"/>
      <c r="AR208" s="48"/>
      <c r="AS208" s="48"/>
      <c r="AT208" s="48"/>
      <c r="AU208" s="48"/>
      <c r="AV208" s="48"/>
      <c r="AW208" s="48"/>
      <c r="AX208" s="48"/>
      <c r="AY208" s="48"/>
      <c r="AZ208" s="48"/>
    </row>
    <row r="209" spans="1:52" ht="17.100000000000001" customHeight="1">
      <c r="A209" s="47"/>
      <c r="B209" s="48"/>
      <c r="C209" s="48"/>
      <c r="D209" s="48"/>
      <c r="E209" s="48"/>
      <c r="F209" s="48"/>
      <c r="G209" s="48"/>
      <c r="H209" s="48"/>
      <c r="I209" s="48"/>
      <c r="J209" s="48"/>
      <c r="K209" s="48"/>
      <c r="L209" s="48"/>
      <c r="M209" s="48"/>
      <c r="N209" s="48"/>
      <c r="O209" s="48"/>
      <c r="P209" s="48"/>
      <c r="Q209" s="48"/>
      <c r="R209" s="48"/>
      <c r="S209" s="48"/>
      <c r="T209" s="48"/>
      <c r="U209" s="48"/>
      <c r="V209" s="48"/>
      <c r="W209" s="48"/>
      <c r="X209" s="48"/>
      <c r="Y209" s="48"/>
      <c r="Z209" s="48"/>
      <c r="AA209" s="48"/>
      <c r="AB209" s="48"/>
      <c r="AC209" s="48"/>
      <c r="AD209" s="48"/>
      <c r="AE209" s="48"/>
      <c r="AF209" s="48"/>
      <c r="AG209" s="48"/>
      <c r="AH209" s="48"/>
      <c r="AI209" s="48"/>
      <c r="AJ209" s="48"/>
      <c r="AK209" s="48"/>
      <c r="AL209" s="48"/>
      <c r="AM209" s="48"/>
      <c r="AN209" s="48"/>
      <c r="AO209" s="48"/>
      <c r="AP209" s="48"/>
      <c r="AQ209" s="48"/>
      <c r="AR209" s="48"/>
      <c r="AS209" s="48"/>
      <c r="AT209" s="48"/>
      <c r="AU209" s="48"/>
      <c r="AV209" s="48"/>
      <c r="AW209" s="48"/>
      <c r="AX209" s="48"/>
      <c r="AY209" s="48"/>
      <c r="AZ209" s="48"/>
    </row>
    <row r="210" spans="1:52" ht="17.100000000000001" customHeight="1">
      <c r="A210" s="47"/>
      <c r="B210" s="48"/>
      <c r="C210" s="48"/>
      <c r="D210" s="48"/>
      <c r="E210" s="48"/>
      <c r="F210" s="48"/>
      <c r="G210" s="48"/>
      <c r="H210" s="48"/>
      <c r="I210" s="48"/>
      <c r="J210" s="48"/>
      <c r="K210" s="48"/>
      <c r="L210" s="48"/>
      <c r="M210" s="48"/>
      <c r="N210" s="48"/>
      <c r="O210" s="48"/>
      <c r="P210" s="48"/>
      <c r="Q210" s="48"/>
      <c r="R210" s="48"/>
      <c r="S210" s="48"/>
      <c r="T210" s="48"/>
      <c r="U210" s="48"/>
      <c r="V210" s="48"/>
      <c r="W210" s="48"/>
      <c r="X210" s="48"/>
      <c r="Y210" s="48"/>
      <c r="Z210" s="48"/>
      <c r="AA210" s="48"/>
      <c r="AB210" s="48"/>
      <c r="AC210" s="48"/>
      <c r="AD210" s="48"/>
      <c r="AE210" s="48"/>
      <c r="AF210" s="48"/>
      <c r="AG210" s="48"/>
      <c r="AH210" s="48"/>
      <c r="AI210" s="48"/>
      <c r="AJ210" s="48"/>
      <c r="AK210" s="48"/>
      <c r="AL210" s="48"/>
      <c r="AM210" s="48"/>
      <c r="AN210" s="48"/>
      <c r="AO210" s="48"/>
      <c r="AP210" s="48"/>
      <c r="AQ210" s="48"/>
      <c r="AR210" s="48"/>
      <c r="AS210" s="48"/>
      <c r="AT210" s="48"/>
      <c r="AU210" s="48"/>
      <c r="AV210" s="48"/>
      <c r="AW210" s="48"/>
      <c r="AX210" s="48"/>
      <c r="AY210" s="48"/>
      <c r="AZ210" s="48"/>
    </row>
    <row r="211" spans="1:52" ht="17.100000000000001" customHeight="1">
      <c r="A211" s="47"/>
      <c r="B211" s="48"/>
      <c r="C211" s="48"/>
      <c r="D211" s="48"/>
      <c r="E211" s="48"/>
      <c r="F211" s="48"/>
      <c r="G211" s="48"/>
      <c r="H211" s="48"/>
      <c r="I211" s="48"/>
      <c r="J211" s="48"/>
      <c r="K211" s="48"/>
      <c r="L211" s="48"/>
      <c r="M211" s="48"/>
      <c r="N211" s="48"/>
      <c r="O211" s="48"/>
      <c r="P211" s="48"/>
      <c r="Q211" s="48"/>
      <c r="R211" s="48"/>
      <c r="S211" s="48"/>
      <c r="T211" s="48"/>
      <c r="U211" s="48"/>
      <c r="V211" s="48"/>
      <c r="W211" s="48"/>
      <c r="X211" s="48"/>
      <c r="Y211" s="48"/>
      <c r="Z211" s="48"/>
      <c r="AA211" s="48"/>
      <c r="AB211" s="48"/>
      <c r="AC211" s="48"/>
      <c r="AD211" s="48"/>
      <c r="AE211" s="48"/>
      <c r="AF211" s="48"/>
      <c r="AG211" s="48"/>
      <c r="AH211" s="48"/>
      <c r="AI211" s="48"/>
      <c r="AJ211" s="48"/>
      <c r="AK211" s="48"/>
      <c r="AL211" s="48"/>
      <c r="AM211" s="48"/>
      <c r="AN211" s="48"/>
      <c r="AO211" s="48"/>
      <c r="AP211" s="48"/>
      <c r="AQ211" s="48"/>
      <c r="AR211" s="48"/>
      <c r="AS211" s="48"/>
      <c r="AT211" s="48"/>
      <c r="AU211" s="48"/>
      <c r="AV211" s="48"/>
      <c r="AW211" s="48"/>
      <c r="AX211" s="48"/>
      <c r="AY211" s="48"/>
      <c r="AZ211" s="48"/>
    </row>
    <row r="212" spans="1:52" ht="17.100000000000001" customHeight="1">
      <c r="A212" s="47"/>
      <c r="B212" s="48"/>
      <c r="C212" s="48"/>
      <c r="D212" s="48"/>
      <c r="E212" s="48"/>
      <c r="F212" s="48"/>
      <c r="G212" s="48"/>
      <c r="H212" s="48"/>
      <c r="I212" s="48"/>
      <c r="J212" s="48"/>
      <c r="K212" s="48"/>
      <c r="L212" s="48"/>
      <c r="M212" s="48"/>
      <c r="N212" s="48"/>
      <c r="O212" s="48"/>
      <c r="P212" s="48"/>
      <c r="Q212" s="48"/>
      <c r="R212" s="48"/>
      <c r="S212" s="48"/>
      <c r="T212" s="48"/>
      <c r="U212" s="48"/>
      <c r="V212" s="48"/>
      <c r="W212" s="48"/>
      <c r="X212" s="48"/>
      <c r="Y212" s="48"/>
      <c r="Z212" s="48"/>
      <c r="AA212" s="48"/>
      <c r="AB212" s="48"/>
      <c r="AC212" s="48"/>
      <c r="AD212" s="48"/>
      <c r="AE212" s="48"/>
      <c r="AF212" s="48"/>
      <c r="AG212" s="48"/>
      <c r="AH212" s="48"/>
      <c r="AI212" s="48"/>
      <c r="AJ212" s="48"/>
      <c r="AK212" s="48"/>
      <c r="AL212" s="48"/>
      <c r="AM212" s="48"/>
      <c r="AN212" s="48"/>
      <c r="AO212" s="48"/>
      <c r="AP212" s="48"/>
      <c r="AQ212" s="48"/>
      <c r="AR212" s="48"/>
      <c r="AS212" s="48"/>
      <c r="AT212" s="48"/>
      <c r="AU212" s="48"/>
      <c r="AV212" s="48"/>
      <c r="AW212" s="48"/>
      <c r="AX212" s="48"/>
      <c r="AY212" s="48"/>
      <c r="AZ212" s="48"/>
    </row>
    <row r="213" spans="1:52" ht="17.100000000000001" customHeight="1">
      <c r="A213" s="47"/>
      <c r="B213" s="48"/>
      <c r="C213" s="48"/>
      <c r="D213" s="48"/>
      <c r="E213" s="48"/>
      <c r="F213" s="48"/>
      <c r="G213" s="48"/>
      <c r="H213" s="48"/>
      <c r="I213" s="48"/>
      <c r="J213" s="48"/>
      <c r="K213" s="48"/>
      <c r="L213" s="48"/>
      <c r="M213" s="48"/>
      <c r="N213" s="48"/>
      <c r="O213" s="48"/>
      <c r="P213" s="48"/>
      <c r="Q213" s="48"/>
      <c r="R213" s="48"/>
      <c r="S213" s="48"/>
      <c r="T213" s="48"/>
      <c r="U213" s="48"/>
      <c r="V213" s="48"/>
      <c r="W213" s="48"/>
      <c r="X213" s="48"/>
      <c r="Y213" s="48"/>
      <c r="Z213" s="48"/>
      <c r="AA213" s="48"/>
      <c r="AB213" s="48"/>
      <c r="AC213" s="48"/>
      <c r="AD213" s="48"/>
      <c r="AE213" s="48"/>
      <c r="AF213" s="48"/>
      <c r="AG213" s="48"/>
      <c r="AH213" s="48"/>
      <c r="AI213" s="48"/>
      <c r="AJ213" s="48"/>
      <c r="AK213" s="48"/>
      <c r="AL213" s="48"/>
      <c r="AM213" s="48"/>
      <c r="AN213" s="48"/>
      <c r="AO213" s="48"/>
      <c r="AP213" s="48"/>
      <c r="AQ213" s="48"/>
      <c r="AR213" s="48"/>
      <c r="AS213" s="48"/>
      <c r="AT213" s="48"/>
      <c r="AU213" s="48"/>
      <c r="AV213" s="48"/>
      <c r="AW213" s="48"/>
      <c r="AX213" s="48"/>
      <c r="AY213" s="48"/>
      <c r="AZ213" s="48"/>
    </row>
    <row r="214" spans="1:52" ht="17.100000000000001" customHeight="1">
      <c r="A214" s="47"/>
      <c r="B214" s="48"/>
      <c r="C214" s="48"/>
      <c r="D214" s="48"/>
      <c r="E214" s="48"/>
      <c r="F214" s="48"/>
      <c r="G214" s="48"/>
      <c r="H214" s="48"/>
      <c r="I214" s="48"/>
      <c r="J214" s="48"/>
      <c r="K214" s="48"/>
      <c r="L214" s="48"/>
      <c r="M214" s="48"/>
      <c r="N214" s="48"/>
      <c r="O214" s="48"/>
      <c r="P214" s="48"/>
      <c r="Q214" s="48"/>
      <c r="R214" s="48"/>
      <c r="S214" s="48"/>
      <c r="T214" s="48"/>
      <c r="U214" s="48"/>
      <c r="V214" s="48"/>
      <c r="W214" s="48"/>
      <c r="X214" s="48"/>
      <c r="Y214" s="48"/>
      <c r="Z214" s="48"/>
      <c r="AA214" s="48"/>
      <c r="AB214" s="48"/>
      <c r="AC214" s="48"/>
      <c r="AD214" s="48"/>
      <c r="AE214" s="48"/>
      <c r="AF214" s="48"/>
      <c r="AG214" s="48"/>
      <c r="AH214" s="48"/>
      <c r="AI214" s="48"/>
      <c r="AJ214" s="48"/>
      <c r="AK214" s="48"/>
      <c r="AL214" s="48"/>
      <c r="AM214" s="48"/>
      <c r="AN214" s="48"/>
      <c r="AO214" s="48"/>
      <c r="AP214" s="48"/>
      <c r="AQ214" s="48"/>
      <c r="AR214" s="48"/>
      <c r="AS214" s="48"/>
      <c r="AT214" s="48"/>
      <c r="AU214" s="48"/>
      <c r="AV214" s="48"/>
      <c r="AW214" s="48"/>
      <c r="AX214" s="48"/>
      <c r="AY214" s="48"/>
      <c r="AZ214" s="48"/>
    </row>
    <row r="215" spans="1:52" ht="17.100000000000001" customHeight="1">
      <c r="A215" s="47"/>
      <c r="B215" s="48"/>
      <c r="C215" s="48"/>
      <c r="D215" s="48"/>
      <c r="E215" s="48"/>
      <c r="F215" s="48"/>
      <c r="G215" s="48"/>
      <c r="H215" s="48"/>
      <c r="I215" s="48"/>
      <c r="J215" s="48"/>
      <c r="K215" s="48"/>
      <c r="L215" s="48"/>
      <c r="M215" s="48"/>
      <c r="N215" s="48"/>
      <c r="O215" s="48"/>
      <c r="P215" s="48"/>
      <c r="Q215" s="48"/>
      <c r="R215" s="48"/>
      <c r="S215" s="48"/>
      <c r="T215" s="48"/>
      <c r="U215" s="48"/>
      <c r="V215" s="48"/>
      <c r="W215" s="48"/>
      <c r="X215" s="48"/>
      <c r="Y215" s="48"/>
      <c r="Z215" s="48"/>
      <c r="AA215" s="48"/>
      <c r="AB215" s="48"/>
      <c r="AC215" s="48"/>
      <c r="AD215" s="48"/>
      <c r="AE215" s="48"/>
      <c r="AF215" s="48"/>
      <c r="AG215" s="48"/>
      <c r="AH215" s="48"/>
      <c r="AI215" s="48"/>
      <c r="AJ215" s="48"/>
      <c r="AK215" s="48"/>
      <c r="AL215" s="48"/>
      <c r="AM215" s="48"/>
      <c r="AN215" s="48"/>
      <c r="AO215" s="48"/>
      <c r="AP215" s="48"/>
      <c r="AQ215" s="48"/>
      <c r="AR215" s="48"/>
      <c r="AS215" s="48"/>
      <c r="AT215" s="48"/>
      <c r="AU215" s="48"/>
      <c r="AV215" s="48"/>
      <c r="AW215" s="48"/>
      <c r="AX215" s="48"/>
      <c r="AY215" s="48"/>
      <c r="AZ215" s="48"/>
    </row>
    <row r="216" spans="1:52" ht="17.100000000000001" customHeight="1">
      <c r="A216" s="47"/>
      <c r="B216" s="48"/>
      <c r="C216" s="48"/>
      <c r="D216" s="48"/>
      <c r="E216" s="48"/>
      <c r="F216" s="48"/>
      <c r="G216" s="48"/>
      <c r="H216" s="48"/>
      <c r="I216" s="48"/>
      <c r="J216" s="48"/>
      <c r="K216" s="48"/>
      <c r="L216" s="48"/>
      <c r="M216" s="48"/>
      <c r="N216" s="48"/>
      <c r="O216" s="48"/>
      <c r="P216" s="48"/>
      <c r="Q216" s="48"/>
      <c r="R216" s="48"/>
      <c r="S216" s="48"/>
      <c r="T216" s="48"/>
      <c r="U216" s="48"/>
      <c r="V216" s="48"/>
      <c r="W216" s="48"/>
      <c r="X216" s="48"/>
      <c r="Y216" s="48"/>
      <c r="Z216" s="48"/>
      <c r="AA216" s="48"/>
      <c r="AB216" s="48"/>
      <c r="AC216" s="48"/>
      <c r="AD216" s="48"/>
      <c r="AE216" s="48"/>
      <c r="AF216" s="48"/>
      <c r="AG216" s="48"/>
      <c r="AH216" s="48"/>
      <c r="AI216" s="48"/>
      <c r="AJ216" s="48"/>
      <c r="AK216" s="48"/>
      <c r="AL216" s="48"/>
      <c r="AM216" s="48"/>
      <c r="AN216" s="48"/>
      <c r="AO216" s="48"/>
      <c r="AP216" s="48"/>
      <c r="AQ216" s="48"/>
      <c r="AR216" s="48"/>
      <c r="AS216" s="48"/>
      <c r="AT216" s="48"/>
      <c r="AU216" s="48"/>
      <c r="AV216" s="48"/>
      <c r="AW216" s="48"/>
      <c r="AX216" s="48"/>
      <c r="AY216" s="48"/>
      <c r="AZ216" s="48"/>
    </row>
    <row r="217" spans="1:52" ht="17.100000000000001" customHeight="1">
      <c r="A217" s="47"/>
      <c r="B217" s="48"/>
      <c r="C217" s="48"/>
      <c r="D217" s="48"/>
      <c r="E217" s="48"/>
      <c r="F217" s="48"/>
      <c r="G217" s="48"/>
      <c r="H217" s="48"/>
      <c r="I217" s="48"/>
      <c r="J217" s="48"/>
      <c r="K217" s="48"/>
      <c r="L217" s="48"/>
      <c r="M217" s="48"/>
      <c r="N217" s="48"/>
      <c r="O217" s="48"/>
      <c r="P217" s="48"/>
      <c r="Q217" s="48"/>
      <c r="R217" s="48"/>
      <c r="S217" s="48"/>
      <c r="T217" s="48"/>
      <c r="U217" s="48"/>
      <c r="V217" s="48"/>
      <c r="W217" s="48"/>
      <c r="X217" s="48"/>
      <c r="Y217" s="48"/>
      <c r="Z217" s="48"/>
      <c r="AA217" s="48"/>
      <c r="AB217" s="48"/>
      <c r="AC217" s="48"/>
      <c r="AD217" s="48"/>
      <c r="AE217" s="48"/>
      <c r="AF217" s="48"/>
      <c r="AG217" s="48"/>
      <c r="AH217" s="48"/>
      <c r="AI217" s="48"/>
      <c r="AJ217" s="48"/>
      <c r="AK217" s="48"/>
      <c r="AL217" s="48"/>
      <c r="AM217" s="48"/>
      <c r="AN217" s="48"/>
      <c r="AO217" s="48"/>
      <c r="AP217" s="48"/>
      <c r="AQ217" s="48"/>
      <c r="AR217" s="48"/>
      <c r="AS217" s="48"/>
      <c r="AT217" s="48"/>
      <c r="AU217" s="48"/>
      <c r="AV217" s="48"/>
      <c r="AW217" s="48"/>
      <c r="AX217" s="48"/>
      <c r="AY217" s="48"/>
      <c r="AZ217" s="48"/>
    </row>
    <row r="218" spans="1:52" ht="17.100000000000001" customHeight="1">
      <c r="A218" s="47"/>
      <c r="B218" s="48"/>
      <c r="C218" s="48"/>
      <c r="D218" s="48"/>
      <c r="E218" s="48"/>
      <c r="F218" s="48"/>
      <c r="G218" s="48"/>
      <c r="H218" s="48"/>
      <c r="I218" s="48"/>
      <c r="J218" s="48"/>
      <c r="K218" s="48"/>
      <c r="L218" s="48"/>
      <c r="M218" s="48"/>
      <c r="N218" s="48"/>
      <c r="O218" s="48"/>
      <c r="P218" s="48"/>
      <c r="Q218" s="48"/>
      <c r="R218" s="48"/>
      <c r="S218" s="48"/>
      <c r="T218" s="48"/>
      <c r="U218" s="48"/>
      <c r="V218" s="48"/>
      <c r="W218" s="48"/>
      <c r="X218" s="48"/>
      <c r="Y218" s="48"/>
      <c r="Z218" s="48"/>
      <c r="AA218" s="48"/>
      <c r="AB218" s="48"/>
      <c r="AC218" s="48"/>
      <c r="AD218" s="48"/>
      <c r="AE218" s="48"/>
      <c r="AF218" s="48"/>
      <c r="AG218" s="48"/>
      <c r="AH218" s="48"/>
      <c r="AI218" s="48"/>
      <c r="AJ218" s="48"/>
      <c r="AK218" s="48"/>
      <c r="AL218" s="48"/>
      <c r="AM218" s="48"/>
      <c r="AN218" s="48"/>
      <c r="AO218" s="48"/>
      <c r="AP218" s="48"/>
      <c r="AQ218" s="48"/>
      <c r="AR218" s="48"/>
      <c r="AS218" s="48"/>
      <c r="AT218" s="48"/>
      <c r="AU218" s="48"/>
      <c r="AV218" s="48"/>
      <c r="AW218" s="48"/>
      <c r="AX218" s="48"/>
      <c r="AY218" s="48"/>
      <c r="AZ218" s="48"/>
    </row>
    <row r="219" spans="1:52" ht="17.100000000000001" customHeight="1">
      <c r="A219" s="47"/>
      <c r="B219" s="48"/>
      <c r="C219" s="48"/>
      <c r="D219" s="48"/>
      <c r="E219" s="48"/>
      <c r="F219" s="48"/>
      <c r="G219" s="48"/>
      <c r="H219" s="48"/>
      <c r="I219" s="48"/>
      <c r="J219" s="48"/>
      <c r="K219" s="48"/>
      <c r="L219" s="48"/>
      <c r="M219" s="48"/>
      <c r="N219" s="48"/>
      <c r="O219" s="48"/>
      <c r="P219" s="48"/>
      <c r="Q219" s="48"/>
      <c r="R219" s="48"/>
      <c r="S219" s="48"/>
      <c r="T219" s="48"/>
      <c r="U219" s="48"/>
      <c r="V219" s="48"/>
      <c r="W219" s="48"/>
      <c r="X219" s="48"/>
      <c r="Y219" s="48"/>
      <c r="Z219" s="48"/>
      <c r="AA219" s="48"/>
      <c r="AB219" s="48"/>
      <c r="AC219" s="48"/>
      <c r="AD219" s="48"/>
      <c r="AE219" s="48"/>
      <c r="AF219" s="48"/>
      <c r="AG219" s="48"/>
      <c r="AH219" s="48"/>
      <c r="AI219" s="48"/>
      <c r="AJ219" s="48"/>
      <c r="AK219" s="48"/>
      <c r="AL219" s="48"/>
      <c r="AM219" s="48"/>
      <c r="AN219" s="48"/>
      <c r="AO219" s="48"/>
      <c r="AP219" s="48"/>
      <c r="AQ219" s="48"/>
      <c r="AR219" s="48"/>
      <c r="AS219" s="48"/>
      <c r="AT219" s="48"/>
      <c r="AU219" s="48"/>
      <c r="AV219" s="48"/>
      <c r="AW219" s="48"/>
      <c r="AX219" s="48"/>
      <c r="AY219" s="48"/>
      <c r="AZ219" s="48"/>
    </row>
    <row r="220" spans="1:52" ht="17.100000000000001" customHeight="1">
      <c r="A220" s="47"/>
      <c r="B220" s="48"/>
      <c r="C220" s="48"/>
      <c r="D220" s="48"/>
      <c r="E220" s="48"/>
      <c r="F220" s="48"/>
      <c r="G220" s="48"/>
      <c r="H220" s="48"/>
      <c r="I220" s="48"/>
      <c r="J220" s="48"/>
      <c r="K220" s="48"/>
      <c r="L220" s="48"/>
      <c r="M220" s="48"/>
      <c r="N220" s="48"/>
      <c r="O220" s="48"/>
      <c r="P220" s="48"/>
      <c r="Q220" s="48"/>
      <c r="R220" s="48"/>
      <c r="S220" s="48"/>
      <c r="T220" s="48"/>
      <c r="U220" s="48"/>
      <c r="V220" s="48"/>
      <c r="W220" s="48"/>
      <c r="X220" s="48"/>
      <c r="Y220" s="48"/>
      <c r="Z220" s="48"/>
      <c r="AA220" s="48"/>
      <c r="AB220" s="48"/>
      <c r="AC220" s="48"/>
      <c r="AD220" s="48"/>
      <c r="AE220" s="48"/>
      <c r="AF220" s="48"/>
      <c r="AG220" s="48"/>
      <c r="AH220" s="48"/>
      <c r="AI220" s="48"/>
      <c r="AJ220" s="48"/>
      <c r="AK220" s="48"/>
      <c r="AL220" s="48"/>
      <c r="AM220" s="48"/>
      <c r="AN220" s="48"/>
      <c r="AO220" s="48"/>
      <c r="AP220" s="48"/>
      <c r="AQ220" s="48"/>
      <c r="AR220" s="48"/>
      <c r="AS220" s="48"/>
      <c r="AT220" s="48"/>
      <c r="AU220" s="48"/>
      <c r="AV220" s="48"/>
      <c r="AW220" s="48"/>
      <c r="AX220" s="48"/>
      <c r="AY220" s="48"/>
      <c r="AZ220" s="48"/>
    </row>
    <row r="221" spans="1:52" ht="17.100000000000001" customHeight="1">
      <c r="A221" s="47"/>
      <c r="B221" s="48"/>
      <c r="C221" s="48"/>
      <c r="D221" s="48"/>
      <c r="E221" s="48"/>
      <c r="F221" s="48"/>
      <c r="G221" s="48"/>
      <c r="H221" s="48"/>
      <c r="I221" s="48"/>
      <c r="J221" s="48"/>
      <c r="K221" s="48"/>
      <c r="L221" s="48"/>
      <c r="M221" s="48"/>
      <c r="N221" s="48"/>
      <c r="O221" s="48"/>
      <c r="P221" s="48"/>
      <c r="Q221" s="48"/>
      <c r="R221" s="48"/>
      <c r="S221" s="48"/>
      <c r="T221" s="48"/>
      <c r="U221" s="48"/>
      <c r="V221" s="48"/>
      <c r="W221" s="48"/>
      <c r="X221" s="48"/>
      <c r="Y221" s="48"/>
      <c r="Z221" s="48"/>
      <c r="AA221" s="48"/>
      <c r="AB221" s="48"/>
      <c r="AC221" s="48"/>
      <c r="AD221" s="48"/>
      <c r="AE221" s="48"/>
      <c r="AF221" s="48"/>
      <c r="AG221" s="48"/>
      <c r="AH221" s="48"/>
      <c r="AI221" s="48"/>
      <c r="AJ221" s="48"/>
      <c r="AK221" s="48"/>
      <c r="AL221" s="48"/>
      <c r="AM221" s="48"/>
      <c r="AN221" s="48"/>
      <c r="AO221" s="48"/>
      <c r="AP221" s="48"/>
      <c r="AQ221" s="48"/>
      <c r="AR221" s="48"/>
      <c r="AS221" s="48"/>
      <c r="AT221" s="48"/>
      <c r="AU221" s="48"/>
      <c r="AV221" s="48"/>
      <c r="AW221" s="48"/>
      <c r="AX221" s="48"/>
      <c r="AY221" s="48"/>
      <c r="AZ221" s="48"/>
    </row>
    <row r="222" spans="1:52" ht="17.100000000000001" customHeight="1">
      <c r="A222" s="47"/>
      <c r="B222" s="48"/>
      <c r="C222" s="48"/>
      <c r="D222" s="48"/>
      <c r="E222" s="48"/>
      <c r="F222" s="48"/>
      <c r="G222" s="48"/>
      <c r="H222" s="48"/>
      <c r="I222" s="48"/>
      <c r="J222" s="48"/>
      <c r="K222" s="48"/>
      <c r="L222" s="48"/>
      <c r="M222" s="48"/>
      <c r="N222" s="48"/>
      <c r="O222" s="48"/>
      <c r="P222" s="48"/>
      <c r="Q222" s="48"/>
      <c r="R222" s="48"/>
      <c r="S222" s="48"/>
      <c r="T222" s="48"/>
      <c r="U222" s="48"/>
      <c r="V222" s="48"/>
      <c r="W222" s="48"/>
      <c r="X222" s="48"/>
      <c r="Y222" s="48"/>
      <c r="Z222" s="48"/>
      <c r="AA222" s="48"/>
      <c r="AB222" s="48"/>
      <c r="AC222" s="48"/>
      <c r="AD222" s="48"/>
      <c r="AE222" s="48"/>
      <c r="AF222" s="48"/>
      <c r="AG222" s="48"/>
      <c r="AH222" s="48"/>
      <c r="AI222" s="48"/>
      <c r="AJ222" s="48"/>
      <c r="AK222" s="48"/>
      <c r="AL222" s="48"/>
      <c r="AM222" s="48"/>
      <c r="AN222" s="48"/>
      <c r="AO222" s="48"/>
      <c r="AP222" s="48"/>
      <c r="AQ222" s="48"/>
      <c r="AR222" s="48"/>
      <c r="AS222" s="48"/>
      <c r="AT222" s="48"/>
      <c r="AU222" s="48"/>
      <c r="AV222" s="48"/>
      <c r="AW222" s="48"/>
      <c r="AX222" s="48"/>
      <c r="AY222" s="48"/>
      <c r="AZ222" s="48"/>
    </row>
    <row r="223" spans="1:52" ht="17.100000000000001" customHeight="1">
      <c r="A223" s="47"/>
      <c r="B223" s="48"/>
      <c r="C223" s="48"/>
      <c r="D223" s="48"/>
      <c r="E223" s="48"/>
      <c r="F223" s="48"/>
      <c r="G223" s="48"/>
      <c r="H223" s="48"/>
      <c r="I223" s="48"/>
      <c r="J223" s="48"/>
      <c r="K223" s="48"/>
      <c r="L223" s="48"/>
      <c r="M223" s="48"/>
      <c r="N223" s="48"/>
      <c r="O223" s="48"/>
      <c r="P223" s="48"/>
      <c r="Q223" s="48"/>
      <c r="R223" s="48"/>
      <c r="S223" s="48"/>
      <c r="T223" s="48"/>
      <c r="U223" s="48"/>
      <c r="V223" s="48"/>
      <c r="W223" s="48"/>
      <c r="X223" s="48"/>
      <c r="Y223" s="48"/>
      <c r="Z223" s="48"/>
      <c r="AA223" s="48"/>
      <c r="AB223" s="48"/>
      <c r="AC223" s="48"/>
      <c r="AD223" s="48"/>
      <c r="AE223" s="48"/>
      <c r="AF223" s="48"/>
      <c r="AG223" s="48"/>
      <c r="AH223" s="48"/>
      <c r="AI223" s="48"/>
      <c r="AJ223" s="48"/>
      <c r="AK223" s="48"/>
      <c r="AL223" s="48"/>
      <c r="AM223" s="48"/>
      <c r="AN223" s="48"/>
      <c r="AO223" s="48"/>
      <c r="AP223" s="48"/>
      <c r="AQ223" s="48"/>
      <c r="AR223" s="48"/>
      <c r="AS223" s="48"/>
      <c r="AT223" s="48"/>
      <c r="AU223" s="48"/>
      <c r="AV223" s="48"/>
      <c r="AW223" s="48"/>
      <c r="AX223" s="48"/>
      <c r="AY223" s="48"/>
      <c r="AZ223" s="48"/>
    </row>
    <row r="224" spans="1:52" ht="17.100000000000001" customHeight="1">
      <c r="A224" s="47"/>
      <c r="B224" s="48"/>
      <c r="C224" s="48"/>
      <c r="D224" s="48"/>
      <c r="E224" s="48"/>
      <c r="F224" s="48"/>
      <c r="G224" s="48"/>
      <c r="H224" s="48"/>
      <c r="I224" s="48"/>
      <c r="J224" s="48"/>
      <c r="K224" s="48"/>
      <c r="L224" s="48"/>
      <c r="M224" s="48"/>
      <c r="N224" s="48"/>
      <c r="O224" s="48"/>
      <c r="P224" s="48"/>
      <c r="Q224" s="48"/>
      <c r="R224" s="48"/>
      <c r="S224" s="48"/>
      <c r="T224" s="48"/>
      <c r="U224" s="48"/>
      <c r="V224" s="48"/>
      <c r="W224" s="48"/>
      <c r="X224" s="48"/>
      <c r="Y224" s="48"/>
      <c r="Z224" s="48"/>
      <c r="AA224" s="48"/>
      <c r="AB224" s="48"/>
      <c r="AC224" s="48"/>
      <c r="AD224" s="48"/>
      <c r="AE224" s="48"/>
      <c r="AF224" s="48"/>
      <c r="AG224" s="48"/>
      <c r="AH224" s="48"/>
      <c r="AI224" s="48"/>
      <c r="AJ224" s="48"/>
      <c r="AK224" s="48"/>
      <c r="AL224" s="48"/>
      <c r="AM224" s="48"/>
      <c r="AN224" s="48"/>
      <c r="AO224" s="48"/>
      <c r="AP224" s="48"/>
      <c r="AQ224" s="48"/>
      <c r="AR224" s="48"/>
      <c r="AS224" s="48"/>
      <c r="AT224" s="48"/>
      <c r="AU224" s="48"/>
      <c r="AV224" s="48"/>
      <c r="AW224" s="48"/>
      <c r="AX224" s="48"/>
      <c r="AY224" s="48"/>
      <c r="AZ224" s="48"/>
    </row>
    <row r="225" spans="1:52" ht="17.100000000000001" customHeight="1">
      <c r="A225" s="47"/>
      <c r="B225" s="48"/>
      <c r="C225" s="48"/>
      <c r="D225" s="48"/>
      <c r="E225" s="48"/>
      <c r="F225" s="48"/>
      <c r="G225" s="48"/>
      <c r="H225" s="48"/>
      <c r="I225" s="48"/>
      <c r="J225" s="48"/>
      <c r="K225" s="48"/>
      <c r="L225" s="48"/>
      <c r="M225" s="48"/>
      <c r="N225" s="48"/>
      <c r="O225" s="48"/>
      <c r="P225" s="48"/>
      <c r="Q225" s="48"/>
      <c r="R225" s="48"/>
      <c r="S225" s="48"/>
      <c r="T225" s="48"/>
      <c r="U225" s="48"/>
      <c r="V225" s="48"/>
      <c r="W225" s="48"/>
      <c r="X225" s="48"/>
      <c r="Y225" s="48"/>
      <c r="Z225" s="48"/>
      <c r="AA225" s="48"/>
      <c r="AB225" s="48"/>
      <c r="AC225" s="48"/>
      <c r="AD225" s="48"/>
      <c r="AE225" s="48"/>
      <c r="AF225" s="48"/>
      <c r="AG225" s="48"/>
      <c r="AH225" s="48"/>
      <c r="AI225" s="48"/>
      <c r="AJ225" s="48"/>
      <c r="AK225" s="48"/>
      <c r="AL225" s="48"/>
      <c r="AM225" s="48"/>
      <c r="AN225" s="48"/>
      <c r="AO225" s="48"/>
      <c r="AP225" s="48"/>
      <c r="AQ225" s="48"/>
      <c r="AR225" s="48"/>
      <c r="AS225" s="48"/>
      <c r="AT225" s="48"/>
      <c r="AU225" s="48"/>
      <c r="AV225" s="48"/>
      <c r="AW225" s="48"/>
      <c r="AX225" s="48"/>
      <c r="AY225" s="48"/>
      <c r="AZ225" s="48"/>
    </row>
    <row r="226" spans="1:52" ht="17.100000000000001" customHeight="1">
      <c r="A226" s="47"/>
      <c r="B226" s="48"/>
      <c r="C226" s="48"/>
      <c r="D226" s="48"/>
      <c r="E226" s="48"/>
      <c r="F226" s="48"/>
      <c r="G226" s="48"/>
      <c r="H226" s="48"/>
      <c r="I226" s="48"/>
      <c r="J226" s="48"/>
      <c r="K226" s="48"/>
      <c r="L226" s="48"/>
      <c r="M226" s="48"/>
      <c r="N226" s="48"/>
      <c r="O226" s="48"/>
      <c r="P226" s="48"/>
      <c r="Q226" s="48"/>
      <c r="R226" s="48"/>
      <c r="S226" s="48"/>
      <c r="T226" s="48"/>
      <c r="U226" s="48"/>
      <c r="V226" s="48"/>
      <c r="W226" s="48"/>
      <c r="X226" s="48"/>
      <c r="Y226" s="48"/>
      <c r="Z226" s="48"/>
      <c r="AA226" s="48"/>
      <c r="AB226" s="48"/>
      <c r="AC226" s="48"/>
      <c r="AD226" s="48"/>
      <c r="AE226" s="48"/>
      <c r="AF226" s="48"/>
      <c r="AG226" s="48"/>
      <c r="AH226" s="48"/>
      <c r="AI226" s="48"/>
      <c r="AJ226" s="48"/>
      <c r="AK226" s="48"/>
      <c r="AL226" s="48"/>
      <c r="AM226" s="48"/>
      <c r="AN226" s="48"/>
      <c r="AO226" s="48"/>
      <c r="AP226" s="48"/>
      <c r="AQ226" s="48"/>
      <c r="AR226" s="48"/>
      <c r="AS226" s="48"/>
      <c r="AT226" s="48"/>
      <c r="AU226" s="48"/>
      <c r="AV226" s="48"/>
      <c r="AW226" s="48"/>
      <c r="AX226" s="48"/>
      <c r="AY226" s="48"/>
      <c r="AZ226" s="48"/>
    </row>
    <row r="227" spans="1:52" ht="17.100000000000001" customHeight="1">
      <c r="A227" s="47"/>
      <c r="B227" s="48"/>
      <c r="C227" s="48"/>
      <c r="D227" s="48"/>
      <c r="E227" s="48"/>
      <c r="F227" s="48"/>
      <c r="G227" s="48"/>
      <c r="H227" s="48"/>
      <c r="I227" s="48"/>
      <c r="J227" s="48"/>
      <c r="K227" s="48"/>
      <c r="L227" s="48"/>
      <c r="M227" s="48"/>
      <c r="N227" s="48"/>
      <c r="O227" s="48"/>
      <c r="P227" s="48"/>
      <c r="Q227" s="48"/>
      <c r="R227" s="48"/>
      <c r="S227" s="48"/>
      <c r="T227" s="48"/>
      <c r="U227" s="48"/>
      <c r="V227" s="48"/>
      <c r="W227" s="48"/>
      <c r="X227" s="48"/>
      <c r="Y227" s="48"/>
      <c r="Z227" s="48"/>
      <c r="AA227" s="48"/>
      <c r="AB227" s="48"/>
      <c r="AC227" s="48"/>
      <c r="AD227" s="48"/>
      <c r="AE227" s="48"/>
      <c r="AF227" s="48"/>
      <c r="AG227" s="48"/>
      <c r="AH227" s="48"/>
      <c r="AI227" s="48"/>
      <c r="AJ227" s="48"/>
      <c r="AK227" s="48"/>
      <c r="AL227" s="48"/>
      <c r="AM227" s="48"/>
      <c r="AN227" s="48"/>
      <c r="AO227" s="48"/>
      <c r="AP227" s="48"/>
      <c r="AQ227" s="48"/>
      <c r="AR227" s="48"/>
      <c r="AS227" s="48"/>
      <c r="AT227" s="48"/>
      <c r="AU227" s="48"/>
      <c r="AV227" s="48"/>
      <c r="AW227" s="48"/>
      <c r="AX227" s="48"/>
      <c r="AY227" s="48"/>
      <c r="AZ227" s="48"/>
    </row>
    <row r="228" spans="1:52" ht="17.100000000000001" customHeight="1">
      <c r="A228" s="47"/>
      <c r="B228" s="48"/>
      <c r="C228" s="48"/>
      <c r="D228" s="48"/>
      <c r="E228" s="48"/>
      <c r="F228" s="48"/>
      <c r="G228" s="48"/>
      <c r="H228" s="48"/>
      <c r="I228" s="48"/>
      <c r="J228" s="48"/>
      <c r="K228" s="48"/>
      <c r="L228" s="48"/>
      <c r="M228" s="48"/>
      <c r="N228" s="48"/>
      <c r="O228" s="48"/>
      <c r="P228" s="48"/>
      <c r="Q228" s="48"/>
      <c r="R228" s="48"/>
      <c r="S228" s="48"/>
      <c r="T228" s="48"/>
      <c r="U228" s="48"/>
      <c r="V228" s="48"/>
      <c r="W228" s="48"/>
      <c r="X228" s="48"/>
      <c r="Y228" s="48"/>
      <c r="Z228" s="48"/>
      <c r="AA228" s="48"/>
      <c r="AB228" s="48"/>
      <c r="AC228" s="48"/>
      <c r="AD228" s="48"/>
      <c r="AE228" s="48"/>
      <c r="AF228" s="48"/>
      <c r="AG228" s="48"/>
      <c r="AH228" s="48"/>
      <c r="AI228" s="48"/>
      <c r="AJ228" s="48"/>
      <c r="AK228" s="48"/>
      <c r="AL228" s="48"/>
      <c r="AM228" s="48"/>
      <c r="AN228" s="48"/>
      <c r="AO228" s="48"/>
      <c r="AP228" s="48"/>
      <c r="AQ228" s="48"/>
      <c r="AR228" s="48"/>
      <c r="AS228" s="48"/>
      <c r="AT228" s="48"/>
      <c r="AU228" s="48"/>
      <c r="AV228" s="48"/>
      <c r="AW228" s="48"/>
      <c r="AX228" s="48"/>
      <c r="AY228" s="48"/>
      <c r="AZ228" s="48"/>
    </row>
    <row r="229" spans="1:52" ht="17.100000000000001" customHeight="1">
      <c r="A229" s="47"/>
      <c r="B229" s="48"/>
      <c r="C229" s="48"/>
      <c r="D229" s="48"/>
      <c r="E229" s="48"/>
      <c r="F229" s="48"/>
      <c r="G229" s="48"/>
      <c r="H229" s="48"/>
      <c r="I229" s="48"/>
      <c r="J229" s="48"/>
      <c r="K229" s="48"/>
      <c r="L229" s="48"/>
      <c r="M229" s="48"/>
      <c r="N229" s="48"/>
      <c r="O229" s="48"/>
      <c r="P229" s="48"/>
      <c r="Q229" s="48"/>
      <c r="R229" s="48"/>
      <c r="S229" s="48"/>
      <c r="T229" s="48"/>
      <c r="U229" s="48"/>
      <c r="V229" s="48"/>
      <c r="W229" s="48"/>
      <c r="X229" s="48"/>
      <c r="Y229" s="48"/>
      <c r="Z229" s="48"/>
      <c r="AA229" s="48"/>
      <c r="AB229" s="48"/>
      <c r="AC229" s="48"/>
      <c r="AD229" s="48"/>
      <c r="AE229" s="48"/>
      <c r="AF229" s="48"/>
      <c r="AG229" s="48"/>
      <c r="AH229" s="48"/>
      <c r="AI229" s="48"/>
      <c r="AJ229" s="48"/>
      <c r="AK229" s="48"/>
      <c r="AL229" s="48"/>
      <c r="AM229" s="48"/>
      <c r="AN229" s="48"/>
      <c r="AO229" s="48"/>
      <c r="AP229" s="48"/>
      <c r="AQ229" s="48"/>
      <c r="AR229" s="48"/>
      <c r="AS229" s="48"/>
      <c r="AT229" s="48"/>
      <c r="AU229" s="48"/>
      <c r="AV229" s="48"/>
      <c r="AW229" s="48"/>
      <c r="AX229" s="48"/>
      <c r="AY229" s="48"/>
      <c r="AZ229" s="48"/>
    </row>
    <row r="230" spans="1:52" ht="17.100000000000001" customHeight="1">
      <c r="A230" s="47"/>
      <c r="B230" s="48"/>
      <c r="C230" s="48"/>
      <c r="D230" s="48"/>
      <c r="E230" s="48"/>
      <c r="F230" s="48"/>
      <c r="G230" s="48"/>
      <c r="H230" s="48"/>
      <c r="I230" s="48"/>
      <c r="J230" s="48"/>
      <c r="K230" s="48"/>
      <c r="L230" s="48"/>
      <c r="M230" s="48"/>
      <c r="N230" s="48"/>
      <c r="O230" s="48"/>
      <c r="P230" s="48"/>
      <c r="Q230" s="48"/>
      <c r="R230" s="48"/>
      <c r="S230" s="48"/>
      <c r="T230" s="48"/>
      <c r="U230" s="48"/>
      <c r="V230" s="48"/>
      <c r="W230" s="48"/>
      <c r="X230" s="48"/>
      <c r="Y230" s="48"/>
      <c r="Z230" s="48"/>
      <c r="AA230" s="48"/>
      <c r="AB230" s="48"/>
      <c r="AC230" s="48"/>
      <c r="AD230" s="48"/>
      <c r="AE230" s="48"/>
      <c r="AF230" s="48"/>
      <c r="AG230" s="48"/>
      <c r="AH230" s="48"/>
      <c r="AI230" s="48"/>
      <c r="AJ230" s="48"/>
      <c r="AK230" s="48"/>
      <c r="AL230" s="48"/>
      <c r="AM230" s="48"/>
      <c r="AN230" s="48"/>
      <c r="AO230" s="48"/>
      <c r="AP230" s="48"/>
      <c r="AQ230" s="48"/>
      <c r="AR230" s="48"/>
      <c r="AS230" s="48"/>
      <c r="AT230" s="48"/>
      <c r="AU230" s="48"/>
      <c r="AV230" s="48"/>
      <c r="AW230" s="48"/>
      <c r="AX230" s="48"/>
      <c r="AY230" s="48"/>
      <c r="AZ230" s="48"/>
    </row>
    <row r="231" spans="1:52" ht="17.100000000000001" customHeight="1">
      <c r="A231" s="47"/>
      <c r="B231" s="48"/>
      <c r="C231" s="48"/>
      <c r="D231" s="48"/>
      <c r="E231" s="48"/>
      <c r="F231" s="48"/>
      <c r="G231" s="48"/>
      <c r="H231" s="48"/>
      <c r="I231" s="48"/>
      <c r="J231" s="48"/>
      <c r="K231" s="48"/>
      <c r="L231" s="48"/>
      <c r="M231" s="48"/>
      <c r="N231" s="48"/>
      <c r="O231" s="48"/>
      <c r="P231" s="48"/>
      <c r="Q231" s="48"/>
      <c r="R231" s="48"/>
      <c r="S231" s="48"/>
      <c r="T231" s="48"/>
      <c r="U231" s="48"/>
      <c r="V231" s="48"/>
      <c r="W231" s="48"/>
      <c r="X231" s="48"/>
      <c r="Y231" s="48"/>
      <c r="Z231" s="48"/>
      <c r="AA231" s="48"/>
      <c r="AB231" s="48"/>
      <c r="AC231" s="48"/>
      <c r="AD231" s="48"/>
      <c r="AE231" s="48"/>
      <c r="AF231" s="48"/>
      <c r="AG231" s="48"/>
      <c r="AH231" s="48"/>
      <c r="AI231" s="48"/>
      <c r="AJ231" s="48"/>
      <c r="AK231" s="48"/>
      <c r="AL231" s="48"/>
      <c r="AM231" s="48"/>
      <c r="AN231" s="48"/>
      <c r="AO231" s="48"/>
      <c r="AP231" s="48"/>
      <c r="AQ231" s="48"/>
      <c r="AR231" s="48"/>
      <c r="AS231" s="48"/>
      <c r="AT231" s="48"/>
      <c r="AU231" s="48"/>
      <c r="AV231" s="48"/>
      <c r="AW231" s="48"/>
      <c r="AX231" s="48"/>
      <c r="AY231" s="48"/>
      <c r="AZ231" s="48"/>
    </row>
    <row r="232" spans="1:52" ht="17.100000000000001" customHeight="1">
      <c r="A232" s="47"/>
      <c r="B232" s="48"/>
      <c r="C232" s="48"/>
      <c r="D232" s="48"/>
      <c r="E232" s="48"/>
      <c r="F232" s="48"/>
      <c r="G232" s="48"/>
      <c r="H232" s="48"/>
      <c r="I232" s="48"/>
      <c r="J232" s="48"/>
      <c r="K232" s="48"/>
      <c r="L232" s="48"/>
      <c r="M232" s="48"/>
      <c r="N232" s="48"/>
      <c r="O232" s="48"/>
      <c r="P232" s="48"/>
      <c r="Q232" s="48"/>
      <c r="R232" s="48"/>
      <c r="S232" s="48"/>
      <c r="T232" s="48"/>
      <c r="U232" s="48"/>
      <c r="V232" s="48"/>
      <c r="W232" s="48"/>
      <c r="X232" s="48"/>
      <c r="Y232" s="48"/>
      <c r="Z232" s="48"/>
      <c r="AA232" s="48"/>
      <c r="AB232" s="48"/>
      <c r="AC232" s="48"/>
      <c r="AD232" s="48"/>
      <c r="AE232" s="48"/>
      <c r="AF232" s="48"/>
      <c r="AG232" s="48"/>
      <c r="AH232" s="48"/>
      <c r="AI232" s="48"/>
      <c r="AJ232" s="48"/>
      <c r="AK232" s="48"/>
      <c r="AL232" s="48"/>
      <c r="AM232" s="48"/>
      <c r="AN232" s="48"/>
      <c r="AO232" s="48"/>
      <c r="AP232" s="48"/>
      <c r="AQ232" s="48"/>
      <c r="AR232" s="48"/>
      <c r="AS232" s="48"/>
      <c r="AT232" s="48"/>
      <c r="AU232" s="48"/>
      <c r="AV232" s="48"/>
      <c r="AW232" s="48"/>
      <c r="AX232" s="48"/>
      <c r="AY232" s="48"/>
      <c r="AZ232" s="48"/>
    </row>
    <row r="233" spans="1:52" ht="17.100000000000001" customHeight="1">
      <c r="A233" s="47"/>
      <c r="B233" s="48"/>
      <c r="C233" s="48"/>
      <c r="D233" s="48"/>
      <c r="E233" s="48"/>
      <c r="F233" s="48"/>
      <c r="G233" s="48"/>
      <c r="H233" s="48"/>
      <c r="I233" s="48"/>
      <c r="J233" s="48"/>
      <c r="K233" s="48"/>
      <c r="L233" s="48"/>
      <c r="M233" s="48"/>
      <c r="N233" s="48"/>
      <c r="O233" s="48"/>
      <c r="P233" s="48"/>
      <c r="Q233" s="48"/>
      <c r="R233" s="48"/>
      <c r="S233" s="48"/>
      <c r="T233" s="48"/>
      <c r="U233" s="48"/>
      <c r="V233" s="48"/>
      <c r="W233" s="48"/>
      <c r="X233" s="48"/>
      <c r="Y233" s="48"/>
      <c r="Z233" s="48"/>
      <c r="AA233" s="48"/>
      <c r="AB233" s="48"/>
      <c r="AC233" s="48"/>
      <c r="AD233" s="48"/>
      <c r="AE233" s="48"/>
      <c r="AF233" s="48"/>
      <c r="AG233" s="48"/>
      <c r="AH233" s="48"/>
      <c r="AI233" s="48"/>
      <c r="AJ233" s="48"/>
      <c r="AK233" s="48"/>
      <c r="AL233" s="48"/>
      <c r="AM233" s="48"/>
      <c r="AN233" s="48"/>
      <c r="AO233" s="48"/>
      <c r="AP233" s="48"/>
      <c r="AQ233" s="48"/>
      <c r="AR233" s="48"/>
      <c r="AS233" s="48"/>
      <c r="AT233" s="48"/>
      <c r="AU233" s="48"/>
      <c r="AV233" s="48"/>
      <c r="AW233" s="48"/>
      <c r="AX233" s="48"/>
      <c r="AY233" s="48"/>
      <c r="AZ233" s="48"/>
    </row>
    <row r="234" spans="1:52" ht="17.100000000000001" customHeight="1">
      <c r="A234" s="47"/>
      <c r="B234" s="48"/>
      <c r="C234" s="48"/>
      <c r="D234" s="48"/>
      <c r="E234" s="48"/>
      <c r="F234" s="48"/>
      <c r="G234" s="48"/>
      <c r="H234" s="48"/>
      <c r="I234" s="48"/>
      <c r="J234" s="48"/>
      <c r="K234" s="48"/>
      <c r="L234" s="48"/>
      <c r="M234" s="48"/>
      <c r="N234" s="48"/>
      <c r="O234" s="48"/>
      <c r="P234" s="48"/>
      <c r="Q234" s="48"/>
      <c r="R234" s="48"/>
      <c r="S234" s="48"/>
      <c r="T234" s="48"/>
      <c r="U234" s="48"/>
      <c r="V234" s="48"/>
      <c r="W234" s="48"/>
      <c r="X234" s="48"/>
      <c r="Y234" s="48"/>
      <c r="Z234" s="48"/>
      <c r="AA234" s="48"/>
      <c r="AB234" s="48"/>
      <c r="AC234" s="48"/>
      <c r="AD234" s="48"/>
      <c r="AE234" s="48"/>
      <c r="AF234" s="48"/>
      <c r="AG234" s="48"/>
      <c r="AH234" s="48"/>
      <c r="AI234" s="48"/>
      <c r="AJ234" s="48"/>
      <c r="AK234" s="48"/>
      <c r="AL234" s="48"/>
      <c r="AM234" s="48"/>
      <c r="AN234" s="48"/>
      <c r="AO234" s="48"/>
      <c r="AP234" s="48"/>
      <c r="AQ234" s="48"/>
      <c r="AR234" s="48"/>
      <c r="AS234" s="48"/>
      <c r="AT234" s="48"/>
      <c r="AU234" s="48"/>
      <c r="AV234" s="48"/>
      <c r="AW234" s="48"/>
      <c r="AX234" s="48"/>
      <c r="AY234" s="48"/>
      <c r="AZ234" s="48"/>
    </row>
    <row r="235" spans="1:52" ht="17.100000000000001" customHeight="1">
      <c r="A235" s="47"/>
      <c r="B235" s="48"/>
      <c r="C235" s="48"/>
      <c r="D235" s="48"/>
      <c r="E235" s="48"/>
      <c r="F235" s="48"/>
      <c r="G235" s="48"/>
      <c r="H235" s="48"/>
      <c r="I235" s="48"/>
      <c r="J235" s="48"/>
      <c r="K235" s="48"/>
      <c r="L235" s="48"/>
      <c r="M235" s="48"/>
      <c r="N235" s="48"/>
      <c r="O235" s="48"/>
      <c r="P235" s="48"/>
      <c r="Q235" s="48"/>
      <c r="R235" s="48"/>
      <c r="S235" s="48"/>
      <c r="T235" s="48"/>
      <c r="U235" s="48"/>
      <c r="V235" s="48"/>
      <c r="W235" s="48"/>
      <c r="X235" s="48"/>
      <c r="Y235" s="48"/>
      <c r="Z235" s="48"/>
      <c r="AA235" s="48"/>
      <c r="AB235" s="48"/>
      <c r="AC235" s="48"/>
      <c r="AD235" s="48"/>
      <c r="AE235" s="48"/>
      <c r="AF235" s="48"/>
      <c r="AG235" s="48"/>
      <c r="AH235" s="48"/>
      <c r="AI235" s="48"/>
      <c r="AJ235" s="48"/>
      <c r="AK235" s="48"/>
      <c r="AL235" s="48"/>
      <c r="AM235" s="48"/>
      <c r="AN235" s="48"/>
      <c r="AO235" s="48"/>
      <c r="AP235" s="48"/>
      <c r="AQ235" s="48"/>
      <c r="AR235" s="48"/>
      <c r="AS235" s="48"/>
      <c r="AT235" s="48"/>
      <c r="AU235" s="48"/>
      <c r="AV235" s="48"/>
      <c r="AW235" s="48"/>
      <c r="AX235" s="48"/>
      <c r="AY235" s="48"/>
      <c r="AZ235" s="48"/>
    </row>
    <row r="236" spans="1:52" ht="17.100000000000001" customHeight="1">
      <c r="A236" s="47"/>
      <c r="B236" s="48"/>
      <c r="C236" s="48"/>
      <c r="D236" s="48"/>
      <c r="E236" s="48"/>
      <c r="F236" s="48"/>
      <c r="G236" s="48"/>
      <c r="H236" s="48"/>
      <c r="I236" s="48"/>
      <c r="J236" s="48"/>
      <c r="K236" s="48"/>
      <c r="L236" s="48"/>
      <c r="M236" s="48"/>
      <c r="N236" s="48"/>
      <c r="O236" s="48"/>
      <c r="P236" s="48"/>
      <c r="Q236" s="48"/>
      <c r="R236" s="48"/>
      <c r="S236" s="48"/>
      <c r="T236" s="48"/>
      <c r="U236" s="48"/>
      <c r="V236" s="48"/>
      <c r="W236" s="48"/>
      <c r="X236" s="48"/>
      <c r="Y236" s="48"/>
      <c r="Z236" s="48"/>
      <c r="AA236" s="48"/>
      <c r="AB236" s="48"/>
      <c r="AC236" s="48"/>
      <c r="AD236" s="48"/>
      <c r="AE236" s="48"/>
      <c r="AF236" s="48"/>
      <c r="AG236" s="48"/>
      <c r="AH236" s="48"/>
      <c r="AI236" s="48"/>
      <c r="AJ236" s="48"/>
      <c r="AK236" s="48"/>
      <c r="AL236" s="48"/>
      <c r="AM236" s="48"/>
      <c r="AN236" s="48"/>
      <c r="AO236" s="48"/>
      <c r="AP236" s="48"/>
      <c r="AQ236" s="48"/>
      <c r="AR236" s="48"/>
      <c r="AS236" s="48"/>
      <c r="AT236" s="48"/>
      <c r="AU236" s="48"/>
      <c r="AV236" s="48"/>
      <c r="AW236" s="48"/>
      <c r="AX236" s="48"/>
      <c r="AY236" s="48"/>
      <c r="AZ236" s="48"/>
    </row>
    <row r="237" spans="1:52" ht="17.100000000000001" customHeight="1">
      <c r="A237" s="47"/>
      <c r="B237" s="48"/>
      <c r="C237" s="48"/>
      <c r="D237" s="48"/>
      <c r="E237" s="48"/>
      <c r="F237" s="48"/>
      <c r="G237" s="48"/>
      <c r="H237" s="48"/>
      <c r="I237" s="48"/>
      <c r="J237" s="48"/>
      <c r="K237" s="48"/>
      <c r="L237" s="48"/>
      <c r="M237" s="48"/>
      <c r="N237" s="48"/>
      <c r="O237" s="48"/>
      <c r="P237" s="48"/>
      <c r="Q237" s="48"/>
      <c r="R237" s="48"/>
      <c r="S237" s="48"/>
      <c r="T237" s="48"/>
      <c r="U237" s="48"/>
      <c r="V237" s="48"/>
      <c r="W237" s="48"/>
      <c r="X237" s="48"/>
      <c r="Y237" s="48"/>
      <c r="Z237" s="48"/>
      <c r="AA237" s="48"/>
      <c r="AB237" s="48"/>
      <c r="AC237" s="48"/>
      <c r="AD237" s="48"/>
      <c r="AE237" s="48"/>
      <c r="AF237" s="48"/>
      <c r="AG237" s="48"/>
      <c r="AH237" s="48"/>
      <c r="AI237" s="48"/>
      <c r="AJ237" s="48"/>
      <c r="AK237" s="48"/>
      <c r="AL237" s="48"/>
      <c r="AM237" s="48"/>
      <c r="AN237" s="48"/>
      <c r="AO237" s="48"/>
      <c r="AP237" s="48"/>
      <c r="AQ237" s="48"/>
      <c r="AR237" s="48"/>
      <c r="AS237" s="48"/>
      <c r="AT237" s="48"/>
      <c r="AU237" s="48"/>
      <c r="AV237" s="48"/>
      <c r="AW237" s="48"/>
      <c r="AX237" s="48"/>
      <c r="AY237" s="48"/>
      <c r="AZ237" s="48"/>
    </row>
    <row r="238" spans="1:52" ht="17.100000000000001" customHeight="1">
      <c r="A238" s="47"/>
      <c r="B238" s="48"/>
      <c r="C238" s="48"/>
      <c r="D238" s="48"/>
      <c r="E238" s="48"/>
      <c r="F238" s="48"/>
      <c r="G238" s="48"/>
      <c r="H238" s="48"/>
      <c r="I238" s="48"/>
      <c r="J238" s="48"/>
      <c r="K238" s="48"/>
      <c r="L238" s="48"/>
      <c r="M238" s="48"/>
      <c r="N238" s="48"/>
      <c r="O238" s="48"/>
      <c r="P238" s="48"/>
      <c r="Q238" s="48"/>
      <c r="R238" s="48"/>
      <c r="S238" s="48"/>
      <c r="T238" s="48"/>
      <c r="U238" s="48"/>
      <c r="V238" s="48"/>
      <c r="W238" s="48"/>
      <c r="X238" s="48"/>
      <c r="Y238" s="48"/>
      <c r="Z238" s="48"/>
      <c r="AA238" s="48"/>
      <c r="AB238" s="48"/>
      <c r="AC238" s="48"/>
      <c r="AD238" s="48"/>
      <c r="AE238" s="48"/>
      <c r="AF238" s="48"/>
      <c r="AG238" s="48"/>
      <c r="AH238" s="48"/>
      <c r="AI238" s="48"/>
      <c r="AJ238" s="48"/>
      <c r="AK238" s="48"/>
      <c r="AL238" s="48"/>
      <c r="AM238" s="48"/>
      <c r="AN238" s="48"/>
      <c r="AO238" s="48"/>
      <c r="AP238" s="48"/>
      <c r="AQ238" s="48"/>
      <c r="AR238" s="48"/>
      <c r="AS238" s="48"/>
      <c r="AT238" s="48"/>
      <c r="AU238" s="48"/>
      <c r="AV238" s="48"/>
      <c r="AW238" s="48"/>
      <c r="AX238" s="48"/>
      <c r="AY238" s="48"/>
      <c r="AZ238" s="48"/>
    </row>
    <row r="239" spans="1:52" ht="17.100000000000001" customHeight="1">
      <c r="A239" s="47"/>
      <c r="B239" s="48"/>
      <c r="C239" s="48"/>
      <c r="D239" s="48"/>
      <c r="E239" s="48"/>
      <c r="F239" s="48"/>
      <c r="G239" s="48"/>
      <c r="H239" s="48"/>
      <c r="I239" s="48"/>
      <c r="J239" s="48"/>
      <c r="K239" s="48"/>
      <c r="L239" s="48"/>
      <c r="M239" s="48"/>
      <c r="N239" s="48"/>
      <c r="O239" s="48"/>
      <c r="P239" s="48"/>
      <c r="Q239" s="48"/>
      <c r="R239" s="48"/>
      <c r="S239" s="48"/>
      <c r="T239" s="48"/>
      <c r="U239" s="48"/>
      <c r="V239" s="48"/>
      <c r="W239" s="48"/>
      <c r="X239" s="48"/>
      <c r="Y239" s="48"/>
      <c r="Z239" s="48"/>
      <c r="AA239" s="48"/>
      <c r="AB239" s="48"/>
      <c r="AC239" s="48"/>
      <c r="AD239" s="48"/>
      <c r="AE239" s="48"/>
      <c r="AF239" s="48"/>
      <c r="AG239" s="48"/>
      <c r="AH239" s="48"/>
      <c r="AI239" s="48"/>
      <c r="AJ239" s="48"/>
      <c r="AK239" s="48"/>
      <c r="AL239" s="48"/>
      <c r="AM239" s="48"/>
      <c r="AN239" s="48"/>
      <c r="AO239" s="48"/>
      <c r="AP239" s="48"/>
      <c r="AQ239" s="48"/>
      <c r="AR239" s="48"/>
      <c r="AS239" s="48"/>
      <c r="AT239" s="48"/>
      <c r="AU239" s="48"/>
      <c r="AV239" s="48"/>
      <c r="AW239" s="48"/>
      <c r="AX239" s="48"/>
      <c r="AY239" s="48"/>
      <c r="AZ239" s="48"/>
    </row>
    <row r="240" spans="1:52" ht="17.100000000000001" customHeight="1">
      <c r="A240" s="47"/>
      <c r="B240" s="48"/>
      <c r="C240" s="48"/>
      <c r="D240" s="48"/>
      <c r="E240" s="48"/>
      <c r="F240" s="48"/>
      <c r="G240" s="48"/>
      <c r="H240" s="48"/>
      <c r="I240" s="48"/>
      <c r="J240" s="48"/>
      <c r="K240" s="48"/>
      <c r="L240" s="48"/>
      <c r="M240" s="48"/>
      <c r="N240" s="48"/>
      <c r="O240" s="48"/>
      <c r="P240" s="48"/>
      <c r="Q240" s="48"/>
      <c r="R240" s="48"/>
      <c r="S240" s="48"/>
      <c r="T240" s="48"/>
      <c r="U240" s="48"/>
      <c r="V240" s="48"/>
      <c r="W240" s="48"/>
      <c r="X240" s="48"/>
      <c r="Y240" s="48"/>
      <c r="Z240" s="48"/>
      <c r="AA240" s="48"/>
      <c r="AB240" s="48"/>
      <c r="AC240" s="48"/>
      <c r="AD240" s="48"/>
      <c r="AE240" s="48"/>
      <c r="AF240" s="48"/>
      <c r="AG240" s="48"/>
      <c r="AH240" s="48"/>
      <c r="AI240" s="48"/>
      <c r="AJ240" s="48"/>
      <c r="AK240" s="48"/>
      <c r="AL240" s="48"/>
      <c r="AM240" s="48"/>
      <c r="AN240" s="48"/>
      <c r="AO240" s="48"/>
      <c r="AP240" s="48"/>
      <c r="AQ240" s="48"/>
      <c r="AR240" s="48"/>
      <c r="AS240" s="48"/>
      <c r="AT240" s="48"/>
      <c r="AU240" s="48"/>
      <c r="AV240" s="48"/>
      <c r="AW240" s="48"/>
      <c r="AX240" s="48"/>
      <c r="AY240" s="48"/>
      <c r="AZ240" s="48"/>
    </row>
    <row r="241" spans="1:52" ht="17.100000000000001" customHeight="1">
      <c r="A241" s="47"/>
      <c r="B241" s="48"/>
      <c r="C241" s="48"/>
      <c r="D241" s="48"/>
      <c r="E241" s="48"/>
      <c r="F241" s="48"/>
      <c r="G241" s="48"/>
      <c r="H241" s="48"/>
      <c r="I241" s="48"/>
      <c r="J241" s="48"/>
      <c r="K241" s="48"/>
      <c r="L241" s="48"/>
      <c r="M241" s="48"/>
      <c r="N241" s="48"/>
      <c r="O241" s="48"/>
      <c r="P241" s="48"/>
      <c r="Q241" s="48"/>
      <c r="R241" s="48"/>
      <c r="S241" s="48"/>
      <c r="T241" s="48"/>
      <c r="U241" s="48"/>
      <c r="V241" s="48"/>
      <c r="W241" s="48"/>
      <c r="X241" s="48"/>
      <c r="Y241" s="48"/>
      <c r="Z241" s="48"/>
      <c r="AA241" s="48"/>
      <c r="AB241" s="48"/>
      <c r="AC241" s="48"/>
      <c r="AD241" s="48"/>
      <c r="AE241" s="48"/>
      <c r="AF241" s="48"/>
      <c r="AG241" s="48"/>
      <c r="AH241" s="48"/>
      <c r="AI241" s="48"/>
      <c r="AJ241" s="48"/>
      <c r="AK241" s="48"/>
      <c r="AL241" s="48"/>
      <c r="AM241" s="48"/>
      <c r="AN241" s="48"/>
      <c r="AO241" s="48"/>
      <c r="AP241" s="48"/>
      <c r="AQ241" s="48"/>
      <c r="AR241" s="48"/>
      <c r="AS241" s="48"/>
      <c r="AT241" s="48"/>
      <c r="AU241" s="48"/>
      <c r="AV241" s="48"/>
      <c r="AW241" s="48"/>
      <c r="AX241" s="48"/>
      <c r="AY241" s="48"/>
      <c r="AZ241" s="48"/>
    </row>
    <row r="242" spans="1:52" ht="17.100000000000001" customHeight="1">
      <c r="A242" s="47"/>
      <c r="B242" s="48"/>
      <c r="C242" s="48"/>
      <c r="D242" s="48"/>
      <c r="E242" s="48"/>
      <c r="F242" s="48"/>
      <c r="G242" s="48"/>
      <c r="H242" s="48"/>
      <c r="I242" s="48"/>
      <c r="J242" s="48"/>
      <c r="K242" s="48"/>
      <c r="L242" s="48"/>
      <c r="M242" s="48"/>
      <c r="N242" s="48"/>
      <c r="O242" s="48"/>
      <c r="P242" s="48"/>
      <c r="Q242" s="48"/>
      <c r="R242" s="48"/>
      <c r="S242" s="48"/>
      <c r="T242" s="48"/>
      <c r="U242" s="48"/>
      <c r="V242" s="48"/>
      <c r="W242" s="48"/>
      <c r="X242" s="48"/>
      <c r="Y242" s="48"/>
      <c r="Z242" s="48"/>
      <c r="AA242" s="48"/>
      <c r="AB242" s="48"/>
      <c r="AC242" s="48"/>
      <c r="AD242" s="48"/>
      <c r="AE242" s="48"/>
      <c r="AF242" s="48"/>
      <c r="AG242" s="48"/>
      <c r="AH242" s="48"/>
      <c r="AI242" s="48"/>
      <c r="AJ242" s="48"/>
      <c r="AK242" s="48"/>
      <c r="AL242" s="48"/>
      <c r="AM242" s="48"/>
      <c r="AN242" s="48"/>
      <c r="AO242" s="48"/>
      <c r="AP242" s="48"/>
      <c r="AQ242" s="48"/>
      <c r="AR242" s="48"/>
      <c r="AS242" s="48"/>
      <c r="AT242" s="48"/>
      <c r="AU242" s="48"/>
      <c r="AV242" s="48"/>
      <c r="AW242" s="48"/>
      <c r="AX242" s="48"/>
      <c r="AY242" s="48"/>
      <c r="AZ242" s="48"/>
    </row>
    <row r="243" spans="1:52" ht="17.100000000000001" customHeight="1">
      <c r="A243" s="47"/>
      <c r="B243" s="48"/>
      <c r="C243" s="48"/>
      <c r="D243" s="48"/>
      <c r="E243" s="48"/>
      <c r="F243" s="48"/>
      <c r="G243" s="48"/>
      <c r="H243" s="48"/>
      <c r="I243" s="48"/>
      <c r="J243" s="48"/>
      <c r="K243" s="48"/>
      <c r="L243" s="48"/>
      <c r="M243" s="48"/>
      <c r="N243" s="48"/>
      <c r="O243" s="48"/>
      <c r="P243" s="48"/>
      <c r="Q243" s="48"/>
      <c r="R243" s="48"/>
      <c r="S243" s="48"/>
      <c r="T243" s="48"/>
      <c r="U243" s="48"/>
      <c r="V243" s="48"/>
      <c r="W243" s="48"/>
      <c r="X243" s="48"/>
      <c r="Y243" s="48"/>
      <c r="Z243" s="48"/>
      <c r="AA243" s="48"/>
      <c r="AB243" s="48"/>
      <c r="AC243" s="48"/>
      <c r="AD243" s="48"/>
      <c r="AE243" s="48"/>
      <c r="AF243" s="48"/>
      <c r="AG243" s="48"/>
      <c r="AH243" s="48"/>
      <c r="AI243" s="48"/>
      <c r="AJ243" s="48"/>
      <c r="AK243" s="48"/>
      <c r="AL243" s="48"/>
      <c r="AM243" s="48"/>
      <c r="AN243" s="48"/>
      <c r="AO243" s="48"/>
      <c r="AP243" s="48"/>
      <c r="AQ243" s="48"/>
      <c r="AR243" s="48"/>
      <c r="AS243" s="48"/>
      <c r="AT243" s="48"/>
      <c r="AU243" s="48"/>
      <c r="AV243" s="48"/>
      <c r="AW243" s="48"/>
      <c r="AX243" s="48"/>
      <c r="AY243" s="48"/>
      <c r="AZ243" s="48"/>
    </row>
    <row r="244" spans="1:52" ht="17.100000000000001" customHeight="1">
      <c r="A244" s="47"/>
      <c r="B244" s="48"/>
      <c r="C244" s="48"/>
      <c r="D244" s="48"/>
      <c r="E244" s="48"/>
      <c r="F244" s="48"/>
      <c r="G244" s="48"/>
      <c r="H244" s="48"/>
      <c r="I244" s="48"/>
      <c r="J244" s="48"/>
      <c r="K244" s="48"/>
      <c r="L244" s="48"/>
      <c r="M244" s="48"/>
      <c r="N244" s="48"/>
      <c r="O244" s="48"/>
      <c r="P244" s="48"/>
      <c r="Q244" s="48"/>
      <c r="R244" s="48"/>
      <c r="S244" s="48"/>
      <c r="T244" s="48"/>
      <c r="U244" s="48"/>
      <c r="V244" s="48"/>
      <c r="W244" s="48"/>
      <c r="X244" s="48"/>
      <c r="Y244" s="48"/>
      <c r="Z244" s="48"/>
      <c r="AA244" s="48"/>
      <c r="AB244" s="48"/>
      <c r="AC244" s="48"/>
      <c r="AD244" s="48"/>
      <c r="AE244" s="48"/>
      <c r="AF244" s="48"/>
      <c r="AG244" s="48"/>
      <c r="AH244" s="48"/>
      <c r="AI244" s="48"/>
      <c r="AJ244" s="48"/>
      <c r="AK244" s="48"/>
      <c r="AL244" s="48"/>
      <c r="AM244" s="48"/>
      <c r="AN244" s="48"/>
      <c r="AO244" s="48"/>
      <c r="AP244" s="48"/>
      <c r="AQ244" s="48"/>
      <c r="AR244" s="48"/>
      <c r="AS244" s="48"/>
      <c r="AT244" s="48"/>
      <c r="AU244" s="48"/>
      <c r="AV244" s="48"/>
      <c r="AW244" s="48"/>
      <c r="AX244" s="48"/>
      <c r="AY244" s="48"/>
      <c r="AZ244" s="48"/>
    </row>
    <row r="245" spans="1:52" ht="17.100000000000001" customHeight="1">
      <c r="A245" s="47"/>
      <c r="B245" s="48"/>
      <c r="C245" s="48"/>
      <c r="D245" s="48"/>
      <c r="E245" s="48"/>
      <c r="F245" s="48"/>
      <c r="G245" s="48"/>
      <c r="H245" s="48"/>
      <c r="I245" s="48"/>
      <c r="J245" s="48"/>
      <c r="K245" s="48"/>
      <c r="L245" s="48"/>
      <c r="M245" s="48"/>
      <c r="N245" s="48"/>
      <c r="O245" s="48"/>
      <c r="P245" s="48"/>
      <c r="Q245" s="48"/>
      <c r="R245" s="48"/>
      <c r="S245" s="48"/>
      <c r="T245" s="48"/>
      <c r="U245" s="48"/>
      <c r="V245" s="48"/>
      <c r="W245" s="48"/>
      <c r="X245" s="48"/>
      <c r="Y245" s="48"/>
      <c r="Z245" s="48"/>
      <c r="AA245" s="48"/>
      <c r="AB245" s="48"/>
      <c r="AC245" s="48"/>
      <c r="AD245" s="48"/>
      <c r="AE245" s="48"/>
      <c r="AF245" s="48"/>
      <c r="AG245" s="48"/>
      <c r="AH245" s="48"/>
      <c r="AI245" s="48"/>
      <c r="AJ245" s="48"/>
      <c r="AK245" s="48"/>
      <c r="AL245" s="48"/>
      <c r="AM245" s="48"/>
      <c r="AN245" s="48"/>
      <c r="AO245" s="48"/>
      <c r="AP245" s="48"/>
      <c r="AQ245" s="48"/>
      <c r="AR245" s="48"/>
      <c r="AS245" s="48"/>
      <c r="AT245" s="48"/>
      <c r="AU245" s="48"/>
      <c r="AV245" s="48"/>
      <c r="AW245" s="48"/>
      <c r="AX245" s="48"/>
      <c r="AY245" s="48"/>
      <c r="AZ245" s="48"/>
    </row>
    <row r="246" spans="1:52" ht="17.100000000000001" customHeight="1">
      <c r="A246" s="47"/>
      <c r="B246" s="48"/>
      <c r="C246" s="48"/>
      <c r="D246" s="48"/>
      <c r="E246" s="48"/>
      <c r="F246" s="48"/>
      <c r="G246" s="48"/>
      <c r="H246" s="48"/>
      <c r="I246" s="48"/>
      <c r="J246" s="48"/>
      <c r="K246" s="48"/>
      <c r="L246" s="48"/>
      <c r="M246" s="48"/>
      <c r="N246" s="48"/>
      <c r="O246" s="48"/>
      <c r="P246" s="48"/>
      <c r="Q246" s="48"/>
      <c r="R246" s="48"/>
      <c r="S246" s="48"/>
      <c r="T246" s="48"/>
      <c r="U246" s="48"/>
      <c r="V246" s="48"/>
      <c r="W246" s="48"/>
      <c r="X246" s="48"/>
      <c r="Y246" s="48"/>
      <c r="Z246" s="48"/>
      <c r="AA246" s="48"/>
      <c r="AB246" s="48"/>
      <c r="AC246" s="48"/>
      <c r="AD246" s="48"/>
      <c r="AE246" s="48"/>
      <c r="AF246" s="48"/>
      <c r="AG246" s="48"/>
      <c r="AH246" s="48"/>
      <c r="AI246" s="48"/>
      <c r="AJ246" s="48"/>
      <c r="AK246" s="48"/>
      <c r="AL246" s="48"/>
      <c r="AM246" s="48"/>
      <c r="AN246" s="48"/>
      <c r="AO246" s="48"/>
      <c r="AP246" s="48"/>
      <c r="AQ246" s="48"/>
      <c r="AR246" s="48"/>
      <c r="AS246" s="48"/>
      <c r="AT246" s="48"/>
      <c r="AU246" s="48"/>
      <c r="AV246" s="48"/>
      <c r="AW246" s="48"/>
      <c r="AX246" s="48"/>
      <c r="AY246" s="48"/>
      <c r="AZ246" s="48"/>
    </row>
    <row r="247" spans="1:52" ht="17.100000000000001" customHeight="1">
      <c r="A247" s="47"/>
      <c r="B247" s="48"/>
      <c r="C247" s="48"/>
      <c r="D247" s="48"/>
      <c r="E247" s="48"/>
      <c r="F247" s="48"/>
      <c r="G247" s="48"/>
      <c r="H247" s="48"/>
      <c r="I247" s="48"/>
      <c r="J247" s="48"/>
      <c r="K247" s="48"/>
      <c r="L247" s="48"/>
      <c r="M247" s="48"/>
      <c r="N247" s="48"/>
      <c r="O247" s="48"/>
      <c r="P247" s="48"/>
      <c r="Q247" s="48"/>
      <c r="R247" s="48"/>
      <c r="S247" s="48"/>
      <c r="T247" s="48"/>
      <c r="U247" s="48"/>
      <c r="V247" s="48"/>
      <c r="W247" s="48"/>
      <c r="X247" s="48"/>
      <c r="Y247" s="48"/>
      <c r="Z247" s="48"/>
      <c r="AA247" s="48"/>
      <c r="AB247" s="48"/>
      <c r="AC247" s="48"/>
      <c r="AD247" s="48"/>
      <c r="AE247" s="48"/>
      <c r="AF247" s="48"/>
      <c r="AG247" s="48"/>
      <c r="AH247" s="48"/>
      <c r="AI247" s="48"/>
      <c r="AJ247" s="48"/>
      <c r="AK247" s="48"/>
      <c r="AL247" s="48"/>
      <c r="AM247" s="48"/>
      <c r="AN247" s="48"/>
      <c r="AO247" s="48"/>
      <c r="AP247" s="48"/>
      <c r="AQ247" s="48"/>
      <c r="AR247" s="48"/>
      <c r="AS247" s="48"/>
      <c r="AT247" s="48"/>
      <c r="AU247" s="48"/>
      <c r="AV247" s="48"/>
      <c r="AW247" s="48"/>
      <c r="AX247" s="48"/>
      <c r="AY247" s="48"/>
      <c r="AZ247" s="48"/>
    </row>
    <row r="248" spans="1:52" ht="17.100000000000001" customHeight="1">
      <c r="A248" s="47"/>
      <c r="B248" s="48"/>
      <c r="C248" s="48"/>
      <c r="D248" s="48"/>
      <c r="E248" s="48"/>
      <c r="F248" s="48"/>
      <c r="G248" s="48"/>
      <c r="H248" s="48"/>
      <c r="I248" s="48"/>
      <c r="J248" s="48"/>
      <c r="K248" s="48"/>
      <c r="L248" s="48"/>
      <c r="M248" s="48"/>
      <c r="N248" s="48"/>
      <c r="O248" s="48"/>
      <c r="P248" s="48"/>
      <c r="Q248" s="48"/>
      <c r="R248" s="48"/>
      <c r="S248" s="48"/>
      <c r="T248" s="48"/>
      <c r="U248" s="48"/>
      <c r="V248" s="48"/>
      <c r="W248" s="48"/>
      <c r="X248" s="48"/>
      <c r="Y248" s="48"/>
      <c r="Z248" s="48"/>
      <c r="AA248" s="48"/>
      <c r="AB248" s="48"/>
      <c r="AC248" s="48"/>
      <c r="AD248" s="48"/>
      <c r="AE248" s="48"/>
      <c r="AF248" s="48"/>
      <c r="AG248" s="48"/>
      <c r="AH248" s="48"/>
      <c r="AI248" s="48"/>
      <c r="AJ248" s="48"/>
      <c r="AK248" s="48"/>
      <c r="AL248" s="48"/>
      <c r="AM248" s="48"/>
      <c r="AN248" s="48"/>
      <c r="AO248" s="48"/>
      <c r="AP248" s="48"/>
      <c r="AQ248" s="48"/>
      <c r="AR248" s="48"/>
      <c r="AS248" s="48"/>
      <c r="AT248" s="48"/>
      <c r="AU248" s="48"/>
      <c r="AV248" s="48"/>
      <c r="AW248" s="48"/>
      <c r="AX248" s="48"/>
      <c r="AY248" s="48"/>
      <c r="AZ248" s="48"/>
    </row>
    <row r="249" spans="1:52" ht="17.100000000000001" customHeight="1">
      <c r="A249" s="47"/>
      <c r="B249" s="48"/>
      <c r="C249" s="48"/>
      <c r="D249" s="48"/>
      <c r="E249" s="48"/>
      <c r="F249" s="48"/>
      <c r="G249" s="48"/>
      <c r="H249" s="48"/>
      <c r="I249" s="48"/>
      <c r="J249" s="48"/>
      <c r="K249" s="48"/>
      <c r="L249" s="48"/>
      <c r="M249" s="48"/>
      <c r="N249" s="48"/>
      <c r="O249" s="48"/>
      <c r="P249" s="48"/>
      <c r="Q249" s="48"/>
      <c r="R249" s="48"/>
      <c r="S249" s="48"/>
      <c r="T249" s="48"/>
      <c r="U249" s="48"/>
      <c r="V249" s="48"/>
      <c r="W249" s="48"/>
      <c r="X249" s="48"/>
      <c r="Y249" s="48"/>
      <c r="Z249" s="48"/>
      <c r="AA249" s="48"/>
      <c r="AB249" s="48"/>
      <c r="AC249" s="48"/>
      <c r="AD249" s="48"/>
      <c r="AE249" s="48"/>
      <c r="AF249" s="48"/>
      <c r="AG249" s="48"/>
      <c r="AH249" s="48"/>
      <c r="AI249" s="48"/>
      <c r="AJ249" s="48"/>
      <c r="AK249" s="48"/>
      <c r="AL249" s="48"/>
      <c r="AM249" s="48"/>
      <c r="AN249" s="48"/>
      <c r="AO249" s="48"/>
      <c r="AP249" s="48"/>
      <c r="AQ249" s="48"/>
      <c r="AR249" s="48"/>
      <c r="AS249" s="48"/>
      <c r="AT249" s="48"/>
      <c r="AU249" s="48"/>
      <c r="AV249" s="48"/>
      <c r="AW249" s="48"/>
      <c r="AX249" s="48"/>
      <c r="AY249" s="48"/>
      <c r="AZ249" s="48"/>
    </row>
    <row r="250" spans="1:52" ht="17.100000000000001" customHeight="1">
      <c r="A250" s="47"/>
      <c r="B250" s="48"/>
      <c r="C250" s="48"/>
      <c r="D250" s="48"/>
      <c r="E250" s="48"/>
      <c r="F250" s="48"/>
      <c r="G250" s="48"/>
      <c r="H250" s="48"/>
      <c r="I250" s="48"/>
      <c r="J250" s="48"/>
      <c r="K250" s="48"/>
      <c r="L250" s="48"/>
      <c r="M250" s="48"/>
      <c r="N250" s="48"/>
      <c r="O250" s="48"/>
      <c r="P250" s="48"/>
      <c r="Q250" s="48"/>
      <c r="R250" s="48"/>
      <c r="S250" s="48"/>
      <c r="T250" s="48"/>
      <c r="U250" s="48"/>
      <c r="V250" s="48"/>
      <c r="W250" s="48"/>
      <c r="X250" s="48"/>
      <c r="Y250" s="48"/>
      <c r="Z250" s="48"/>
      <c r="AA250" s="48"/>
      <c r="AB250" s="48"/>
      <c r="AC250" s="48"/>
      <c r="AD250" s="48"/>
      <c r="AE250" s="48"/>
      <c r="AF250" s="48"/>
      <c r="AG250" s="48"/>
      <c r="AH250" s="48"/>
      <c r="AI250" s="48"/>
      <c r="AJ250" s="48"/>
      <c r="AK250" s="48"/>
      <c r="AL250" s="48"/>
      <c r="AM250" s="48"/>
      <c r="AN250" s="48"/>
      <c r="AO250" s="48"/>
      <c r="AP250" s="48"/>
      <c r="AQ250" s="48"/>
      <c r="AR250" s="48"/>
      <c r="AS250" s="48"/>
      <c r="AT250" s="48"/>
      <c r="AU250" s="48"/>
      <c r="AV250" s="48"/>
      <c r="AW250" s="48"/>
      <c r="AX250" s="48"/>
      <c r="AY250" s="48"/>
      <c r="AZ250" s="48"/>
    </row>
    <row r="251" spans="1:52" ht="17.100000000000001" customHeight="1">
      <c r="A251" s="47"/>
      <c r="B251" s="48"/>
      <c r="C251" s="48"/>
      <c r="D251" s="48"/>
      <c r="E251" s="48"/>
      <c r="F251" s="48"/>
      <c r="G251" s="48"/>
      <c r="H251" s="48"/>
      <c r="I251" s="48"/>
      <c r="J251" s="48"/>
      <c r="K251" s="48"/>
      <c r="L251" s="48"/>
      <c r="M251" s="48"/>
      <c r="N251" s="48"/>
      <c r="O251" s="48"/>
      <c r="P251" s="48"/>
      <c r="Q251" s="48"/>
      <c r="R251" s="48"/>
      <c r="S251" s="48"/>
      <c r="T251" s="48"/>
      <c r="U251" s="48"/>
      <c r="V251" s="48"/>
      <c r="W251" s="48"/>
      <c r="X251" s="48"/>
      <c r="Y251" s="48"/>
      <c r="Z251" s="48"/>
      <c r="AA251" s="48"/>
      <c r="AB251" s="48"/>
      <c r="AC251" s="48"/>
      <c r="AD251" s="48"/>
      <c r="AE251" s="48"/>
      <c r="AF251" s="48"/>
      <c r="AG251" s="48"/>
      <c r="AH251" s="48"/>
      <c r="AI251" s="48"/>
      <c r="AJ251" s="48"/>
      <c r="AK251" s="48"/>
      <c r="AL251" s="48"/>
      <c r="AM251" s="48"/>
      <c r="AN251" s="48"/>
      <c r="AO251" s="48"/>
      <c r="AP251" s="48"/>
      <c r="AQ251" s="48"/>
      <c r="AR251" s="48"/>
      <c r="AS251" s="48"/>
      <c r="AT251" s="48"/>
      <c r="AU251" s="48"/>
      <c r="AV251" s="48"/>
      <c r="AW251" s="48"/>
      <c r="AX251" s="48"/>
      <c r="AY251" s="48"/>
      <c r="AZ251" s="48"/>
    </row>
    <row r="252" spans="1:52" ht="17.100000000000001" customHeight="1">
      <c r="A252" s="47"/>
      <c r="B252" s="48"/>
      <c r="C252" s="48"/>
      <c r="D252" s="48"/>
      <c r="E252" s="48"/>
      <c r="F252" s="48"/>
      <c r="G252" s="48"/>
      <c r="H252" s="48"/>
      <c r="I252" s="48"/>
      <c r="J252" s="48"/>
      <c r="K252" s="48"/>
      <c r="L252" s="48"/>
      <c r="M252" s="48"/>
      <c r="N252" s="48"/>
      <c r="O252" s="48"/>
      <c r="P252" s="48"/>
      <c r="Q252" s="48"/>
      <c r="R252" s="48"/>
      <c r="S252" s="48"/>
      <c r="T252" s="48"/>
      <c r="U252" s="48"/>
      <c r="V252" s="48"/>
      <c r="W252" s="48"/>
      <c r="X252" s="48"/>
      <c r="Y252" s="48"/>
      <c r="Z252" s="48"/>
      <c r="AA252" s="48"/>
      <c r="AB252" s="48"/>
      <c r="AC252" s="48"/>
      <c r="AD252" s="48"/>
      <c r="AE252" s="48"/>
      <c r="AF252" s="48"/>
      <c r="AG252" s="48"/>
      <c r="AH252" s="48"/>
      <c r="AI252" s="48"/>
      <c r="AJ252" s="48"/>
      <c r="AK252" s="48"/>
      <c r="AL252" s="48"/>
      <c r="AM252" s="48"/>
      <c r="AN252" s="48"/>
      <c r="AO252" s="48"/>
      <c r="AP252" s="48"/>
      <c r="AQ252" s="48"/>
      <c r="AR252" s="48"/>
      <c r="AS252" s="48"/>
      <c r="AT252" s="48"/>
      <c r="AU252" s="48"/>
      <c r="AV252" s="48"/>
      <c r="AW252" s="48"/>
      <c r="AX252" s="48"/>
      <c r="AY252" s="48"/>
      <c r="AZ252" s="48"/>
    </row>
    <row r="253" spans="1:52" ht="17.100000000000001" customHeight="1">
      <c r="A253" s="47"/>
      <c r="B253" s="48"/>
      <c r="C253" s="48"/>
      <c r="D253" s="48"/>
      <c r="E253" s="48"/>
      <c r="F253" s="48"/>
      <c r="G253" s="48"/>
      <c r="H253" s="48"/>
      <c r="I253" s="48"/>
      <c r="J253" s="48"/>
      <c r="K253" s="48"/>
      <c r="L253" s="48"/>
      <c r="M253" s="48"/>
      <c r="N253" s="48"/>
      <c r="O253" s="48"/>
      <c r="P253" s="48"/>
      <c r="Q253" s="48"/>
      <c r="R253" s="48"/>
      <c r="S253" s="48"/>
      <c r="T253" s="48"/>
      <c r="U253" s="48"/>
      <c r="V253" s="48"/>
      <c r="W253" s="48"/>
      <c r="X253" s="48"/>
      <c r="Y253" s="48"/>
      <c r="Z253" s="48"/>
      <c r="AA253" s="48"/>
      <c r="AB253" s="48"/>
      <c r="AC253" s="48"/>
      <c r="AD253" s="48"/>
      <c r="AE253" s="48"/>
      <c r="AF253" s="48"/>
      <c r="AG253" s="48"/>
      <c r="AH253" s="48"/>
      <c r="AI253" s="48"/>
      <c r="AJ253" s="48"/>
      <c r="AK253" s="48"/>
      <c r="AL253" s="48"/>
      <c r="AM253" s="48"/>
      <c r="AN253" s="48"/>
      <c r="AO253" s="48"/>
      <c r="AP253" s="48"/>
      <c r="AQ253" s="48"/>
      <c r="AR253" s="48"/>
      <c r="AS253" s="48"/>
      <c r="AT253" s="48"/>
      <c r="AU253" s="48"/>
      <c r="AV253" s="48"/>
      <c r="AW253" s="48"/>
      <c r="AX253" s="48"/>
      <c r="AY253" s="48"/>
      <c r="AZ253" s="48"/>
    </row>
    <row r="254" spans="1:52" ht="17.100000000000001" customHeight="1">
      <c r="A254" s="47"/>
      <c r="B254" s="48"/>
      <c r="C254" s="48"/>
      <c r="D254" s="48"/>
      <c r="E254" s="48"/>
      <c r="F254" s="48"/>
      <c r="G254" s="48"/>
      <c r="H254" s="48"/>
      <c r="I254" s="48"/>
      <c r="J254" s="48"/>
      <c r="K254" s="48"/>
      <c r="L254" s="48"/>
      <c r="M254" s="48"/>
      <c r="N254" s="48"/>
      <c r="O254" s="48"/>
      <c r="P254" s="48"/>
      <c r="Q254" s="48"/>
      <c r="R254" s="48"/>
      <c r="S254" s="48"/>
      <c r="T254" s="48"/>
      <c r="U254" s="48"/>
      <c r="V254" s="48"/>
      <c r="W254" s="48"/>
      <c r="X254" s="48"/>
      <c r="Y254" s="48"/>
      <c r="Z254" s="48"/>
      <c r="AA254" s="48"/>
      <c r="AB254" s="48"/>
      <c r="AC254" s="48"/>
      <c r="AD254" s="48"/>
      <c r="AE254" s="48"/>
      <c r="AF254" s="48"/>
      <c r="AG254" s="48"/>
      <c r="AH254" s="48"/>
      <c r="AI254" s="48"/>
      <c r="AJ254" s="48"/>
      <c r="AK254" s="48"/>
      <c r="AL254" s="48"/>
      <c r="AM254" s="48"/>
      <c r="AN254" s="48"/>
      <c r="AO254" s="48"/>
      <c r="AP254" s="48"/>
      <c r="AQ254" s="48"/>
      <c r="AR254" s="48"/>
      <c r="AS254" s="48"/>
      <c r="AT254" s="48"/>
      <c r="AU254" s="48"/>
      <c r="AV254" s="48"/>
      <c r="AW254" s="48"/>
      <c r="AX254" s="48"/>
      <c r="AY254" s="48"/>
      <c r="AZ254" s="48"/>
    </row>
    <row r="255" spans="1:52" ht="17.100000000000001" customHeight="1">
      <c r="A255" s="47"/>
      <c r="B255" s="48"/>
      <c r="C255" s="48"/>
      <c r="D255" s="48"/>
      <c r="E255" s="48"/>
      <c r="F255" s="48"/>
      <c r="G255" s="48"/>
      <c r="H255" s="48"/>
      <c r="I255" s="48"/>
      <c r="J255" s="48"/>
      <c r="K255" s="48"/>
      <c r="L255" s="48"/>
      <c r="M255" s="48"/>
      <c r="N255" s="48"/>
      <c r="O255" s="48"/>
      <c r="P255" s="48"/>
      <c r="Q255" s="48"/>
      <c r="R255" s="48"/>
      <c r="S255" s="48"/>
      <c r="T255" s="48"/>
      <c r="U255" s="48"/>
      <c r="V255" s="48"/>
      <c r="W255" s="48"/>
      <c r="X255" s="48"/>
      <c r="Y255" s="48"/>
      <c r="Z255" s="48"/>
      <c r="AA255" s="48"/>
      <c r="AB255" s="48"/>
      <c r="AC255" s="48"/>
      <c r="AD255" s="48"/>
      <c r="AE255" s="48"/>
      <c r="AF255" s="48"/>
      <c r="AG255" s="48"/>
      <c r="AH255" s="48"/>
      <c r="AI255" s="48"/>
      <c r="AJ255" s="48"/>
      <c r="AK255" s="48"/>
      <c r="AL255" s="48"/>
      <c r="AM255" s="48"/>
      <c r="AN255" s="48"/>
      <c r="AO255" s="48"/>
      <c r="AP255" s="48"/>
      <c r="AQ255" s="48"/>
      <c r="AR255" s="48"/>
      <c r="AS255" s="48"/>
      <c r="AT255" s="48"/>
      <c r="AU255" s="48"/>
      <c r="AV255" s="48"/>
      <c r="AW255" s="48"/>
      <c r="AX255" s="48"/>
      <c r="AY255" s="48"/>
      <c r="AZ255" s="48"/>
    </row>
    <row r="256" spans="1:52" ht="17.100000000000001" customHeight="1">
      <c r="A256" s="47"/>
      <c r="B256" s="48"/>
      <c r="C256" s="48"/>
      <c r="D256" s="48"/>
      <c r="E256" s="48"/>
      <c r="F256" s="48"/>
      <c r="G256" s="48"/>
      <c r="H256" s="48"/>
      <c r="I256" s="48"/>
      <c r="J256" s="48"/>
      <c r="K256" s="48"/>
      <c r="L256" s="48"/>
      <c r="M256" s="48"/>
      <c r="N256" s="48"/>
      <c r="O256" s="48"/>
      <c r="P256" s="48"/>
      <c r="Q256" s="48"/>
      <c r="R256" s="48"/>
      <c r="S256" s="48"/>
      <c r="T256" s="48"/>
      <c r="U256" s="48"/>
      <c r="V256" s="48"/>
      <c r="W256" s="48"/>
      <c r="X256" s="48"/>
      <c r="Y256" s="48"/>
      <c r="Z256" s="48"/>
      <c r="AA256" s="48"/>
      <c r="AB256" s="48"/>
      <c r="AC256" s="48"/>
      <c r="AD256" s="48"/>
      <c r="AE256" s="48"/>
      <c r="AF256" s="48"/>
      <c r="AG256" s="48"/>
      <c r="AH256" s="48"/>
      <c r="AI256" s="48"/>
      <c r="AJ256" s="48"/>
      <c r="AK256" s="48"/>
      <c r="AL256" s="48"/>
      <c r="AM256" s="48"/>
      <c r="AN256" s="48"/>
      <c r="AO256" s="48"/>
      <c r="AP256" s="48"/>
      <c r="AQ256" s="48"/>
      <c r="AR256" s="48"/>
      <c r="AS256" s="48"/>
      <c r="AT256" s="48"/>
      <c r="AU256" s="48"/>
      <c r="AV256" s="48"/>
      <c r="AW256" s="48"/>
      <c r="AX256" s="48"/>
      <c r="AY256" s="48"/>
      <c r="AZ256" s="48"/>
    </row>
    <row r="257" spans="1:52" ht="17.100000000000001" customHeight="1">
      <c r="A257" s="47"/>
      <c r="B257" s="48"/>
      <c r="C257" s="48"/>
      <c r="D257" s="48"/>
      <c r="E257" s="48"/>
      <c r="F257" s="48"/>
      <c r="G257" s="48"/>
      <c r="H257" s="48"/>
      <c r="I257" s="48"/>
      <c r="J257" s="48"/>
      <c r="K257" s="48"/>
      <c r="L257" s="48"/>
      <c r="M257" s="48"/>
      <c r="N257" s="48"/>
      <c r="O257" s="48"/>
      <c r="P257" s="48"/>
      <c r="Q257" s="48"/>
      <c r="R257" s="48"/>
      <c r="S257" s="48"/>
      <c r="T257" s="48"/>
      <c r="U257" s="48"/>
      <c r="V257" s="48"/>
      <c r="W257" s="48"/>
      <c r="X257" s="48"/>
      <c r="Y257" s="48"/>
      <c r="Z257" s="48"/>
      <c r="AA257" s="48"/>
      <c r="AB257" s="48"/>
      <c r="AC257" s="48"/>
      <c r="AD257" s="48"/>
      <c r="AE257" s="48"/>
      <c r="AF257" s="48"/>
      <c r="AG257" s="48"/>
      <c r="AH257" s="48"/>
      <c r="AI257" s="48"/>
      <c r="AJ257" s="48"/>
      <c r="AK257" s="48"/>
      <c r="AL257" s="48"/>
      <c r="AM257" s="48"/>
      <c r="AN257" s="48"/>
      <c r="AO257" s="48"/>
      <c r="AP257" s="48"/>
      <c r="AQ257" s="48"/>
      <c r="AR257" s="48"/>
      <c r="AS257" s="48"/>
      <c r="AT257" s="48"/>
      <c r="AU257" s="48"/>
      <c r="AV257" s="48"/>
      <c r="AW257" s="48"/>
      <c r="AX257" s="48"/>
      <c r="AY257" s="48"/>
      <c r="AZ257" s="48"/>
    </row>
    <row r="258" spans="1:52" ht="17.100000000000001" customHeight="1">
      <c r="A258" s="47"/>
      <c r="B258" s="48"/>
      <c r="C258" s="48"/>
      <c r="D258" s="48"/>
      <c r="E258" s="48"/>
      <c r="F258" s="48"/>
      <c r="G258" s="48"/>
      <c r="H258" s="48"/>
      <c r="I258" s="48"/>
      <c r="J258" s="48"/>
      <c r="K258" s="48"/>
      <c r="L258" s="48"/>
      <c r="M258" s="48"/>
      <c r="N258" s="48"/>
      <c r="O258" s="48"/>
      <c r="P258" s="48"/>
      <c r="Q258" s="48"/>
      <c r="R258" s="48"/>
      <c r="S258" s="48"/>
      <c r="T258" s="48"/>
      <c r="U258" s="48"/>
      <c r="V258" s="48"/>
      <c r="W258" s="48"/>
      <c r="X258" s="48"/>
      <c r="Y258" s="48"/>
      <c r="Z258" s="48"/>
      <c r="AA258" s="48"/>
      <c r="AB258" s="48"/>
      <c r="AC258" s="48"/>
      <c r="AD258" s="48"/>
      <c r="AE258" s="48"/>
      <c r="AF258" s="48"/>
      <c r="AG258" s="48"/>
      <c r="AH258" s="48"/>
      <c r="AI258" s="48"/>
      <c r="AJ258" s="48"/>
      <c r="AK258" s="48"/>
      <c r="AL258" s="48"/>
      <c r="AM258" s="48"/>
      <c r="AN258" s="48"/>
      <c r="AO258" s="48"/>
      <c r="AP258" s="48"/>
      <c r="AQ258" s="48"/>
      <c r="AR258" s="48"/>
      <c r="AS258" s="48"/>
      <c r="AT258" s="48"/>
      <c r="AU258" s="48"/>
      <c r="AV258" s="48"/>
      <c r="AW258" s="48"/>
      <c r="AX258" s="48"/>
      <c r="AY258" s="48"/>
      <c r="AZ258" s="48"/>
    </row>
    <row r="259" spans="1:52" ht="17.100000000000001" customHeight="1">
      <c r="A259" s="47"/>
      <c r="B259" s="48"/>
      <c r="C259" s="48"/>
      <c r="D259" s="48"/>
      <c r="E259" s="48"/>
      <c r="F259" s="48"/>
      <c r="G259" s="48"/>
      <c r="H259" s="48"/>
      <c r="I259" s="48"/>
      <c r="J259" s="48"/>
      <c r="K259" s="48"/>
      <c r="L259" s="48"/>
      <c r="M259" s="48"/>
      <c r="N259" s="48"/>
      <c r="O259" s="48"/>
      <c r="P259" s="48"/>
      <c r="Q259" s="48"/>
      <c r="R259" s="48"/>
      <c r="S259" s="48"/>
      <c r="T259" s="48"/>
      <c r="U259" s="48"/>
      <c r="V259" s="48"/>
      <c r="W259" s="48"/>
      <c r="X259" s="48"/>
      <c r="Y259" s="48"/>
      <c r="Z259" s="48"/>
      <c r="AA259" s="48"/>
      <c r="AB259" s="48"/>
      <c r="AC259" s="48"/>
      <c r="AD259" s="48"/>
      <c r="AE259" s="48"/>
      <c r="AF259" s="48"/>
      <c r="AG259" s="48"/>
      <c r="AH259" s="48"/>
      <c r="AI259" s="48"/>
      <c r="AJ259" s="48"/>
      <c r="AK259" s="48"/>
      <c r="AL259" s="48"/>
      <c r="AM259" s="48"/>
      <c r="AN259" s="48"/>
      <c r="AO259" s="48"/>
      <c r="AP259" s="48"/>
      <c r="AQ259" s="48"/>
      <c r="AR259" s="48"/>
      <c r="AS259" s="48"/>
      <c r="AT259" s="48"/>
      <c r="AU259" s="48"/>
      <c r="AV259" s="48"/>
      <c r="AW259" s="48"/>
      <c r="AX259" s="48"/>
      <c r="AY259" s="48"/>
      <c r="AZ259" s="48"/>
    </row>
    <row r="260" spans="1:52" ht="17.100000000000001" customHeight="1">
      <c r="A260" s="47"/>
      <c r="B260" s="48"/>
      <c r="C260" s="48"/>
      <c r="D260" s="48"/>
      <c r="E260" s="48"/>
      <c r="F260" s="48"/>
      <c r="G260" s="48"/>
      <c r="H260" s="48"/>
      <c r="I260" s="48"/>
      <c r="J260" s="48"/>
      <c r="K260" s="48"/>
      <c r="L260" s="48"/>
      <c r="M260" s="48"/>
      <c r="N260" s="48"/>
      <c r="O260" s="48"/>
      <c r="P260" s="48"/>
      <c r="Q260" s="48"/>
      <c r="R260" s="48"/>
      <c r="S260" s="48"/>
      <c r="T260" s="48"/>
      <c r="U260" s="48"/>
      <c r="V260" s="48"/>
      <c r="W260" s="48"/>
      <c r="X260" s="48"/>
      <c r="Y260" s="48"/>
      <c r="Z260" s="48"/>
      <c r="AA260" s="48"/>
      <c r="AB260" s="48"/>
      <c r="AC260" s="48"/>
      <c r="AD260" s="48"/>
      <c r="AE260" s="48"/>
      <c r="AF260" s="48"/>
      <c r="AG260" s="48"/>
      <c r="AH260" s="48"/>
      <c r="AI260" s="48"/>
      <c r="AJ260" s="48"/>
      <c r="AK260" s="48"/>
      <c r="AL260" s="48"/>
      <c r="AM260" s="48"/>
      <c r="AN260" s="48"/>
      <c r="AO260" s="48"/>
      <c r="AP260" s="48"/>
      <c r="AQ260" s="48"/>
      <c r="AR260" s="48"/>
      <c r="AS260" s="48"/>
      <c r="AT260" s="48"/>
      <c r="AU260" s="48"/>
      <c r="AV260" s="48"/>
      <c r="AW260" s="48"/>
      <c r="AX260" s="48"/>
      <c r="AY260" s="48"/>
      <c r="AZ260" s="48"/>
    </row>
    <row r="261" spans="1:52" ht="17.100000000000001" customHeight="1">
      <c r="A261" s="47"/>
      <c r="B261" s="48"/>
      <c r="C261" s="48"/>
      <c r="D261" s="48"/>
      <c r="E261" s="48"/>
      <c r="F261" s="48"/>
      <c r="G261" s="48"/>
      <c r="H261" s="48"/>
      <c r="I261" s="48"/>
      <c r="J261" s="48"/>
      <c r="K261" s="48"/>
      <c r="L261" s="48"/>
      <c r="M261" s="48"/>
      <c r="N261" s="48"/>
      <c r="O261" s="48"/>
      <c r="P261" s="48"/>
      <c r="Q261" s="48"/>
      <c r="R261" s="48"/>
      <c r="S261" s="48"/>
      <c r="T261" s="48"/>
      <c r="U261" s="48"/>
      <c r="V261" s="48"/>
      <c r="W261" s="48"/>
      <c r="X261" s="48"/>
      <c r="Y261" s="48"/>
      <c r="Z261" s="48"/>
      <c r="AA261" s="48"/>
      <c r="AB261" s="48"/>
      <c r="AC261" s="48"/>
      <c r="AD261" s="48"/>
      <c r="AE261" s="48"/>
      <c r="AF261" s="48"/>
      <c r="AG261" s="48"/>
      <c r="AH261" s="48"/>
      <c r="AI261" s="48"/>
      <c r="AJ261" s="48"/>
      <c r="AK261" s="48"/>
      <c r="AL261" s="48"/>
      <c r="AM261" s="48"/>
      <c r="AN261" s="48"/>
      <c r="AO261" s="48"/>
      <c r="AP261" s="48"/>
      <c r="AQ261" s="48"/>
      <c r="AR261" s="48"/>
      <c r="AS261" s="48"/>
      <c r="AT261" s="48"/>
      <c r="AU261" s="48"/>
      <c r="AV261" s="48"/>
      <c r="AW261" s="48"/>
      <c r="AX261" s="48"/>
      <c r="AY261" s="48"/>
      <c r="AZ261" s="48"/>
    </row>
    <row r="262" spans="1:52" ht="17.100000000000001" customHeight="1">
      <c r="A262" s="47"/>
      <c r="B262" s="48"/>
      <c r="C262" s="48"/>
      <c r="D262" s="48"/>
      <c r="E262" s="48"/>
      <c r="F262" s="48"/>
      <c r="G262" s="48"/>
      <c r="H262" s="48"/>
      <c r="I262" s="48"/>
      <c r="J262" s="48"/>
      <c r="K262" s="48"/>
      <c r="L262" s="48"/>
      <c r="M262" s="48"/>
      <c r="N262" s="48"/>
      <c r="O262" s="48"/>
      <c r="P262" s="48"/>
      <c r="Q262" s="48"/>
      <c r="R262" s="48"/>
      <c r="S262" s="48"/>
      <c r="T262" s="48"/>
      <c r="U262" s="48"/>
      <c r="V262" s="48"/>
      <c r="W262" s="48"/>
      <c r="X262" s="48"/>
      <c r="Y262" s="48"/>
      <c r="Z262" s="48"/>
      <c r="AA262" s="48"/>
      <c r="AB262" s="48"/>
      <c r="AC262" s="48"/>
      <c r="AD262" s="48"/>
      <c r="AE262" s="48"/>
      <c r="AF262" s="48"/>
      <c r="AG262" s="48"/>
      <c r="AH262" s="48"/>
      <c r="AI262" s="48"/>
      <c r="AJ262" s="48"/>
      <c r="AK262" s="48"/>
      <c r="AL262" s="48"/>
      <c r="AM262" s="48"/>
      <c r="AN262" s="48"/>
      <c r="AO262" s="48"/>
      <c r="AP262" s="48"/>
      <c r="AQ262" s="48"/>
      <c r="AR262" s="48"/>
      <c r="AS262" s="48"/>
      <c r="AT262" s="48"/>
      <c r="AU262" s="48"/>
      <c r="AV262" s="48"/>
      <c r="AW262" s="48"/>
      <c r="AX262" s="48"/>
      <c r="AY262" s="48"/>
      <c r="AZ262" s="48"/>
    </row>
    <row r="263" spans="1:52" ht="17.100000000000001" customHeight="1">
      <c r="A263" s="47"/>
      <c r="B263" s="48"/>
      <c r="C263" s="48"/>
      <c r="D263" s="48"/>
      <c r="E263" s="48"/>
      <c r="F263" s="48"/>
      <c r="G263" s="48"/>
      <c r="H263" s="48"/>
      <c r="I263" s="48"/>
      <c r="J263" s="48"/>
      <c r="K263" s="48"/>
      <c r="L263" s="48"/>
      <c r="M263" s="48"/>
      <c r="N263" s="48"/>
      <c r="O263" s="48"/>
      <c r="P263" s="48"/>
      <c r="Q263" s="48"/>
      <c r="R263" s="48"/>
      <c r="S263" s="48"/>
      <c r="T263" s="48"/>
      <c r="U263" s="48"/>
      <c r="V263" s="48"/>
      <c r="W263" s="48"/>
      <c r="X263" s="48"/>
      <c r="Y263" s="48"/>
      <c r="Z263" s="48"/>
      <c r="AA263" s="48"/>
      <c r="AB263" s="48"/>
      <c r="AC263" s="48"/>
      <c r="AD263" s="48"/>
      <c r="AE263" s="48"/>
      <c r="AF263" s="48"/>
      <c r="AG263" s="48"/>
      <c r="AH263" s="48"/>
      <c r="AI263" s="48"/>
      <c r="AJ263" s="48"/>
      <c r="AK263" s="48"/>
      <c r="AL263" s="48"/>
      <c r="AM263" s="48"/>
      <c r="AN263" s="48"/>
      <c r="AO263" s="48"/>
      <c r="AP263" s="48"/>
      <c r="AQ263" s="48"/>
      <c r="AR263" s="48"/>
      <c r="AS263" s="48"/>
      <c r="AT263" s="48"/>
      <c r="AU263" s="48"/>
      <c r="AV263" s="48"/>
      <c r="AW263" s="48"/>
      <c r="AX263" s="48"/>
      <c r="AY263" s="48"/>
      <c r="AZ263" s="48"/>
    </row>
    <row r="264" spans="1:52" ht="17.100000000000001" customHeight="1">
      <c r="A264" s="47"/>
      <c r="B264" s="48"/>
      <c r="C264" s="48"/>
      <c r="D264" s="48"/>
      <c r="E264" s="48"/>
      <c r="F264" s="48"/>
      <c r="G264" s="48"/>
      <c r="H264" s="48"/>
      <c r="I264" s="48"/>
      <c r="J264" s="48"/>
      <c r="K264" s="48"/>
      <c r="L264" s="48"/>
      <c r="M264" s="48"/>
      <c r="N264" s="48"/>
      <c r="O264" s="48"/>
      <c r="P264" s="48"/>
      <c r="Q264" s="48"/>
      <c r="R264" s="48"/>
      <c r="S264" s="48"/>
      <c r="T264" s="48"/>
      <c r="U264" s="48"/>
      <c r="V264" s="48"/>
      <c r="W264" s="48"/>
      <c r="X264" s="48"/>
      <c r="Y264" s="48"/>
      <c r="Z264" s="48"/>
      <c r="AA264" s="48"/>
      <c r="AB264" s="48"/>
      <c r="AC264" s="48"/>
      <c r="AD264" s="48"/>
      <c r="AE264" s="48"/>
      <c r="AF264" s="48"/>
      <c r="AG264" s="48"/>
      <c r="AH264" s="48"/>
      <c r="AI264" s="48"/>
      <c r="AJ264" s="48"/>
      <c r="AK264" s="48"/>
      <c r="AL264" s="48"/>
      <c r="AM264" s="48"/>
      <c r="AN264" s="48"/>
      <c r="AO264" s="48"/>
      <c r="AP264" s="48"/>
      <c r="AQ264" s="48"/>
      <c r="AR264" s="48"/>
      <c r="AS264" s="48"/>
      <c r="AT264" s="48"/>
      <c r="AU264" s="48"/>
      <c r="AV264" s="48"/>
      <c r="AW264" s="48"/>
      <c r="AX264" s="48"/>
      <c r="AY264" s="48"/>
      <c r="AZ264" s="48"/>
    </row>
    <row r="265" spans="1:52" ht="17.100000000000001" customHeight="1">
      <c r="A265" s="47"/>
      <c r="B265" s="48"/>
      <c r="C265" s="48"/>
      <c r="D265" s="48"/>
      <c r="E265" s="48"/>
      <c r="F265" s="48"/>
      <c r="G265" s="48"/>
      <c r="H265" s="48"/>
      <c r="I265" s="48"/>
      <c r="J265" s="48"/>
      <c r="K265" s="48"/>
      <c r="L265" s="48"/>
      <c r="M265" s="48"/>
      <c r="N265" s="48"/>
      <c r="O265" s="48"/>
      <c r="P265" s="48"/>
      <c r="Q265" s="48"/>
      <c r="R265" s="48"/>
      <c r="S265" s="48"/>
      <c r="T265" s="48"/>
      <c r="U265" s="48"/>
      <c r="V265" s="48"/>
      <c r="W265" s="48"/>
      <c r="X265" s="48"/>
      <c r="Y265" s="48"/>
      <c r="Z265" s="48"/>
      <c r="AA265" s="48"/>
      <c r="AB265" s="48"/>
      <c r="AC265" s="48"/>
      <c r="AD265" s="48"/>
      <c r="AE265" s="48"/>
      <c r="AF265" s="48"/>
      <c r="AG265" s="48"/>
      <c r="AH265" s="48"/>
      <c r="AI265" s="48"/>
      <c r="AJ265" s="48"/>
      <c r="AK265" s="48"/>
      <c r="AL265" s="48"/>
      <c r="AM265" s="48"/>
      <c r="AN265" s="48"/>
      <c r="AO265" s="48"/>
      <c r="AP265" s="48"/>
      <c r="AQ265" s="48"/>
      <c r="AR265" s="48"/>
      <c r="AS265" s="48"/>
      <c r="AT265" s="48"/>
      <c r="AU265" s="48"/>
      <c r="AV265" s="48"/>
      <c r="AW265" s="48"/>
      <c r="AX265" s="48"/>
      <c r="AY265" s="48"/>
      <c r="AZ265" s="48"/>
    </row>
    <row r="266" spans="1:52" ht="17.100000000000001" customHeight="1">
      <c r="A266" s="47"/>
      <c r="B266" s="48"/>
      <c r="C266" s="48"/>
      <c r="D266" s="48"/>
      <c r="E266" s="48"/>
      <c r="F266" s="48"/>
      <c r="G266" s="48"/>
      <c r="H266" s="48"/>
      <c r="I266" s="48"/>
      <c r="J266" s="48"/>
      <c r="K266" s="48"/>
      <c r="L266" s="48"/>
      <c r="M266" s="48"/>
      <c r="N266" s="48"/>
      <c r="O266" s="48"/>
      <c r="P266" s="48"/>
      <c r="Q266" s="48"/>
      <c r="R266" s="48"/>
      <c r="S266" s="48"/>
      <c r="T266" s="48"/>
      <c r="U266" s="48"/>
      <c r="V266" s="48"/>
      <c r="W266" s="48"/>
      <c r="X266" s="48"/>
      <c r="Y266" s="48"/>
      <c r="Z266" s="48"/>
      <c r="AA266" s="48"/>
      <c r="AB266" s="48"/>
      <c r="AC266" s="48"/>
      <c r="AD266" s="48"/>
      <c r="AE266" s="48"/>
      <c r="AF266" s="48"/>
      <c r="AG266" s="48"/>
      <c r="AH266" s="48"/>
      <c r="AI266" s="48"/>
      <c r="AJ266" s="48"/>
      <c r="AK266" s="48"/>
      <c r="AL266" s="48"/>
      <c r="AM266" s="48"/>
      <c r="AN266" s="48"/>
      <c r="AO266" s="48"/>
      <c r="AP266" s="48"/>
      <c r="AQ266" s="48"/>
      <c r="AR266" s="48"/>
      <c r="AS266" s="48"/>
      <c r="AT266" s="48"/>
      <c r="AU266" s="48"/>
      <c r="AV266" s="48"/>
      <c r="AW266" s="48"/>
      <c r="AX266" s="48"/>
      <c r="AY266" s="48"/>
      <c r="AZ266" s="48"/>
    </row>
    <row r="267" spans="1:52" ht="17.100000000000001" customHeight="1">
      <c r="A267" s="47"/>
      <c r="B267" s="48"/>
      <c r="C267" s="48"/>
      <c r="D267" s="48"/>
      <c r="E267" s="48"/>
      <c r="F267" s="48"/>
      <c r="G267" s="48"/>
      <c r="H267" s="48"/>
      <c r="I267" s="48"/>
      <c r="J267" s="48"/>
      <c r="K267" s="48"/>
      <c r="L267" s="48"/>
      <c r="M267" s="48"/>
      <c r="N267" s="48"/>
      <c r="O267" s="48"/>
      <c r="P267" s="48"/>
      <c r="Q267" s="48"/>
      <c r="R267" s="48"/>
      <c r="S267" s="48"/>
      <c r="T267" s="48"/>
      <c r="U267" s="48"/>
      <c r="V267" s="48"/>
      <c r="W267" s="48"/>
      <c r="X267" s="48"/>
      <c r="Y267" s="48"/>
      <c r="Z267" s="48"/>
      <c r="AA267" s="48"/>
      <c r="AB267" s="48"/>
      <c r="AC267" s="48"/>
      <c r="AD267" s="48"/>
      <c r="AE267" s="48"/>
      <c r="AF267" s="48"/>
      <c r="AG267" s="48"/>
      <c r="AH267" s="48"/>
      <c r="AI267" s="48"/>
      <c r="AJ267" s="48"/>
      <c r="AK267" s="48"/>
      <c r="AL267" s="48"/>
      <c r="AM267" s="48"/>
      <c r="AN267" s="48"/>
      <c r="AO267" s="48"/>
      <c r="AP267" s="48"/>
      <c r="AQ267" s="48"/>
      <c r="AR267" s="48"/>
      <c r="AS267" s="48"/>
      <c r="AT267" s="48"/>
      <c r="AU267" s="48"/>
      <c r="AV267" s="48"/>
      <c r="AW267" s="48"/>
      <c r="AX267" s="48"/>
      <c r="AY267" s="48"/>
      <c r="AZ267" s="48"/>
    </row>
    <row r="268" spans="1:52" ht="17.100000000000001" customHeight="1">
      <c r="A268" s="47"/>
      <c r="B268" s="48"/>
      <c r="C268" s="48"/>
      <c r="D268" s="48"/>
      <c r="E268" s="48"/>
      <c r="F268" s="48"/>
      <c r="G268" s="48"/>
      <c r="H268" s="48"/>
      <c r="I268" s="48"/>
      <c r="J268" s="48"/>
      <c r="K268" s="48"/>
      <c r="L268" s="48"/>
      <c r="M268" s="48"/>
      <c r="N268" s="48"/>
      <c r="O268" s="48"/>
      <c r="P268" s="48"/>
      <c r="Q268" s="48"/>
      <c r="R268" s="48"/>
      <c r="S268" s="48"/>
      <c r="T268" s="48"/>
      <c r="U268" s="48"/>
      <c r="V268" s="48"/>
      <c r="W268" s="48"/>
      <c r="X268" s="48"/>
      <c r="Y268" s="48"/>
      <c r="Z268" s="48"/>
      <c r="AA268" s="48"/>
      <c r="AB268" s="48"/>
      <c r="AC268" s="48"/>
      <c r="AD268" s="48"/>
      <c r="AE268" s="48"/>
      <c r="AF268" s="48"/>
      <c r="AG268" s="48"/>
      <c r="AH268" s="48"/>
      <c r="AI268" s="48"/>
      <c r="AJ268" s="48"/>
      <c r="AK268" s="48"/>
      <c r="AL268" s="48"/>
      <c r="AM268" s="48"/>
      <c r="AN268" s="48"/>
      <c r="AO268" s="48"/>
      <c r="AP268" s="48"/>
      <c r="AQ268" s="48"/>
      <c r="AR268" s="48"/>
      <c r="AS268" s="48"/>
      <c r="AT268" s="48"/>
      <c r="AU268" s="48"/>
      <c r="AV268" s="48"/>
      <c r="AW268" s="48"/>
      <c r="AX268" s="48"/>
      <c r="AY268" s="48"/>
      <c r="AZ268" s="48"/>
    </row>
    <row r="269" spans="1:52" ht="17.100000000000001" customHeight="1">
      <c r="A269" s="47"/>
      <c r="B269" s="48"/>
      <c r="C269" s="48"/>
      <c r="D269" s="48"/>
      <c r="E269" s="48"/>
      <c r="F269" s="48"/>
      <c r="G269" s="48"/>
      <c r="H269" s="48"/>
      <c r="I269" s="48"/>
      <c r="J269" s="48"/>
      <c r="K269" s="48"/>
      <c r="L269" s="48"/>
      <c r="M269" s="48"/>
      <c r="N269" s="48"/>
      <c r="O269" s="48"/>
      <c r="P269" s="48"/>
      <c r="Q269" s="48"/>
      <c r="R269" s="48"/>
      <c r="S269" s="48"/>
      <c r="T269" s="48"/>
      <c r="U269" s="48"/>
      <c r="V269" s="48"/>
      <c r="W269" s="48"/>
      <c r="X269" s="48"/>
      <c r="Y269" s="48"/>
      <c r="Z269" s="48"/>
      <c r="AA269" s="48"/>
      <c r="AB269" s="48"/>
      <c r="AC269" s="48"/>
      <c r="AD269" s="48"/>
      <c r="AE269" s="48"/>
      <c r="AF269" s="48"/>
      <c r="AG269" s="48"/>
      <c r="AH269" s="48"/>
      <c r="AI269" s="48"/>
      <c r="AJ269" s="48"/>
      <c r="AK269" s="48"/>
      <c r="AL269" s="48"/>
      <c r="AM269" s="48"/>
      <c r="AN269" s="48"/>
      <c r="AO269" s="48"/>
      <c r="AP269" s="48"/>
      <c r="AQ269" s="48"/>
      <c r="AR269" s="48"/>
      <c r="AS269" s="48"/>
      <c r="AT269" s="48"/>
      <c r="AU269" s="48"/>
      <c r="AV269" s="48"/>
      <c r="AW269" s="48"/>
      <c r="AX269" s="48"/>
      <c r="AY269" s="48"/>
      <c r="AZ269" s="48"/>
    </row>
    <row r="270" spans="1:52" ht="17.100000000000001" customHeight="1">
      <c r="A270" s="47"/>
      <c r="B270" s="48"/>
      <c r="C270" s="48"/>
      <c r="D270" s="48"/>
      <c r="E270" s="48"/>
      <c r="F270" s="48"/>
      <c r="G270" s="48"/>
      <c r="H270" s="48"/>
      <c r="I270" s="48"/>
      <c r="J270" s="48"/>
      <c r="K270" s="48"/>
      <c r="L270" s="48"/>
      <c r="M270" s="48"/>
      <c r="N270" s="48"/>
      <c r="O270" s="48"/>
      <c r="P270" s="48"/>
      <c r="Q270" s="48"/>
      <c r="R270" s="48"/>
      <c r="S270" s="48"/>
      <c r="T270" s="48"/>
      <c r="U270" s="48"/>
      <c r="V270" s="48"/>
      <c r="W270" s="48"/>
      <c r="X270" s="48"/>
      <c r="Y270" s="48"/>
      <c r="Z270" s="48"/>
      <c r="AA270" s="48"/>
      <c r="AB270" s="48"/>
      <c r="AC270" s="48"/>
      <c r="AD270" s="48"/>
      <c r="AE270" s="48"/>
      <c r="AF270" s="48"/>
      <c r="AG270" s="48"/>
      <c r="AH270" s="48"/>
      <c r="AI270" s="48"/>
      <c r="AJ270" s="48"/>
      <c r="AK270" s="48"/>
      <c r="AL270" s="48"/>
      <c r="AM270" s="48"/>
      <c r="AN270" s="48"/>
      <c r="AO270" s="48"/>
      <c r="AP270" s="48"/>
      <c r="AQ270" s="48"/>
      <c r="AR270" s="48"/>
      <c r="AS270" s="48"/>
      <c r="AT270" s="48"/>
      <c r="AU270" s="48"/>
      <c r="AV270" s="48"/>
      <c r="AW270" s="48"/>
      <c r="AX270" s="48"/>
      <c r="AY270" s="48"/>
      <c r="AZ270" s="48"/>
    </row>
    <row r="271" spans="1:52" ht="17.100000000000001" customHeight="1">
      <c r="A271" s="47"/>
      <c r="B271" s="48"/>
      <c r="C271" s="48"/>
      <c r="D271" s="48"/>
      <c r="E271" s="48"/>
      <c r="F271" s="48"/>
      <c r="G271" s="48"/>
      <c r="H271" s="48"/>
      <c r="I271" s="48"/>
      <c r="J271" s="48"/>
      <c r="K271" s="48"/>
      <c r="L271" s="48"/>
      <c r="M271" s="48"/>
      <c r="N271" s="48"/>
      <c r="O271" s="48"/>
      <c r="P271" s="48"/>
      <c r="Q271" s="48"/>
      <c r="R271" s="48"/>
      <c r="S271" s="48"/>
      <c r="T271" s="48"/>
      <c r="U271" s="48"/>
      <c r="V271" s="48"/>
      <c r="W271" s="48"/>
      <c r="X271" s="48"/>
      <c r="Y271" s="48"/>
      <c r="Z271" s="48"/>
      <c r="AA271" s="48"/>
      <c r="AB271" s="48"/>
      <c r="AC271" s="48"/>
      <c r="AD271" s="48"/>
      <c r="AE271" s="48"/>
      <c r="AF271" s="48"/>
      <c r="AG271" s="48"/>
      <c r="AH271" s="48"/>
      <c r="AI271" s="48"/>
      <c r="AJ271" s="48"/>
      <c r="AK271" s="48"/>
      <c r="AL271" s="48"/>
      <c r="AM271" s="48"/>
      <c r="AN271" s="48"/>
      <c r="AO271" s="48"/>
      <c r="AP271" s="48"/>
      <c r="AQ271" s="48"/>
      <c r="AR271" s="48"/>
      <c r="AS271" s="48"/>
      <c r="AT271" s="48"/>
      <c r="AU271" s="48"/>
      <c r="AV271" s="48"/>
      <c r="AW271" s="48"/>
      <c r="AX271" s="48"/>
      <c r="AY271" s="48"/>
      <c r="AZ271" s="48"/>
    </row>
    <row r="272" spans="1:52" ht="17.100000000000001" customHeight="1">
      <c r="A272" s="47"/>
      <c r="B272" s="48"/>
      <c r="C272" s="48"/>
      <c r="D272" s="48"/>
      <c r="E272" s="48"/>
      <c r="F272" s="48"/>
      <c r="G272" s="48"/>
      <c r="H272" s="48"/>
      <c r="I272" s="48"/>
      <c r="J272" s="48"/>
      <c r="K272" s="48"/>
      <c r="L272" s="48"/>
      <c r="M272" s="48"/>
      <c r="N272" s="48"/>
      <c r="O272" s="48"/>
      <c r="P272" s="48"/>
      <c r="Q272" s="48"/>
      <c r="R272" s="48"/>
      <c r="S272" s="48"/>
      <c r="T272" s="48"/>
      <c r="U272" s="48"/>
      <c r="V272" s="48"/>
      <c r="W272" s="48"/>
      <c r="X272" s="48"/>
      <c r="Y272" s="48"/>
      <c r="Z272" s="48"/>
      <c r="AA272" s="48"/>
      <c r="AB272" s="48"/>
      <c r="AC272" s="48"/>
      <c r="AD272" s="48"/>
      <c r="AE272" s="48"/>
      <c r="AF272" s="48"/>
      <c r="AG272" s="48"/>
      <c r="AH272" s="48"/>
      <c r="AI272" s="48"/>
      <c r="AJ272" s="48"/>
      <c r="AK272" s="48"/>
      <c r="AL272" s="48"/>
      <c r="AM272" s="48"/>
      <c r="AN272" s="48"/>
      <c r="AO272" s="48"/>
      <c r="AP272" s="48"/>
      <c r="AQ272" s="48"/>
      <c r="AR272" s="48"/>
      <c r="AS272" s="48"/>
      <c r="AT272" s="48"/>
      <c r="AU272" s="48"/>
      <c r="AV272" s="48"/>
      <c r="AW272" s="48"/>
      <c r="AX272" s="48"/>
      <c r="AY272" s="48"/>
      <c r="AZ272" s="48"/>
    </row>
    <row r="273" spans="1:52" ht="17.100000000000001" customHeight="1">
      <c r="A273" s="47"/>
      <c r="B273" s="48"/>
      <c r="C273" s="48"/>
      <c r="D273" s="48"/>
      <c r="E273" s="48"/>
      <c r="F273" s="48"/>
      <c r="G273" s="48"/>
      <c r="H273" s="48"/>
      <c r="I273" s="48"/>
      <c r="J273" s="48"/>
      <c r="K273" s="48"/>
      <c r="L273" s="48"/>
      <c r="M273" s="48"/>
      <c r="N273" s="48"/>
      <c r="O273" s="48"/>
      <c r="P273" s="48"/>
      <c r="Q273" s="48"/>
      <c r="R273" s="48"/>
      <c r="S273" s="48"/>
      <c r="T273" s="48"/>
      <c r="U273" s="48"/>
      <c r="V273" s="48"/>
      <c r="W273" s="48"/>
      <c r="X273" s="48"/>
      <c r="Y273" s="48"/>
      <c r="Z273" s="48"/>
      <c r="AA273" s="48"/>
      <c r="AB273" s="48"/>
      <c r="AC273" s="48"/>
      <c r="AD273" s="48"/>
      <c r="AE273" s="48"/>
      <c r="AF273" s="48"/>
      <c r="AG273" s="48"/>
      <c r="AH273" s="48"/>
      <c r="AI273" s="48"/>
      <c r="AJ273" s="48"/>
      <c r="AK273" s="48"/>
      <c r="AL273" s="48"/>
      <c r="AM273" s="48"/>
      <c r="AN273" s="48"/>
      <c r="AO273" s="48"/>
      <c r="AP273" s="48"/>
      <c r="AQ273" s="48"/>
      <c r="AR273" s="48"/>
      <c r="AS273" s="48"/>
      <c r="AT273" s="48"/>
      <c r="AU273" s="48"/>
      <c r="AV273" s="48"/>
      <c r="AW273" s="48"/>
      <c r="AX273" s="48"/>
      <c r="AY273" s="48"/>
      <c r="AZ273" s="48"/>
    </row>
    <row r="274" spans="1:52" ht="17.100000000000001" customHeight="1">
      <c r="A274" s="47"/>
      <c r="B274" s="48"/>
      <c r="C274" s="48"/>
      <c r="D274" s="48"/>
      <c r="E274" s="48"/>
      <c r="F274" s="48"/>
      <c r="G274" s="48"/>
      <c r="H274" s="48"/>
      <c r="I274" s="48"/>
      <c r="J274" s="48"/>
      <c r="K274" s="48"/>
      <c r="L274" s="48"/>
      <c r="M274" s="48"/>
      <c r="N274" s="48"/>
      <c r="O274" s="48"/>
      <c r="P274" s="48"/>
      <c r="Q274" s="48"/>
      <c r="R274" s="48"/>
      <c r="S274" s="48"/>
      <c r="T274" s="48"/>
      <c r="U274" s="48"/>
      <c r="V274" s="48"/>
      <c r="W274" s="48"/>
      <c r="X274" s="48"/>
      <c r="Y274" s="48"/>
      <c r="Z274" s="48"/>
      <c r="AA274" s="48"/>
      <c r="AB274" s="48"/>
      <c r="AC274" s="48"/>
      <c r="AD274" s="48"/>
      <c r="AE274" s="48"/>
      <c r="AF274" s="48"/>
      <c r="AG274" s="48"/>
      <c r="AH274" s="48"/>
      <c r="AI274" s="48"/>
      <c r="AJ274" s="48"/>
      <c r="AK274" s="48"/>
      <c r="AL274" s="48"/>
      <c r="AM274" s="48"/>
      <c r="AN274" s="48"/>
      <c r="AO274" s="48"/>
      <c r="AP274" s="48"/>
      <c r="AQ274" s="48"/>
      <c r="AR274" s="48"/>
      <c r="AS274" s="48"/>
      <c r="AT274" s="48"/>
      <c r="AU274" s="48"/>
      <c r="AV274" s="48"/>
      <c r="AW274" s="48"/>
      <c r="AX274" s="48"/>
      <c r="AY274" s="48"/>
      <c r="AZ274" s="48"/>
    </row>
    <row r="275" spans="1:52" ht="17.100000000000001" customHeight="1">
      <c r="A275" s="47"/>
      <c r="B275" s="48"/>
      <c r="C275" s="48"/>
      <c r="D275" s="48"/>
      <c r="E275" s="48"/>
      <c r="F275" s="48"/>
      <c r="G275" s="48"/>
      <c r="H275" s="48"/>
      <c r="I275" s="48"/>
      <c r="J275" s="48"/>
      <c r="K275" s="48"/>
      <c r="L275" s="48"/>
      <c r="M275" s="48"/>
      <c r="N275" s="48"/>
      <c r="O275" s="48"/>
      <c r="P275" s="48"/>
      <c r="Q275" s="48"/>
      <c r="R275" s="48"/>
      <c r="S275" s="48"/>
      <c r="T275" s="48"/>
      <c r="U275" s="48"/>
      <c r="V275" s="48"/>
      <c r="W275" s="48"/>
      <c r="X275" s="48"/>
      <c r="Y275" s="48"/>
      <c r="Z275" s="48"/>
      <c r="AA275" s="48"/>
      <c r="AB275" s="48"/>
      <c r="AC275" s="48"/>
      <c r="AD275" s="48"/>
      <c r="AE275" s="48"/>
      <c r="AF275" s="48"/>
      <c r="AG275" s="48"/>
      <c r="AH275" s="48"/>
      <c r="AI275" s="48"/>
      <c r="AJ275" s="48"/>
      <c r="AK275" s="48"/>
      <c r="AL275" s="48"/>
      <c r="AM275" s="48"/>
      <c r="AN275" s="48"/>
      <c r="AO275" s="48"/>
      <c r="AP275" s="48"/>
      <c r="AQ275" s="48"/>
      <c r="AR275" s="48"/>
      <c r="AS275" s="48"/>
      <c r="AT275" s="48"/>
      <c r="AU275" s="48"/>
      <c r="AV275" s="48"/>
      <c r="AW275" s="48"/>
      <c r="AX275" s="48"/>
      <c r="AY275" s="48"/>
      <c r="AZ275" s="48"/>
    </row>
    <row r="276" spans="1:52" ht="17.100000000000001" customHeight="1">
      <c r="A276" s="47"/>
      <c r="B276" s="48"/>
      <c r="C276" s="48"/>
      <c r="D276" s="48"/>
      <c r="E276" s="48"/>
      <c r="F276" s="48"/>
      <c r="G276" s="48"/>
      <c r="H276" s="48"/>
      <c r="I276" s="48"/>
      <c r="J276" s="48"/>
      <c r="K276" s="48"/>
      <c r="L276" s="48"/>
      <c r="M276" s="48"/>
      <c r="N276" s="48"/>
      <c r="O276" s="48"/>
      <c r="P276" s="48"/>
      <c r="Q276" s="48"/>
      <c r="R276" s="48"/>
      <c r="S276" s="48"/>
      <c r="T276" s="48"/>
      <c r="U276" s="48"/>
      <c r="V276" s="48"/>
      <c r="W276" s="48"/>
      <c r="X276" s="48"/>
      <c r="Y276" s="48"/>
      <c r="Z276" s="48"/>
      <c r="AA276" s="48"/>
      <c r="AB276" s="48"/>
      <c r="AC276" s="48"/>
      <c r="AD276" s="48"/>
      <c r="AE276" s="48"/>
      <c r="AF276" s="48"/>
      <c r="AG276" s="48"/>
      <c r="AH276" s="48"/>
      <c r="AI276" s="48"/>
      <c r="AJ276" s="48"/>
      <c r="AK276" s="48"/>
      <c r="AL276" s="48"/>
      <c r="AM276" s="48"/>
      <c r="AN276" s="48"/>
      <c r="AO276" s="48"/>
      <c r="AP276" s="48"/>
      <c r="AQ276" s="48"/>
      <c r="AR276" s="48"/>
      <c r="AS276" s="48"/>
      <c r="AT276" s="48"/>
      <c r="AU276" s="48"/>
      <c r="AV276" s="48"/>
      <c r="AW276" s="48"/>
      <c r="AX276" s="48"/>
      <c r="AY276" s="48"/>
      <c r="AZ276" s="48"/>
    </row>
    <row r="277" spans="1:52" ht="17.100000000000001" customHeight="1">
      <c r="A277" s="47"/>
      <c r="B277" s="48"/>
      <c r="C277" s="48"/>
      <c r="D277" s="48"/>
      <c r="E277" s="48"/>
      <c r="F277" s="48"/>
      <c r="G277" s="48"/>
      <c r="H277" s="48"/>
      <c r="I277" s="48"/>
      <c r="J277" s="48"/>
      <c r="K277" s="48"/>
      <c r="L277" s="48"/>
      <c r="M277" s="48"/>
      <c r="N277" s="48"/>
      <c r="O277" s="48"/>
      <c r="P277" s="48"/>
      <c r="Q277" s="48"/>
      <c r="R277" s="48"/>
      <c r="S277" s="48"/>
      <c r="T277" s="48"/>
      <c r="U277" s="48"/>
      <c r="V277" s="48"/>
      <c r="W277" s="48"/>
      <c r="X277" s="48"/>
      <c r="Y277" s="48"/>
      <c r="Z277" s="48"/>
      <c r="AA277" s="48"/>
      <c r="AB277" s="48"/>
      <c r="AC277" s="48"/>
      <c r="AD277" s="48"/>
      <c r="AE277" s="48"/>
      <c r="AF277" s="48"/>
      <c r="AG277" s="48"/>
      <c r="AH277" s="48"/>
      <c r="AI277" s="48"/>
      <c r="AJ277" s="48"/>
      <c r="AK277" s="48"/>
      <c r="AL277" s="48"/>
      <c r="AM277" s="48"/>
      <c r="AN277" s="48"/>
      <c r="AO277" s="48"/>
      <c r="AP277" s="48"/>
      <c r="AQ277" s="48"/>
      <c r="AR277" s="48"/>
      <c r="AS277" s="48"/>
      <c r="AT277" s="48"/>
      <c r="AU277" s="48"/>
      <c r="AV277" s="48"/>
      <c r="AW277" s="48"/>
      <c r="AX277" s="48"/>
      <c r="AY277" s="48"/>
      <c r="AZ277" s="48"/>
    </row>
    <row r="278" spans="1:52" ht="17.100000000000001" customHeight="1">
      <c r="A278" s="47"/>
      <c r="B278" s="48"/>
      <c r="C278" s="48"/>
      <c r="D278" s="48"/>
      <c r="E278" s="48"/>
      <c r="F278" s="48"/>
      <c r="G278" s="48"/>
      <c r="H278" s="48"/>
      <c r="I278" s="48"/>
      <c r="J278" s="48"/>
      <c r="K278" s="48"/>
      <c r="L278" s="48"/>
      <c r="M278" s="48"/>
      <c r="N278" s="48"/>
      <c r="O278" s="48"/>
      <c r="P278" s="48"/>
      <c r="Q278" s="48"/>
      <c r="R278" s="48"/>
      <c r="S278" s="48"/>
      <c r="T278" s="48"/>
      <c r="U278" s="48"/>
      <c r="V278" s="48"/>
      <c r="W278" s="48"/>
      <c r="X278" s="48"/>
      <c r="Y278" s="48"/>
      <c r="Z278" s="48"/>
      <c r="AA278" s="48"/>
      <c r="AB278" s="48"/>
      <c r="AC278" s="48"/>
      <c r="AD278" s="48"/>
      <c r="AE278" s="48"/>
      <c r="AF278" s="48"/>
      <c r="AG278" s="48"/>
      <c r="AH278" s="48"/>
      <c r="AI278" s="48"/>
      <c r="AJ278" s="48"/>
      <c r="AK278" s="48"/>
      <c r="AL278" s="48"/>
      <c r="AM278" s="48"/>
      <c r="AN278" s="48"/>
      <c r="AO278" s="48"/>
      <c r="AP278" s="48"/>
      <c r="AQ278" s="48"/>
      <c r="AR278" s="48"/>
      <c r="AS278" s="48"/>
      <c r="AT278" s="48"/>
      <c r="AU278" s="48"/>
      <c r="AV278" s="48"/>
      <c r="AW278" s="48"/>
      <c r="AX278" s="48"/>
      <c r="AY278" s="48"/>
      <c r="AZ278" s="48"/>
    </row>
    <row r="279" spans="1:52" ht="17.100000000000001" customHeight="1">
      <c r="A279" s="47"/>
      <c r="B279" s="48"/>
      <c r="C279" s="48"/>
      <c r="D279" s="48"/>
      <c r="E279" s="48"/>
      <c r="F279" s="48"/>
      <c r="G279" s="48"/>
      <c r="H279" s="48"/>
      <c r="I279" s="48"/>
      <c r="J279" s="48"/>
      <c r="K279" s="48"/>
      <c r="L279" s="48"/>
      <c r="M279" s="48"/>
      <c r="N279" s="48"/>
      <c r="O279" s="48"/>
      <c r="P279" s="48"/>
      <c r="Q279" s="48"/>
      <c r="R279" s="48"/>
      <c r="S279" s="48"/>
      <c r="T279" s="48"/>
      <c r="U279" s="48"/>
      <c r="V279" s="48"/>
      <c r="W279" s="48"/>
      <c r="X279" s="48"/>
      <c r="Y279" s="48"/>
      <c r="Z279" s="48"/>
      <c r="AA279" s="48"/>
      <c r="AB279" s="48"/>
      <c r="AC279" s="48"/>
      <c r="AD279" s="48"/>
      <c r="AE279" s="48"/>
      <c r="AF279" s="48"/>
      <c r="AG279" s="48"/>
      <c r="AH279" s="48"/>
      <c r="AI279" s="48"/>
      <c r="AJ279" s="48"/>
      <c r="AK279" s="48"/>
      <c r="AL279" s="48"/>
      <c r="AM279" s="48"/>
      <c r="AN279" s="48"/>
      <c r="AO279" s="48"/>
      <c r="AP279" s="48"/>
      <c r="AQ279" s="48"/>
      <c r="AR279" s="48"/>
      <c r="AS279" s="48"/>
      <c r="AT279" s="48"/>
      <c r="AU279" s="48"/>
      <c r="AV279" s="48"/>
      <c r="AW279" s="48"/>
      <c r="AX279" s="48"/>
      <c r="AY279" s="48"/>
      <c r="AZ279" s="48"/>
    </row>
    <row r="280" spans="1:52" ht="17.100000000000001" customHeight="1">
      <c r="A280" s="47"/>
      <c r="B280" s="48"/>
      <c r="C280" s="48"/>
      <c r="D280" s="48"/>
      <c r="E280" s="48"/>
      <c r="F280" s="48"/>
      <c r="G280" s="48"/>
      <c r="H280" s="48"/>
      <c r="I280" s="48"/>
      <c r="J280" s="48"/>
      <c r="K280" s="48"/>
      <c r="L280" s="48"/>
      <c r="M280" s="48"/>
      <c r="N280" s="48"/>
      <c r="O280" s="48"/>
      <c r="P280" s="48"/>
      <c r="Q280" s="48"/>
      <c r="R280" s="48"/>
      <c r="S280" s="48"/>
      <c r="T280" s="48"/>
      <c r="U280" s="48"/>
      <c r="V280" s="48"/>
      <c r="W280" s="48"/>
      <c r="X280" s="48"/>
      <c r="Y280" s="48"/>
      <c r="Z280" s="48"/>
      <c r="AA280" s="48"/>
      <c r="AB280" s="48"/>
      <c r="AC280" s="48"/>
      <c r="AD280" s="48"/>
      <c r="AE280" s="48"/>
      <c r="AF280" s="48"/>
      <c r="AG280" s="48"/>
      <c r="AH280" s="48"/>
      <c r="AI280" s="48"/>
      <c r="AJ280" s="48"/>
      <c r="AK280" s="48"/>
      <c r="AL280" s="48"/>
      <c r="AM280" s="48"/>
      <c r="AN280" s="48"/>
      <c r="AO280" s="48"/>
      <c r="AP280" s="48"/>
      <c r="AQ280" s="48"/>
      <c r="AR280" s="48"/>
      <c r="AS280" s="48"/>
      <c r="AT280" s="48"/>
      <c r="AU280" s="48"/>
      <c r="AV280" s="48"/>
      <c r="AW280" s="48"/>
      <c r="AX280" s="48"/>
      <c r="AY280" s="48"/>
      <c r="AZ280" s="48"/>
    </row>
    <row r="281" spans="1:52" ht="17.100000000000001" customHeight="1">
      <c r="A281" s="47"/>
      <c r="B281" s="48"/>
      <c r="C281" s="48"/>
      <c r="D281" s="48"/>
      <c r="E281" s="48"/>
      <c r="F281" s="48"/>
      <c r="G281" s="48"/>
      <c r="H281" s="48"/>
      <c r="I281" s="48"/>
      <c r="J281" s="48"/>
      <c r="K281" s="48"/>
      <c r="L281" s="48"/>
      <c r="M281" s="48"/>
      <c r="N281" s="48"/>
      <c r="O281" s="48"/>
      <c r="P281" s="48"/>
      <c r="Q281" s="48"/>
      <c r="R281" s="48"/>
      <c r="S281" s="48"/>
      <c r="T281" s="48"/>
      <c r="U281" s="48"/>
      <c r="V281" s="48"/>
      <c r="W281" s="48"/>
      <c r="X281" s="48"/>
      <c r="Y281" s="48"/>
      <c r="Z281" s="48"/>
      <c r="AA281" s="48"/>
      <c r="AB281" s="48"/>
      <c r="AC281" s="48"/>
      <c r="AD281" s="48"/>
      <c r="AE281" s="48"/>
      <c r="AF281" s="48"/>
      <c r="AG281" s="48"/>
      <c r="AH281" s="48"/>
      <c r="AI281" s="48"/>
      <c r="AJ281" s="48"/>
      <c r="AK281" s="48"/>
      <c r="AL281" s="48"/>
      <c r="AM281" s="48"/>
      <c r="AN281" s="48"/>
      <c r="AO281" s="48"/>
      <c r="AP281" s="48"/>
      <c r="AQ281" s="48"/>
      <c r="AR281" s="48"/>
      <c r="AS281" s="48"/>
      <c r="AT281" s="48"/>
      <c r="AU281" s="48"/>
      <c r="AV281" s="48"/>
      <c r="AW281" s="48"/>
      <c r="AX281" s="48"/>
      <c r="AY281" s="48"/>
      <c r="AZ281" s="48"/>
    </row>
    <row r="282" spans="1:52" ht="17.100000000000001" customHeight="1">
      <c r="A282" s="47"/>
      <c r="B282" s="48"/>
      <c r="C282" s="48"/>
      <c r="D282" s="48"/>
      <c r="E282" s="48"/>
      <c r="F282" s="48"/>
      <c r="G282" s="48"/>
      <c r="H282" s="48"/>
      <c r="I282" s="48"/>
      <c r="J282" s="48"/>
      <c r="K282" s="48"/>
      <c r="L282" s="48"/>
      <c r="M282" s="48"/>
      <c r="N282" s="48"/>
      <c r="O282" s="48"/>
      <c r="P282" s="48"/>
      <c r="Q282" s="48"/>
      <c r="R282" s="48"/>
      <c r="S282" s="48"/>
      <c r="T282" s="48"/>
      <c r="U282" s="48"/>
      <c r="V282" s="48"/>
      <c r="W282" s="48"/>
      <c r="X282" s="48"/>
      <c r="Y282" s="48"/>
      <c r="Z282" s="48"/>
      <c r="AA282" s="48"/>
      <c r="AB282" s="48"/>
      <c r="AC282" s="48"/>
      <c r="AD282" s="48"/>
      <c r="AE282" s="48"/>
      <c r="AF282" s="48"/>
      <c r="AG282" s="48"/>
      <c r="AH282" s="48"/>
      <c r="AI282" s="48"/>
      <c r="AJ282" s="48"/>
      <c r="AK282" s="48"/>
      <c r="AL282" s="48"/>
      <c r="AM282" s="48"/>
      <c r="AN282" s="48"/>
      <c r="AO282" s="48"/>
      <c r="AP282" s="48"/>
      <c r="AQ282" s="48"/>
      <c r="AR282" s="48"/>
      <c r="AS282" s="48"/>
      <c r="AT282" s="48"/>
      <c r="AU282" s="48"/>
      <c r="AV282" s="48"/>
      <c r="AW282" s="48"/>
      <c r="AX282" s="48"/>
      <c r="AY282" s="48"/>
      <c r="AZ282" s="48"/>
    </row>
    <row r="283" spans="1:52" ht="17.100000000000001" customHeight="1">
      <c r="A283" s="47"/>
      <c r="B283" s="48"/>
      <c r="C283" s="48"/>
      <c r="D283" s="48"/>
      <c r="E283" s="48"/>
      <c r="F283" s="48"/>
      <c r="G283" s="48"/>
      <c r="H283" s="48"/>
      <c r="I283" s="48"/>
      <c r="J283" s="48"/>
      <c r="K283" s="48"/>
      <c r="L283" s="48"/>
      <c r="M283" s="48"/>
      <c r="N283" s="48"/>
      <c r="O283" s="48"/>
      <c r="P283" s="48"/>
      <c r="Q283" s="48"/>
      <c r="R283" s="48"/>
      <c r="S283" s="48"/>
      <c r="T283" s="48"/>
      <c r="U283" s="48"/>
      <c r="V283" s="48"/>
      <c r="W283" s="48"/>
      <c r="X283" s="48"/>
      <c r="Y283" s="48"/>
      <c r="Z283" s="48"/>
      <c r="AA283" s="48"/>
      <c r="AB283" s="48"/>
      <c r="AC283" s="48"/>
      <c r="AD283" s="48"/>
      <c r="AE283" s="48"/>
      <c r="AF283" s="48"/>
      <c r="AG283" s="48"/>
      <c r="AH283" s="48"/>
      <c r="AI283" s="48"/>
      <c r="AJ283" s="48"/>
      <c r="AK283" s="48"/>
      <c r="AL283" s="48"/>
      <c r="AM283" s="48"/>
      <c r="AN283" s="48"/>
      <c r="AO283" s="48"/>
      <c r="AP283" s="48"/>
      <c r="AQ283" s="48"/>
      <c r="AR283" s="48"/>
      <c r="AS283" s="48"/>
      <c r="AT283" s="48"/>
      <c r="AU283" s="48"/>
      <c r="AV283" s="48"/>
      <c r="AW283" s="48"/>
      <c r="AX283" s="48"/>
      <c r="AY283" s="48"/>
      <c r="AZ283" s="48"/>
    </row>
    <row r="284" spans="1:52" ht="17.100000000000001" customHeight="1">
      <c r="A284" s="47"/>
      <c r="B284" s="48"/>
      <c r="C284" s="48"/>
      <c r="D284" s="48"/>
      <c r="E284" s="48"/>
      <c r="F284" s="48"/>
      <c r="G284" s="48"/>
      <c r="H284" s="48"/>
      <c r="I284" s="48"/>
      <c r="J284" s="48"/>
      <c r="K284" s="48"/>
      <c r="L284" s="48"/>
      <c r="M284" s="48"/>
      <c r="N284" s="48"/>
      <c r="O284" s="48"/>
      <c r="P284" s="48"/>
      <c r="Q284" s="48"/>
      <c r="R284" s="48"/>
      <c r="S284" s="48"/>
      <c r="T284" s="48"/>
      <c r="U284" s="48"/>
      <c r="V284" s="48"/>
      <c r="W284" s="48"/>
      <c r="X284" s="48"/>
      <c r="Y284" s="48"/>
      <c r="Z284" s="48"/>
      <c r="AA284" s="48"/>
      <c r="AB284" s="48"/>
      <c r="AC284" s="48"/>
      <c r="AD284" s="48"/>
      <c r="AE284" s="48"/>
      <c r="AF284" s="48"/>
      <c r="AG284" s="48"/>
      <c r="AH284" s="48"/>
      <c r="AI284" s="48"/>
      <c r="AJ284" s="48"/>
      <c r="AK284" s="48"/>
      <c r="AL284" s="48"/>
      <c r="AM284" s="48"/>
      <c r="AN284" s="48"/>
      <c r="AO284" s="48"/>
      <c r="AP284" s="48"/>
      <c r="AQ284" s="48"/>
      <c r="AR284" s="48"/>
      <c r="AS284" s="48"/>
      <c r="AT284" s="48"/>
      <c r="AU284" s="48"/>
      <c r="AV284" s="48"/>
      <c r="AW284" s="48"/>
      <c r="AX284" s="48"/>
      <c r="AY284" s="48"/>
      <c r="AZ284" s="48"/>
    </row>
    <row r="285" spans="1:52" ht="17.100000000000001" customHeight="1">
      <c r="A285" s="47"/>
      <c r="B285" s="48"/>
      <c r="C285" s="48"/>
      <c r="D285" s="48"/>
      <c r="E285" s="48"/>
      <c r="F285" s="48"/>
      <c r="G285" s="48"/>
      <c r="H285" s="48"/>
      <c r="I285" s="48"/>
      <c r="J285" s="48"/>
      <c r="K285" s="48"/>
      <c r="L285" s="48"/>
      <c r="M285" s="48"/>
      <c r="N285" s="48"/>
      <c r="O285" s="48"/>
      <c r="P285" s="48"/>
      <c r="Q285" s="48"/>
      <c r="R285" s="48"/>
      <c r="S285" s="48"/>
      <c r="T285" s="48"/>
      <c r="U285" s="48"/>
      <c r="V285" s="48"/>
      <c r="W285" s="48"/>
      <c r="X285" s="48"/>
      <c r="Y285" s="48"/>
      <c r="Z285" s="48"/>
      <c r="AA285" s="48"/>
      <c r="AB285" s="48"/>
      <c r="AC285" s="48"/>
      <c r="AD285" s="48"/>
      <c r="AE285" s="48"/>
      <c r="AF285" s="48"/>
      <c r="AG285" s="48"/>
      <c r="AH285" s="48"/>
      <c r="AI285" s="48"/>
      <c r="AJ285" s="48"/>
      <c r="AK285" s="48"/>
      <c r="AL285" s="48"/>
      <c r="AM285" s="48"/>
      <c r="AN285" s="48"/>
      <c r="AO285" s="48"/>
      <c r="AP285" s="48"/>
      <c r="AQ285" s="48"/>
      <c r="AR285" s="48"/>
      <c r="AS285" s="48"/>
      <c r="AT285" s="48"/>
      <c r="AU285" s="48"/>
      <c r="AV285" s="48"/>
      <c r="AW285" s="48"/>
      <c r="AX285" s="48"/>
      <c r="AY285" s="48"/>
      <c r="AZ285" s="48"/>
    </row>
    <row r="286" spans="1:52" ht="17.100000000000001" customHeight="1">
      <c r="A286" s="47"/>
      <c r="B286" s="48"/>
      <c r="C286" s="48"/>
      <c r="D286" s="48"/>
      <c r="E286" s="48"/>
      <c r="F286" s="48"/>
      <c r="G286" s="48"/>
      <c r="H286" s="48"/>
      <c r="I286" s="48"/>
      <c r="J286" s="48"/>
      <c r="K286" s="48"/>
      <c r="L286" s="48"/>
      <c r="M286" s="48"/>
      <c r="N286" s="48"/>
      <c r="O286" s="48"/>
      <c r="P286" s="48"/>
      <c r="Q286" s="48"/>
      <c r="R286" s="48"/>
      <c r="S286" s="48"/>
      <c r="T286" s="48"/>
      <c r="U286" s="48"/>
      <c r="V286" s="48"/>
      <c r="W286" s="48"/>
      <c r="X286" s="48"/>
      <c r="Y286" s="48"/>
      <c r="Z286" s="48"/>
      <c r="AA286" s="48"/>
      <c r="AB286" s="48"/>
      <c r="AC286" s="48"/>
      <c r="AD286" s="48"/>
      <c r="AE286" s="48"/>
      <c r="AF286" s="48"/>
      <c r="AG286" s="48"/>
      <c r="AH286" s="48"/>
      <c r="AI286" s="48"/>
      <c r="AJ286" s="48"/>
      <c r="AK286" s="48"/>
      <c r="AL286" s="48"/>
      <c r="AM286" s="48"/>
      <c r="AN286" s="48"/>
      <c r="AO286" s="48"/>
      <c r="AP286" s="48"/>
      <c r="AQ286" s="48"/>
      <c r="AR286" s="48"/>
      <c r="AS286" s="48"/>
      <c r="AT286" s="48"/>
      <c r="AU286" s="48"/>
      <c r="AV286" s="48"/>
      <c r="AW286" s="48"/>
      <c r="AX286" s="48"/>
      <c r="AY286" s="48"/>
      <c r="AZ286" s="48"/>
    </row>
  </sheetData>
  <sheetProtection algorithmName="SHA-512" hashValue="KRq81WVFngXIq8Op8inGbyyXdPnYqpMGPNQvn6Wcu5B6W7NkXEWFqUkp4/mIjKITEfQsK7QQ2kFv/9LiyjdM5A==" saltValue="Kuck8Z9kHRdV9RL6JW32eQ==" spinCount="100000" sheet="1" objects="1" scenarios="1"/>
  <phoneticPr fontId="64" type="noConversion"/>
  <pageMargins left="0.75" right="0.75" top="1" bottom="1" header="0.5" footer="0.5"/>
  <pageSetup firstPageNumber="4294963191" orientation="portrait" r:id="rId1"/>
  <headerFooter alignWithMargins="0"/>
  <drawing r:id="rId2"/>
  <legacyDrawing r:id="rId3"/>
  <controls>
    <mc:AlternateContent xmlns:mc="http://schemas.openxmlformats.org/markup-compatibility/2006">
      <mc:Choice Requires="x14">
        <control shapeId="2062" r:id="rId4" name="cbSuggestion">
          <controlPr defaultSize="0" linkedCell="C10" r:id="rId5">
            <anchor moveWithCells="1">
              <from>
                <xdr:col>2</xdr:col>
                <xdr:colOff>0</xdr:colOff>
                <xdr:row>9</xdr:row>
                <xdr:rowOff>9525</xdr:rowOff>
              </from>
              <to>
                <xdr:col>3</xdr:col>
                <xdr:colOff>19050</xdr:colOff>
                <xdr:row>9</xdr:row>
                <xdr:rowOff>209550</xdr:rowOff>
              </to>
            </anchor>
          </controlPr>
        </control>
      </mc:Choice>
      <mc:Fallback>
        <control shapeId="2062" r:id="rId4" name="cbSuggestion"/>
      </mc:Fallback>
    </mc:AlternateContent>
    <mc:AlternateContent xmlns:mc="http://schemas.openxmlformats.org/markup-compatibility/2006">
      <mc:Choice Requires="x14">
        <control shapeId="2065" r:id="rId6" name="cbDisconnect">
          <controlPr defaultSize="0" r:id="rId7">
            <anchor moveWithCells="1">
              <from>
                <xdr:col>4</xdr:col>
                <xdr:colOff>0</xdr:colOff>
                <xdr:row>12</xdr:row>
                <xdr:rowOff>142875</xdr:rowOff>
              </from>
              <to>
                <xdr:col>4</xdr:col>
                <xdr:colOff>733425</xdr:colOff>
                <xdr:row>13</xdr:row>
                <xdr:rowOff>180975</xdr:rowOff>
              </to>
            </anchor>
          </controlPr>
        </control>
      </mc:Choice>
      <mc:Fallback>
        <control shapeId="2065" r:id="rId6" name="cbDisconnect"/>
      </mc:Fallback>
    </mc:AlternateContent>
    <mc:AlternateContent xmlns:mc="http://schemas.openxmlformats.org/markup-compatibility/2006">
      <mc:Choice Requires="x14">
        <control shapeId="2111" r:id="rId8" name="cbUpdateExtData">
          <controlPr defaultSize="0" disabled="1" r:id="rId9">
            <anchor moveWithCells="1">
              <from>
                <xdr:col>5</xdr:col>
                <xdr:colOff>19050</xdr:colOff>
                <xdr:row>12</xdr:row>
                <xdr:rowOff>142875</xdr:rowOff>
              </from>
              <to>
                <xdr:col>6</xdr:col>
                <xdr:colOff>38100</xdr:colOff>
                <xdr:row>13</xdr:row>
                <xdr:rowOff>161925</xdr:rowOff>
              </to>
            </anchor>
          </controlPr>
        </control>
      </mc:Choice>
      <mc:Fallback>
        <control shapeId="2111" r:id="rId8" name="cbUpdateExtData"/>
      </mc:Fallback>
    </mc:AlternateContent>
    <mc:AlternateContent xmlns:mc="http://schemas.openxmlformats.org/markup-compatibility/2006">
      <mc:Choice Requires="x14">
        <control shapeId="2113" r:id="rId10" name="cmdSaveModel">
          <controlPr defaultSize="0" disabled="1" autoLine="0" r:id="rId11">
            <anchor moveWithCells="1">
              <from>
                <xdr:col>7</xdr:col>
                <xdr:colOff>66675</xdr:colOff>
                <xdr:row>10</xdr:row>
                <xdr:rowOff>0</xdr:rowOff>
              </from>
              <to>
                <xdr:col>8</xdr:col>
                <xdr:colOff>123825</xdr:colOff>
                <xdr:row>11</xdr:row>
                <xdr:rowOff>28575</xdr:rowOff>
              </to>
            </anchor>
          </controlPr>
        </control>
      </mc:Choice>
      <mc:Fallback>
        <control shapeId="2113" r:id="rId10" name="cmdSaveModel"/>
      </mc:Fallback>
    </mc:AlternateContent>
    <mc:AlternateContent xmlns:mc="http://schemas.openxmlformats.org/markup-compatibility/2006">
      <mc:Choice Requires="x14">
        <control shapeId="2114" r:id="rId12" name="cmdProtect">
          <controlPr defaultSize="0" disabled="1" autoLine="0" r:id="rId13">
            <anchor moveWithCells="1">
              <from>
                <xdr:col>8</xdr:col>
                <xdr:colOff>266700</xdr:colOff>
                <xdr:row>10</xdr:row>
                <xdr:rowOff>0</xdr:rowOff>
              </from>
              <to>
                <xdr:col>9</xdr:col>
                <xdr:colOff>266700</xdr:colOff>
                <xdr:row>11</xdr:row>
                <xdr:rowOff>28575</xdr:rowOff>
              </to>
            </anchor>
          </controlPr>
        </control>
      </mc:Choice>
      <mc:Fallback>
        <control shapeId="2114" r:id="rId12" name="cmdProtec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CECFF"/>
  </sheetPr>
  <dimension ref="A1:AZ313"/>
  <sheetViews>
    <sheetView showGridLines="0" workbookViewId="0">
      <selection activeCell="D7" sqref="D7"/>
    </sheetView>
  </sheetViews>
  <sheetFormatPr defaultColWidth="9" defaultRowHeight="18" customHeight="1"/>
  <cols>
    <col min="1" max="1" width="6.25" style="2450" customWidth="1"/>
    <col min="2" max="2" width="64" style="2513" customWidth="1"/>
    <col min="3" max="7" width="10.125" style="2513" customWidth="1"/>
    <col min="8" max="8" width="3.25" style="2450" customWidth="1"/>
    <col min="9" max="9" width="10.75" style="2450" customWidth="1"/>
    <col min="10" max="10" width="5" style="2450" customWidth="1"/>
    <col min="11" max="11" width="5.25" style="2450" customWidth="1"/>
    <col min="12" max="12" width="5.125" style="2450" customWidth="1"/>
    <col min="13" max="13" width="4.625" style="2450" customWidth="1"/>
    <col min="14" max="14" width="5" style="2514" customWidth="1"/>
    <col min="15" max="20" width="9" style="2515"/>
    <col min="21" max="16384" width="9" style="2450"/>
  </cols>
  <sheetData>
    <row r="1" spans="1:52" s="2443" customFormat="1" ht="12" customHeight="1">
      <c r="A1" s="2441"/>
      <c r="B1" s="2441"/>
      <c r="C1" s="2441"/>
      <c r="D1" s="2441"/>
      <c r="E1" s="2441"/>
      <c r="F1" s="2441"/>
      <c r="G1" s="2441"/>
      <c r="H1" s="2441"/>
      <c r="I1" s="2441"/>
      <c r="J1" s="2441"/>
      <c r="K1" s="2441"/>
      <c r="L1" s="2441"/>
      <c r="M1" s="2441"/>
      <c r="N1" s="2442"/>
      <c r="O1" s="2442"/>
      <c r="P1" s="2442"/>
      <c r="Q1" s="2442"/>
      <c r="R1" s="2442"/>
      <c r="S1" s="2442"/>
      <c r="T1" s="2442"/>
      <c r="U1" s="2441"/>
      <c r="V1" s="2441"/>
      <c r="W1" s="2441"/>
      <c r="X1" s="2441"/>
      <c r="Y1" s="2441"/>
      <c r="Z1" s="2441"/>
      <c r="AA1" s="2441"/>
      <c r="AB1" s="2441"/>
      <c r="AC1" s="2441"/>
      <c r="AD1" s="2441"/>
      <c r="AE1" s="2441"/>
      <c r="AF1" s="2441"/>
      <c r="AG1" s="2441"/>
      <c r="AH1" s="2441"/>
      <c r="AI1" s="2441"/>
      <c r="AJ1" s="2441"/>
      <c r="AK1" s="2441"/>
      <c r="AL1" s="2441"/>
      <c r="AM1" s="2441"/>
      <c r="AN1" s="2441"/>
      <c r="AO1" s="2441"/>
      <c r="AP1" s="2441"/>
      <c r="AQ1" s="2441"/>
      <c r="AR1" s="2441"/>
      <c r="AS1" s="2441"/>
      <c r="AT1" s="2441"/>
      <c r="AU1" s="2441"/>
      <c r="AV1" s="2441"/>
      <c r="AW1" s="2441"/>
      <c r="AX1" s="2441"/>
      <c r="AY1" s="2441"/>
      <c r="AZ1" s="2441"/>
    </row>
    <row r="2" spans="1:52" ht="18" customHeight="1">
      <c r="A2" s="2444"/>
      <c r="B2" s="2445"/>
      <c r="C2" s="2445"/>
      <c r="D2" s="2445"/>
      <c r="E2" s="2446"/>
      <c r="F2" s="2447" t="s">
        <v>1480</v>
      </c>
      <c r="G2" s="2445"/>
      <c r="H2" s="2444"/>
      <c r="I2" s="2444"/>
      <c r="J2" s="2444"/>
      <c r="K2" s="2444"/>
      <c r="L2" s="2444"/>
      <c r="M2" s="2444"/>
      <c r="N2" s="2448"/>
      <c r="O2" s="2449"/>
      <c r="P2" s="2449"/>
      <c r="Q2" s="2449"/>
      <c r="R2" s="2449"/>
      <c r="S2" s="2449"/>
      <c r="T2" s="2449"/>
      <c r="U2" s="2444"/>
      <c r="V2" s="2444"/>
      <c r="W2" s="2444"/>
      <c r="X2" s="2444"/>
      <c r="Y2" s="2444"/>
      <c r="Z2" s="2444"/>
      <c r="AA2" s="2444"/>
      <c r="AB2" s="2444"/>
      <c r="AC2" s="2444"/>
      <c r="AD2" s="2444"/>
      <c r="AE2" s="2444"/>
      <c r="AF2" s="2444"/>
      <c r="AG2" s="2444"/>
      <c r="AH2" s="2444"/>
      <c r="AI2" s="2444"/>
      <c r="AJ2" s="2444"/>
      <c r="AK2" s="2444"/>
      <c r="AL2" s="2444"/>
      <c r="AM2" s="2444"/>
      <c r="AN2" s="2444"/>
      <c r="AO2" s="2444"/>
      <c r="AP2" s="2444"/>
      <c r="AQ2" s="2444"/>
      <c r="AR2" s="2444"/>
      <c r="AS2" s="2444"/>
      <c r="AT2" s="2444"/>
      <c r="AU2" s="2444"/>
      <c r="AV2" s="2444"/>
      <c r="AW2" s="2444"/>
      <c r="AX2" s="2444"/>
      <c r="AY2" s="2444"/>
      <c r="AZ2" s="2444"/>
    </row>
    <row r="3" spans="1:52" ht="18" customHeight="1">
      <c r="A3" s="2444"/>
      <c r="B3" s="2445"/>
      <c r="C3" s="2445"/>
      <c r="D3" s="2445"/>
      <c r="E3" s="2451">
        <f>D67+1</f>
        <v>2020</v>
      </c>
      <c r="F3" s="2451">
        <f>E3+1</f>
        <v>2021</v>
      </c>
      <c r="G3" s="2451">
        <f>F3+1</f>
        <v>2022</v>
      </c>
      <c r="H3" s="2444"/>
      <c r="I3" s="2444"/>
      <c r="J3" s="2444"/>
      <c r="K3" s="2444"/>
      <c r="L3" s="2444"/>
      <c r="M3" s="2444"/>
      <c r="N3" s="2452"/>
      <c r="O3" s="2449"/>
      <c r="P3" s="2449"/>
      <c r="Q3" s="2449"/>
      <c r="R3" s="2449"/>
      <c r="S3" s="2449"/>
      <c r="T3" s="2449"/>
      <c r="U3" s="2444"/>
      <c r="V3" s="2444"/>
      <c r="W3" s="2444"/>
      <c r="X3" s="2444"/>
      <c r="Y3" s="2444"/>
      <c r="Z3" s="2444"/>
      <c r="AA3" s="2444"/>
      <c r="AB3" s="2444"/>
      <c r="AC3" s="2444"/>
      <c r="AD3" s="2444"/>
      <c r="AE3" s="2444"/>
      <c r="AF3" s="2444"/>
      <c r="AG3" s="2444"/>
      <c r="AH3" s="2444"/>
      <c r="AI3" s="2444"/>
      <c r="AJ3" s="2444"/>
      <c r="AK3" s="2444"/>
      <c r="AL3" s="2444"/>
      <c r="AM3" s="2444"/>
      <c r="AN3" s="2444"/>
      <c r="AO3" s="2444"/>
      <c r="AP3" s="2444"/>
      <c r="AQ3" s="2444"/>
      <c r="AR3" s="2444"/>
      <c r="AS3" s="2444"/>
      <c r="AT3" s="2444"/>
      <c r="AU3" s="2444"/>
      <c r="AV3" s="2444"/>
      <c r="AW3" s="2444"/>
      <c r="AX3" s="2444"/>
      <c r="AY3" s="2444"/>
      <c r="AZ3" s="2444"/>
    </row>
    <row r="4" spans="1:52" ht="18" customHeight="1" thickBot="1">
      <c r="A4" s="2444"/>
      <c r="B4" s="2535" t="s">
        <v>1481</v>
      </c>
      <c r="C4" s="2535"/>
      <c r="D4" s="2535"/>
      <c r="E4" s="2535"/>
      <c r="F4" s="2535"/>
      <c r="G4" s="2535"/>
      <c r="H4" s="2444"/>
      <c r="I4" s="2452"/>
      <c r="J4" s="2449"/>
      <c r="K4" s="2449"/>
      <c r="L4" s="2449"/>
      <c r="M4" s="2449"/>
      <c r="N4" s="2449"/>
      <c r="O4" s="2449"/>
      <c r="P4" s="2444"/>
      <c r="Q4" s="2444"/>
      <c r="R4" s="2444"/>
      <c r="S4" s="2444"/>
      <c r="T4" s="2444"/>
      <c r="U4" s="2444"/>
      <c r="V4" s="2444"/>
      <c r="W4" s="2444"/>
      <c r="X4" s="2444"/>
      <c r="Y4" s="2444"/>
      <c r="Z4" s="2444"/>
      <c r="AA4" s="2444"/>
      <c r="AB4" s="2444"/>
      <c r="AC4" s="2444"/>
      <c r="AD4" s="2444"/>
      <c r="AE4" s="2444"/>
      <c r="AF4" s="2444"/>
      <c r="AG4" s="2444"/>
      <c r="AH4" s="2444"/>
      <c r="AI4" s="2444"/>
      <c r="AJ4" s="2444"/>
      <c r="AK4" s="2444"/>
      <c r="AL4" s="2444"/>
      <c r="AM4" s="2444"/>
      <c r="AN4" s="2444"/>
      <c r="AO4" s="2444"/>
      <c r="AP4" s="2444"/>
      <c r="AQ4" s="2444"/>
      <c r="AR4" s="2444"/>
      <c r="AS4" s="2444"/>
      <c r="AT4" s="2444"/>
      <c r="AU4" s="2444"/>
    </row>
    <row r="5" spans="1:52" ht="18" customHeight="1">
      <c r="A5" s="2444"/>
      <c r="B5" s="2453" t="s">
        <v>1482</v>
      </c>
      <c r="C5" s="2454">
        <f>财务摘要!C5</f>
        <v>2018</v>
      </c>
      <c r="D5" s="2454">
        <f>财务摘要!D5</f>
        <v>2019</v>
      </c>
      <c r="E5" s="2454" t="str">
        <f>财务摘要!E5</f>
        <v>2020E</v>
      </c>
      <c r="F5" s="2454" t="str">
        <f>财务摘要!F5</f>
        <v>2021E</v>
      </c>
      <c r="G5" s="2454" t="str">
        <f>财务摘要!G5</f>
        <v>2022E</v>
      </c>
      <c r="H5" s="2444"/>
      <c r="N5" s="2449"/>
      <c r="O5" s="2449"/>
      <c r="P5" s="2444"/>
      <c r="Q5" s="2444"/>
      <c r="R5" s="2444"/>
      <c r="S5" s="2444"/>
      <c r="T5" s="2444"/>
      <c r="U5" s="2444"/>
      <c r="V5" s="2444"/>
      <c r="W5" s="2444"/>
      <c r="X5" s="2444"/>
      <c r="Y5" s="2444"/>
      <c r="Z5" s="2444"/>
      <c r="AA5" s="2444"/>
      <c r="AB5" s="2444"/>
      <c r="AC5" s="2444"/>
      <c r="AD5" s="2444"/>
      <c r="AE5" s="2444"/>
      <c r="AF5" s="2444"/>
      <c r="AG5" s="2444"/>
      <c r="AH5" s="2444"/>
      <c r="AI5" s="2444"/>
      <c r="AJ5" s="2444"/>
      <c r="AK5" s="2444"/>
      <c r="AL5" s="2444"/>
      <c r="AM5" s="2444"/>
      <c r="AN5" s="2444"/>
      <c r="AO5" s="2444"/>
      <c r="AP5" s="2444"/>
      <c r="AQ5" s="2444"/>
      <c r="AR5" s="2444"/>
      <c r="AS5" s="2444"/>
      <c r="AT5" s="2444"/>
      <c r="AU5" s="2444"/>
    </row>
    <row r="6" spans="1:52" ht="18" customHeight="1">
      <c r="A6" s="2444"/>
      <c r="B6" s="2455" t="s">
        <v>1483</v>
      </c>
      <c r="C6" s="2456">
        <f>财务摘要!C6</f>
        <v>4809.73609786</v>
      </c>
      <c r="D6" s="2456">
        <f>财务摘要!D6</f>
        <v>6378.1513559200002</v>
      </c>
      <c r="E6" s="2456">
        <f>财务摘要!E6</f>
        <v>6378.1513559200002</v>
      </c>
      <c r="F6" s="2456">
        <f>财务摘要!F6</f>
        <v>6378.1513559200002</v>
      </c>
      <c r="G6" s="2456">
        <f>财务摘要!G6</f>
        <v>6378.1513559200002</v>
      </c>
      <c r="H6" s="2444"/>
      <c r="I6" s="2457" t="str">
        <f>"Revenue breakdown in "&amp;D5</f>
        <v>Revenue breakdown in 2019</v>
      </c>
      <c r="J6" s="2444"/>
      <c r="K6" s="2444"/>
      <c r="L6" s="2444"/>
      <c r="M6" s="2444"/>
      <c r="N6" s="2449"/>
      <c r="O6" s="2449"/>
      <c r="P6" s="2444"/>
      <c r="Q6" s="2444"/>
      <c r="R6" s="2444"/>
      <c r="S6" s="2444"/>
      <c r="T6" s="2444"/>
      <c r="U6" s="2444"/>
      <c r="V6" s="2444"/>
      <c r="W6" s="2444"/>
      <c r="X6" s="2444"/>
      <c r="Y6" s="2444"/>
      <c r="Z6" s="2444"/>
      <c r="AA6" s="2444"/>
      <c r="AB6" s="2444"/>
      <c r="AC6" s="2444"/>
      <c r="AD6" s="2444"/>
      <c r="AE6" s="2444"/>
      <c r="AF6" s="2444"/>
      <c r="AG6" s="2444"/>
      <c r="AH6" s="2444"/>
      <c r="AI6" s="2444"/>
      <c r="AJ6" s="2444"/>
      <c r="AK6" s="2444"/>
      <c r="AL6" s="2444"/>
      <c r="AM6" s="2444"/>
      <c r="AN6" s="2444"/>
      <c r="AO6" s="2444"/>
      <c r="AP6" s="2444"/>
      <c r="AQ6" s="2444"/>
      <c r="AR6" s="2444"/>
      <c r="AS6" s="2444"/>
      <c r="AT6" s="2444"/>
      <c r="AU6" s="2444"/>
    </row>
    <row r="7" spans="1:52" ht="18" customHeight="1">
      <c r="A7" s="2444"/>
      <c r="B7" s="2458" t="s">
        <v>1484</v>
      </c>
      <c r="C7" s="2456">
        <f>财务摘要!C7</f>
        <v>4809.73609786</v>
      </c>
      <c r="D7" s="2456">
        <f>财务摘要!D7</f>
        <v>6378.1513559200002</v>
      </c>
      <c r="E7" s="2456">
        <f>财务摘要!E7</f>
        <v>6378.1513559200002</v>
      </c>
      <c r="F7" s="2456">
        <f>财务摘要!F7</f>
        <v>6378.1513559200002</v>
      </c>
      <c r="G7" s="2456">
        <f>财务摘要!G7</f>
        <v>6378.1513559200002</v>
      </c>
      <c r="H7" s="2444"/>
      <c r="I7" s="2457"/>
      <c r="J7" s="2444"/>
      <c r="K7" s="2444"/>
      <c r="L7" s="2444"/>
      <c r="M7" s="2444"/>
      <c r="N7" s="2449"/>
      <c r="O7" s="2449"/>
      <c r="P7" s="2444"/>
      <c r="Q7" s="2444"/>
      <c r="R7" s="2444"/>
      <c r="S7" s="2444"/>
      <c r="T7" s="2444"/>
      <c r="U7" s="2444"/>
      <c r="V7" s="2444"/>
      <c r="W7" s="2444"/>
      <c r="X7" s="2444"/>
      <c r="Y7" s="2444"/>
      <c r="Z7" s="2444"/>
      <c r="AA7" s="2444"/>
      <c r="AB7" s="2444"/>
      <c r="AC7" s="2444"/>
      <c r="AD7" s="2444"/>
      <c r="AE7" s="2444"/>
      <c r="AF7" s="2444"/>
      <c r="AG7" s="2444"/>
      <c r="AH7" s="2444"/>
      <c r="AI7" s="2444"/>
      <c r="AJ7" s="2444"/>
      <c r="AK7" s="2444"/>
      <c r="AL7" s="2444"/>
      <c r="AM7" s="2444"/>
      <c r="AN7" s="2444"/>
      <c r="AO7" s="2444"/>
      <c r="AP7" s="2444"/>
      <c r="AQ7" s="2444"/>
      <c r="AR7" s="2444"/>
      <c r="AS7" s="2444"/>
      <c r="AT7" s="2444"/>
      <c r="AU7" s="2444"/>
    </row>
    <row r="8" spans="1:52" ht="18" customHeight="1">
      <c r="A8" s="2444"/>
      <c r="B8" s="2459" t="s">
        <v>1485</v>
      </c>
      <c r="C8" s="2456">
        <f>财务摘要!C8</f>
        <v>0</v>
      </c>
      <c r="D8" s="2456">
        <f>财务摘要!D8</f>
        <v>1</v>
      </c>
      <c r="E8" s="2456">
        <f>财务摘要!E8</f>
        <v>0</v>
      </c>
      <c r="F8" s="2456">
        <f>财务摘要!F8</f>
        <v>0</v>
      </c>
      <c r="G8" s="2456">
        <f>财务摘要!G8</f>
        <v>0</v>
      </c>
      <c r="H8" s="2444"/>
      <c r="I8" s="2444"/>
      <c r="J8" s="2444"/>
      <c r="K8" s="2444"/>
      <c r="L8" s="2444"/>
      <c r="M8" s="2444"/>
      <c r="N8" s="2449"/>
      <c r="O8" s="2449"/>
      <c r="P8" s="2444"/>
      <c r="Q8" s="2444"/>
      <c r="R8" s="2444"/>
      <c r="S8" s="2444"/>
      <c r="T8" s="2444"/>
      <c r="U8" s="2444"/>
      <c r="V8" s="2444"/>
      <c r="W8" s="2444"/>
      <c r="X8" s="2444"/>
      <c r="Y8" s="2444"/>
      <c r="Z8" s="2444"/>
      <c r="AA8" s="2444"/>
      <c r="AB8" s="2444"/>
      <c r="AC8" s="2444"/>
      <c r="AD8" s="2444"/>
      <c r="AE8" s="2444"/>
      <c r="AF8" s="2444"/>
      <c r="AG8" s="2444"/>
      <c r="AH8" s="2444"/>
      <c r="AI8" s="2444"/>
      <c r="AJ8" s="2444"/>
      <c r="AK8" s="2444"/>
      <c r="AL8" s="2444"/>
      <c r="AM8" s="2444"/>
      <c r="AN8" s="2444"/>
      <c r="AO8" s="2444"/>
      <c r="AP8" s="2444"/>
      <c r="AQ8" s="2444"/>
      <c r="AR8" s="2444"/>
      <c r="AS8" s="2444"/>
      <c r="AT8" s="2444"/>
      <c r="AU8" s="2444"/>
    </row>
    <row r="9" spans="1:52" ht="18" customHeight="1">
      <c r="A9" s="2444"/>
      <c r="B9" s="2459" t="s">
        <v>1486</v>
      </c>
      <c r="C9" s="2456">
        <f>财务摘要!C9</f>
        <v>0</v>
      </c>
      <c r="D9" s="2456">
        <f>财务摘要!D9</f>
        <v>1</v>
      </c>
      <c r="E9" s="2456">
        <f>财务摘要!E9</f>
        <v>0</v>
      </c>
      <c r="F9" s="2456">
        <f>财务摘要!F9</f>
        <v>0</v>
      </c>
      <c r="G9" s="2456">
        <f>财务摘要!G9</f>
        <v>0</v>
      </c>
      <c r="H9" s="2444"/>
      <c r="I9" s="2444"/>
      <c r="J9" s="2444"/>
      <c r="K9" s="2444"/>
      <c r="L9" s="2444"/>
      <c r="M9" s="2444"/>
      <c r="N9" s="2449"/>
      <c r="O9" s="2449"/>
      <c r="P9" s="2444"/>
      <c r="Q9" s="2444"/>
      <c r="R9" s="2444"/>
      <c r="S9" s="2444"/>
      <c r="T9" s="2444"/>
      <c r="U9" s="2444"/>
      <c r="V9" s="2444"/>
      <c r="W9" s="2444"/>
      <c r="X9" s="2444"/>
      <c r="Y9" s="2444"/>
      <c r="Z9" s="2444"/>
      <c r="AA9" s="2444"/>
      <c r="AB9" s="2444"/>
      <c r="AC9" s="2444"/>
      <c r="AD9" s="2444"/>
      <c r="AE9" s="2444"/>
      <c r="AF9" s="2444"/>
      <c r="AG9" s="2444"/>
      <c r="AH9" s="2444"/>
      <c r="AI9" s="2444"/>
      <c r="AJ9" s="2444"/>
      <c r="AK9" s="2444"/>
      <c r="AL9" s="2444"/>
      <c r="AM9" s="2444"/>
      <c r="AN9" s="2444"/>
      <c r="AO9" s="2444"/>
      <c r="AP9" s="2444"/>
      <c r="AQ9" s="2444"/>
      <c r="AR9" s="2444"/>
      <c r="AS9" s="2444"/>
      <c r="AT9" s="2444"/>
      <c r="AU9" s="2444"/>
    </row>
    <row r="10" spans="1:52" ht="18" customHeight="1">
      <c r="A10" s="2444"/>
      <c r="B10" s="2459" t="s">
        <v>1487</v>
      </c>
      <c r="C10" s="2456">
        <f>财务摘要!C10</f>
        <v>0</v>
      </c>
      <c r="D10" s="2456">
        <f>财务摘要!D10</f>
        <v>1</v>
      </c>
      <c r="E10" s="2456">
        <f>财务摘要!E10</f>
        <v>0</v>
      </c>
      <c r="F10" s="2456">
        <f>财务摘要!F10</f>
        <v>0</v>
      </c>
      <c r="G10" s="2456">
        <f>财务摘要!G10</f>
        <v>0</v>
      </c>
      <c r="H10" s="2444"/>
      <c r="I10" s="2444"/>
      <c r="J10" s="2444"/>
      <c r="K10" s="2444"/>
      <c r="L10" s="2444"/>
      <c r="M10" s="2444"/>
      <c r="N10" s="2449"/>
      <c r="O10" s="2449"/>
      <c r="P10" s="2444"/>
      <c r="Q10" s="2444"/>
      <c r="R10" s="2444"/>
      <c r="S10" s="2444"/>
      <c r="T10" s="2444"/>
      <c r="U10" s="2444"/>
      <c r="V10" s="2444"/>
      <c r="W10" s="2444"/>
      <c r="X10" s="2444"/>
      <c r="Y10" s="2444"/>
      <c r="Z10" s="2444"/>
      <c r="AA10" s="2444"/>
      <c r="AB10" s="2444"/>
      <c r="AC10" s="2444"/>
      <c r="AD10" s="2444"/>
      <c r="AE10" s="2444"/>
      <c r="AF10" s="2444"/>
      <c r="AG10" s="2444"/>
      <c r="AH10" s="2444"/>
      <c r="AI10" s="2444"/>
      <c r="AJ10" s="2444"/>
      <c r="AK10" s="2444"/>
      <c r="AL10" s="2444"/>
      <c r="AM10" s="2444"/>
      <c r="AN10" s="2444"/>
      <c r="AO10" s="2444"/>
      <c r="AP10" s="2444"/>
      <c r="AQ10" s="2444"/>
      <c r="AR10" s="2444"/>
      <c r="AS10" s="2444"/>
      <c r="AT10" s="2444"/>
      <c r="AU10" s="2444"/>
    </row>
    <row r="11" spans="1:52" ht="18" customHeight="1">
      <c r="A11" s="2444"/>
      <c r="B11" s="2459" t="s">
        <v>1488</v>
      </c>
      <c r="C11" s="2456">
        <f>财务摘要!C11</f>
        <v>0</v>
      </c>
      <c r="D11" s="2456">
        <f>财务摘要!D11</f>
        <v>1</v>
      </c>
      <c r="E11" s="2456">
        <f>财务摘要!E11</f>
        <v>0</v>
      </c>
      <c r="F11" s="2456">
        <f>财务摘要!F11</f>
        <v>0</v>
      </c>
      <c r="G11" s="2456">
        <f>财务摘要!G11</f>
        <v>0</v>
      </c>
      <c r="H11" s="2444"/>
      <c r="I11" s="2444"/>
      <c r="J11" s="2444"/>
      <c r="K11" s="2444"/>
      <c r="L11" s="2444"/>
      <c r="M11" s="2444"/>
      <c r="N11" s="2449"/>
      <c r="O11" s="2449"/>
      <c r="P11" s="2444"/>
      <c r="Q11" s="2444"/>
      <c r="R11" s="2444"/>
      <c r="S11" s="2444"/>
      <c r="T11" s="2444"/>
      <c r="U11" s="2444"/>
      <c r="V11" s="2444"/>
      <c r="W11" s="2444"/>
      <c r="X11" s="2444"/>
      <c r="Y11" s="2444"/>
      <c r="Z11" s="2444"/>
      <c r="AA11" s="2444"/>
      <c r="AB11" s="2444"/>
      <c r="AC11" s="2444"/>
      <c r="AD11" s="2444"/>
      <c r="AE11" s="2444"/>
      <c r="AF11" s="2444"/>
      <c r="AG11" s="2444"/>
      <c r="AH11" s="2444"/>
      <c r="AI11" s="2444"/>
      <c r="AJ11" s="2444"/>
      <c r="AK11" s="2444"/>
      <c r="AL11" s="2444"/>
      <c r="AM11" s="2444"/>
      <c r="AN11" s="2444"/>
      <c r="AO11" s="2444"/>
      <c r="AP11" s="2444"/>
      <c r="AQ11" s="2444"/>
      <c r="AR11" s="2444"/>
      <c r="AS11" s="2444"/>
      <c r="AT11" s="2444"/>
      <c r="AU11" s="2444"/>
    </row>
    <row r="12" spans="1:52" ht="18" customHeight="1">
      <c r="A12" s="2444"/>
      <c r="B12" s="2459" t="s">
        <v>1577</v>
      </c>
      <c r="C12" s="2456">
        <f>财务摘要!C12</f>
        <v>0</v>
      </c>
      <c r="D12" s="2456">
        <f>财务摘要!D12</f>
        <v>1</v>
      </c>
      <c r="E12" s="2456">
        <f>财务摘要!E12</f>
        <v>0</v>
      </c>
      <c r="F12" s="2456">
        <f>财务摘要!F12</f>
        <v>0</v>
      </c>
      <c r="G12" s="2456">
        <f>财务摘要!G12</f>
        <v>0</v>
      </c>
      <c r="H12" s="2444"/>
      <c r="I12" s="2444"/>
      <c r="J12" s="2444"/>
      <c r="K12" s="2444"/>
      <c r="L12" s="2444"/>
      <c r="M12" s="2444"/>
      <c r="N12" s="2449"/>
      <c r="O12" s="2449"/>
      <c r="P12" s="2444"/>
      <c r="Q12" s="2444"/>
      <c r="R12" s="2444"/>
      <c r="S12" s="2444"/>
      <c r="T12" s="2444"/>
      <c r="U12" s="2444"/>
      <c r="V12" s="2444"/>
      <c r="W12" s="2444"/>
      <c r="X12" s="2444"/>
      <c r="Y12" s="2444"/>
      <c r="Z12" s="2444"/>
      <c r="AA12" s="2444"/>
      <c r="AB12" s="2444"/>
      <c r="AC12" s="2444"/>
      <c r="AD12" s="2444"/>
      <c r="AE12" s="2444"/>
      <c r="AF12" s="2444"/>
      <c r="AG12" s="2444"/>
      <c r="AH12" s="2444"/>
      <c r="AI12" s="2444"/>
      <c r="AJ12" s="2444"/>
      <c r="AK12" s="2444"/>
      <c r="AL12" s="2444"/>
      <c r="AM12" s="2444"/>
      <c r="AN12" s="2444"/>
      <c r="AO12" s="2444"/>
      <c r="AP12" s="2444"/>
      <c r="AQ12" s="2444"/>
      <c r="AR12" s="2444"/>
      <c r="AS12" s="2444"/>
      <c r="AT12" s="2444"/>
      <c r="AU12" s="2444"/>
    </row>
    <row r="13" spans="1:52" ht="18" customHeight="1">
      <c r="A13" s="2444"/>
      <c r="B13" s="2460" t="s">
        <v>1489</v>
      </c>
      <c r="C13" s="2456">
        <f>财务摘要!C13</f>
        <v>4331.7590222899998</v>
      </c>
      <c r="D13" s="2456">
        <f>财务摘要!D13</f>
        <v>5514.07059192</v>
      </c>
      <c r="E13" s="2456">
        <f ca="1">财务摘要!E13</f>
        <v>7884.1366412316775</v>
      </c>
      <c r="F13" s="2456">
        <f ca="1">财务摘要!F13</f>
        <v>8143.9739502080538</v>
      </c>
      <c r="G13" s="2456">
        <f ca="1">财务摘要!G13</f>
        <v>8134.435336486551</v>
      </c>
      <c r="H13" s="2444"/>
      <c r="I13" s="2444"/>
      <c r="J13" s="2444"/>
      <c r="K13" s="2444"/>
      <c r="L13" s="2444"/>
      <c r="M13" s="2444"/>
      <c r="N13" s="2461"/>
      <c r="O13" s="2449"/>
      <c r="P13" s="2444"/>
      <c r="Q13" s="2444"/>
      <c r="R13" s="2444"/>
      <c r="S13" s="2444"/>
      <c r="T13" s="2444"/>
      <c r="U13" s="2444"/>
      <c r="V13" s="2444"/>
      <c r="W13" s="2444"/>
      <c r="X13" s="2444"/>
      <c r="Y13" s="2444"/>
      <c r="Z13" s="2444"/>
      <c r="AA13" s="2444"/>
      <c r="AB13" s="2444"/>
      <c r="AC13" s="2444"/>
      <c r="AD13" s="2444"/>
      <c r="AE13" s="2444"/>
      <c r="AF13" s="2444"/>
      <c r="AG13" s="2444"/>
      <c r="AH13" s="2444"/>
      <c r="AI13" s="2444"/>
      <c r="AJ13" s="2444"/>
      <c r="AK13" s="2444"/>
      <c r="AL13" s="2444"/>
      <c r="AM13" s="2444"/>
      <c r="AN13" s="2444"/>
      <c r="AO13" s="2444"/>
      <c r="AP13" s="2444"/>
      <c r="AQ13" s="2444"/>
      <c r="AR13" s="2444"/>
      <c r="AS13" s="2444"/>
      <c r="AT13" s="2444"/>
      <c r="AU13" s="2444"/>
    </row>
    <row r="14" spans="1:52" ht="18" customHeight="1">
      <c r="A14" s="2444"/>
      <c r="B14" s="2460" t="s">
        <v>1490</v>
      </c>
      <c r="C14" s="2456">
        <f>财务摘要!C14</f>
        <v>3863.78724121</v>
      </c>
      <c r="D14" s="2456">
        <f>财务摘要!D14</f>
        <v>5079.2705365800002</v>
      </c>
      <c r="E14" s="2456">
        <f>财务摘要!E14</f>
        <v>5082.3547035464026</v>
      </c>
      <c r="F14" s="2456">
        <f>财务摘要!F14</f>
        <v>5095.1205406454546</v>
      </c>
      <c r="G14" s="2456">
        <f>财务摘要!G14</f>
        <v>5085.5819269239528</v>
      </c>
      <c r="H14" s="2444"/>
      <c r="I14" s="2444"/>
      <c r="J14" s="2444"/>
      <c r="K14" s="2444"/>
      <c r="L14" s="2444"/>
      <c r="M14" s="2444"/>
      <c r="N14" s="2462"/>
      <c r="O14" s="2449"/>
      <c r="P14" s="2444"/>
      <c r="Q14" s="2444"/>
      <c r="R14" s="2444"/>
      <c r="S14" s="2444"/>
      <c r="T14" s="2444"/>
      <c r="U14" s="2444"/>
      <c r="V14" s="2444"/>
      <c r="W14" s="2444"/>
      <c r="X14" s="2444"/>
      <c r="Y14" s="2444"/>
      <c r="Z14" s="2444"/>
      <c r="AA14" s="2444"/>
      <c r="AB14" s="2444"/>
      <c r="AC14" s="2444"/>
      <c r="AD14" s="2444"/>
      <c r="AE14" s="2444"/>
      <c r="AF14" s="2444"/>
      <c r="AG14" s="2444"/>
      <c r="AH14" s="2444"/>
      <c r="AI14" s="2444"/>
      <c r="AJ14" s="2444"/>
      <c r="AK14" s="2444"/>
      <c r="AL14" s="2444"/>
      <c r="AM14" s="2444"/>
      <c r="AN14" s="2444"/>
      <c r="AO14" s="2444"/>
      <c r="AP14" s="2444"/>
      <c r="AQ14" s="2444"/>
      <c r="AR14" s="2444"/>
      <c r="AS14" s="2444"/>
      <c r="AT14" s="2444"/>
      <c r="AU14" s="2444"/>
    </row>
    <row r="15" spans="1:52" ht="18" customHeight="1">
      <c r="A15" s="2444"/>
      <c r="B15" s="2459" t="s">
        <v>1485</v>
      </c>
      <c r="C15" s="2456">
        <f>财务摘要!C15</f>
        <v>0</v>
      </c>
      <c r="D15" s="2456">
        <f>财务摘要!D15</f>
        <v>1</v>
      </c>
      <c r="E15" s="2456">
        <f>财务摘要!E15</f>
        <v>0</v>
      </c>
      <c r="F15" s="2456">
        <f>财务摘要!F15</f>
        <v>0</v>
      </c>
      <c r="G15" s="2456">
        <f>财务摘要!G15</f>
        <v>0</v>
      </c>
      <c r="H15" s="2444"/>
      <c r="I15" s="2444"/>
      <c r="J15" s="2444"/>
      <c r="K15" s="2444"/>
      <c r="L15" s="2444"/>
      <c r="M15" s="2444"/>
      <c r="N15" s="2462"/>
      <c r="O15" s="2449"/>
      <c r="P15" s="2444"/>
      <c r="Q15" s="2444"/>
      <c r="R15" s="2444"/>
      <c r="S15" s="2444"/>
      <c r="T15" s="2444"/>
      <c r="U15" s="2444"/>
      <c r="V15" s="2444"/>
      <c r="W15" s="2444"/>
      <c r="X15" s="2444"/>
      <c r="Y15" s="2444"/>
      <c r="Z15" s="2444"/>
      <c r="AA15" s="2444"/>
      <c r="AB15" s="2444"/>
      <c r="AC15" s="2444"/>
      <c r="AD15" s="2444"/>
      <c r="AE15" s="2444"/>
      <c r="AF15" s="2444"/>
      <c r="AG15" s="2444"/>
      <c r="AH15" s="2444"/>
      <c r="AI15" s="2444"/>
      <c r="AJ15" s="2444"/>
      <c r="AK15" s="2444"/>
      <c r="AL15" s="2444"/>
      <c r="AM15" s="2444"/>
      <c r="AN15" s="2444"/>
      <c r="AO15" s="2444"/>
      <c r="AP15" s="2444"/>
      <c r="AQ15" s="2444"/>
      <c r="AR15" s="2444"/>
      <c r="AS15" s="2444"/>
      <c r="AT15" s="2444"/>
      <c r="AU15" s="2444"/>
    </row>
    <row r="16" spans="1:52" ht="18" customHeight="1">
      <c r="A16" s="2444"/>
      <c r="B16" s="2459" t="s">
        <v>1486</v>
      </c>
      <c r="C16" s="2456">
        <f>财务摘要!C16</f>
        <v>0</v>
      </c>
      <c r="D16" s="2456">
        <f>财务摘要!D16</f>
        <v>1</v>
      </c>
      <c r="E16" s="2456">
        <f>财务摘要!E16</f>
        <v>0</v>
      </c>
      <c r="F16" s="2456">
        <f>财务摘要!F16</f>
        <v>0</v>
      </c>
      <c r="G16" s="2456">
        <f>财务摘要!G16</f>
        <v>0</v>
      </c>
      <c r="H16" s="2444"/>
      <c r="I16" s="2444"/>
      <c r="J16" s="2444"/>
      <c r="K16" s="2444"/>
      <c r="L16" s="2444"/>
      <c r="M16" s="2444"/>
      <c r="N16" s="2452"/>
      <c r="O16" s="2449"/>
      <c r="P16" s="2462"/>
      <c r="Q16" s="2462"/>
      <c r="R16" s="2462"/>
      <c r="S16" s="2462"/>
      <c r="T16" s="2449"/>
      <c r="U16" s="2444"/>
      <c r="V16" s="2444"/>
      <c r="W16" s="2444"/>
      <c r="X16" s="2444"/>
      <c r="Y16" s="2444"/>
      <c r="Z16" s="2444"/>
      <c r="AA16" s="2444"/>
      <c r="AB16" s="2444"/>
      <c r="AC16" s="2444"/>
      <c r="AD16" s="2444"/>
      <c r="AE16" s="2444"/>
      <c r="AF16" s="2444"/>
      <c r="AG16" s="2444"/>
      <c r="AH16" s="2444"/>
      <c r="AI16" s="2444"/>
      <c r="AJ16" s="2444"/>
      <c r="AK16" s="2444"/>
      <c r="AL16" s="2444"/>
      <c r="AM16" s="2444"/>
      <c r="AN16" s="2444"/>
      <c r="AO16" s="2444"/>
      <c r="AP16" s="2444"/>
      <c r="AQ16" s="2444"/>
      <c r="AR16" s="2444"/>
      <c r="AS16" s="2444"/>
      <c r="AT16" s="2444"/>
      <c r="AU16" s="2444"/>
      <c r="AV16" s="2444"/>
      <c r="AW16" s="2444"/>
      <c r="AX16" s="2444"/>
      <c r="AY16" s="2444"/>
      <c r="AZ16" s="2444"/>
    </row>
    <row r="17" spans="1:52" ht="18" customHeight="1">
      <c r="A17" s="2444"/>
      <c r="B17" s="2459" t="s">
        <v>1487</v>
      </c>
      <c r="C17" s="2456">
        <f>财务摘要!C17</f>
        <v>0</v>
      </c>
      <c r="D17" s="2456">
        <f>财务摘要!D17</f>
        <v>1</v>
      </c>
      <c r="E17" s="2456">
        <f>财务摘要!E17</f>
        <v>0</v>
      </c>
      <c r="F17" s="2456">
        <f>财务摘要!F17</f>
        <v>0</v>
      </c>
      <c r="G17" s="2456">
        <f>财务摘要!G17</f>
        <v>0</v>
      </c>
      <c r="H17" s="2444"/>
      <c r="I17" s="2444"/>
      <c r="J17" s="2444"/>
      <c r="K17" s="2444"/>
      <c r="L17" s="2444"/>
      <c r="M17" s="2444"/>
      <c r="N17" s="2452"/>
      <c r="O17" s="2449"/>
      <c r="P17" s="2462"/>
      <c r="Q17" s="2462"/>
      <c r="R17" s="2462"/>
      <c r="S17" s="2462"/>
      <c r="T17" s="2449"/>
      <c r="U17" s="2444"/>
      <c r="V17" s="2444"/>
      <c r="W17" s="2444"/>
      <c r="X17" s="2444"/>
      <c r="Y17" s="2444"/>
      <c r="Z17" s="2444"/>
      <c r="AA17" s="2444"/>
      <c r="AB17" s="2444"/>
      <c r="AC17" s="2444"/>
      <c r="AD17" s="2444"/>
      <c r="AE17" s="2444"/>
      <c r="AF17" s="2444"/>
      <c r="AG17" s="2444"/>
      <c r="AH17" s="2444"/>
      <c r="AI17" s="2444"/>
      <c r="AJ17" s="2444"/>
      <c r="AK17" s="2444"/>
      <c r="AL17" s="2444"/>
      <c r="AM17" s="2444"/>
      <c r="AN17" s="2444"/>
      <c r="AO17" s="2444"/>
      <c r="AP17" s="2444"/>
      <c r="AQ17" s="2444"/>
      <c r="AR17" s="2444"/>
      <c r="AS17" s="2444"/>
      <c r="AT17" s="2444"/>
      <c r="AU17" s="2444"/>
      <c r="AV17" s="2444"/>
      <c r="AW17" s="2444"/>
      <c r="AX17" s="2444"/>
      <c r="AY17" s="2444"/>
      <c r="AZ17" s="2444"/>
    </row>
    <row r="18" spans="1:52" ht="18" customHeight="1">
      <c r="A18" s="2444"/>
      <c r="B18" s="2459" t="s">
        <v>1491</v>
      </c>
      <c r="C18" s="2456">
        <f>财务摘要!C18</f>
        <v>0</v>
      </c>
      <c r="D18" s="2456">
        <f>财务摘要!D18</f>
        <v>1</v>
      </c>
      <c r="E18" s="2456">
        <f>财务摘要!E18</f>
        <v>0</v>
      </c>
      <c r="F18" s="2456">
        <f>财务摘要!F18</f>
        <v>0</v>
      </c>
      <c r="G18" s="2456">
        <f>财务摘要!G18</f>
        <v>0</v>
      </c>
      <c r="H18" s="2444"/>
      <c r="I18" s="2444"/>
      <c r="J18" s="2444"/>
      <c r="K18" s="2444"/>
      <c r="L18" s="2444"/>
      <c r="M18" s="2444"/>
      <c r="N18" s="2452"/>
      <c r="O18" s="2449"/>
      <c r="P18" s="2449"/>
      <c r="Q18" s="2449"/>
      <c r="R18" s="2449"/>
      <c r="S18" s="2449"/>
      <c r="T18" s="2449"/>
      <c r="U18" s="2444"/>
      <c r="V18" s="2444"/>
      <c r="W18" s="2444"/>
      <c r="X18" s="2444"/>
      <c r="Y18" s="2444"/>
      <c r="Z18" s="2444"/>
      <c r="AA18" s="2444"/>
      <c r="AB18" s="2444"/>
      <c r="AC18" s="2444"/>
      <c r="AD18" s="2444"/>
      <c r="AE18" s="2444"/>
      <c r="AF18" s="2444"/>
      <c r="AG18" s="2444"/>
      <c r="AH18" s="2444"/>
      <c r="AI18" s="2444"/>
      <c r="AJ18" s="2444"/>
      <c r="AK18" s="2444"/>
      <c r="AL18" s="2444"/>
      <c r="AM18" s="2444"/>
      <c r="AN18" s="2444"/>
      <c r="AO18" s="2444"/>
      <c r="AP18" s="2444"/>
      <c r="AQ18" s="2444"/>
      <c r="AR18" s="2444"/>
      <c r="AS18" s="2444"/>
      <c r="AT18" s="2444"/>
      <c r="AU18" s="2444"/>
      <c r="AV18" s="2444"/>
      <c r="AW18" s="2444"/>
      <c r="AX18" s="2444"/>
      <c r="AY18" s="2444"/>
      <c r="AZ18" s="2444"/>
    </row>
    <row r="19" spans="1:52" ht="18" customHeight="1">
      <c r="A19" s="2444"/>
      <c r="B19" s="2459" t="s">
        <v>1578</v>
      </c>
      <c r="C19" s="2456">
        <f>财务摘要!C19</f>
        <v>0</v>
      </c>
      <c r="D19" s="2456">
        <f>财务摘要!D19</f>
        <v>1</v>
      </c>
      <c r="E19" s="2456">
        <f>财务摘要!E19</f>
        <v>0</v>
      </c>
      <c r="F19" s="2456">
        <f>财务摘要!F19</f>
        <v>0</v>
      </c>
      <c r="G19" s="2456">
        <f>财务摘要!G19</f>
        <v>0</v>
      </c>
      <c r="H19" s="2444"/>
      <c r="I19" s="2444"/>
      <c r="J19" s="2444"/>
      <c r="K19" s="2444"/>
      <c r="L19" s="2444"/>
      <c r="M19" s="2444"/>
      <c r="N19" s="2452"/>
      <c r="O19" s="2449"/>
      <c r="P19" s="2449"/>
      <c r="Q19" s="2449"/>
      <c r="R19" s="2449"/>
      <c r="S19" s="2449"/>
      <c r="T19" s="2449"/>
      <c r="U19" s="2444"/>
      <c r="V19" s="2444"/>
      <c r="W19" s="2444"/>
      <c r="X19" s="2444"/>
      <c r="Y19" s="2444"/>
      <c r="Z19" s="2444"/>
      <c r="AA19" s="2444"/>
      <c r="AB19" s="2444"/>
      <c r="AC19" s="2444"/>
      <c r="AD19" s="2444"/>
      <c r="AE19" s="2444"/>
      <c r="AF19" s="2444"/>
      <c r="AG19" s="2444"/>
      <c r="AH19" s="2444"/>
      <c r="AI19" s="2444"/>
      <c r="AJ19" s="2444"/>
      <c r="AK19" s="2444"/>
      <c r="AL19" s="2444"/>
      <c r="AM19" s="2444"/>
      <c r="AN19" s="2444"/>
      <c r="AO19" s="2444"/>
      <c r="AP19" s="2444"/>
      <c r="AQ19" s="2444"/>
      <c r="AR19" s="2444"/>
      <c r="AS19" s="2444"/>
      <c r="AT19" s="2444"/>
      <c r="AU19" s="2444"/>
      <c r="AV19" s="2444"/>
      <c r="AW19" s="2444"/>
      <c r="AX19" s="2444"/>
      <c r="AY19" s="2444"/>
      <c r="AZ19" s="2444"/>
    </row>
    <row r="20" spans="1:52" ht="18" customHeight="1">
      <c r="A20" s="2444"/>
      <c r="B20" s="2460" t="s">
        <v>1492</v>
      </c>
      <c r="C20" s="2456">
        <f>财务摘要!C20</f>
        <v>19.415506629999999</v>
      </c>
      <c r="D20" s="2456">
        <f>财务摘要!D20</f>
        <v>21.80349241</v>
      </c>
      <c r="E20" s="2456">
        <f>财务摘要!E20</f>
        <v>21.80349241</v>
      </c>
      <c r="F20" s="2456">
        <f>财务摘要!F20</f>
        <v>21.80349241</v>
      </c>
      <c r="G20" s="2456">
        <f>财务摘要!G20</f>
        <v>21.80349241</v>
      </c>
      <c r="H20" s="2444"/>
      <c r="I20" s="2444"/>
      <c r="J20" s="2444"/>
      <c r="K20" s="2444"/>
      <c r="L20" s="2444"/>
      <c r="M20" s="2444"/>
      <c r="N20" s="2452"/>
      <c r="O20" s="2449"/>
      <c r="P20" s="2462"/>
      <c r="Q20" s="2462"/>
      <c r="R20" s="2462"/>
      <c r="S20" s="2462"/>
      <c r="T20" s="2449"/>
      <c r="U20" s="2444"/>
      <c r="V20" s="2444"/>
      <c r="W20" s="2444"/>
      <c r="X20" s="2444"/>
      <c r="Y20" s="2444"/>
      <c r="Z20" s="2444"/>
      <c r="AA20" s="2444"/>
      <c r="AB20" s="2444"/>
      <c r="AC20" s="2444"/>
      <c r="AD20" s="2444"/>
      <c r="AE20" s="2444"/>
      <c r="AF20" s="2444"/>
      <c r="AG20" s="2444"/>
      <c r="AH20" s="2444"/>
      <c r="AI20" s="2444"/>
      <c r="AJ20" s="2444"/>
      <c r="AK20" s="2444"/>
      <c r="AL20" s="2444"/>
      <c r="AM20" s="2444"/>
      <c r="AN20" s="2444"/>
      <c r="AO20" s="2444"/>
      <c r="AP20" s="2444"/>
      <c r="AQ20" s="2444"/>
      <c r="AR20" s="2444"/>
      <c r="AS20" s="2444"/>
      <c r="AT20" s="2444"/>
      <c r="AU20" s="2444"/>
      <c r="AV20" s="2444"/>
      <c r="AW20" s="2444"/>
      <c r="AX20" s="2444"/>
      <c r="AY20" s="2444"/>
      <c r="AZ20" s="2444"/>
    </row>
    <row r="21" spans="1:52" ht="18" customHeight="1">
      <c r="A21" s="2444"/>
      <c r="B21" s="2460" t="s">
        <v>1493</v>
      </c>
      <c r="C21" s="2456">
        <f>财务摘要!C21</f>
        <v>86.986311489999991</v>
      </c>
      <c r="D21" s="2456">
        <f>财务摘要!D21</f>
        <v>112.84909105</v>
      </c>
      <c r="E21" s="2456">
        <f>财务摘要!E21</f>
        <v>112.84909104999998</v>
      </c>
      <c r="F21" s="2456">
        <f>财务摘要!F21</f>
        <v>112.84909104999998</v>
      </c>
      <c r="G21" s="2456">
        <f>财务摘要!G21</f>
        <v>112.84909104999998</v>
      </c>
      <c r="H21" s="2444"/>
      <c r="I21" s="2444"/>
      <c r="J21" s="2444"/>
      <c r="K21" s="2444"/>
      <c r="L21" s="2444"/>
      <c r="M21" s="2444"/>
      <c r="N21" s="2452"/>
      <c r="O21" s="2449"/>
      <c r="P21" s="2462"/>
      <c r="Q21" s="2462"/>
      <c r="R21" s="2462"/>
      <c r="S21" s="2462"/>
      <c r="T21" s="2449"/>
      <c r="U21" s="2444"/>
      <c r="V21" s="2444"/>
      <c r="W21" s="2444"/>
      <c r="X21" s="2444"/>
      <c r="Y21" s="2444"/>
      <c r="Z21" s="2444"/>
      <c r="AA21" s="2444"/>
      <c r="AB21" s="2444"/>
      <c r="AC21" s="2444"/>
      <c r="AD21" s="2444"/>
      <c r="AE21" s="2444"/>
      <c r="AF21" s="2444"/>
      <c r="AG21" s="2444"/>
      <c r="AH21" s="2444"/>
      <c r="AI21" s="2444"/>
      <c r="AJ21" s="2444"/>
      <c r="AK21" s="2444"/>
      <c r="AL21" s="2444"/>
      <c r="AM21" s="2444"/>
      <c r="AN21" s="2444"/>
      <c r="AO21" s="2444"/>
      <c r="AP21" s="2444"/>
      <c r="AQ21" s="2444"/>
      <c r="AR21" s="2444"/>
      <c r="AS21" s="2444"/>
      <c r="AT21" s="2444"/>
      <c r="AU21" s="2444"/>
      <c r="AV21" s="2444"/>
      <c r="AW21" s="2444"/>
      <c r="AX21" s="2444"/>
      <c r="AY21" s="2444"/>
      <c r="AZ21" s="2444"/>
    </row>
    <row r="22" spans="1:52" ht="18" customHeight="1">
      <c r="A22" s="2444"/>
      <c r="B22" s="2460" t="s">
        <v>1494</v>
      </c>
      <c r="C22" s="2456">
        <f>财务摘要!C22</f>
        <v>84.266100010000002</v>
      </c>
      <c r="D22" s="2456">
        <f>财务摘要!D22</f>
        <v>97.549293969999994</v>
      </c>
      <c r="E22" s="2456">
        <f>财务摘要!E22</f>
        <v>97.549293969999994</v>
      </c>
      <c r="F22" s="2456">
        <f>财务摘要!F22</f>
        <v>97.549293969999994</v>
      </c>
      <c r="G22" s="2456">
        <f>财务摘要!G22</f>
        <v>97.549293969999994</v>
      </c>
      <c r="H22" s="2444"/>
      <c r="I22" s="2444"/>
      <c r="J22" s="2457"/>
      <c r="K22" s="2457"/>
      <c r="L22" s="2457"/>
      <c r="M22" s="2457"/>
      <c r="N22" s="2452"/>
      <c r="O22" s="2449"/>
      <c r="P22" s="2462"/>
      <c r="Q22" s="2462"/>
      <c r="R22" s="2462"/>
      <c r="S22" s="2462"/>
      <c r="T22" s="2449"/>
      <c r="U22" s="2444"/>
      <c r="V22" s="2444"/>
      <c r="W22" s="2444"/>
      <c r="X22" s="2444"/>
      <c r="Y22" s="2444"/>
      <c r="Z22" s="2444"/>
      <c r="AA22" s="2444"/>
      <c r="AB22" s="2444"/>
      <c r="AC22" s="2444"/>
      <c r="AD22" s="2444"/>
      <c r="AE22" s="2444"/>
      <c r="AF22" s="2444"/>
      <c r="AG22" s="2444"/>
      <c r="AH22" s="2444"/>
      <c r="AI22" s="2444"/>
      <c r="AJ22" s="2444"/>
      <c r="AK22" s="2444"/>
      <c r="AL22" s="2444"/>
      <c r="AM22" s="2444"/>
      <c r="AN22" s="2444"/>
      <c r="AO22" s="2444"/>
      <c r="AP22" s="2444"/>
      <c r="AQ22" s="2444"/>
      <c r="AR22" s="2444"/>
      <c r="AS22" s="2444"/>
      <c r="AT22" s="2444"/>
      <c r="AU22" s="2444"/>
      <c r="AV22" s="2444"/>
      <c r="AW22" s="2444"/>
      <c r="AX22" s="2444"/>
      <c r="AY22" s="2444"/>
      <c r="AZ22" s="2444"/>
    </row>
    <row r="23" spans="1:52" ht="18" customHeight="1">
      <c r="A23" s="2444"/>
      <c r="B23" s="2460" t="s">
        <v>1495</v>
      </c>
      <c r="C23" s="2456">
        <f>财务摘要!C23</f>
        <v>179.47818361</v>
      </c>
      <c r="D23" s="2456">
        <f>财务摘要!D23</f>
        <v>202.87571151</v>
      </c>
      <c r="E23" s="2456">
        <f>财务摘要!E23</f>
        <v>202.87571151</v>
      </c>
      <c r="F23" s="2456">
        <f>财务摘要!F23</f>
        <v>202.87571151</v>
      </c>
      <c r="G23" s="2456">
        <f>财务摘要!G23</f>
        <v>202.87571151</v>
      </c>
      <c r="H23" s="2444"/>
      <c r="I23" s="2444"/>
      <c r="J23" s="2457"/>
      <c r="K23" s="2457"/>
      <c r="L23" s="2457"/>
      <c r="M23" s="2457"/>
      <c r="N23" s="2452"/>
      <c r="O23" s="2449"/>
      <c r="P23" s="2462"/>
      <c r="Q23" s="2462"/>
      <c r="R23" s="2462"/>
      <c r="S23" s="2462"/>
      <c r="T23" s="2449"/>
      <c r="U23" s="2444"/>
      <c r="V23" s="2444"/>
      <c r="W23" s="2444"/>
      <c r="X23" s="2444"/>
      <c r="Y23" s="2444"/>
      <c r="Z23" s="2444"/>
      <c r="AA23" s="2444"/>
      <c r="AB23" s="2444"/>
      <c r="AC23" s="2444"/>
      <c r="AD23" s="2444"/>
      <c r="AE23" s="2444"/>
      <c r="AF23" s="2444"/>
      <c r="AG23" s="2444"/>
      <c r="AH23" s="2444"/>
      <c r="AI23" s="2444"/>
      <c r="AJ23" s="2444"/>
      <c r="AK23" s="2444"/>
      <c r="AL23" s="2444"/>
      <c r="AM23" s="2444"/>
      <c r="AN23" s="2444"/>
      <c r="AO23" s="2444"/>
      <c r="AP23" s="2444"/>
      <c r="AQ23" s="2444"/>
      <c r="AR23" s="2444"/>
      <c r="AS23" s="2444"/>
      <c r="AT23" s="2444"/>
      <c r="AU23" s="2444"/>
      <c r="AV23" s="2444"/>
      <c r="AW23" s="2444"/>
      <c r="AX23" s="2444"/>
      <c r="AY23" s="2444"/>
      <c r="AZ23" s="2444"/>
    </row>
    <row r="24" spans="1:52" ht="18" customHeight="1">
      <c r="A24" s="2444"/>
      <c r="B24" s="2460" t="s">
        <v>1496</v>
      </c>
      <c r="C24" s="2456">
        <f>财务摘要!C24</f>
        <v>-5.4848195300000002</v>
      </c>
      <c r="D24" s="2456">
        <f>财务摘要!D24</f>
        <v>-0.27753359999999999</v>
      </c>
      <c r="E24" s="2456">
        <f ca="1">财务摘要!E24</f>
        <v>2366.7043487452747</v>
      </c>
      <c r="F24" s="2456">
        <f ca="1">财务摘要!F24</f>
        <v>2613.7758206225985</v>
      </c>
      <c r="G24" s="2456">
        <f ca="1">财务摘要!G24</f>
        <v>2613.7758206225985</v>
      </c>
      <c r="H24" s="2444"/>
      <c r="I24" s="2457" t="str">
        <f>"Cost breakdown in "&amp;D5</f>
        <v>Cost breakdown in 2019</v>
      </c>
      <c r="J24" s="2444"/>
      <c r="K24" s="2444"/>
      <c r="L24" s="2444"/>
      <c r="M24" s="2444"/>
      <c r="N24" s="2448"/>
      <c r="O24" s="2449"/>
      <c r="P24" s="2462"/>
      <c r="Q24" s="2462"/>
      <c r="R24" s="2462"/>
      <c r="S24" s="2462"/>
      <c r="T24" s="2449"/>
      <c r="U24" s="2444"/>
      <c r="V24" s="2444"/>
      <c r="W24" s="2444"/>
      <c r="X24" s="2444"/>
      <c r="Y24" s="2444"/>
      <c r="Z24" s="2444"/>
      <c r="AA24" s="2444"/>
      <c r="AB24" s="2444"/>
      <c r="AC24" s="2444"/>
      <c r="AD24" s="2444"/>
      <c r="AE24" s="2444"/>
      <c r="AF24" s="2444"/>
      <c r="AG24" s="2444"/>
      <c r="AH24" s="2444"/>
      <c r="AI24" s="2444"/>
      <c r="AJ24" s="2444"/>
      <c r="AK24" s="2444"/>
      <c r="AL24" s="2444"/>
      <c r="AM24" s="2444"/>
      <c r="AN24" s="2444"/>
      <c r="AO24" s="2444"/>
      <c r="AP24" s="2444"/>
      <c r="AQ24" s="2444"/>
      <c r="AR24" s="2444"/>
      <c r="AS24" s="2444"/>
      <c r="AT24" s="2444"/>
      <c r="AU24" s="2444"/>
      <c r="AV24" s="2444"/>
      <c r="AW24" s="2444"/>
      <c r="AX24" s="2444"/>
      <c r="AY24" s="2444"/>
      <c r="AZ24" s="2444"/>
    </row>
    <row r="25" spans="1:52" ht="18" customHeight="1">
      <c r="A25" s="2444"/>
      <c r="B25" s="2460" t="s">
        <v>1499</v>
      </c>
      <c r="C25" s="2456">
        <f>财务摘要!C25</f>
        <v>319.01791910000003</v>
      </c>
      <c r="D25" s="2456">
        <f>财务摘要!D25</f>
        <v>30.198438449999998</v>
      </c>
      <c r="E25" s="2456">
        <f>财务摘要!E25</f>
        <v>30.198438449999998</v>
      </c>
      <c r="F25" s="2456">
        <f>财务摘要!F25</f>
        <v>30.198438449999998</v>
      </c>
      <c r="G25" s="2456">
        <f>财务摘要!G25</f>
        <v>30.198438449999998</v>
      </c>
      <c r="H25" s="2444"/>
      <c r="I25" s="2444"/>
      <c r="J25" s="2444"/>
      <c r="K25" s="2444"/>
      <c r="L25" s="2444"/>
      <c r="M25" s="2444"/>
      <c r="N25" s="2448"/>
      <c r="O25" s="2449"/>
      <c r="P25" s="2449"/>
      <c r="Q25" s="2449"/>
      <c r="R25" s="2449"/>
      <c r="S25" s="2449"/>
      <c r="T25" s="2449"/>
      <c r="U25" s="2444"/>
      <c r="V25" s="2444"/>
      <c r="W25" s="2444"/>
      <c r="X25" s="2444"/>
      <c r="Y25" s="2444"/>
      <c r="Z25" s="2444"/>
      <c r="AA25" s="2444"/>
      <c r="AB25" s="2444"/>
      <c r="AC25" s="2444"/>
      <c r="AD25" s="2444"/>
      <c r="AE25" s="2444"/>
      <c r="AF25" s="2444"/>
      <c r="AG25" s="2444"/>
      <c r="AH25" s="2444"/>
      <c r="AI25" s="2444"/>
      <c r="AJ25" s="2444"/>
      <c r="AK25" s="2444"/>
      <c r="AL25" s="2444"/>
      <c r="AM25" s="2444"/>
      <c r="AN25" s="2444"/>
      <c r="AO25" s="2444"/>
      <c r="AP25" s="2444"/>
      <c r="AQ25" s="2444"/>
      <c r="AR25" s="2444"/>
      <c r="AS25" s="2444"/>
      <c r="AT25" s="2444"/>
      <c r="AU25" s="2444"/>
      <c r="AV25" s="2444"/>
      <c r="AW25" s="2444"/>
      <c r="AX25" s="2444"/>
      <c r="AY25" s="2444"/>
      <c r="AZ25" s="2444"/>
    </row>
    <row r="26" spans="1:52" ht="18" customHeight="1">
      <c r="A26" s="2444"/>
      <c r="B26" s="2460" t="s">
        <v>1500</v>
      </c>
      <c r="C26" s="2456">
        <f>财务摘要!C26</f>
        <v>61.685950349999999</v>
      </c>
      <c r="D26" s="2456">
        <f>财务摘要!D26</f>
        <v>26.918021679999999</v>
      </c>
      <c r="E26" s="2456">
        <f>财务摘要!E26</f>
        <v>26.918021679999999</v>
      </c>
      <c r="F26" s="2456">
        <f>财务摘要!F26</f>
        <v>26.918021679999999</v>
      </c>
      <c r="G26" s="2456">
        <f>财务摘要!G26</f>
        <v>26.918021679999999</v>
      </c>
      <c r="H26" s="2444"/>
      <c r="I26" s="2444"/>
      <c r="J26" s="2444"/>
      <c r="K26" s="2444"/>
      <c r="L26" s="2444"/>
      <c r="M26" s="2444"/>
      <c r="N26" s="2448"/>
      <c r="O26" s="2449"/>
      <c r="P26" s="2449"/>
      <c r="Q26" s="2449"/>
      <c r="R26" s="2449"/>
      <c r="S26" s="2449"/>
      <c r="T26" s="2449"/>
      <c r="U26" s="2444"/>
      <c r="V26" s="2444"/>
      <c r="W26" s="2444"/>
      <c r="X26" s="2444"/>
      <c r="Y26" s="2444"/>
      <c r="Z26" s="2444"/>
      <c r="AA26" s="2444"/>
      <c r="AB26" s="2444"/>
      <c r="AC26" s="2444"/>
      <c r="AD26" s="2444"/>
      <c r="AE26" s="2444"/>
      <c r="AF26" s="2444"/>
      <c r="AG26" s="2444"/>
      <c r="AH26" s="2444"/>
      <c r="AI26" s="2444"/>
      <c r="AJ26" s="2444"/>
      <c r="AK26" s="2444"/>
      <c r="AL26" s="2444"/>
      <c r="AM26" s="2444"/>
      <c r="AN26" s="2444"/>
      <c r="AO26" s="2444"/>
      <c r="AP26" s="2444"/>
      <c r="AQ26" s="2444"/>
      <c r="AR26" s="2444"/>
      <c r="AS26" s="2444"/>
      <c r="AT26" s="2444"/>
      <c r="AU26" s="2444"/>
      <c r="AV26" s="2444"/>
      <c r="AW26" s="2444"/>
      <c r="AX26" s="2444"/>
      <c r="AY26" s="2444"/>
      <c r="AZ26" s="2444"/>
    </row>
    <row r="27" spans="1:52" ht="18" customHeight="1">
      <c r="A27" s="2444"/>
      <c r="B27" s="2460" t="s">
        <v>1501</v>
      </c>
      <c r="C27" s="2456">
        <f>财务摘要!C27</f>
        <v>0</v>
      </c>
      <c r="D27" s="2456">
        <f>财务摘要!D27</f>
        <v>0</v>
      </c>
      <c r="E27" s="2456">
        <f>财务摘要!E27</f>
        <v>0</v>
      </c>
      <c r="F27" s="2456">
        <f>财务摘要!F27</f>
        <v>0</v>
      </c>
      <c r="G27" s="2456">
        <f>财务摘要!G27</f>
        <v>0</v>
      </c>
      <c r="H27" s="2444"/>
      <c r="I27" s="2444"/>
      <c r="J27" s="2444"/>
      <c r="K27" s="2444"/>
      <c r="L27" s="2444"/>
      <c r="M27" s="2444"/>
      <c r="N27" s="2448"/>
      <c r="O27" s="2449"/>
      <c r="P27" s="2449"/>
      <c r="Q27" s="2449"/>
      <c r="R27" s="2449"/>
      <c r="S27" s="2449"/>
      <c r="T27" s="2449"/>
      <c r="U27" s="2444"/>
      <c r="V27" s="2444"/>
      <c r="W27" s="2444"/>
      <c r="X27" s="2444"/>
      <c r="Y27" s="2444"/>
      <c r="Z27" s="2444"/>
      <c r="AA27" s="2444"/>
      <c r="AB27" s="2444"/>
      <c r="AC27" s="2444"/>
      <c r="AD27" s="2444"/>
      <c r="AE27" s="2444"/>
      <c r="AF27" s="2444"/>
      <c r="AG27" s="2444"/>
      <c r="AH27" s="2444"/>
      <c r="AI27" s="2444"/>
      <c r="AJ27" s="2444"/>
      <c r="AK27" s="2444"/>
      <c r="AL27" s="2444"/>
      <c r="AM27" s="2444"/>
      <c r="AN27" s="2444"/>
      <c r="AO27" s="2444"/>
      <c r="AP27" s="2444"/>
      <c r="AQ27" s="2444"/>
      <c r="AR27" s="2444"/>
      <c r="AS27" s="2444"/>
      <c r="AT27" s="2444"/>
      <c r="AU27" s="2444"/>
      <c r="AV27" s="2444"/>
      <c r="AW27" s="2444"/>
      <c r="AX27" s="2444"/>
      <c r="AY27" s="2444"/>
      <c r="AZ27" s="2444"/>
    </row>
    <row r="28" spans="1:52" ht="18" customHeight="1">
      <c r="A28" s="2444"/>
      <c r="B28" s="2460" t="s">
        <v>1502</v>
      </c>
      <c r="C28" s="2456">
        <f>财务摘要!C28</f>
        <v>-0.26352584000000001</v>
      </c>
      <c r="D28" s="2456">
        <f>财务摘要!D28</f>
        <v>-0.30307613999999999</v>
      </c>
      <c r="E28" s="2456">
        <f>财务摘要!E28</f>
        <v>0</v>
      </c>
      <c r="F28" s="2456">
        <f>财务摘要!F28</f>
        <v>0</v>
      </c>
      <c r="G28" s="2456">
        <f>财务摘要!G28</f>
        <v>0</v>
      </c>
      <c r="H28" s="2444"/>
      <c r="I28" s="2444"/>
      <c r="J28" s="2444"/>
      <c r="K28" s="2444"/>
      <c r="L28" s="2444"/>
      <c r="M28" s="2444"/>
      <c r="N28" s="2448"/>
      <c r="O28" s="2449"/>
      <c r="P28" s="2449"/>
      <c r="Q28" s="2449"/>
      <c r="R28" s="2449"/>
      <c r="S28" s="2449"/>
      <c r="T28" s="2449"/>
      <c r="U28" s="2444"/>
      <c r="V28" s="2444"/>
      <c r="W28" s="2444"/>
      <c r="X28" s="2444"/>
      <c r="Y28" s="2444"/>
      <c r="Z28" s="2444"/>
      <c r="AA28" s="2444"/>
      <c r="AB28" s="2444"/>
      <c r="AC28" s="2444"/>
      <c r="AD28" s="2444"/>
      <c r="AE28" s="2444"/>
      <c r="AF28" s="2444"/>
      <c r="AG28" s="2444"/>
      <c r="AH28" s="2444"/>
      <c r="AI28" s="2444"/>
      <c r="AJ28" s="2444"/>
      <c r="AK28" s="2444"/>
      <c r="AL28" s="2444"/>
      <c r="AM28" s="2444"/>
      <c r="AN28" s="2444"/>
      <c r="AO28" s="2444"/>
      <c r="AP28" s="2444"/>
      <c r="AQ28" s="2444"/>
      <c r="AR28" s="2444"/>
      <c r="AS28" s="2444"/>
      <c r="AT28" s="2444"/>
      <c r="AU28" s="2444"/>
      <c r="AV28" s="2444"/>
      <c r="AW28" s="2444"/>
      <c r="AX28" s="2444"/>
      <c r="AY28" s="2444"/>
      <c r="AZ28" s="2444"/>
    </row>
    <row r="29" spans="1:52" ht="18" customHeight="1">
      <c r="A29" s="2444"/>
      <c r="B29" s="2460" t="s">
        <v>1498</v>
      </c>
      <c r="C29" s="2456">
        <f>财务摘要!C29</f>
        <v>0</v>
      </c>
      <c r="D29" s="2456">
        <f>财务摘要!D29</f>
        <v>111.36973515000001</v>
      </c>
      <c r="E29" s="2456">
        <f>财务摘要!E29</f>
        <v>0</v>
      </c>
      <c r="F29" s="2456">
        <f>财务摘要!F29</f>
        <v>0</v>
      </c>
      <c r="G29" s="2456">
        <f>财务摘要!G29</f>
        <v>0</v>
      </c>
      <c r="H29" s="2444"/>
      <c r="I29" s="2444"/>
      <c r="J29" s="2444"/>
      <c r="K29" s="2444"/>
      <c r="L29" s="2444"/>
      <c r="M29" s="2444"/>
      <c r="N29" s="2448"/>
      <c r="O29" s="2449"/>
      <c r="P29" s="2449"/>
      <c r="Q29" s="2449"/>
      <c r="R29" s="2449"/>
      <c r="S29" s="2449"/>
      <c r="T29" s="2449"/>
      <c r="U29" s="2444"/>
      <c r="V29" s="2444"/>
      <c r="W29" s="2444"/>
      <c r="X29" s="2444"/>
      <c r="Y29" s="2444"/>
      <c r="Z29" s="2444"/>
      <c r="AA29" s="2444"/>
      <c r="AB29" s="2444"/>
      <c r="AC29" s="2444"/>
      <c r="AD29" s="2444"/>
      <c r="AE29" s="2444"/>
      <c r="AF29" s="2444"/>
      <c r="AG29" s="2444"/>
      <c r="AH29" s="2444"/>
      <c r="AI29" s="2444"/>
      <c r="AJ29" s="2444"/>
      <c r="AK29" s="2444"/>
      <c r="AL29" s="2444"/>
      <c r="AM29" s="2444"/>
      <c r="AN29" s="2444"/>
      <c r="AO29" s="2444"/>
      <c r="AP29" s="2444"/>
      <c r="AQ29" s="2444"/>
      <c r="AR29" s="2444"/>
      <c r="AS29" s="2444"/>
      <c r="AT29" s="2444"/>
      <c r="AU29" s="2444"/>
      <c r="AV29" s="2444"/>
      <c r="AW29" s="2444"/>
      <c r="AX29" s="2444"/>
      <c r="AY29" s="2444"/>
      <c r="AZ29" s="2444"/>
    </row>
    <row r="30" spans="1:52" ht="18" customHeight="1">
      <c r="A30" s="2444"/>
      <c r="B30" s="2460" t="s">
        <v>1497</v>
      </c>
      <c r="C30" s="2456">
        <f>财务摘要!C30</f>
        <v>-103.31049887</v>
      </c>
      <c r="D30" s="2456">
        <f>财务摘要!D30</f>
        <v>-4.6279200500000002</v>
      </c>
      <c r="E30" s="2456">
        <f>财务摘要!E30</f>
        <v>0</v>
      </c>
      <c r="F30" s="2456">
        <f>财务摘要!F30</f>
        <v>0</v>
      </c>
      <c r="G30" s="2456">
        <f>财务摘要!G30</f>
        <v>0</v>
      </c>
      <c r="H30" s="2444"/>
      <c r="I30" s="2444"/>
      <c r="J30" s="2444"/>
      <c r="K30" s="2444"/>
      <c r="L30" s="2444"/>
      <c r="M30" s="2444"/>
      <c r="N30" s="2448"/>
      <c r="O30" s="2449"/>
      <c r="P30" s="2449"/>
      <c r="Q30" s="2449"/>
      <c r="R30" s="2449"/>
      <c r="S30" s="2449"/>
      <c r="T30" s="2449"/>
      <c r="U30" s="2444"/>
      <c r="V30" s="2444"/>
      <c r="W30" s="2444"/>
      <c r="X30" s="2444"/>
      <c r="Y30" s="2444"/>
      <c r="Z30" s="2444"/>
      <c r="AA30" s="2444"/>
      <c r="AB30" s="2444"/>
      <c r="AC30" s="2444"/>
      <c r="AD30" s="2444"/>
      <c r="AE30" s="2444"/>
      <c r="AF30" s="2444"/>
      <c r="AG30" s="2444"/>
      <c r="AH30" s="2444"/>
      <c r="AI30" s="2444"/>
      <c r="AJ30" s="2444"/>
      <c r="AK30" s="2444"/>
      <c r="AL30" s="2444"/>
      <c r="AM30" s="2444"/>
      <c r="AN30" s="2444"/>
      <c r="AO30" s="2444"/>
      <c r="AP30" s="2444"/>
      <c r="AQ30" s="2444"/>
      <c r="AR30" s="2444"/>
      <c r="AS30" s="2444"/>
      <c r="AT30" s="2444"/>
      <c r="AU30" s="2444"/>
      <c r="AV30" s="2444"/>
      <c r="AW30" s="2444"/>
      <c r="AX30" s="2444"/>
      <c r="AY30" s="2444"/>
      <c r="AZ30" s="2444"/>
    </row>
    <row r="31" spans="1:52" ht="18" customHeight="1">
      <c r="A31" s="2444"/>
      <c r="B31" s="2460" t="s">
        <v>1503</v>
      </c>
      <c r="C31" s="2456">
        <f>财务摘要!C31</f>
        <v>-4.7505499999999999E-2</v>
      </c>
      <c r="D31" s="2456">
        <f>财务摘要!D31</f>
        <v>66.626262619999991</v>
      </c>
      <c r="E31" s="2456">
        <f>财务摘要!E31</f>
        <v>66.626262619999991</v>
      </c>
      <c r="F31" s="2456">
        <f>财务摘要!F31</f>
        <v>66.626262619999991</v>
      </c>
      <c r="G31" s="2456">
        <f>财务摘要!G31</f>
        <v>66.626262619999991</v>
      </c>
      <c r="H31" s="2444"/>
      <c r="I31" s="2444"/>
      <c r="J31" s="2444"/>
      <c r="K31" s="2444"/>
      <c r="L31" s="2444"/>
      <c r="M31" s="2444"/>
      <c r="N31" s="2448"/>
      <c r="O31" s="2449"/>
      <c r="P31" s="2449"/>
      <c r="Q31" s="2449"/>
      <c r="R31" s="2449"/>
      <c r="S31" s="2449"/>
      <c r="T31" s="2449"/>
      <c r="U31" s="2444"/>
      <c r="V31" s="2444"/>
      <c r="W31" s="2444"/>
      <c r="X31" s="2444"/>
      <c r="Y31" s="2444"/>
      <c r="Z31" s="2444"/>
      <c r="AA31" s="2444"/>
      <c r="AB31" s="2444"/>
      <c r="AC31" s="2444"/>
      <c r="AD31" s="2444"/>
      <c r="AE31" s="2444"/>
      <c r="AF31" s="2444"/>
      <c r="AG31" s="2444"/>
      <c r="AH31" s="2444"/>
      <c r="AI31" s="2444"/>
      <c r="AJ31" s="2444"/>
      <c r="AK31" s="2444"/>
      <c r="AL31" s="2444"/>
      <c r="AM31" s="2444"/>
      <c r="AN31" s="2444"/>
      <c r="AO31" s="2444"/>
      <c r="AP31" s="2444"/>
      <c r="AQ31" s="2444"/>
      <c r="AR31" s="2444"/>
      <c r="AS31" s="2444"/>
      <c r="AT31" s="2444"/>
      <c r="AU31" s="2444"/>
      <c r="AV31" s="2444"/>
      <c r="AW31" s="2444"/>
      <c r="AX31" s="2444"/>
      <c r="AY31" s="2444"/>
      <c r="AZ31" s="2444"/>
    </row>
    <row r="32" spans="1:52" ht="18" customHeight="1">
      <c r="A32" s="2444"/>
      <c r="B32" s="2460" t="s">
        <v>1504</v>
      </c>
      <c r="C32" s="2456">
        <f>财务摘要!C32</f>
        <v>858.36991367999997</v>
      </c>
      <c r="D32" s="2456">
        <f>财务摘要!D32</f>
        <v>1094.2622257099999</v>
      </c>
      <c r="E32" s="2456">
        <f ca="1">财务摘要!E32</f>
        <v>-1382.242562561677</v>
      </c>
      <c r="F32" s="2456">
        <f ca="1">财务摘要!F32</f>
        <v>-1642.0798715380527</v>
      </c>
      <c r="G32" s="2456">
        <f ca="1">财务摘要!G32</f>
        <v>-1632.541257816551</v>
      </c>
      <c r="H32" s="2444"/>
      <c r="I32" s="2444"/>
      <c r="J32" s="2444"/>
      <c r="K32" s="2444"/>
      <c r="L32" s="2444"/>
      <c r="M32" s="2444"/>
      <c r="N32" s="2448"/>
      <c r="O32" s="2449"/>
      <c r="P32" s="2449"/>
      <c r="Q32" s="2449"/>
      <c r="R32" s="2449"/>
      <c r="S32" s="2449"/>
      <c r="T32" s="2449"/>
      <c r="U32" s="2444"/>
      <c r="V32" s="2444"/>
      <c r="W32" s="2444"/>
      <c r="X32" s="2444"/>
      <c r="Y32" s="2444"/>
      <c r="Z32" s="2444"/>
      <c r="AA32" s="2444"/>
      <c r="AB32" s="2444"/>
      <c r="AC32" s="2444"/>
      <c r="AD32" s="2444"/>
      <c r="AE32" s="2444"/>
      <c r="AF32" s="2444"/>
      <c r="AG32" s="2444"/>
      <c r="AH32" s="2444"/>
      <c r="AI32" s="2444"/>
      <c r="AJ32" s="2444"/>
      <c r="AK32" s="2444"/>
      <c r="AL32" s="2444"/>
      <c r="AM32" s="2444"/>
      <c r="AN32" s="2444"/>
      <c r="AO32" s="2444"/>
      <c r="AP32" s="2444"/>
      <c r="AQ32" s="2444"/>
      <c r="AR32" s="2444"/>
      <c r="AS32" s="2444"/>
      <c r="AT32" s="2444"/>
      <c r="AU32" s="2444"/>
      <c r="AV32" s="2444"/>
      <c r="AW32" s="2444"/>
      <c r="AX32" s="2444"/>
      <c r="AY32" s="2444"/>
      <c r="AZ32" s="2444"/>
    </row>
    <row r="33" spans="1:52" ht="18" customHeight="1">
      <c r="A33" s="2444"/>
      <c r="B33" s="2460" t="s">
        <v>1505</v>
      </c>
      <c r="C33" s="2456">
        <f>财务摘要!C33</f>
        <v>-2.6096688399999999</v>
      </c>
      <c r="D33" s="2456">
        <f>财务摘要!D33</f>
        <v>-1.9688750099999996</v>
      </c>
      <c r="E33" s="2456">
        <f>财务摘要!E33</f>
        <v>0</v>
      </c>
      <c r="F33" s="2456">
        <f>财务摘要!F33</f>
        <v>0</v>
      </c>
      <c r="G33" s="2456">
        <f>财务摘要!G33</f>
        <v>0</v>
      </c>
      <c r="H33" s="2444"/>
      <c r="I33" s="2457"/>
      <c r="J33" s="2457"/>
      <c r="K33" s="2457"/>
      <c r="L33" s="2457"/>
      <c r="M33" s="2457"/>
      <c r="N33" s="2452"/>
      <c r="O33" s="2449"/>
      <c r="P33" s="2449"/>
      <c r="Q33" s="2449"/>
      <c r="R33" s="2449"/>
      <c r="S33" s="2449"/>
      <c r="T33" s="2449"/>
      <c r="U33" s="2444"/>
      <c r="V33" s="2444"/>
      <c r="W33" s="2444"/>
      <c r="X33" s="2444"/>
      <c r="Y33" s="2444"/>
      <c r="Z33" s="2444"/>
      <c r="AA33" s="2444"/>
      <c r="AB33" s="2444"/>
      <c r="AC33" s="2444"/>
      <c r="AD33" s="2444"/>
      <c r="AE33" s="2444"/>
      <c r="AF33" s="2444"/>
      <c r="AG33" s="2444"/>
      <c r="AH33" s="2444"/>
      <c r="AI33" s="2444"/>
      <c r="AJ33" s="2444"/>
      <c r="AK33" s="2444"/>
      <c r="AL33" s="2444"/>
      <c r="AM33" s="2444"/>
      <c r="AN33" s="2444"/>
      <c r="AO33" s="2444"/>
      <c r="AP33" s="2444"/>
      <c r="AQ33" s="2444"/>
      <c r="AR33" s="2444"/>
      <c r="AS33" s="2444"/>
      <c r="AT33" s="2444"/>
      <c r="AU33" s="2444"/>
      <c r="AV33" s="2444"/>
      <c r="AW33" s="2444"/>
      <c r="AX33" s="2444"/>
      <c r="AY33" s="2444"/>
      <c r="AZ33" s="2444"/>
    </row>
    <row r="34" spans="1:52" ht="18" customHeight="1">
      <c r="A34" s="2444"/>
      <c r="B34" s="2460" t="s">
        <v>1506</v>
      </c>
      <c r="C34" s="2456">
        <f>财务摘要!C34</f>
        <v>855.76024484000004</v>
      </c>
      <c r="D34" s="2456">
        <f>财务摘要!D34</f>
        <v>1092.2933507</v>
      </c>
      <c r="E34" s="2456">
        <f ca="1">财务摘要!E34</f>
        <v>-1382.242562561677</v>
      </c>
      <c r="F34" s="2456">
        <f ca="1">财务摘要!F34</f>
        <v>-1642.0798715380527</v>
      </c>
      <c r="G34" s="2456">
        <f ca="1">财务摘要!G34</f>
        <v>-1632.541257816551</v>
      </c>
      <c r="H34" s="2444"/>
      <c r="I34" s="2463"/>
      <c r="J34" s="2464"/>
      <c r="K34" s="2464"/>
      <c r="L34" s="2464"/>
      <c r="M34" s="2464"/>
      <c r="N34" s="2452"/>
      <c r="O34" s="2449"/>
      <c r="P34" s="2449"/>
      <c r="Q34" s="2449"/>
      <c r="R34" s="2449"/>
      <c r="S34" s="2449"/>
      <c r="T34" s="2449"/>
      <c r="U34" s="2444"/>
      <c r="V34" s="2444"/>
      <c r="W34" s="2444"/>
      <c r="X34" s="2444"/>
      <c r="Y34" s="2444"/>
      <c r="Z34" s="2444"/>
      <c r="AA34" s="2444"/>
      <c r="AB34" s="2444"/>
      <c r="AC34" s="2444"/>
      <c r="AD34" s="2444"/>
      <c r="AE34" s="2444"/>
      <c r="AF34" s="2444"/>
      <c r="AG34" s="2444"/>
      <c r="AH34" s="2444"/>
      <c r="AI34" s="2444"/>
      <c r="AJ34" s="2444"/>
      <c r="AK34" s="2444"/>
      <c r="AL34" s="2444"/>
      <c r="AM34" s="2444"/>
      <c r="AN34" s="2444"/>
      <c r="AO34" s="2444"/>
      <c r="AP34" s="2444"/>
      <c r="AQ34" s="2444"/>
      <c r="AR34" s="2444"/>
      <c r="AS34" s="2444"/>
      <c r="AT34" s="2444"/>
      <c r="AU34" s="2444"/>
      <c r="AV34" s="2444"/>
      <c r="AW34" s="2444"/>
      <c r="AX34" s="2444"/>
      <c r="AY34" s="2444"/>
      <c r="AZ34" s="2444"/>
    </row>
    <row r="35" spans="1:52" ht="18" customHeight="1">
      <c r="A35" s="2444"/>
      <c r="B35" s="2460" t="s">
        <v>1507</v>
      </c>
      <c r="C35" s="2456">
        <f>财务摘要!C35</f>
        <v>105.70510836</v>
      </c>
      <c r="D35" s="2456">
        <f>财务摘要!D35</f>
        <v>137.25753891999997</v>
      </c>
      <c r="E35" s="2456">
        <f ca="1">财务摘要!E35</f>
        <v>0</v>
      </c>
      <c r="F35" s="2456">
        <f ca="1">财务摘要!F35</f>
        <v>0</v>
      </c>
      <c r="G35" s="2456">
        <f ca="1">财务摘要!G35</f>
        <v>0</v>
      </c>
      <c r="H35" s="2444"/>
      <c r="I35" s="2444"/>
      <c r="J35" s="2444"/>
      <c r="K35" s="2464"/>
      <c r="L35" s="2464"/>
      <c r="M35" s="2464"/>
      <c r="N35" s="2452"/>
      <c r="O35" s="2449"/>
      <c r="P35" s="2449"/>
      <c r="Q35" s="2449"/>
      <c r="R35" s="2449"/>
      <c r="S35" s="2449"/>
      <c r="T35" s="2449"/>
      <c r="U35" s="2444"/>
      <c r="V35" s="2444"/>
      <c r="W35" s="2444"/>
      <c r="X35" s="2444"/>
      <c r="Y35" s="2444"/>
      <c r="Z35" s="2444"/>
      <c r="AA35" s="2444"/>
      <c r="AB35" s="2444"/>
      <c r="AC35" s="2444"/>
      <c r="AD35" s="2444"/>
      <c r="AE35" s="2444"/>
      <c r="AF35" s="2444"/>
      <c r="AG35" s="2444"/>
      <c r="AH35" s="2444"/>
      <c r="AI35" s="2444"/>
      <c r="AJ35" s="2444"/>
      <c r="AK35" s="2444"/>
      <c r="AL35" s="2444"/>
      <c r="AM35" s="2444"/>
      <c r="AN35" s="2444"/>
      <c r="AO35" s="2444"/>
      <c r="AP35" s="2444"/>
      <c r="AQ35" s="2444"/>
      <c r="AR35" s="2444"/>
      <c r="AS35" s="2444"/>
      <c r="AT35" s="2444"/>
      <c r="AU35" s="2444"/>
      <c r="AV35" s="2444"/>
      <c r="AW35" s="2444"/>
      <c r="AX35" s="2444"/>
      <c r="AY35" s="2444"/>
      <c r="AZ35" s="2444"/>
    </row>
    <row r="36" spans="1:52" ht="18" customHeight="1">
      <c r="A36" s="2444"/>
      <c r="B36" s="2460" t="s">
        <v>1508</v>
      </c>
      <c r="C36" s="2456">
        <f>财务摘要!C36</f>
        <v>750.05513647999999</v>
      </c>
      <c r="D36" s="2456">
        <f>财务摘要!D36</f>
        <v>955.03581178000002</v>
      </c>
      <c r="E36" s="2456">
        <f ca="1">财务摘要!E36</f>
        <v>-1382.242562561677</v>
      </c>
      <c r="F36" s="2456">
        <f ca="1">财务摘要!F36</f>
        <v>-1642.0798715380527</v>
      </c>
      <c r="G36" s="2456">
        <f ca="1">财务摘要!G36</f>
        <v>-1632.541257816551</v>
      </c>
      <c r="H36" s="2444"/>
      <c r="I36" s="2444"/>
      <c r="J36" s="2444"/>
      <c r="K36" s="2464"/>
      <c r="L36" s="2464"/>
      <c r="M36" s="2464"/>
      <c r="N36" s="2452"/>
      <c r="O36" s="2449"/>
      <c r="P36" s="2449"/>
      <c r="Q36" s="2449"/>
      <c r="R36" s="2449"/>
      <c r="S36" s="2449"/>
      <c r="T36" s="2449"/>
      <c r="U36" s="2444"/>
      <c r="V36" s="2444"/>
      <c r="W36" s="2444"/>
      <c r="X36" s="2444"/>
      <c r="Y36" s="2444"/>
      <c r="Z36" s="2444"/>
      <c r="AA36" s="2444"/>
      <c r="AB36" s="2444"/>
      <c r="AC36" s="2444"/>
      <c r="AD36" s="2444"/>
      <c r="AE36" s="2444"/>
      <c r="AF36" s="2444"/>
      <c r="AG36" s="2444"/>
      <c r="AH36" s="2444"/>
      <c r="AI36" s="2444"/>
      <c r="AJ36" s="2444"/>
      <c r="AK36" s="2444"/>
      <c r="AL36" s="2444"/>
      <c r="AM36" s="2444"/>
      <c r="AN36" s="2444"/>
      <c r="AO36" s="2444"/>
      <c r="AP36" s="2444"/>
      <c r="AQ36" s="2444"/>
      <c r="AR36" s="2444"/>
      <c r="AS36" s="2444"/>
      <c r="AT36" s="2444"/>
      <c r="AU36" s="2444"/>
      <c r="AV36" s="2444"/>
      <c r="AW36" s="2444"/>
      <c r="AX36" s="2444"/>
      <c r="AY36" s="2444"/>
      <c r="AZ36" s="2444"/>
    </row>
    <row r="37" spans="1:52" ht="18" customHeight="1">
      <c r="A37" s="2444"/>
      <c r="B37" s="2460" t="s">
        <v>1509</v>
      </c>
      <c r="C37" s="2456">
        <f>财务摘要!C37</f>
        <v>-1.20235479</v>
      </c>
      <c r="D37" s="2456">
        <f>财务摘要!D37</f>
        <v>-2.0269835299999999</v>
      </c>
      <c r="E37" s="2456">
        <f ca="1">财务摘要!E37</f>
        <v>2.9336940816444761</v>
      </c>
      <c r="F37" s="2456">
        <f ca="1">财务摘要!F37</f>
        <v>3.4851770095914341</v>
      </c>
      <c r="G37" s="2456">
        <f ca="1">财务摘要!G37</f>
        <v>3.4649321007890301</v>
      </c>
      <c r="H37" s="2444"/>
      <c r="I37" s="2444"/>
      <c r="J37" s="2444"/>
      <c r="K37" s="2464"/>
      <c r="L37" s="2464"/>
      <c r="M37" s="2464"/>
      <c r="N37" s="2452"/>
      <c r="O37" s="2465"/>
      <c r="P37" s="2461"/>
      <c r="Q37" s="2461"/>
      <c r="R37" s="2461"/>
      <c r="S37" s="2461"/>
      <c r="T37" s="2461"/>
      <c r="U37" s="2444"/>
      <c r="V37" s="2444"/>
      <c r="W37" s="2444"/>
      <c r="X37" s="2444"/>
      <c r="Y37" s="2444"/>
      <c r="Z37" s="2444"/>
      <c r="AA37" s="2444"/>
      <c r="AB37" s="2444"/>
      <c r="AC37" s="2444"/>
      <c r="AD37" s="2444"/>
      <c r="AE37" s="2444"/>
      <c r="AF37" s="2444"/>
      <c r="AG37" s="2444"/>
      <c r="AH37" s="2444"/>
      <c r="AI37" s="2444"/>
      <c r="AJ37" s="2444"/>
      <c r="AK37" s="2444"/>
      <c r="AL37" s="2444"/>
      <c r="AM37" s="2444"/>
      <c r="AN37" s="2444"/>
      <c r="AO37" s="2444"/>
      <c r="AP37" s="2444"/>
      <c r="AQ37" s="2444"/>
      <c r="AR37" s="2444"/>
      <c r="AS37" s="2444"/>
      <c r="AT37" s="2444"/>
      <c r="AU37" s="2444"/>
      <c r="AV37" s="2444"/>
      <c r="AW37" s="2444"/>
      <c r="AX37" s="2444"/>
      <c r="AY37" s="2444"/>
      <c r="AZ37" s="2444"/>
    </row>
    <row r="38" spans="1:52" ht="18" customHeight="1" thickBot="1">
      <c r="A38" s="2444"/>
      <c r="B38" s="2460" t="s">
        <v>1510</v>
      </c>
      <c r="C38" s="2456">
        <f>财务摘要!C38</f>
        <v>751.25749126999995</v>
      </c>
      <c r="D38" s="2456">
        <f>财务摘要!D38</f>
        <v>957.06279530999996</v>
      </c>
      <c r="E38" s="2456">
        <f ca="1">财务摘要!E38</f>
        <v>-1385.1762566433215</v>
      </c>
      <c r="F38" s="2456">
        <f ca="1">财务摘要!F38</f>
        <v>-1645.565048547644</v>
      </c>
      <c r="G38" s="2456">
        <f ca="1">财务摘要!G38</f>
        <v>-1636.00618991734</v>
      </c>
      <c r="H38" s="2444"/>
      <c r="I38" s="2444"/>
      <c r="J38" s="2444"/>
      <c r="K38" s="2464"/>
      <c r="L38" s="2464"/>
      <c r="M38" s="2464"/>
      <c r="N38" s="2452"/>
      <c r="O38" s="2465"/>
      <c r="P38" s="2461"/>
      <c r="Q38" s="2461"/>
      <c r="R38" s="2461"/>
      <c r="S38" s="2461"/>
      <c r="T38" s="2461"/>
      <c r="U38" s="2444"/>
      <c r="V38" s="2444"/>
      <c r="W38" s="2444"/>
      <c r="X38" s="2444"/>
      <c r="Y38" s="2444"/>
      <c r="Z38" s="2444"/>
      <c r="AA38" s="2444"/>
      <c r="AB38" s="2444"/>
      <c r="AC38" s="2444"/>
      <c r="AD38" s="2444"/>
      <c r="AE38" s="2444"/>
      <c r="AF38" s="2444"/>
      <c r="AG38" s="2444"/>
      <c r="AH38" s="2444"/>
      <c r="AI38" s="2444"/>
      <c r="AJ38" s="2444"/>
      <c r="AK38" s="2444"/>
      <c r="AL38" s="2444"/>
      <c r="AM38" s="2444"/>
      <c r="AN38" s="2444"/>
      <c r="AO38" s="2444"/>
      <c r="AP38" s="2444"/>
      <c r="AQ38" s="2444"/>
      <c r="AR38" s="2444"/>
      <c r="AS38" s="2444"/>
      <c r="AT38" s="2444"/>
      <c r="AU38" s="2444"/>
      <c r="AV38" s="2444"/>
      <c r="AW38" s="2444"/>
      <c r="AX38" s="2444"/>
      <c r="AY38" s="2444"/>
      <c r="AZ38" s="2444"/>
    </row>
    <row r="39" spans="1:52" ht="18" customHeight="1">
      <c r="A39" s="2444"/>
      <c r="B39" s="2534" t="s">
        <v>1511</v>
      </c>
      <c r="C39" s="2534"/>
      <c r="D39" s="2534"/>
      <c r="E39" s="2534"/>
      <c r="F39" s="2534"/>
      <c r="G39" s="2534"/>
      <c r="H39" s="2444"/>
      <c r="N39" s="2452"/>
      <c r="O39" s="2465"/>
      <c r="P39" s="2461"/>
      <c r="Q39" s="2461"/>
      <c r="R39" s="2461"/>
      <c r="S39" s="2461"/>
      <c r="T39" s="2461"/>
      <c r="U39" s="2444"/>
      <c r="V39" s="2444"/>
      <c r="W39" s="2444"/>
      <c r="X39" s="2444"/>
      <c r="Y39" s="2444"/>
      <c r="Z39" s="2444"/>
      <c r="AA39" s="2444"/>
      <c r="AB39" s="2444"/>
      <c r="AC39" s="2444"/>
      <c r="AD39" s="2444"/>
      <c r="AE39" s="2444"/>
      <c r="AF39" s="2444"/>
      <c r="AG39" s="2444"/>
      <c r="AH39" s="2444"/>
      <c r="AI39" s="2444"/>
      <c r="AJ39" s="2444"/>
      <c r="AK39" s="2444"/>
      <c r="AL39" s="2444"/>
      <c r="AM39" s="2444"/>
      <c r="AN39" s="2444"/>
      <c r="AO39" s="2444"/>
      <c r="AP39" s="2444"/>
      <c r="AQ39" s="2444"/>
      <c r="AR39" s="2444"/>
      <c r="AS39" s="2444"/>
      <c r="AT39" s="2444"/>
      <c r="AU39" s="2444"/>
      <c r="AV39" s="2444"/>
      <c r="AW39" s="2444"/>
      <c r="AX39" s="2444"/>
      <c r="AY39" s="2444"/>
      <c r="AZ39" s="2444"/>
    </row>
    <row r="40" spans="1:52" ht="18" customHeight="1">
      <c r="A40" s="2444"/>
      <c r="B40" s="2457"/>
      <c r="C40" s="2466"/>
      <c r="D40" s="2466"/>
      <c r="E40" s="2466"/>
      <c r="F40" s="2466"/>
      <c r="G40" s="2466"/>
      <c r="H40" s="2444"/>
      <c r="N40" s="2452"/>
      <c r="O40" s="2465"/>
      <c r="P40" s="2461"/>
      <c r="Q40" s="2461"/>
      <c r="R40" s="2461"/>
      <c r="S40" s="2461"/>
      <c r="T40" s="2461"/>
      <c r="U40" s="2444"/>
      <c r="V40" s="2444"/>
      <c r="W40" s="2444"/>
      <c r="X40" s="2444"/>
      <c r="Y40" s="2444"/>
      <c r="Z40" s="2444"/>
      <c r="AA40" s="2444"/>
      <c r="AB40" s="2444"/>
      <c r="AC40" s="2444"/>
      <c r="AD40" s="2444"/>
      <c r="AE40" s="2444"/>
      <c r="AF40" s="2444"/>
      <c r="AG40" s="2444"/>
      <c r="AH40" s="2444"/>
      <c r="AI40" s="2444"/>
      <c r="AJ40" s="2444"/>
      <c r="AK40" s="2444"/>
      <c r="AL40" s="2444"/>
      <c r="AM40" s="2444"/>
      <c r="AN40" s="2444"/>
      <c r="AO40" s="2444"/>
      <c r="AP40" s="2444"/>
      <c r="AQ40" s="2444"/>
      <c r="AR40" s="2444"/>
      <c r="AS40" s="2444"/>
      <c r="AT40" s="2444"/>
      <c r="AU40" s="2444"/>
      <c r="AV40" s="2444"/>
      <c r="AW40" s="2444"/>
      <c r="AX40" s="2444"/>
      <c r="AY40" s="2444"/>
      <c r="AZ40" s="2444"/>
    </row>
    <row r="41" spans="1:52" ht="18" customHeight="1">
      <c r="A41" s="2444"/>
      <c r="B41" s="2457"/>
      <c r="C41" s="2457"/>
      <c r="D41" s="2457"/>
      <c r="E41" s="2457"/>
      <c r="F41" s="2457"/>
      <c r="G41" s="2457"/>
      <c r="H41" s="2444"/>
      <c r="N41" s="2452"/>
      <c r="O41" s="2449"/>
      <c r="P41" s="2449"/>
      <c r="Q41" s="2449"/>
      <c r="R41" s="2449"/>
      <c r="S41" s="2449"/>
      <c r="T41" s="2449"/>
      <c r="U41" s="2444"/>
      <c r="V41" s="2444"/>
      <c r="W41" s="2444"/>
      <c r="X41" s="2444"/>
      <c r="Y41" s="2444"/>
      <c r="Z41" s="2444"/>
      <c r="AA41" s="2444"/>
      <c r="AB41" s="2444"/>
      <c r="AC41" s="2444"/>
      <c r="AD41" s="2444"/>
      <c r="AE41" s="2444"/>
      <c r="AF41" s="2444"/>
      <c r="AG41" s="2444"/>
      <c r="AH41" s="2444"/>
      <c r="AI41" s="2444"/>
      <c r="AJ41" s="2444"/>
      <c r="AK41" s="2444"/>
      <c r="AL41" s="2444"/>
      <c r="AM41" s="2444"/>
      <c r="AN41" s="2444"/>
      <c r="AO41" s="2444"/>
      <c r="AP41" s="2444"/>
      <c r="AQ41" s="2444"/>
      <c r="AR41" s="2444"/>
      <c r="AS41" s="2444"/>
      <c r="AT41" s="2444"/>
      <c r="AU41" s="2444"/>
      <c r="AV41" s="2444"/>
      <c r="AW41" s="2444"/>
      <c r="AX41" s="2444"/>
      <c r="AY41" s="2444"/>
      <c r="AZ41" s="2444"/>
    </row>
    <row r="42" spans="1:52" ht="18" customHeight="1" thickBot="1">
      <c r="A42" s="2444"/>
      <c r="B42" s="2532" t="s">
        <v>1512</v>
      </c>
      <c r="C42" s="2533"/>
      <c r="D42" s="2533"/>
      <c r="E42" s="2533"/>
      <c r="F42" s="2533"/>
      <c r="G42" s="2533"/>
      <c r="H42" s="2444"/>
      <c r="N42" s="2467"/>
      <c r="O42" s="2449"/>
      <c r="P42" s="2449"/>
      <c r="Q42" s="2449"/>
      <c r="R42" s="2449"/>
      <c r="S42" s="2449"/>
      <c r="T42" s="2449"/>
      <c r="U42" s="2444"/>
      <c r="V42" s="2444"/>
      <c r="W42" s="2444"/>
      <c r="X42" s="2444"/>
      <c r="Y42" s="2444"/>
      <c r="Z42" s="2444"/>
      <c r="AA42" s="2444"/>
      <c r="AB42" s="2444"/>
      <c r="AC42" s="2444"/>
      <c r="AD42" s="2444"/>
      <c r="AE42" s="2444"/>
      <c r="AF42" s="2444"/>
      <c r="AG42" s="2444"/>
      <c r="AH42" s="2444"/>
      <c r="AI42" s="2444"/>
      <c r="AJ42" s="2444"/>
      <c r="AK42" s="2444"/>
      <c r="AL42" s="2444"/>
      <c r="AM42" s="2444"/>
      <c r="AN42" s="2444"/>
      <c r="AO42" s="2444"/>
      <c r="AP42" s="2444"/>
      <c r="AQ42" s="2444"/>
      <c r="AR42" s="2444"/>
      <c r="AS42" s="2444"/>
      <c r="AT42" s="2444"/>
      <c r="AU42" s="2444"/>
      <c r="AV42" s="2444"/>
      <c r="AW42" s="2444"/>
      <c r="AX42" s="2444"/>
      <c r="AY42" s="2444"/>
      <c r="AZ42" s="2444"/>
    </row>
    <row r="43" spans="1:52" ht="18" customHeight="1">
      <c r="A43" s="2444"/>
      <c r="B43" s="2453" t="s">
        <v>1482</v>
      </c>
      <c r="C43" s="2454">
        <f>C5</f>
        <v>2018</v>
      </c>
      <c r="D43" s="2454">
        <f>D5</f>
        <v>2019</v>
      </c>
      <c r="E43" s="2454" t="str">
        <f>E5</f>
        <v>2020E</v>
      </c>
      <c r="F43" s="2454" t="str">
        <f>F5</f>
        <v>2021E</v>
      </c>
      <c r="G43" s="2454" t="str">
        <f>G5</f>
        <v>2022E</v>
      </c>
      <c r="H43" s="2444"/>
      <c r="N43" s="2467"/>
      <c r="O43" s="2449"/>
      <c r="P43" s="2449"/>
      <c r="Q43" s="2449"/>
      <c r="R43" s="2449"/>
      <c r="S43" s="2449"/>
      <c r="T43" s="2449"/>
      <c r="U43" s="2444"/>
      <c r="V43" s="2444"/>
      <c r="W43" s="2444"/>
      <c r="X43" s="2444"/>
      <c r="Y43" s="2444"/>
      <c r="Z43" s="2444"/>
      <c r="AA43" s="2444"/>
      <c r="AB43" s="2444"/>
      <c r="AC43" s="2444"/>
      <c r="AD43" s="2444"/>
      <c r="AE43" s="2444"/>
      <c r="AF43" s="2444"/>
      <c r="AG43" s="2444"/>
      <c r="AH43" s="2444"/>
      <c r="AI43" s="2444"/>
      <c r="AJ43" s="2444"/>
      <c r="AK43" s="2444"/>
      <c r="AL43" s="2444"/>
      <c r="AM43" s="2444"/>
      <c r="AN43" s="2444"/>
      <c r="AO43" s="2444"/>
      <c r="AP43" s="2444"/>
      <c r="AQ43" s="2444"/>
      <c r="AR43" s="2444"/>
      <c r="AS43" s="2444"/>
      <c r="AT43" s="2444"/>
      <c r="AU43" s="2444"/>
      <c r="AV43" s="2444"/>
      <c r="AW43" s="2444"/>
      <c r="AX43" s="2444"/>
      <c r="AY43" s="2444"/>
      <c r="AZ43" s="2444"/>
    </row>
    <row r="44" spans="1:52" ht="18" customHeight="1">
      <c r="A44" s="2445"/>
      <c r="B44" s="2468" t="s">
        <v>1508</v>
      </c>
      <c r="C44" s="2456">
        <f>财务摘要!C44</f>
        <v>750.05513647999999</v>
      </c>
      <c r="D44" s="2456">
        <f>财务摘要!D44</f>
        <v>955.03581178000002</v>
      </c>
      <c r="E44" s="2456">
        <f ca="1">财务摘要!E44</f>
        <v>-1382.242562561677</v>
      </c>
      <c r="F44" s="2456">
        <f ca="1">财务摘要!F44</f>
        <v>-1642.0798715380527</v>
      </c>
      <c r="G44" s="2456">
        <f ca="1">财务摘要!G44</f>
        <v>-1632.541257816551</v>
      </c>
      <c r="H44" s="2444"/>
      <c r="I44" s="2457" t="s">
        <v>1513</v>
      </c>
      <c r="J44" s="2444"/>
      <c r="K44" s="2444"/>
      <c r="L44" s="2444"/>
      <c r="M44" s="2444"/>
      <c r="N44" s="2467"/>
      <c r="O44" s="2449"/>
      <c r="P44" s="2449"/>
      <c r="Q44" s="2449"/>
      <c r="R44" s="2449"/>
      <c r="S44" s="2449"/>
      <c r="T44" s="2449"/>
      <c r="U44" s="2444"/>
      <c r="V44" s="2444"/>
      <c r="W44" s="2444"/>
      <c r="X44" s="2444"/>
      <c r="Y44" s="2444"/>
      <c r="Z44" s="2444"/>
      <c r="AA44" s="2444"/>
      <c r="AB44" s="2444"/>
      <c r="AC44" s="2444"/>
      <c r="AD44" s="2444"/>
      <c r="AE44" s="2444"/>
      <c r="AF44" s="2444"/>
      <c r="AG44" s="2444"/>
      <c r="AH44" s="2444"/>
      <c r="AI44" s="2444"/>
      <c r="AJ44" s="2444"/>
      <c r="AK44" s="2444"/>
      <c r="AL44" s="2444"/>
      <c r="AM44" s="2444"/>
      <c r="AN44" s="2444"/>
      <c r="AO44" s="2444"/>
      <c r="AP44" s="2444"/>
      <c r="AQ44" s="2444"/>
      <c r="AR44" s="2444"/>
      <c r="AS44" s="2444"/>
      <c r="AT44" s="2444"/>
      <c r="AU44" s="2444"/>
      <c r="AV44" s="2444"/>
      <c r="AW44" s="2444"/>
      <c r="AX44" s="2444"/>
      <c r="AY44" s="2444"/>
      <c r="AZ44" s="2444"/>
    </row>
    <row r="45" spans="1:52" ht="18" customHeight="1">
      <c r="A45" s="2444"/>
      <c r="B45" s="2469" t="s">
        <v>1514</v>
      </c>
      <c r="C45" s="2456">
        <f>财务摘要!C45</f>
        <v>195.63594863000003</v>
      </c>
      <c r="D45" s="2456">
        <f>财务摘要!D45</f>
        <v>4.8718644299999978</v>
      </c>
      <c r="E45" s="2456">
        <f>财务摘要!E45</f>
        <v>72.224709549333326</v>
      </c>
      <c r="F45" s="2456">
        <f>财务摘要!F45</f>
        <v>72.224709549333326</v>
      </c>
      <c r="G45" s="2456">
        <f>财务摘要!G45</f>
        <v>72.224709549333326</v>
      </c>
      <c r="H45" s="2444"/>
      <c r="I45" s="2444"/>
      <c r="J45" s="2444"/>
      <c r="K45" s="2444"/>
      <c r="L45" s="2444"/>
      <c r="M45" s="2444"/>
      <c r="N45" s="2467"/>
      <c r="O45" s="2449"/>
      <c r="P45" s="2449"/>
      <c r="Q45" s="2449"/>
      <c r="R45" s="2449"/>
      <c r="S45" s="2449"/>
      <c r="T45" s="2449"/>
      <c r="U45" s="2444"/>
      <c r="V45" s="2444"/>
      <c r="W45" s="2444"/>
      <c r="X45" s="2444"/>
      <c r="Y45" s="2444"/>
      <c r="Z45" s="2444"/>
      <c r="AA45" s="2444"/>
      <c r="AB45" s="2444"/>
      <c r="AC45" s="2444"/>
      <c r="AD45" s="2444"/>
      <c r="AE45" s="2444"/>
      <c r="AF45" s="2444"/>
      <c r="AG45" s="2444"/>
      <c r="AH45" s="2444"/>
      <c r="AI45" s="2444"/>
      <c r="AJ45" s="2444"/>
      <c r="AK45" s="2444"/>
      <c r="AL45" s="2444"/>
      <c r="AM45" s="2444"/>
      <c r="AN45" s="2444"/>
      <c r="AO45" s="2444"/>
      <c r="AP45" s="2444"/>
      <c r="AQ45" s="2444"/>
      <c r="AR45" s="2444"/>
      <c r="AS45" s="2444"/>
      <c r="AT45" s="2444"/>
      <c r="AU45" s="2444"/>
      <c r="AV45" s="2444"/>
      <c r="AW45" s="2444"/>
      <c r="AX45" s="2444"/>
      <c r="AY45" s="2444"/>
      <c r="AZ45" s="2444"/>
    </row>
    <row r="46" spans="1:52" ht="18" customHeight="1">
      <c r="A46" s="2444"/>
      <c r="B46" s="2470" t="s">
        <v>1496</v>
      </c>
      <c r="C46" s="2456">
        <f>财务摘要!C46</f>
        <v>-9.429398990000001</v>
      </c>
      <c r="D46" s="2456">
        <f>财务摘要!D46</f>
        <v>4.8983030799999998</v>
      </c>
      <c r="E46" s="2456">
        <f ca="1">财务摘要!E46</f>
        <v>2366.7043487452747</v>
      </c>
      <c r="F46" s="2456">
        <f ca="1">财务摘要!F46</f>
        <v>2613.7758206225985</v>
      </c>
      <c r="G46" s="2456">
        <f ca="1">财务摘要!G46</f>
        <v>2613.7758206225985</v>
      </c>
      <c r="H46" s="2444"/>
      <c r="I46" s="2444"/>
      <c r="J46" s="2444"/>
      <c r="K46" s="2444"/>
      <c r="L46" s="2444"/>
      <c r="M46" s="2444"/>
      <c r="N46" s="2467"/>
      <c r="O46" s="2449"/>
      <c r="P46" s="2449"/>
      <c r="Q46" s="2449"/>
      <c r="R46" s="2449"/>
      <c r="S46" s="2449"/>
      <c r="T46" s="2449"/>
      <c r="U46" s="2444"/>
      <c r="V46" s="2444"/>
      <c r="W46" s="2444"/>
      <c r="X46" s="2444"/>
      <c r="Y46" s="2444"/>
      <c r="Z46" s="2444"/>
      <c r="AA46" s="2444"/>
      <c r="AB46" s="2444"/>
      <c r="AC46" s="2444"/>
      <c r="AD46" s="2444"/>
      <c r="AE46" s="2444"/>
      <c r="AF46" s="2444"/>
      <c r="AG46" s="2444"/>
      <c r="AH46" s="2444"/>
      <c r="AI46" s="2444"/>
      <c r="AJ46" s="2444"/>
      <c r="AK46" s="2444"/>
      <c r="AL46" s="2444"/>
      <c r="AM46" s="2444"/>
      <c r="AN46" s="2444"/>
      <c r="AO46" s="2444"/>
      <c r="AP46" s="2444"/>
      <c r="AQ46" s="2444"/>
      <c r="AR46" s="2444"/>
      <c r="AS46" s="2444"/>
      <c r="AT46" s="2444"/>
      <c r="AU46" s="2444"/>
      <c r="AV46" s="2444"/>
      <c r="AW46" s="2444"/>
      <c r="AX46" s="2444"/>
      <c r="AY46" s="2444"/>
      <c r="AZ46" s="2444"/>
    </row>
    <row r="47" spans="1:52" ht="18" customHeight="1">
      <c r="A47" s="2444"/>
      <c r="B47" s="2470" t="s">
        <v>1515</v>
      </c>
      <c r="C47" s="2456">
        <f>财务摘要!C47</f>
        <v>-73.792891900000001</v>
      </c>
      <c r="D47" s="2456">
        <f>财务摘要!D47</f>
        <v>-76.582822409999977</v>
      </c>
      <c r="E47" s="2456">
        <f>财务摘要!E47</f>
        <v>-93.544284299999987</v>
      </c>
      <c r="F47" s="2456">
        <f>财务摘要!F47</f>
        <v>-93.544284299999987</v>
      </c>
      <c r="G47" s="2456">
        <f>财务摘要!G47</f>
        <v>-93.544284299999987</v>
      </c>
      <c r="H47" s="2444"/>
      <c r="I47" s="2444"/>
      <c r="J47" s="2444"/>
      <c r="K47" s="2444"/>
      <c r="L47" s="2444"/>
      <c r="M47" s="2444"/>
      <c r="N47" s="2452"/>
      <c r="O47" s="2449"/>
      <c r="P47" s="2449"/>
      <c r="Q47" s="2449"/>
      <c r="R47" s="2449"/>
      <c r="S47" s="2449"/>
      <c r="T47" s="2449"/>
      <c r="U47" s="2444"/>
      <c r="V47" s="2444"/>
      <c r="W47" s="2444"/>
      <c r="X47" s="2444"/>
      <c r="Y47" s="2444"/>
      <c r="Z47" s="2444"/>
      <c r="AA47" s="2444"/>
      <c r="AB47" s="2444"/>
      <c r="AC47" s="2444"/>
      <c r="AD47" s="2444"/>
      <c r="AE47" s="2444"/>
      <c r="AF47" s="2444"/>
      <c r="AG47" s="2444"/>
      <c r="AH47" s="2444"/>
      <c r="AI47" s="2444"/>
      <c r="AJ47" s="2444"/>
      <c r="AK47" s="2444"/>
      <c r="AL47" s="2444"/>
      <c r="AM47" s="2444"/>
      <c r="AN47" s="2444"/>
      <c r="AO47" s="2444"/>
      <c r="AP47" s="2444"/>
      <c r="AQ47" s="2444"/>
      <c r="AR47" s="2444"/>
      <c r="AS47" s="2444"/>
      <c r="AT47" s="2444"/>
      <c r="AU47" s="2444"/>
      <c r="AV47" s="2444"/>
      <c r="AW47" s="2444"/>
      <c r="AX47" s="2444"/>
      <c r="AY47" s="2444"/>
      <c r="AZ47" s="2444"/>
    </row>
    <row r="48" spans="1:52" ht="18" customHeight="1">
      <c r="A48" s="2444"/>
      <c r="B48" s="2470" t="s">
        <v>1516</v>
      </c>
      <c r="C48" s="2456">
        <f>财务摘要!C48</f>
        <v>-692.93374212999993</v>
      </c>
      <c r="D48" s="2456">
        <f>财务摘要!D48</f>
        <v>-453.82337796000002</v>
      </c>
      <c r="E48" s="2456">
        <f>财务摘要!E48</f>
        <v>340.11846025772661</v>
      </c>
      <c r="F48" s="2456">
        <f>财务摘要!F48</f>
        <v>-140.50885467250396</v>
      </c>
      <c r="G48" s="2456">
        <f>财务摘要!G48</f>
        <v>-17.141999020479375</v>
      </c>
      <c r="H48" s="2444"/>
      <c r="I48" s="2444"/>
      <c r="J48" s="2444"/>
      <c r="K48" s="2444"/>
      <c r="L48" s="2444"/>
      <c r="M48" s="2444"/>
      <c r="N48" s="2452"/>
      <c r="O48" s="2449"/>
      <c r="P48" s="2449"/>
      <c r="Q48" s="2449"/>
      <c r="R48" s="2449"/>
      <c r="S48" s="2449"/>
      <c r="T48" s="2449"/>
      <c r="U48" s="2444"/>
      <c r="V48" s="2444"/>
      <c r="W48" s="2444"/>
      <c r="X48" s="2444"/>
      <c r="Y48" s="2444"/>
      <c r="Z48" s="2444"/>
      <c r="AA48" s="2444"/>
      <c r="AB48" s="2444"/>
      <c r="AC48" s="2444"/>
      <c r="AD48" s="2444"/>
      <c r="AE48" s="2444"/>
      <c r="AF48" s="2444"/>
      <c r="AG48" s="2444"/>
      <c r="AH48" s="2444"/>
      <c r="AI48" s="2444"/>
      <c r="AJ48" s="2444"/>
      <c r="AK48" s="2444"/>
      <c r="AL48" s="2444"/>
      <c r="AM48" s="2444"/>
      <c r="AN48" s="2444"/>
      <c r="AO48" s="2444"/>
      <c r="AP48" s="2444"/>
      <c r="AQ48" s="2444"/>
      <c r="AR48" s="2444"/>
      <c r="AS48" s="2444"/>
      <c r="AT48" s="2444"/>
      <c r="AU48" s="2444"/>
      <c r="AV48" s="2444"/>
      <c r="AW48" s="2444"/>
      <c r="AX48" s="2444"/>
      <c r="AY48" s="2444"/>
      <c r="AZ48" s="2444"/>
    </row>
    <row r="49" spans="1:52" ht="18" customHeight="1">
      <c r="A49" s="2444"/>
      <c r="B49" s="2470" t="s">
        <v>1517</v>
      </c>
      <c r="C49" s="2456">
        <f>财务摘要!C49</f>
        <v>3.8988289999792869E-2</v>
      </c>
      <c r="D49" s="2456">
        <f>财务摘要!D49</f>
        <v>0.54187207000012449</v>
      </c>
      <c r="E49" s="2456">
        <f>财务摘要!E49</f>
        <v>0</v>
      </c>
      <c r="F49" s="2456">
        <f>财务摘要!F49</f>
        <v>0</v>
      </c>
      <c r="G49" s="2456">
        <f>财务摘要!G49</f>
        <v>0</v>
      </c>
      <c r="H49" s="2444"/>
      <c r="I49" s="2444"/>
      <c r="J49" s="2444"/>
      <c r="K49" s="2444"/>
      <c r="L49" s="2444"/>
      <c r="M49" s="2444"/>
      <c r="N49" s="2452"/>
      <c r="O49" s="2471"/>
      <c r="P49" s="2449"/>
      <c r="Q49" s="2471"/>
      <c r="R49" s="2471"/>
      <c r="S49" s="2471"/>
      <c r="T49" s="2471"/>
      <c r="U49" s="2471"/>
      <c r="V49" s="2444"/>
      <c r="W49" s="2444"/>
      <c r="X49" s="2444"/>
      <c r="Y49" s="2444"/>
      <c r="Z49" s="2444"/>
      <c r="AA49" s="2444"/>
      <c r="AB49" s="2444"/>
      <c r="AC49" s="2444"/>
      <c r="AD49" s="2444"/>
      <c r="AE49" s="2444"/>
      <c r="AF49" s="2444"/>
      <c r="AG49" s="2444"/>
      <c r="AH49" s="2444"/>
      <c r="AI49" s="2444"/>
      <c r="AJ49" s="2444"/>
      <c r="AK49" s="2444"/>
      <c r="AL49" s="2444"/>
      <c r="AM49" s="2444"/>
      <c r="AN49" s="2444"/>
      <c r="AO49" s="2444"/>
      <c r="AP49" s="2444"/>
      <c r="AQ49" s="2444"/>
      <c r="AR49" s="2444"/>
      <c r="AS49" s="2444"/>
      <c r="AT49" s="2444"/>
      <c r="AU49" s="2444"/>
      <c r="AV49" s="2444"/>
      <c r="AW49" s="2444"/>
      <c r="AX49" s="2444"/>
      <c r="AY49" s="2444"/>
      <c r="AZ49" s="2444"/>
    </row>
    <row r="50" spans="1:52" ht="18" customHeight="1">
      <c r="A50" s="2444"/>
      <c r="B50" s="2472" t="s">
        <v>1518</v>
      </c>
      <c r="C50" s="2456">
        <f>财务摘要!C50</f>
        <v>169.57404037999999</v>
      </c>
      <c r="D50" s="2456">
        <f>财务摘要!D50</f>
        <v>434.94165099000003</v>
      </c>
      <c r="E50" s="2456">
        <f ca="1">财务摘要!E50</f>
        <v>1303.2606716906575</v>
      </c>
      <c r="F50" s="2456">
        <f ca="1">财务摘要!F50</f>
        <v>809.86751966137558</v>
      </c>
      <c r="G50" s="2456">
        <f ca="1">财务摘要!G50</f>
        <v>942.77298903490146</v>
      </c>
      <c r="H50" s="2444"/>
      <c r="I50" s="2444"/>
      <c r="J50" s="2444"/>
      <c r="K50" s="2444"/>
      <c r="L50" s="2444"/>
      <c r="M50" s="2444"/>
      <c r="N50" s="2452"/>
      <c r="O50" s="2473"/>
      <c r="P50" s="2471"/>
      <c r="Q50" s="2471"/>
      <c r="R50" s="2471"/>
      <c r="S50" s="2471"/>
      <c r="T50" s="2471"/>
      <c r="U50" s="2444"/>
      <c r="V50" s="2444"/>
      <c r="W50" s="2444"/>
      <c r="X50" s="2444"/>
      <c r="Y50" s="2444"/>
      <c r="Z50" s="2444"/>
      <c r="AA50" s="2444"/>
      <c r="AB50" s="2444"/>
      <c r="AC50" s="2444"/>
      <c r="AD50" s="2444"/>
      <c r="AE50" s="2444"/>
      <c r="AF50" s="2444"/>
      <c r="AG50" s="2444"/>
      <c r="AH50" s="2444"/>
      <c r="AI50" s="2444"/>
      <c r="AJ50" s="2444"/>
      <c r="AK50" s="2444"/>
      <c r="AL50" s="2444"/>
      <c r="AM50" s="2444"/>
      <c r="AN50" s="2444"/>
      <c r="AO50" s="2444"/>
      <c r="AP50" s="2444"/>
      <c r="AQ50" s="2444"/>
      <c r="AR50" s="2444"/>
      <c r="AS50" s="2444"/>
      <c r="AT50" s="2444"/>
      <c r="AU50" s="2444"/>
      <c r="AV50" s="2444"/>
      <c r="AW50" s="2444"/>
      <c r="AX50" s="2444"/>
      <c r="AY50" s="2444"/>
      <c r="AZ50" s="2444"/>
    </row>
    <row r="51" spans="1:52" ht="18" customHeight="1">
      <c r="A51" s="2444"/>
      <c r="B51" s="2469" t="s">
        <v>1519</v>
      </c>
      <c r="C51" s="2456">
        <f>财务摘要!C51</f>
        <v>195.18588192000001</v>
      </c>
      <c r="D51" s="2456">
        <f>财务摘要!D51</f>
        <v>47.023880430000006</v>
      </c>
      <c r="E51" s="2456">
        <f>财务摘要!E51</f>
        <v>-66.626262619999991</v>
      </c>
      <c r="F51" s="2456">
        <f>财务摘要!F51</f>
        <v>-66.626262619999991</v>
      </c>
      <c r="G51" s="2456">
        <f>财务摘要!G51</f>
        <v>-66.626262619999991</v>
      </c>
      <c r="H51" s="2444"/>
      <c r="I51" s="2444"/>
      <c r="J51" s="2444"/>
      <c r="K51" s="2444"/>
      <c r="L51" s="2444"/>
      <c r="M51" s="2444"/>
      <c r="N51" s="2452"/>
      <c r="O51" s="2449"/>
      <c r="P51" s="2449"/>
      <c r="Q51" s="2449"/>
      <c r="R51" s="2449"/>
      <c r="S51" s="2449"/>
      <c r="T51" s="2449"/>
      <c r="U51" s="2444"/>
      <c r="V51" s="2444"/>
      <c r="W51" s="2444"/>
      <c r="X51" s="2444"/>
      <c r="Y51" s="2444"/>
      <c r="Z51" s="2444"/>
      <c r="AA51" s="2444"/>
      <c r="AB51" s="2444"/>
      <c r="AC51" s="2444"/>
      <c r="AD51" s="2444"/>
      <c r="AE51" s="2444"/>
      <c r="AF51" s="2444"/>
      <c r="AG51" s="2444"/>
      <c r="AH51" s="2444"/>
      <c r="AI51" s="2444"/>
      <c r="AJ51" s="2444"/>
      <c r="AK51" s="2444"/>
      <c r="AL51" s="2444"/>
      <c r="AM51" s="2444"/>
      <c r="AN51" s="2444"/>
      <c r="AO51" s="2444"/>
      <c r="AP51" s="2444"/>
      <c r="AQ51" s="2444"/>
      <c r="AR51" s="2444"/>
      <c r="AS51" s="2444"/>
      <c r="AT51" s="2444"/>
      <c r="AU51" s="2444"/>
      <c r="AV51" s="2444"/>
      <c r="AW51" s="2444"/>
      <c r="AX51" s="2444"/>
      <c r="AY51" s="2444"/>
      <c r="AZ51" s="2444"/>
    </row>
    <row r="52" spans="1:52" ht="18" customHeight="1">
      <c r="A52" s="2444"/>
      <c r="B52" s="2469" t="s">
        <v>1520</v>
      </c>
      <c r="C52" s="2456">
        <f>财务摘要!C52</f>
        <v>346.17313041000034</v>
      </c>
      <c r="D52" s="2456">
        <f>财务摘要!D52</f>
        <v>27.40104109000049</v>
      </c>
      <c r="E52" s="2456">
        <f>财务摘要!E52</f>
        <v>-648.79384704999995</v>
      </c>
      <c r="F52" s="2456">
        <f>财务摘要!F52</f>
        <v>-648.79384704999995</v>
      </c>
      <c r="G52" s="2456">
        <f>财务摘要!G52</f>
        <v>-648.79384704999995</v>
      </c>
      <c r="H52" s="2444"/>
      <c r="I52" s="2444"/>
      <c r="J52" s="2444"/>
      <c r="K52" s="2444"/>
      <c r="L52" s="2444"/>
      <c r="M52" s="2444"/>
      <c r="N52" s="2452"/>
      <c r="O52" s="2449"/>
      <c r="P52" s="2449"/>
      <c r="Q52" s="2449"/>
      <c r="R52" s="2449"/>
      <c r="S52" s="2449"/>
      <c r="T52" s="2449"/>
      <c r="U52" s="2444"/>
      <c r="V52" s="2444"/>
      <c r="W52" s="2444"/>
      <c r="X52" s="2444"/>
      <c r="Y52" s="2444"/>
      <c r="Z52" s="2444"/>
      <c r="AA52" s="2444"/>
      <c r="AB52" s="2444"/>
      <c r="AC52" s="2444"/>
      <c r="AD52" s="2444"/>
      <c r="AE52" s="2444"/>
      <c r="AF52" s="2444"/>
      <c r="AG52" s="2444"/>
      <c r="AH52" s="2444"/>
      <c r="AI52" s="2444"/>
      <c r="AJ52" s="2444"/>
      <c r="AK52" s="2444"/>
      <c r="AL52" s="2444"/>
      <c r="AM52" s="2444"/>
      <c r="AN52" s="2444"/>
      <c r="AO52" s="2444"/>
      <c r="AP52" s="2444"/>
      <c r="AQ52" s="2444"/>
      <c r="AR52" s="2444"/>
      <c r="AS52" s="2444"/>
      <c r="AT52" s="2444"/>
      <c r="AU52" s="2444"/>
      <c r="AV52" s="2444"/>
      <c r="AW52" s="2444"/>
      <c r="AX52" s="2444"/>
      <c r="AY52" s="2444"/>
      <c r="AZ52" s="2444"/>
    </row>
    <row r="53" spans="1:52" ht="18" customHeight="1">
      <c r="A53" s="2444"/>
      <c r="B53" s="2472" t="s">
        <v>1521</v>
      </c>
      <c r="C53" s="2456">
        <f>财务摘要!C53</f>
        <v>150.98724849000001</v>
      </c>
      <c r="D53" s="2456">
        <f>财务摘要!D53</f>
        <v>-19.622839339999999</v>
      </c>
      <c r="E53" s="2456">
        <f>财务摘要!E53</f>
        <v>-582.16758443000003</v>
      </c>
      <c r="F53" s="2456">
        <f>财务摘要!F53</f>
        <v>-582.16758443000003</v>
      </c>
      <c r="G53" s="2456">
        <f>财务摘要!G53</f>
        <v>-582.16758443000003</v>
      </c>
      <c r="H53" s="2449"/>
      <c r="I53" s="2449"/>
      <c r="J53" s="2449"/>
      <c r="K53" s="2449"/>
      <c r="L53" s="2449"/>
      <c r="M53" s="2449"/>
      <c r="N53" s="2444"/>
      <c r="O53" s="2444"/>
      <c r="P53" s="2444"/>
      <c r="Q53" s="2444"/>
      <c r="R53" s="2444"/>
      <c r="S53" s="2444"/>
      <c r="T53" s="2444"/>
      <c r="U53" s="2444"/>
      <c r="V53" s="2444"/>
      <c r="W53" s="2444"/>
      <c r="X53" s="2444"/>
      <c r="Y53" s="2444"/>
      <c r="Z53" s="2444"/>
      <c r="AA53" s="2444"/>
      <c r="AB53" s="2444"/>
      <c r="AC53" s="2444"/>
      <c r="AD53" s="2444"/>
      <c r="AE53" s="2444"/>
      <c r="AF53" s="2444"/>
      <c r="AG53" s="2444"/>
      <c r="AH53" s="2444"/>
      <c r="AI53" s="2444"/>
      <c r="AJ53" s="2444"/>
      <c r="AK53" s="2444"/>
      <c r="AL53" s="2444"/>
      <c r="AM53" s="2444"/>
      <c r="AN53" s="2444"/>
      <c r="AO53" s="2444"/>
      <c r="AP53" s="2444"/>
      <c r="AQ53" s="2444"/>
      <c r="AR53" s="2444"/>
      <c r="AS53" s="2444"/>
    </row>
    <row r="54" spans="1:52" ht="18" customHeight="1">
      <c r="A54" s="2444"/>
      <c r="B54" s="2469" t="s">
        <v>1522</v>
      </c>
      <c r="C54" s="2456">
        <f>财务摘要!C54</f>
        <v>0</v>
      </c>
      <c r="D54" s="2456">
        <f>财务摘要!D54</f>
        <v>211.27692361999999</v>
      </c>
      <c r="E54" s="2456">
        <f>财务摘要!E54</f>
        <v>0</v>
      </c>
      <c r="F54" s="2456">
        <f>财务摘要!F54</f>
        <v>0</v>
      </c>
      <c r="G54" s="2456">
        <f>财务摘要!G54</f>
        <v>0</v>
      </c>
      <c r="H54" s="2449"/>
      <c r="I54" s="2449"/>
      <c r="J54" s="2449"/>
      <c r="K54" s="2449"/>
      <c r="L54" s="2449"/>
      <c r="M54" s="2449"/>
      <c r="N54" s="2444"/>
      <c r="O54" s="2444"/>
      <c r="P54" s="2444"/>
      <c r="Q54" s="2444"/>
      <c r="R54" s="2444"/>
      <c r="S54" s="2444"/>
      <c r="T54" s="2444"/>
      <c r="U54" s="2444"/>
      <c r="V54" s="2444"/>
      <c r="W54" s="2444"/>
      <c r="X54" s="2444"/>
      <c r="Y54" s="2444"/>
      <c r="Z54" s="2444"/>
      <c r="AA54" s="2444"/>
      <c r="AB54" s="2444"/>
      <c r="AC54" s="2444"/>
      <c r="AD54" s="2444"/>
      <c r="AE54" s="2444"/>
      <c r="AF54" s="2444"/>
      <c r="AG54" s="2444"/>
      <c r="AH54" s="2444"/>
      <c r="AI54" s="2444"/>
      <c r="AJ54" s="2444"/>
      <c r="AK54" s="2444"/>
      <c r="AL54" s="2444"/>
      <c r="AM54" s="2444"/>
      <c r="AN54" s="2444"/>
      <c r="AO54" s="2444"/>
      <c r="AP54" s="2444"/>
      <c r="AQ54" s="2444"/>
      <c r="AR54" s="2444"/>
      <c r="AS54" s="2444"/>
    </row>
    <row r="55" spans="1:52" ht="18" customHeight="1">
      <c r="A55" s="2444"/>
      <c r="B55" s="2474" t="s">
        <v>1523</v>
      </c>
      <c r="C55" s="2456">
        <f>财务摘要!C55</f>
        <v>15.408259220000001</v>
      </c>
      <c r="D55" s="2456">
        <f>财务摘要!D55</f>
        <v>890.41590421000001</v>
      </c>
      <c r="E55" s="2456">
        <f ca="1">财务摘要!E55</f>
        <v>386.16672381461706</v>
      </c>
      <c r="F55" s="2456">
        <f ca="1">财务摘要!F55</f>
        <v>2386.075885391223</v>
      </c>
      <c r="G55" s="2456">
        <f ca="1">财务摘要!G55</f>
        <v>2253.1704160176973</v>
      </c>
      <c r="H55" s="2449"/>
      <c r="I55" s="2449"/>
      <c r="J55" s="2449"/>
      <c r="K55" s="2449"/>
      <c r="L55" s="2449"/>
      <c r="M55" s="2449"/>
      <c r="N55" s="2444"/>
      <c r="O55" s="2444"/>
      <c r="P55" s="2444"/>
      <c r="Q55" s="2444"/>
      <c r="R55" s="2444"/>
      <c r="S55" s="2444"/>
      <c r="T55" s="2444"/>
      <c r="U55" s="2444"/>
      <c r="V55" s="2444"/>
      <c r="W55" s="2444"/>
      <c r="X55" s="2444"/>
      <c r="Y55" s="2444"/>
      <c r="Z55" s="2444"/>
      <c r="AA55" s="2444"/>
      <c r="AB55" s="2444"/>
      <c r="AC55" s="2444"/>
      <c r="AD55" s="2444"/>
      <c r="AE55" s="2444"/>
      <c r="AF55" s="2444"/>
      <c r="AG55" s="2444"/>
      <c r="AH55" s="2444"/>
      <c r="AI55" s="2444"/>
      <c r="AJ55" s="2444"/>
      <c r="AK55" s="2444"/>
      <c r="AL55" s="2444"/>
      <c r="AM55" s="2444"/>
      <c r="AN55" s="2444"/>
      <c r="AO55" s="2444"/>
      <c r="AP55" s="2444"/>
      <c r="AQ55" s="2444"/>
      <c r="AR55" s="2444"/>
      <c r="AS55" s="2444"/>
    </row>
    <row r="56" spans="1:52" ht="18" customHeight="1">
      <c r="A56" s="2444"/>
      <c r="B56" s="2469" t="s">
        <v>1524</v>
      </c>
      <c r="C56" s="2456">
        <f>财务摘要!C56</f>
        <v>241.72258099999999</v>
      </c>
      <c r="D56" s="2456">
        <f>财务摘要!D56</f>
        <v>235.17</v>
      </c>
      <c r="E56" s="2456">
        <f ca="1">财务摘要!E56</f>
        <v>2366.7043487452747</v>
      </c>
      <c r="F56" s="2456">
        <f ca="1">财务摘要!F56</f>
        <v>2613.7758206225985</v>
      </c>
      <c r="G56" s="2456">
        <f ca="1">财务摘要!G56</f>
        <v>2613.7758206225985</v>
      </c>
      <c r="H56" s="2449"/>
      <c r="I56" s="2449"/>
      <c r="J56" s="2449"/>
      <c r="K56" s="2449"/>
      <c r="L56" s="2449"/>
      <c r="M56" s="2449"/>
      <c r="N56" s="2444"/>
      <c r="O56" s="2444"/>
      <c r="P56" s="2444"/>
      <c r="Q56" s="2444"/>
      <c r="R56" s="2444"/>
      <c r="S56" s="2444"/>
      <c r="T56" s="2444"/>
      <c r="U56" s="2444"/>
      <c r="V56" s="2444"/>
      <c r="W56" s="2444"/>
      <c r="X56" s="2444"/>
      <c r="Y56" s="2444"/>
      <c r="Z56" s="2444"/>
      <c r="AA56" s="2444"/>
      <c r="AB56" s="2444"/>
      <c r="AC56" s="2444"/>
      <c r="AD56" s="2444"/>
      <c r="AE56" s="2444"/>
      <c r="AF56" s="2444"/>
      <c r="AG56" s="2444"/>
      <c r="AH56" s="2444"/>
      <c r="AI56" s="2444"/>
      <c r="AJ56" s="2444"/>
      <c r="AK56" s="2444"/>
      <c r="AL56" s="2444"/>
      <c r="AM56" s="2444"/>
      <c r="AN56" s="2444"/>
      <c r="AO56" s="2444"/>
      <c r="AP56" s="2444"/>
      <c r="AQ56" s="2444"/>
      <c r="AR56" s="2444"/>
      <c r="AS56" s="2444"/>
    </row>
    <row r="57" spans="1:52" ht="18" customHeight="1">
      <c r="A57" s="2444"/>
      <c r="B57" s="2469" t="s">
        <v>1517</v>
      </c>
      <c r="C57" s="2456">
        <f>财务摘要!C57</f>
        <v>0</v>
      </c>
      <c r="D57" s="2456">
        <f>财务摘要!D57</f>
        <v>-2.4925849100000002</v>
      </c>
      <c r="E57" s="2456">
        <f>财务摘要!E57</f>
        <v>-207.44708469999998</v>
      </c>
      <c r="F57" s="2456">
        <f>财务摘要!F57</f>
        <v>0</v>
      </c>
      <c r="G57" s="2456">
        <f>财务摘要!G57</f>
        <v>0</v>
      </c>
      <c r="H57" s="2444"/>
      <c r="N57" s="2452"/>
      <c r="O57" s="2449"/>
      <c r="P57" s="2449"/>
      <c r="Q57" s="2449"/>
      <c r="R57" s="2449"/>
      <c r="S57" s="2449"/>
      <c r="T57" s="2449"/>
      <c r="U57" s="2444"/>
      <c r="V57" s="2444"/>
      <c r="W57" s="2444"/>
      <c r="X57" s="2444"/>
      <c r="Y57" s="2444"/>
      <c r="Z57" s="2444"/>
      <c r="AA57" s="2444"/>
      <c r="AB57" s="2444"/>
      <c r="AC57" s="2444"/>
      <c r="AD57" s="2444"/>
      <c r="AE57" s="2444"/>
      <c r="AF57" s="2444"/>
      <c r="AG57" s="2444"/>
      <c r="AH57" s="2444"/>
      <c r="AI57" s="2444"/>
      <c r="AJ57" s="2444"/>
      <c r="AK57" s="2444"/>
      <c r="AL57" s="2444"/>
      <c r="AM57" s="2444"/>
      <c r="AN57" s="2444"/>
      <c r="AO57" s="2444"/>
      <c r="AP57" s="2444"/>
      <c r="AQ57" s="2444"/>
      <c r="AR57" s="2444"/>
      <c r="AS57" s="2444"/>
      <c r="AT57" s="2444"/>
      <c r="AU57" s="2444"/>
      <c r="AV57" s="2444"/>
      <c r="AW57" s="2444"/>
      <c r="AX57" s="2444"/>
      <c r="AY57" s="2444"/>
      <c r="AZ57" s="2444"/>
    </row>
    <row r="58" spans="1:52" ht="18" customHeight="1">
      <c r="A58" s="2444"/>
      <c r="B58" s="2472" t="s">
        <v>1525</v>
      </c>
      <c r="C58" s="2456">
        <f>财务摘要!C58</f>
        <v>-226.31432178</v>
      </c>
      <c r="D58" s="2456">
        <f>财务摘要!D58</f>
        <v>864.03024291999998</v>
      </c>
      <c r="E58" s="2456">
        <f ca="1">财务摘要!E58</f>
        <v>-2187.9847096306576</v>
      </c>
      <c r="F58" s="2456">
        <f ca="1">财务摘要!F58</f>
        <v>-227.69993523137555</v>
      </c>
      <c r="G58" s="2456">
        <f ca="1">财务摘要!G58</f>
        <v>-360.6054046049012</v>
      </c>
      <c r="H58" s="2444"/>
      <c r="N58" s="2452"/>
      <c r="O58" s="2449"/>
      <c r="P58" s="2449"/>
      <c r="Q58" s="2449"/>
      <c r="R58" s="2449"/>
      <c r="S58" s="2449"/>
      <c r="T58" s="2449"/>
      <c r="U58" s="2444"/>
      <c r="V58" s="2444"/>
      <c r="W58" s="2444"/>
      <c r="X58" s="2444"/>
      <c r="Y58" s="2444"/>
      <c r="Z58" s="2444"/>
      <c r="AA58" s="2444"/>
      <c r="AB58" s="2444"/>
      <c r="AC58" s="2444"/>
      <c r="AD58" s="2444"/>
      <c r="AE58" s="2444"/>
      <c r="AF58" s="2444"/>
      <c r="AG58" s="2444"/>
      <c r="AH58" s="2444"/>
      <c r="AI58" s="2444"/>
      <c r="AJ58" s="2444"/>
      <c r="AK58" s="2444"/>
      <c r="AL58" s="2444"/>
      <c r="AM58" s="2444"/>
      <c r="AN58" s="2444"/>
      <c r="AO58" s="2444"/>
      <c r="AP58" s="2444"/>
      <c r="AQ58" s="2444"/>
      <c r="AR58" s="2444"/>
      <c r="AS58" s="2444"/>
      <c r="AT58" s="2444"/>
      <c r="AU58" s="2444"/>
      <c r="AV58" s="2444"/>
      <c r="AW58" s="2444"/>
      <c r="AX58" s="2444"/>
      <c r="AY58" s="2444"/>
      <c r="AZ58" s="2444"/>
    </row>
    <row r="59" spans="1:52" ht="18" customHeight="1" thickBot="1">
      <c r="A59" s="2444"/>
      <c r="B59" s="2472" t="s">
        <v>1526</v>
      </c>
      <c r="C59" s="2456">
        <f>财务摘要!C59</f>
        <v>109.70910626999999</v>
      </c>
      <c r="D59" s="2456">
        <f>财务摘要!D59</f>
        <v>1311.11239746</v>
      </c>
      <c r="E59" s="2456">
        <f ca="1">财务摘要!E59</f>
        <v>-1466.8916223699998</v>
      </c>
      <c r="F59" s="2456">
        <f ca="1">财务摘要!F59</f>
        <v>0</v>
      </c>
      <c r="G59" s="2456">
        <f ca="1">财务摘要!G59</f>
        <v>0</v>
      </c>
      <c r="H59" s="2444"/>
      <c r="N59" s="2452"/>
      <c r="O59" s="2449"/>
      <c r="P59" s="2449"/>
      <c r="Q59" s="2449"/>
      <c r="R59" s="2449"/>
      <c r="S59" s="2449"/>
      <c r="T59" s="2449"/>
      <c r="U59" s="2444"/>
      <c r="V59" s="2444"/>
      <c r="W59" s="2444"/>
      <c r="X59" s="2444"/>
      <c r="Y59" s="2444"/>
      <c r="Z59" s="2444"/>
      <c r="AA59" s="2444"/>
      <c r="AB59" s="2444"/>
      <c r="AC59" s="2444"/>
      <c r="AD59" s="2444"/>
      <c r="AE59" s="2444"/>
      <c r="AF59" s="2444"/>
      <c r="AG59" s="2444"/>
      <c r="AH59" s="2444"/>
      <c r="AI59" s="2444"/>
      <c r="AJ59" s="2444"/>
      <c r="AK59" s="2444"/>
      <c r="AL59" s="2444"/>
      <c r="AM59" s="2444"/>
      <c r="AN59" s="2444"/>
      <c r="AO59" s="2444"/>
      <c r="AP59" s="2444"/>
      <c r="AQ59" s="2444"/>
      <c r="AR59" s="2444"/>
      <c r="AS59" s="2444"/>
      <c r="AT59" s="2444"/>
      <c r="AU59" s="2444"/>
      <c r="AV59" s="2444"/>
      <c r="AW59" s="2444"/>
      <c r="AX59" s="2444"/>
      <c r="AY59" s="2444"/>
      <c r="AZ59" s="2444"/>
    </row>
    <row r="60" spans="1:52" s="2478" customFormat="1" ht="18" hidden="1" customHeight="1">
      <c r="A60" s="2475"/>
      <c r="B60" s="2476"/>
      <c r="C60" s="2477"/>
      <c r="D60" s="2477"/>
      <c r="E60" s="2477"/>
      <c r="F60" s="2477"/>
      <c r="G60" s="2477"/>
      <c r="H60" s="2475"/>
      <c r="N60" s="2479"/>
      <c r="O60" s="2480"/>
      <c r="P60" s="2480"/>
      <c r="Q60" s="2480"/>
      <c r="R60" s="2480"/>
      <c r="S60" s="2480"/>
      <c r="T60" s="2480"/>
      <c r="U60" s="2475"/>
      <c r="V60" s="2475"/>
      <c r="W60" s="2475"/>
      <c r="X60" s="2475"/>
      <c r="Y60" s="2475"/>
      <c r="Z60" s="2475"/>
      <c r="AA60" s="2475"/>
      <c r="AB60" s="2475"/>
      <c r="AC60" s="2475"/>
      <c r="AD60" s="2475"/>
      <c r="AE60" s="2475"/>
      <c r="AF60" s="2475"/>
      <c r="AG60" s="2475"/>
      <c r="AH60" s="2475"/>
      <c r="AI60" s="2475"/>
      <c r="AJ60" s="2475"/>
      <c r="AK60" s="2475"/>
      <c r="AL60" s="2475"/>
      <c r="AM60" s="2475"/>
      <c r="AN60" s="2475"/>
      <c r="AO60" s="2475"/>
      <c r="AP60" s="2475"/>
      <c r="AQ60" s="2475"/>
      <c r="AR60" s="2475"/>
      <c r="AS60" s="2475"/>
      <c r="AT60" s="2475"/>
      <c r="AU60" s="2475"/>
      <c r="AV60" s="2475"/>
      <c r="AW60" s="2475"/>
      <c r="AX60" s="2475"/>
      <c r="AY60" s="2475"/>
      <c r="AZ60" s="2475"/>
    </row>
    <row r="61" spans="1:52" s="2478" customFormat="1" ht="18" hidden="1" customHeight="1">
      <c r="A61" s="2475"/>
      <c r="B61" s="2481"/>
      <c r="C61" s="2482"/>
      <c r="D61" s="2482"/>
      <c r="E61" s="2482"/>
      <c r="F61" s="2482"/>
      <c r="G61" s="2482"/>
      <c r="H61" s="2475"/>
      <c r="N61" s="2479"/>
      <c r="O61" s="2480"/>
      <c r="P61" s="2480"/>
      <c r="Q61" s="2480"/>
      <c r="R61" s="2480"/>
      <c r="S61" s="2480"/>
      <c r="T61" s="2480"/>
      <c r="U61" s="2475"/>
      <c r="V61" s="2475"/>
      <c r="W61" s="2475"/>
      <c r="X61" s="2475"/>
      <c r="Y61" s="2475"/>
      <c r="Z61" s="2475"/>
      <c r="AA61" s="2475"/>
      <c r="AB61" s="2475"/>
      <c r="AC61" s="2475"/>
      <c r="AD61" s="2475"/>
      <c r="AE61" s="2475"/>
      <c r="AF61" s="2475"/>
      <c r="AG61" s="2475"/>
      <c r="AH61" s="2475"/>
      <c r="AI61" s="2475"/>
      <c r="AJ61" s="2475"/>
      <c r="AK61" s="2475"/>
      <c r="AL61" s="2475"/>
      <c r="AM61" s="2475"/>
      <c r="AN61" s="2475"/>
      <c r="AO61" s="2475"/>
      <c r="AP61" s="2475"/>
      <c r="AQ61" s="2475"/>
      <c r="AR61" s="2475"/>
      <c r="AS61" s="2475"/>
      <c r="AT61" s="2475"/>
      <c r="AU61" s="2475"/>
      <c r="AV61" s="2475"/>
      <c r="AW61" s="2475"/>
      <c r="AX61" s="2475"/>
      <c r="AY61" s="2475"/>
      <c r="AZ61" s="2475"/>
    </row>
    <row r="62" spans="1:52" ht="18" customHeight="1">
      <c r="A62" s="2444"/>
      <c r="B62" s="2534" t="s">
        <v>1511</v>
      </c>
      <c r="C62" s="2534"/>
      <c r="D62" s="2534"/>
      <c r="E62" s="2534"/>
      <c r="F62" s="2534"/>
      <c r="G62" s="2534"/>
      <c r="H62" s="2444"/>
      <c r="N62" s="2452"/>
      <c r="O62" s="2449"/>
      <c r="P62" s="2449"/>
      <c r="Q62" s="2449"/>
      <c r="R62" s="2449"/>
      <c r="S62" s="2449"/>
      <c r="T62" s="2449"/>
      <c r="U62" s="2444"/>
      <c r="V62" s="2444"/>
      <c r="W62" s="2444"/>
      <c r="X62" s="2444"/>
      <c r="Y62" s="2444"/>
      <c r="Z62" s="2444"/>
      <c r="AA62" s="2444"/>
      <c r="AB62" s="2444"/>
      <c r="AC62" s="2444"/>
      <c r="AD62" s="2444"/>
      <c r="AE62" s="2444"/>
      <c r="AF62" s="2444"/>
      <c r="AG62" s="2444"/>
      <c r="AH62" s="2444"/>
      <c r="AI62" s="2444"/>
      <c r="AJ62" s="2444"/>
      <c r="AK62" s="2444"/>
      <c r="AL62" s="2444"/>
      <c r="AM62" s="2444"/>
      <c r="AN62" s="2444"/>
      <c r="AO62" s="2444"/>
      <c r="AP62" s="2444"/>
      <c r="AQ62" s="2444"/>
      <c r="AR62" s="2444"/>
      <c r="AS62" s="2444"/>
      <c r="AT62" s="2444"/>
      <c r="AU62" s="2444"/>
      <c r="AV62" s="2444"/>
      <c r="AW62" s="2444"/>
      <c r="AX62" s="2444"/>
      <c r="AY62" s="2444"/>
      <c r="AZ62" s="2444"/>
    </row>
    <row r="63" spans="1:52" ht="18" customHeight="1">
      <c r="A63" s="2444"/>
      <c r="B63" s="2483"/>
      <c r="C63" s="2483"/>
      <c r="D63" s="2483"/>
      <c r="E63" s="2483"/>
      <c r="F63" s="2483"/>
      <c r="G63" s="2483"/>
      <c r="H63" s="2444"/>
      <c r="I63" s="2444"/>
      <c r="J63" s="2444"/>
      <c r="K63" s="2444"/>
      <c r="L63" s="2444"/>
      <c r="M63" s="2444"/>
      <c r="N63" s="2452"/>
      <c r="O63" s="2449"/>
      <c r="P63" s="2449"/>
      <c r="Q63" s="2449"/>
      <c r="R63" s="2449"/>
      <c r="S63" s="2449"/>
      <c r="T63" s="2449"/>
      <c r="U63" s="2444"/>
      <c r="V63" s="2444"/>
      <c r="W63" s="2444"/>
      <c r="X63" s="2444"/>
      <c r="Y63" s="2444"/>
      <c r="Z63" s="2444"/>
      <c r="AA63" s="2444"/>
      <c r="AB63" s="2444"/>
      <c r="AC63" s="2444"/>
      <c r="AD63" s="2444"/>
      <c r="AE63" s="2444"/>
      <c r="AF63" s="2444"/>
      <c r="AG63" s="2444"/>
      <c r="AH63" s="2444"/>
      <c r="AI63" s="2444"/>
      <c r="AJ63" s="2444"/>
      <c r="AK63" s="2444"/>
      <c r="AL63" s="2444"/>
      <c r="AM63" s="2444"/>
      <c r="AN63" s="2444"/>
      <c r="AO63" s="2444"/>
      <c r="AP63" s="2444"/>
      <c r="AQ63" s="2444"/>
      <c r="AR63" s="2444"/>
      <c r="AS63" s="2444"/>
      <c r="AT63" s="2444"/>
      <c r="AU63" s="2444"/>
      <c r="AV63" s="2444"/>
      <c r="AW63" s="2444"/>
      <c r="AX63" s="2444"/>
      <c r="AY63" s="2444"/>
      <c r="AZ63" s="2444"/>
    </row>
    <row r="64" spans="1:52" ht="18" customHeight="1" thickBot="1">
      <c r="A64" s="2444"/>
      <c r="B64" s="2484" t="s">
        <v>1527</v>
      </c>
      <c r="C64" s="2485"/>
      <c r="D64" s="2485"/>
      <c r="E64" s="2485"/>
      <c r="F64" s="2485"/>
      <c r="G64" s="2485"/>
      <c r="H64" s="2486"/>
      <c r="I64" s="2486"/>
      <c r="J64" s="2486"/>
      <c r="K64" s="2486"/>
      <c r="L64" s="2486"/>
      <c r="M64" s="2486"/>
      <c r="N64" s="2452"/>
      <c r="O64" s="2449"/>
      <c r="P64" s="2449"/>
      <c r="Q64" s="2449"/>
      <c r="R64" s="2449"/>
      <c r="S64" s="2449"/>
      <c r="T64" s="2449"/>
      <c r="U64" s="2444"/>
      <c r="V64" s="2444"/>
      <c r="W64" s="2444"/>
      <c r="X64" s="2444"/>
      <c r="Y64" s="2444"/>
      <c r="Z64" s="2444"/>
      <c r="AA64" s="2444"/>
      <c r="AB64" s="2444"/>
      <c r="AC64" s="2444"/>
      <c r="AD64" s="2444"/>
      <c r="AE64" s="2444"/>
      <c r="AF64" s="2444"/>
      <c r="AG64" s="2444"/>
      <c r="AH64" s="2444"/>
      <c r="AI64" s="2444"/>
      <c r="AJ64" s="2444"/>
      <c r="AK64" s="2444"/>
      <c r="AL64" s="2444"/>
      <c r="AM64" s="2444"/>
      <c r="AN64" s="2444"/>
      <c r="AO64" s="2444"/>
      <c r="AP64" s="2444"/>
      <c r="AQ64" s="2444"/>
      <c r="AR64" s="2444"/>
      <c r="AS64" s="2444"/>
      <c r="AT64" s="2444"/>
      <c r="AU64" s="2444"/>
      <c r="AV64" s="2444"/>
      <c r="AW64" s="2444"/>
      <c r="AX64" s="2444"/>
      <c r="AY64" s="2444"/>
      <c r="AZ64" s="2444"/>
    </row>
    <row r="65" spans="1:52" ht="18" customHeight="1" thickTop="1">
      <c r="A65" s="2444"/>
      <c r="B65" s="2487"/>
      <c r="C65" s="2487"/>
      <c r="D65" s="2487"/>
      <c r="E65" s="2487"/>
      <c r="F65" s="2487"/>
      <c r="G65" s="2487"/>
      <c r="H65" s="2488"/>
      <c r="I65" s="2488"/>
      <c r="J65" s="2488"/>
      <c r="K65" s="2488"/>
      <c r="L65" s="2488"/>
      <c r="M65" s="2488"/>
      <c r="N65" s="2452"/>
      <c r="O65" s="2449"/>
      <c r="P65" s="2449"/>
      <c r="Q65" s="2449"/>
      <c r="R65" s="2449"/>
      <c r="S65" s="2449"/>
      <c r="T65" s="2449"/>
      <c r="U65" s="2444"/>
      <c r="V65" s="2444"/>
      <c r="W65" s="2444"/>
      <c r="X65" s="2444"/>
      <c r="Y65" s="2444"/>
      <c r="Z65" s="2444"/>
      <c r="AA65" s="2444"/>
      <c r="AB65" s="2444"/>
      <c r="AC65" s="2444"/>
      <c r="AD65" s="2444"/>
      <c r="AE65" s="2444"/>
      <c r="AF65" s="2444"/>
      <c r="AG65" s="2444"/>
      <c r="AH65" s="2444"/>
      <c r="AI65" s="2444"/>
      <c r="AJ65" s="2444"/>
      <c r="AK65" s="2444"/>
      <c r="AL65" s="2444"/>
      <c r="AM65" s="2444"/>
      <c r="AN65" s="2444"/>
      <c r="AO65" s="2444"/>
      <c r="AP65" s="2444"/>
      <c r="AQ65" s="2444"/>
      <c r="AR65" s="2444"/>
      <c r="AS65" s="2444"/>
      <c r="AT65" s="2444"/>
      <c r="AU65" s="2444"/>
      <c r="AV65" s="2444"/>
      <c r="AW65" s="2444"/>
      <c r="AX65" s="2444"/>
      <c r="AY65" s="2444"/>
      <c r="AZ65" s="2444"/>
    </row>
    <row r="66" spans="1:52" ht="18" customHeight="1" thickBot="1">
      <c r="A66" s="2444"/>
      <c r="B66" s="2532" t="s">
        <v>1528</v>
      </c>
      <c r="C66" s="2533"/>
      <c r="D66" s="2533"/>
      <c r="E66" s="2533"/>
      <c r="F66" s="2533"/>
      <c r="G66" s="2533"/>
      <c r="H66" s="2444"/>
      <c r="I66" s="2444"/>
      <c r="J66" s="2444"/>
      <c r="K66" s="2444"/>
      <c r="L66" s="2444"/>
      <c r="M66" s="2444"/>
      <c r="N66" s="2452"/>
      <c r="O66" s="2449"/>
      <c r="P66" s="2449"/>
      <c r="Q66" s="2449"/>
      <c r="R66" s="2449"/>
      <c r="S66" s="2449"/>
      <c r="T66" s="2449"/>
      <c r="U66" s="2444"/>
      <c r="V66" s="2444"/>
      <c r="W66" s="2444"/>
      <c r="X66" s="2444"/>
      <c r="Y66" s="2444"/>
      <c r="Z66" s="2444"/>
      <c r="AA66" s="2444"/>
      <c r="AB66" s="2444"/>
      <c r="AC66" s="2444"/>
      <c r="AD66" s="2444"/>
      <c r="AE66" s="2444"/>
      <c r="AF66" s="2444"/>
      <c r="AG66" s="2444"/>
      <c r="AH66" s="2444"/>
      <c r="AI66" s="2444"/>
      <c r="AJ66" s="2444"/>
      <c r="AK66" s="2444"/>
      <c r="AL66" s="2444"/>
      <c r="AM66" s="2444"/>
      <c r="AN66" s="2444"/>
      <c r="AO66" s="2444"/>
      <c r="AP66" s="2444"/>
      <c r="AQ66" s="2444"/>
      <c r="AR66" s="2444"/>
      <c r="AS66" s="2444"/>
      <c r="AT66" s="2444"/>
      <c r="AU66" s="2444"/>
      <c r="AV66" s="2444"/>
      <c r="AW66" s="2444"/>
      <c r="AX66" s="2444"/>
      <c r="AY66" s="2444"/>
      <c r="AZ66" s="2444"/>
    </row>
    <row r="67" spans="1:52" ht="18" customHeight="1">
      <c r="A67" s="2444"/>
      <c r="B67" s="2453" t="s">
        <v>1482</v>
      </c>
      <c r="C67" s="2454">
        <f>C5</f>
        <v>2018</v>
      </c>
      <c r="D67" s="2454">
        <f>D5</f>
        <v>2019</v>
      </c>
      <c r="E67" s="2454" t="str">
        <f>E5</f>
        <v>2020E</v>
      </c>
      <c r="F67" s="2454" t="str">
        <f>F5</f>
        <v>2021E</v>
      </c>
      <c r="G67" s="2454" t="str">
        <f>G5</f>
        <v>2022E</v>
      </c>
      <c r="H67" s="2444"/>
      <c r="I67" s="2457" t="s">
        <v>1529</v>
      </c>
      <c r="J67" s="2444"/>
      <c r="K67" s="2444"/>
      <c r="L67" s="2444"/>
      <c r="M67" s="2444"/>
      <c r="N67" s="2489"/>
      <c r="O67" s="2449"/>
      <c r="P67" s="2449"/>
      <c r="Q67" s="2449"/>
      <c r="R67" s="2449"/>
      <c r="S67" s="2449"/>
      <c r="T67" s="2449"/>
      <c r="U67" s="2444"/>
      <c r="V67" s="2444"/>
      <c r="W67" s="2444"/>
      <c r="X67" s="2444"/>
      <c r="Y67" s="2444"/>
      <c r="Z67" s="2444"/>
      <c r="AA67" s="2444"/>
      <c r="AB67" s="2444"/>
      <c r="AC67" s="2444"/>
      <c r="AD67" s="2444"/>
      <c r="AE67" s="2444"/>
      <c r="AF67" s="2444"/>
      <c r="AG67" s="2444"/>
      <c r="AH67" s="2444"/>
      <c r="AI67" s="2444"/>
      <c r="AJ67" s="2444"/>
      <c r="AK67" s="2444"/>
      <c r="AL67" s="2444"/>
      <c r="AM67" s="2444"/>
      <c r="AN67" s="2444"/>
      <c r="AO67" s="2444"/>
      <c r="AP67" s="2444"/>
      <c r="AQ67" s="2444"/>
      <c r="AR67" s="2444"/>
      <c r="AS67" s="2444"/>
      <c r="AT67" s="2444"/>
      <c r="AU67" s="2444"/>
      <c r="AV67" s="2444"/>
      <c r="AW67" s="2444"/>
      <c r="AX67" s="2444"/>
      <c r="AY67" s="2444"/>
      <c r="AZ67" s="2444"/>
    </row>
    <row r="68" spans="1:52" ht="18" customHeight="1">
      <c r="A68" s="2444"/>
      <c r="B68" s="2483" t="s">
        <v>1530</v>
      </c>
      <c r="C68" s="2490">
        <f>财务摘要!C68</f>
        <v>5013.9663203</v>
      </c>
      <c r="D68" s="2490">
        <f>财务摘要!D68</f>
        <v>6744.6232986699997</v>
      </c>
      <c r="E68" s="2490">
        <f ca="1">财务摘要!E68</f>
        <v>5613.3250847722729</v>
      </c>
      <c r="F68" s="2490">
        <f ca="1">财务摘要!F68</f>
        <v>6429.5458081747774</v>
      </c>
      <c r="G68" s="2490">
        <f ca="1">财务摘要!G68</f>
        <v>7122.3996759252559</v>
      </c>
      <c r="H68" s="2444"/>
      <c r="I68" s="2444"/>
      <c r="J68" s="2444"/>
      <c r="K68" s="2444"/>
      <c r="L68" s="2444"/>
      <c r="M68" s="2444"/>
      <c r="N68" s="2489"/>
      <c r="O68" s="2449"/>
      <c r="P68" s="2449"/>
      <c r="Q68" s="2449"/>
      <c r="R68" s="2449"/>
      <c r="S68" s="2449"/>
      <c r="T68" s="2449"/>
      <c r="U68" s="2444"/>
      <c r="V68" s="2444"/>
      <c r="W68" s="2444"/>
      <c r="X68" s="2444"/>
      <c r="Y68" s="2444"/>
      <c r="Z68" s="2444"/>
      <c r="AA68" s="2444"/>
      <c r="AB68" s="2444"/>
      <c r="AC68" s="2444"/>
      <c r="AD68" s="2444"/>
      <c r="AE68" s="2444"/>
      <c r="AF68" s="2444"/>
      <c r="AG68" s="2444"/>
      <c r="AH68" s="2444"/>
      <c r="AI68" s="2444"/>
      <c r="AJ68" s="2444"/>
      <c r="AK68" s="2444"/>
      <c r="AL68" s="2444"/>
      <c r="AM68" s="2444"/>
      <c r="AN68" s="2444"/>
      <c r="AO68" s="2444"/>
      <c r="AP68" s="2444"/>
      <c r="AQ68" s="2444"/>
      <c r="AR68" s="2444"/>
      <c r="AS68" s="2444"/>
      <c r="AT68" s="2444"/>
      <c r="AU68" s="2444"/>
      <c r="AV68" s="2444"/>
      <c r="AW68" s="2444"/>
      <c r="AX68" s="2444"/>
      <c r="AY68" s="2444"/>
      <c r="AZ68" s="2444"/>
    </row>
    <row r="69" spans="1:52" ht="18" customHeight="1">
      <c r="A69" s="2444"/>
      <c r="B69" s="2469" t="s">
        <v>1531</v>
      </c>
      <c r="C69" s="2490">
        <f>财务摘要!C69</f>
        <v>494.74922277000002</v>
      </c>
      <c r="D69" s="2490">
        <f>财务摘要!D69</f>
        <v>2558.1059912199999</v>
      </c>
      <c r="E69" s="2490">
        <f ca="1">财务摘要!E69</f>
        <v>1766.9262375799999</v>
      </c>
      <c r="F69" s="2490">
        <f ca="1">财务摘要!F69</f>
        <v>2442.6381063099998</v>
      </c>
      <c r="G69" s="2490">
        <f ca="1">财务摘要!G69</f>
        <v>3118.3499750399997</v>
      </c>
      <c r="H69" s="2444"/>
      <c r="I69" s="2444"/>
      <c r="J69" s="2444"/>
      <c r="K69" s="2444"/>
      <c r="L69" s="2444"/>
      <c r="M69" s="2444"/>
      <c r="N69" s="2448"/>
      <c r="O69" s="2449"/>
      <c r="P69" s="2449"/>
      <c r="Q69" s="2449"/>
      <c r="R69" s="2449"/>
      <c r="S69" s="2449"/>
      <c r="T69" s="2449"/>
      <c r="U69" s="2444"/>
      <c r="V69" s="2444"/>
      <c r="W69" s="2444"/>
      <c r="X69" s="2444"/>
      <c r="Y69" s="2444"/>
      <c r="Z69" s="2444"/>
      <c r="AA69" s="2444"/>
      <c r="AB69" s="2444"/>
      <c r="AC69" s="2444"/>
      <c r="AD69" s="2444"/>
      <c r="AE69" s="2444"/>
      <c r="AF69" s="2444"/>
      <c r="AG69" s="2444"/>
      <c r="AH69" s="2444"/>
      <c r="AI69" s="2444"/>
      <c r="AJ69" s="2444"/>
      <c r="AK69" s="2444"/>
      <c r="AL69" s="2444"/>
      <c r="AM69" s="2444"/>
      <c r="AN69" s="2444"/>
      <c r="AO69" s="2444"/>
      <c r="AP69" s="2444"/>
      <c r="AQ69" s="2444"/>
      <c r="AR69" s="2444"/>
      <c r="AS69" s="2444"/>
      <c r="AT69" s="2444"/>
      <c r="AU69" s="2444"/>
      <c r="AV69" s="2444"/>
      <c r="AW69" s="2444"/>
      <c r="AX69" s="2444"/>
      <c r="AY69" s="2444"/>
      <c r="AZ69" s="2444"/>
    </row>
    <row r="70" spans="1:52" ht="18" customHeight="1">
      <c r="A70" s="2444"/>
      <c r="B70" s="2474" t="s">
        <v>1532</v>
      </c>
      <c r="C70" s="2490">
        <f>财务摘要!C70</f>
        <v>2808.4926688400001</v>
      </c>
      <c r="D70" s="2490">
        <f>财务摘要!D70</f>
        <v>3134.4389875899997</v>
      </c>
      <c r="E70" s="2490">
        <f>财务摘要!E70</f>
        <v>2980.7602065722731</v>
      </c>
      <c r="F70" s="2490">
        <f>财务摘要!F70</f>
        <v>3039.9996469481107</v>
      </c>
      <c r="G70" s="2490">
        <f>财务摘要!G70</f>
        <v>3049.1746957530345</v>
      </c>
      <c r="H70" s="2444"/>
      <c r="I70" s="2444"/>
      <c r="J70" s="2444"/>
      <c r="K70" s="2444"/>
      <c r="L70" s="2444"/>
      <c r="M70" s="2444"/>
      <c r="N70" s="2448"/>
      <c r="O70" s="2444"/>
      <c r="P70" s="2444"/>
      <c r="Q70" s="2444"/>
      <c r="R70" s="2444"/>
      <c r="S70" s="2444"/>
      <c r="T70" s="2444"/>
      <c r="U70" s="2444"/>
      <c r="V70" s="2444"/>
      <c r="W70" s="2444"/>
      <c r="X70" s="2444"/>
      <c r="Y70" s="2444"/>
      <c r="Z70" s="2444"/>
      <c r="AA70" s="2444"/>
      <c r="AB70" s="2444"/>
      <c r="AC70" s="2444"/>
      <c r="AD70" s="2444"/>
      <c r="AE70" s="2444"/>
      <c r="AF70" s="2444"/>
      <c r="AG70" s="2444"/>
      <c r="AH70" s="2444"/>
      <c r="AI70" s="2444"/>
      <c r="AJ70" s="2444"/>
      <c r="AK70" s="2444"/>
      <c r="AL70" s="2444"/>
      <c r="AM70" s="2444"/>
      <c r="AN70" s="2444"/>
      <c r="AO70" s="2444"/>
      <c r="AP70" s="2444"/>
      <c r="AQ70" s="2444"/>
      <c r="AR70" s="2444"/>
      <c r="AS70" s="2444"/>
      <c r="AT70" s="2444"/>
      <c r="AU70" s="2444"/>
      <c r="AV70" s="2444"/>
      <c r="AW70" s="2444"/>
      <c r="AX70" s="2444"/>
      <c r="AY70" s="2444"/>
      <c r="AZ70" s="2444"/>
    </row>
    <row r="71" spans="1:52" ht="18" customHeight="1">
      <c r="A71" s="2444"/>
      <c r="B71" s="2469" t="s">
        <v>1533</v>
      </c>
      <c r="C71" s="2490">
        <f>财务摘要!C71</f>
        <v>780.10735330999989</v>
      </c>
      <c r="D71" s="2490">
        <f>财务摘要!D71</f>
        <v>909.17846889999998</v>
      </c>
      <c r="E71" s="2490">
        <f>财务摘要!E71</f>
        <v>722.73878965999995</v>
      </c>
      <c r="F71" s="2490">
        <f>财务摘要!F71</f>
        <v>804.00820395666653</v>
      </c>
      <c r="G71" s="2490">
        <f>财务摘要!G71</f>
        <v>811.97515417222212</v>
      </c>
      <c r="H71" s="2444"/>
      <c r="I71" s="2444"/>
      <c r="J71" s="2444"/>
      <c r="K71" s="2444"/>
      <c r="L71" s="2444"/>
      <c r="M71" s="2444"/>
      <c r="N71" s="2448"/>
      <c r="O71" s="2444"/>
      <c r="P71" s="2444"/>
      <c r="Q71" s="2444"/>
      <c r="R71" s="2444"/>
      <c r="S71" s="2444"/>
      <c r="T71" s="2444"/>
      <c r="U71" s="2444"/>
      <c r="V71" s="2444"/>
      <c r="W71" s="2444"/>
      <c r="X71" s="2444"/>
      <c r="Y71" s="2444"/>
      <c r="Z71" s="2444"/>
      <c r="AA71" s="2444"/>
      <c r="AB71" s="2444"/>
      <c r="AC71" s="2444"/>
      <c r="AD71" s="2444"/>
      <c r="AE71" s="2444"/>
      <c r="AF71" s="2444"/>
      <c r="AG71" s="2444"/>
      <c r="AH71" s="2444"/>
      <c r="AI71" s="2444"/>
      <c r="AJ71" s="2444"/>
      <c r="AK71" s="2444"/>
      <c r="AL71" s="2444"/>
      <c r="AM71" s="2444"/>
      <c r="AN71" s="2444"/>
      <c r="AO71" s="2444"/>
      <c r="AP71" s="2444"/>
      <c r="AQ71" s="2444"/>
      <c r="AR71" s="2444"/>
      <c r="AS71" s="2444"/>
      <c r="AT71" s="2444"/>
      <c r="AU71" s="2444"/>
      <c r="AV71" s="2444"/>
      <c r="AW71" s="2444"/>
      <c r="AX71" s="2444"/>
      <c r="AY71" s="2444"/>
      <c r="AZ71" s="2444"/>
    </row>
    <row r="72" spans="1:52" ht="18" customHeight="1">
      <c r="A72" s="2444"/>
      <c r="B72" s="2469" t="s">
        <v>1534</v>
      </c>
      <c r="C72" s="2490">
        <f>财务摘要!C72</f>
        <v>0</v>
      </c>
      <c r="D72" s="2490">
        <f>财务摘要!D72</f>
        <v>0</v>
      </c>
      <c r="E72" s="2490">
        <f>财务摘要!E72</f>
        <v>0</v>
      </c>
      <c r="F72" s="2490">
        <f>财务摘要!F72</f>
        <v>0</v>
      </c>
      <c r="G72" s="2490">
        <f>财务摘要!G72</f>
        <v>0</v>
      </c>
      <c r="H72" s="2444"/>
      <c r="I72" s="2444"/>
      <c r="J72" s="2444"/>
      <c r="K72" s="2444"/>
      <c r="L72" s="2444"/>
      <c r="M72" s="2444"/>
      <c r="N72" s="2448"/>
      <c r="O72" s="2444"/>
      <c r="P72" s="2444"/>
      <c r="Q72" s="2444"/>
      <c r="R72" s="2444"/>
      <c r="S72" s="2444"/>
      <c r="T72" s="2444"/>
      <c r="U72" s="2444"/>
      <c r="V72" s="2444"/>
      <c r="W72" s="2444"/>
      <c r="X72" s="2444"/>
      <c r="Y72" s="2444"/>
      <c r="Z72" s="2444"/>
      <c r="AA72" s="2444"/>
      <c r="AB72" s="2444"/>
      <c r="AC72" s="2444"/>
      <c r="AD72" s="2444"/>
      <c r="AE72" s="2444"/>
      <c r="AF72" s="2444"/>
      <c r="AG72" s="2444"/>
      <c r="AH72" s="2444"/>
      <c r="AI72" s="2444"/>
      <c r="AJ72" s="2444"/>
      <c r="AK72" s="2444"/>
      <c r="AL72" s="2444"/>
      <c r="AM72" s="2444"/>
      <c r="AN72" s="2444"/>
      <c r="AO72" s="2444"/>
      <c r="AP72" s="2444"/>
      <c r="AQ72" s="2444"/>
      <c r="AR72" s="2444"/>
      <c r="AS72" s="2444"/>
      <c r="AT72" s="2444"/>
      <c r="AU72" s="2444"/>
      <c r="AV72" s="2444"/>
      <c r="AW72" s="2444"/>
      <c r="AX72" s="2444"/>
      <c r="AY72" s="2444"/>
      <c r="AZ72" s="2444"/>
    </row>
    <row r="73" spans="1:52" ht="18" customHeight="1">
      <c r="A73" s="2444"/>
      <c r="B73" s="2474" t="s">
        <v>1535</v>
      </c>
      <c r="C73" s="2490">
        <f>财务摘要!C73</f>
        <v>930.61707538000007</v>
      </c>
      <c r="D73" s="2490">
        <f>财务摘要!D73</f>
        <v>142.89985096000001</v>
      </c>
      <c r="E73" s="2490">
        <f>财务摘要!E73</f>
        <v>142.89985096000001</v>
      </c>
      <c r="F73" s="2490">
        <f>财务摘要!F73</f>
        <v>142.89985096000001</v>
      </c>
      <c r="G73" s="2490">
        <f>财务摘要!G73</f>
        <v>142.89985096000001</v>
      </c>
      <c r="H73" s="2444"/>
      <c r="I73" s="2444"/>
      <c r="J73" s="2444"/>
      <c r="K73" s="2444"/>
      <c r="L73" s="2444"/>
      <c r="M73" s="2444"/>
      <c r="N73" s="2491"/>
      <c r="O73" s="2444"/>
      <c r="P73" s="2444"/>
      <c r="Q73" s="2444"/>
      <c r="R73" s="2444"/>
      <c r="S73" s="2444"/>
      <c r="T73" s="2444"/>
      <c r="U73" s="2444"/>
      <c r="V73" s="2444"/>
      <c r="W73" s="2444"/>
      <c r="X73" s="2444"/>
      <c r="Y73" s="2444"/>
      <c r="Z73" s="2444"/>
      <c r="AA73" s="2444"/>
      <c r="AB73" s="2444"/>
      <c r="AC73" s="2444"/>
      <c r="AD73" s="2444"/>
      <c r="AE73" s="2444"/>
      <c r="AF73" s="2444"/>
      <c r="AG73" s="2444"/>
      <c r="AH73" s="2444"/>
      <c r="AI73" s="2444"/>
      <c r="AJ73" s="2444"/>
      <c r="AK73" s="2444"/>
      <c r="AL73" s="2444"/>
      <c r="AM73" s="2444"/>
      <c r="AN73" s="2444"/>
      <c r="AO73" s="2444"/>
      <c r="AP73" s="2444"/>
      <c r="AQ73" s="2444"/>
      <c r="AR73" s="2444"/>
      <c r="AS73" s="2444"/>
      <c r="AT73" s="2444"/>
      <c r="AU73" s="2444"/>
      <c r="AV73" s="2444"/>
      <c r="AW73" s="2444"/>
      <c r="AX73" s="2444"/>
      <c r="AY73" s="2444"/>
      <c r="AZ73" s="2444"/>
    </row>
    <row r="74" spans="1:52" ht="18" customHeight="1">
      <c r="A74" s="2444"/>
      <c r="B74" s="2472" t="s">
        <v>1536</v>
      </c>
      <c r="C74" s="2490">
        <f>财务摘要!C74</f>
        <v>13.930983509999999</v>
      </c>
      <c r="D74" s="2490">
        <f>财务摘要!D74</f>
        <v>0</v>
      </c>
      <c r="E74" s="2490">
        <f>财务摘要!E74</f>
        <v>0</v>
      </c>
      <c r="F74" s="2490">
        <f>财务摘要!F74</f>
        <v>0</v>
      </c>
      <c r="G74" s="2490">
        <f>财务摘要!G74</f>
        <v>0</v>
      </c>
      <c r="H74" s="2444"/>
      <c r="I74" s="2444"/>
      <c r="J74" s="2444"/>
      <c r="K74" s="2444"/>
      <c r="L74" s="2444"/>
      <c r="M74" s="2444"/>
      <c r="N74" s="2452"/>
      <c r="O74" s="2444"/>
      <c r="P74" s="2444"/>
      <c r="Q74" s="2444"/>
      <c r="R74" s="2444"/>
      <c r="S74" s="2444"/>
      <c r="T74" s="2444"/>
      <c r="U74" s="2444"/>
      <c r="V74" s="2444"/>
      <c r="W74" s="2444"/>
      <c r="X74" s="2444"/>
      <c r="Y74" s="2444"/>
      <c r="Z74" s="2444"/>
      <c r="AA74" s="2444"/>
      <c r="AB74" s="2444"/>
      <c r="AC74" s="2444"/>
      <c r="AD74" s="2444"/>
      <c r="AE74" s="2444"/>
      <c r="AF74" s="2444"/>
      <c r="AG74" s="2444"/>
      <c r="AH74" s="2444"/>
      <c r="AI74" s="2444"/>
      <c r="AJ74" s="2444"/>
      <c r="AK74" s="2444"/>
      <c r="AL74" s="2444"/>
      <c r="AM74" s="2444"/>
      <c r="AN74" s="2444"/>
      <c r="AO74" s="2444"/>
      <c r="AP74" s="2444"/>
      <c r="AQ74" s="2444"/>
      <c r="AR74" s="2444"/>
      <c r="AS74" s="2444"/>
      <c r="AT74" s="2444"/>
      <c r="AU74" s="2444"/>
      <c r="AV74" s="2444"/>
      <c r="AW74" s="2444"/>
      <c r="AX74" s="2444"/>
      <c r="AY74" s="2444"/>
      <c r="AZ74" s="2444"/>
    </row>
    <row r="75" spans="1:52" ht="18" customHeight="1">
      <c r="A75" s="2444"/>
      <c r="B75" s="2472" t="s">
        <v>1537</v>
      </c>
      <c r="C75" s="2490">
        <f>财务摘要!C75</f>
        <v>1166.5797820700002</v>
      </c>
      <c r="D75" s="2490">
        <f>财务摘要!D75</f>
        <v>1290.26557084</v>
      </c>
      <c r="E75" s="2490">
        <f>财务摘要!E75</f>
        <v>1218.0408612906667</v>
      </c>
      <c r="F75" s="2490">
        <f>财务摘要!F75</f>
        <v>1145.8161517413332</v>
      </c>
      <c r="G75" s="2490">
        <f>财务摘要!G75</f>
        <v>1073.5914421919999</v>
      </c>
      <c r="H75" s="2444"/>
      <c r="I75" s="2444"/>
      <c r="J75" s="2444"/>
      <c r="K75" s="2444"/>
      <c r="L75" s="2444"/>
      <c r="M75" s="2444"/>
      <c r="N75" s="2452"/>
      <c r="O75" s="2449"/>
      <c r="P75" s="2449"/>
      <c r="Q75" s="2449"/>
      <c r="R75" s="2449"/>
      <c r="S75" s="2449"/>
      <c r="T75" s="2449"/>
      <c r="U75" s="2444"/>
      <c r="V75" s="2444"/>
      <c r="W75" s="2444"/>
      <c r="X75" s="2444"/>
      <c r="Y75" s="2444"/>
      <c r="Z75" s="2444"/>
      <c r="AA75" s="2444"/>
      <c r="AB75" s="2444"/>
      <c r="AC75" s="2444"/>
      <c r="AD75" s="2444"/>
      <c r="AE75" s="2444"/>
      <c r="AF75" s="2444"/>
      <c r="AG75" s="2444"/>
      <c r="AH75" s="2444"/>
      <c r="AI75" s="2444"/>
      <c r="AJ75" s="2444"/>
      <c r="AK75" s="2444"/>
      <c r="AL75" s="2444"/>
      <c r="AM75" s="2444"/>
      <c r="AN75" s="2444"/>
      <c r="AO75" s="2444"/>
      <c r="AP75" s="2444"/>
      <c r="AQ75" s="2444"/>
      <c r="AR75" s="2444"/>
      <c r="AS75" s="2444"/>
      <c r="AT75" s="2444"/>
      <c r="AU75" s="2444"/>
      <c r="AV75" s="2444"/>
      <c r="AW75" s="2444"/>
      <c r="AX75" s="2444"/>
      <c r="AY75" s="2444"/>
      <c r="AZ75" s="2444"/>
    </row>
    <row r="76" spans="1:52" ht="18" customHeight="1">
      <c r="A76" s="2444"/>
      <c r="B76" s="2472" t="s">
        <v>1538</v>
      </c>
      <c r="C76" s="2490">
        <f>财务摘要!C76</f>
        <v>261.44071078000002</v>
      </c>
      <c r="D76" s="2490">
        <f>财务摘要!D76</f>
        <v>270.21807210999998</v>
      </c>
      <c r="E76" s="2490">
        <f>财务摘要!E76</f>
        <v>270.21807210999998</v>
      </c>
      <c r="F76" s="2490">
        <f>财务摘要!F76</f>
        <v>270.21807210999998</v>
      </c>
      <c r="G76" s="2490">
        <f>财务摘要!G76</f>
        <v>270.21807210999998</v>
      </c>
      <c r="H76" s="2444"/>
      <c r="I76" s="2444"/>
      <c r="J76" s="2444"/>
      <c r="K76" s="2444"/>
      <c r="L76" s="2444"/>
      <c r="M76" s="2444"/>
      <c r="N76" s="2452"/>
      <c r="O76" s="2449"/>
      <c r="P76" s="2449"/>
      <c r="Q76" s="2449"/>
      <c r="R76" s="2449"/>
      <c r="S76" s="2449"/>
      <c r="T76" s="2449"/>
      <c r="U76" s="2444"/>
      <c r="V76" s="2444"/>
      <c r="W76" s="2444"/>
      <c r="X76" s="2444"/>
      <c r="Y76" s="2444"/>
      <c r="Z76" s="2444"/>
      <c r="AA76" s="2444"/>
      <c r="AB76" s="2444"/>
      <c r="AC76" s="2444"/>
      <c r="AD76" s="2444"/>
      <c r="AE76" s="2444"/>
      <c r="AF76" s="2444"/>
      <c r="AG76" s="2444"/>
      <c r="AH76" s="2444"/>
      <c r="AI76" s="2444"/>
      <c r="AJ76" s="2444"/>
      <c r="AK76" s="2444"/>
      <c r="AL76" s="2444"/>
      <c r="AM76" s="2444"/>
      <c r="AN76" s="2444"/>
      <c r="AO76" s="2444"/>
      <c r="AP76" s="2444"/>
      <c r="AQ76" s="2444"/>
      <c r="AR76" s="2444"/>
      <c r="AS76" s="2444"/>
      <c r="AT76" s="2444"/>
      <c r="AU76" s="2444"/>
      <c r="AV76" s="2444"/>
      <c r="AW76" s="2444"/>
      <c r="AX76" s="2444"/>
      <c r="AY76" s="2444"/>
      <c r="AZ76" s="2444"/>
    </row>
    <row r="77" spans="1:52" ht="18" customHeight="1">
      <c r="A77" s="2444"/>
      <c r="B77" s="2492" t="s">
        <v>1539</v>
      </c>
      <c r="C77" s="2490">
        <f>财务摘要!C77</f>
        <v>6455.91779666</v>
      </c>
      <c r="D77" s="2490">
        <f>财务摘要!D77</f>
        <v>8305.1069416200007</v>
      </c>
      <c r="E77" s="2490">
        <f ca="1">财务摘要!E77</f>
        <v>7101.58401817294</v>
      </c>
      <c r="F77" s="2490">
        <f ca="1">财务摘要!F77</f>
        <v>7845.5800320261105</v>
      </c>
      <c r="G77" s="2490">
        <f ca="1">财务摘要!G77</f>
        <v>8466.209190227255</v>
      </c>
      <c r="H77" s="2444"/>
      <c r="I77" s="2444"/>
      <c r="J77" s="2444"/>
      <c r="K77" s="2444"/>
      <c r="L77" s="2444"/>
      <c r="M77" s="2444"/>
      <c r="N77" s="2491"/>
      <c r="O77" s="2449"/>
      <c r="P77" s="2449"/>
      <c r="Q77" s="2449"/>
      <c r="R77" s="2449"/>
      <c r="S77" s="2449"/>
      <c r="T77" s="2449"/>
      <c r="U77" s="2444"/>
      <c r="V77" s="2444"/>
      <c r="W77" s="2444"/>
      <c r="X77" s="2444"/>
      <c r="Y77" s="2444"/>
      <c r="Z77" s="2444"/>
      <c r="AA77" s="2444"/>
      <c r="AB77" s="2444"/>
      <c r="AC77" s="2444"/>
      <c r="AD77" s="2444"/>
      <c r="AE77" s="2444"/>
      <c r="AF77" s="2444"/>
      <c r="AG77" s="2444"/>
      <c r="AH77" s="2444"/>
      <c r="AI77" s="2444"/>
      <c r="AJ77" s="2444"/>
      <c r="AK77" s="2444"/>
      <c r="AL77" s="2444"/>
      <c r="AM77" s="2444"/>
      <c r="AN77" s="2444"/>
      <c r="AO77" s="2444"/>
      <c r="AP77" s="2444"/>
      <c r="AQ77" s="2444"/>
      <c r="AR77" s="2444"/>
      <c r="AS77" s="2444"/>
      <c r="AT77" s="2444"/>
      <c r="AU77" s="2444"/>
      <c r="AV77" s="2444"/>
      <c r="AW77" s="2444"/>
      <c r="AX77" s="2444"/>
      <c r="AY77" s="2444"/>
      <c r="AZ77" s="2444"/>
    </row>
    <row r="78" spans="1:52" ht="18" customHeight="1">
      <c r="A78" s="2444"/>
      <c r="B78" s="2492" t="s">
        <v>1540</v>
      </c>
      <c r="C78" s="2490">
        <f>财务摘要!C78</f>
        <v>885.14241292999998</v>
      </c>
      <c r="D78" s="2490">
        <f>财务摘要!D78</f>
        <v>861.53260914999998</v>
      </c>
      <c r="E78" s="2490">
        <f ca="1">财务摘要!E78</f>
        <v>1247.699332964617</v>
      </c>
      <c r="F78" s="2490">
        <f ca="1">财务摘要!F78</f>
        <v>3633.77521835584</v>
      </c>
      <c r="G78" s="2490">
        <f ca="1">财务摘要!G78</f>
        <v>5886.9456343735374</v>
      </c>
      <c r="H78" s="2444"/>
      <c r="I78" s="2444"/>
      <c r="J78" s="2444"/>
      <c r="K78" s="2444"/>
      <c r="L78" s="2444"/>
      <c r="M78" s="2444"/>
      <c r="N78" s="2491"/>
      <c r="O78" s="2449"/>
      <c r="P78" s="2449"/>
      <c r="Q78" s="2449"/>
      <c r="R78" s="2449"/>
      <c r="S78" s="2449"/>
      <c r="T78" s="2449"/>
      <c r="U78" s="2444"/>
      <c r="V78" s="2444"/>
      <c r="W78" s="2444"/>
      <c r="X78" s="2444"/>
      <c r="Y78" s="2444"/>
      <c r="Z78" s="2444"/>
      <c r="AA78" s="2444"/>
      <c r="AB78" s="2444"/>
      <c r="AC78" s="2444"/>
      <c r="AD78" s="2444"/>
      <c r="AE78" s="2444"/>
      <c r="AF78" s="2444"/>
      <c r="AG78" s="2444"/>
      <c r="AH78" s="2444"/>
      <c r="AI78" s="2444"/>
      <c r="AJ78" s="2444"/>
      <c r="AK78" s="2444"/>
      <c r="AL78" s="2444"/>
      <c r="AM78" s="2444"/>
      <c r="AN78" s="2444"/>
      <c r="AO78" s="2444"/>
      <c r="AP78" s="2444"/>
      <c r="AQ78" s="2444"/>
      <c r="AR78" s="2444"/>
      <c r="AS78" s="2444"/>
      <c r="AT78" s="2444"/>
      <c r="AU78" s="2444"/>
      <c r="AV78" s="2444"/>
      <c r="AW78" s="2444"/>
      <c r="AX78" s="2444"/>
      <c r="AY78" s="2444"/>
      <c r="AZ78" s="2444"/>
    </row>
    <row r="79" spans="1:52" ht="18" customHeight="1">
      <c r="A79" s="2444"/>
      <c r="B79" s="2469" t="s">
        <v>1541</v>
      </c>
      <c r="C79" s="2490">
        <f>财务摘要!C79</f>
        <v>15.408259220000001</v>
      </c>
      <c r="D79" s="2490">
        <f>财务摘要!D79</f>
        <v>19.904745179999999</v>
      </c>
      <c r="E79" s="2490">
        <f ca="1">财务摘要!E79</f>
        <v>406.07146899461708</v>
      </c>
      <c r="F79" s="2490">
        <f ca="1">财务摘要!F79</f>
        <v>2792.1473543858401</v>
      </c>
      <c r="G79" s="2490">
        <f ca="1">财务摘要!G79</f>
        <v>5045.317770403537</v>
      </c>
      <c r="H79" s="2444"/>
      <c r="I79" s="2457"/>
      <c r="J79" s="2444"/>
      <c r="K79" s="2444"/>
      <c r="L79" s="2444"/>
      <c r="M79" s="2444"/>
      <c r="N79" s="2491"/>
      <c r="O79" s="2449"/>
      <c r="P79" s="2449"/>
      <c r="Q79" s="2449"/>
      <c r="R79" s="2449"/>
      <c r="S79" s="2449"/>
      <c r="T79" s="2449"/>
      <c r="U79" s="2444"/>
      <c r="V79" s="2444"/>
      <c r="W79" s="2444"/>
      <c r="X79" s="2444"/>
      <c r="Y79" s="2444"/>
      <c r="Z79" s="2444"/>
      <c r="AA79" s="2444"/>
      <c r="AB79" s="2444"/>
      <c r="AC79" s="2444"/>
      <c r="AD79" s="2444"/>
      <c r="AE79" s="2444"/>
      <c r="AF79" s="2444"/>
      <c r="AG79" s="2444"/>
      <c r="AH79" s="2444"/>
      <c r="AI79" s="2444"/>
      <c r="AJ79" s="2444"/>
      <c r="AK79" s="2444"/>
      <c r="AL79" s="2444"/>
      <c r="AM79" s="2444"/>
      <c r="AN79" s="2444"/>
      <c r="AO79" s="2444"/>
      <c r="AP79" s="2444"/>
      <c r="AQ79" s="2444"/>
      <c r="AR79" s="2444"/>
      <c r="AS79" s="2444"/>
      <c r="AT79" s="2444"/>
      <c r="AU79" s="2444"/>
      <c r="AV79" s="2444"/>
      <c r="AW79" s="2444"/>
      <c r="AX79" s="2444"/>
      <c r="AY79" s="2444"/>
      <c r="AZ79" s="2444"/>
    </row>
    <row r="80" spans="1:52" ht="18" customHeight="1">
      <c r="A80" s="2444"/>
      <c r="B80" s="2469" t="s">
        <v>1542</v>
      </c>
      <c r="C80" s="2490">
        <f>财务摘要!C80</f>
        <v>795.23880104999989</v>
      </c>
      <c r="D80" s="2490">
        <f>财务摘要!D80</f>
        <v>799.48492441000008</v>
      </c>
      <c r="E80" s="2490">
        <f>财务摘要!E80</f>
        <v>799.48492441000008</v>
      </c>
      <c r="F80" s="2490">
        <f>财务摘要!F80</f>
        <v>799.48492441000008</v>
      </c>
      <c r="G80" s="2490">
        <f>财务摘要!G80</f>
        <v>799.48492441000008</v>
      </c>
      <c r="H80" s="2444"/>
      <c r="I80" s="2444"/>
      <c r="J80" s="2457"/>
      <c r="K80" s="2457"/>
      <c r="L80" s="2457"/>
      <c r="M80" s="2457"/>
      <c r="N80" s="2491"/>
      <c r="O80" s="2449"/>
      <c r="P80" s="2449"/>
      <c r="Q80" s="2449"/>
      <c r="R80" s="2449"/>
      <c r="S80" s="2449"/>
      <c r="T80" s="2449"/>
      <c r="U80" s="2444"/>
      <c r="V80" s="2444"/>
      <c r="W80" s="2444"/>
      <c r="X80" s="2444"/>
      <c r="Y80" s="2444"/>
      <c r="Z80" s="2444"/>
      <c r="AA80" s="2444"/>
      <c r="AB80" s="2444"/>
      <c r="AC80" s="2444"/>
      <c r="AD80" s="2444"/>
      <c r="AE80" s="2444"/>
      <c r="AF80" s="2444"/>
      <c r="AG80" s="2444"/>
      <c r="AH80" s="2444"/>
      <c r="AI80" s="2444"/>
      <c r="AJ80" s="2444"/>
      <c r="AK80" s="2444"/>
      <c r="AL80" s="2444"/>
      <c r="AM80" s="2444"/>
      <c r="AN80" s="2444"/>
      <c r="AO80" s="2444"/>
      <c r="AP80" s="2444"/>
      <c r="AQ80" s="2444"/>
      <c r="AR80" s="2444"/>
      <c r="AS80" s="2444"/>
      <c r="AT80" s="2444"/>
      <c r="AU80" s="2444"/>
      <c r="AV80" s="2444"/>
      <c r="AW80" s="2444"/>
      <c r="AX80" s="2444"/>
      <c r="AY80" s="2444"/>
      <c r="AZ80" s="2444"/>
    </row>
    <row r="81" spans="1:52" ht="18" customHeight="1">
      <c r="A81" s="2444"/>
      <c r="B81" s="2469" t="s">
        <v>1543</v>
      </c>
      <c r="C81" s="2490">
        <f>财务摘要!C81</f>
        <v>74.495352659999995</v>
      </c>
      <c r="D81" s="2490">
        <f>财务摘要!D81</f>
        <v>42.142939559999995</v>
      </c>
      <c r="E81" s="2490">
        <f>财务摘要!E81</f>
        <v>42.142939559999995</v>
      </c>
      <c r="F81" s="2490">
        <f>财务摘要!F81</f>
        <v>42.142939559999995</v>
      </c>
      <c r="G81" s="2490">
        <f>财务摘要!G81</f>
        <v>42.142939559999995</v>
      </c>
      <c r="H81" s="2444"/>
      <c r="I81" s="2457" t="s">
        <v>1544</v>
      </c>
      <c r="J81" s="2489"/>
      <c r="K81" s="2489"/>
      <c r="L81" s="2489"/>
      <c r="M81" s="2489"/>
      <c r="N81" s="2491"/>
      <c r="O81" s="2493"/>
      <c r="P81" s="2493"/>
      <c r="Q81" s="2493"/>
      <c r="R81" s="2493"/>
      <c r="S81" s="2493"/>
      <c r="T81" s="2493"/>
      <c r="U81" s="2444"/>
      <c r="V81" s="2444"/>
      <c r="W81" s="2444"/>
      <c r="X81" s="2444"/>
      <c r="Y81" s="2444"/>
      <c r="Z81" s="2444"/>
      <c r="AA81" s="2444"/>
      <c r="AB81" s="2444"/>
      <c r="AC81" s="2444"/>
      <c r="AD81" s="2444"/>
      <c r="AE81" s="2444"/>
      <c r="AF81" s="2444"/>
      <c r="AG81" s="2444"/>
      <c r="AH81" s="2444"/>
      <c r="AI81" s="2444"/>
      <c r="AJ81" s="2444"/>
      <c r="AK81" s="2444"/>
      <c r="AL81" s="2444"/>
      <c r="AM81" s="2444"/>
      <c r="AN81" s="2444"/>
      <c r="AO81" s="2444"/>
      <c r="AP81" s="2444"/>
      <c r="AQ81" s="2444"/>
      <c r="AR81" s="2444"/>
      <c r="AS81" s="2444"/>
      <c r="AT81" s="2444"/>
      <c r="AU81" s="2444"/>
      <c r="AV81" s="2444"/>
      <c r="AW81" s="2444"/>
      <c r="AX81" s="2444"/>
      <c r="AY81" s="2444"/>
      <c r="AZ81" s="2444"/>
    </row>
    <row r="82" spans="1:52" ht="18" customHeight="1">
      <c r="A82" s="2444"/>
      <c r="B82" s="2492" t="s">
        <v>1545</v>
      </c>
      <c r="C82" s="2490">
        <f>财务摘要!C82</f>
        <v>15.05067895</v>
      </c>
      <c r="D82" s="2490">
        <f>财务摘要!D82</f>
        <v>914.33082597999999</v>
      </c>
      <c r="E82" s="2490">
        <f>财务摘要!E82</f>
        <v>914.33082597999999</v>
      </c>
      <c r="F82" s="2490">
        <f>财务摘要!F82</f>
        <v>914.33082597999999</v>
      </c>
      <c r="G82" s="2490">
        <f>财务摘要!G82</f>
        <v>914.33082597999999</v>
      </c>
      <c r="H82" s="2444"/>
      <c r="I82" s="2444"/>
      <c r="J82" s="2489"/>
      <c r="K82" s="2489"/>
      <c r="L82" s="2489"/>
      <c r="M82" s="2489"/>
      <c r="N82" s="2491"/>
      <c r="O82" s="2493"/>
      <c r="P82" s="2493"/>
      <c r="Q82" s="2493"/>
      <c r="R82" s="2493"/>
      <c r="S82" s="2493"/>
      <c r="T82" s="2493"/>
      <c r="U82" s="2444"/>
      <c r="V82" s="2444"/>
      <c r="W82" s="2444"/>
      <c r="X82" s="2444"/>
      <c r="Y82" s="2444"/>
      <c r="Z82" s="2444"/>
      <c r="AA82" s="2444"/>
      <c r="AB82" s="2444"/>
      <c r="AC82" s="2444"/>
      <c r="AD82" s="2444"/>
      <c r="AE82" s="2444"/>
      <c r="AF82" s="2444"/>
      <c r="AG82" s="2444"/>
      <c r="AH82" s="2444"/>
      <c r="AI82" s="2444"/>
      <c r="AJ82" s="2444"/>
      <c r="AK82" s="2444"/>
      <c r="AL82" s="2444"/>
      <c r="AM82" s="2444"/>
      <c r="AN82" s="2444"/>
      <c r="AO82" s="2444"/>
      <c r="AP82" s="2444"/>
      <c r="AQ82" s="2444"/>
      <c r="AR82" s="2444"/>
      <c r="AS82" s="2444"/>
      <c r="AT82" s="2444"/>
      <c r="AU82" s="2444"/>
      <c r="AV82" s="2444"/>
      <c r="AW82" s="2444"/>
      <c r="AX82" s="2444"/>
      <c r="AY82" s="2444"/>
      <c r="AZ82" s="2444"/>
    </row>
    <row r="83" spans="1:52" ht="18" customHeight="1">
      <c r="A83" s="2444"/>
      <c r="B83" s="2492" t="s">
        <v>1546</v>
      </c>
      <c r="C83" s="2490">
        <f>财务摘要!C83</f>
        <v>900.19309188</v>
      </c>
      <c r="D83" s="2490">
        <f>财务摘要!D83</f>
        <v>1775.8634351300002</v>
      </c>
      <c r="E83" s="2490">
        <f ca="1">财务摘要!E83</f>
        <v>2162.0301589446171</v>
      </c>
      <c r="F83" s="2490">
        <f ca="1">财务摘要!F83</f>
        <v>4548.1060443358401</v>
      </c>
      <c r="G83" s="2490">
        <f ca="1">财务摘要!G83</f>
        <v>6801.276460353537</v>
      </c>
      <c r="H83" s="2444"/>
      <c r="I83" s="2494"/>
      <c r="J83" s="2495"/>
      <c r="K83" s="2495"/>
      <c r="L83" s="2495"/>
      <c r="M83" s="2495"/>
      <c r="N83" s="2491"/>
      <c r="O83" s="2493"/>
      <c r="P83" s="2496"/>
      <c r="Q83" s="2496"/>
      <c r="R83" s="2493"/>
      <c r="S83" s="2493"/>
      <c r="T83" s="2493"/>
      <c r="U83" s="2444"/>
      <c r="V83" s="2444"/>
      <c r="W83" s="2444"/>
      <c r="X83" s="2444"/>
      <c r="Y83" s="2444"/>
      <c r="Z83" s="2444"/>
      <c r="AA83" s="2444"/>
      <c r="AB83" s="2444"/>
      <c r="AC83" s="2444"/>
      <c r="AD83" s="2444"/>
      <c r="AE83" s="2444"/>
      <c r="AF83" s="2444"/>
      <c r="AG83" s="2444"/>
      <c r="AH83" s="2444"/>
      <c r="AI83" s="2444"/>
      <c r="AJ83" s="2444"/>
      <c r="AK83" s="2444"/>
      <c r="AL83" s="2444"/>
      <c r="AM83" s="2444"/>
      <c r="AN83" s="2444"/>
      <c r="AO83" s="2444"/>
      <c r="AP83" s="2444"/>
      <c r="AQ83" s="2444"/>
      <c r="AR83" s="2444"/>
      <c r="AS83" s="2444"/>
      <c r="AT83" s="2444"/>
      <c r="AU83" s="2444"/>
      <c r="AV83" s="2444"/>
      <c r="AW83" s="2444"/>
      <c r="AX83" s="2444"/>
      <c r="AY83" s="2444"/>
      <c r="AZ83" s="2444"/>
    </row>
    <row r="84" spans="1:52" ht="18" customHeight="1">
      <c r="A84" s="2444"/>
      <c r="B84" s="2469" t="s">
        <v>1547</v>
      </c>
      <c r="C84" s="2490">
        <f>财务摘要!C84</f>
        <v>522.6</v>
      </c>
      <c r="D84" s="2490">
        <f>财务摘要!D84</f>
        <v>522.6</v>
      </c>
      <c r="E84" s="2490">
        <f>财务摘要!E84</f>
        <v>522.6</v>
      </c>
      <c r="F84" s="2490">
        <f>财务摘要!F84</f>
        <v>522.6</v>
      </c>
      <c r="G84" s="2490">
        <f>财务摘要!G84</f>
        <v>522.6</v>
      </c>
      <c r="H84" s="2444"/>
      <c r="I84" s="2445"/>
      <c r="J84" s="2491"/>
      <c r="K84" s="2491"/>
      <c r="L84" s="2491"/>
      <c r="M84" s="2491"/>
      <c r="N84" s="2491"/>
      <c r="O84" s="2497"/>
      <c r="P84" s="2493"/>
      <c r="Q84" s="2493"/>
      <c r="R84" s="2493"/>
      <c r="S84" s="2493"/>
      <c r="T84" s="2493"/>
      <c r="U84" s="2444"/>
      <c r="V84" s="2444"/>
      <c r="W84" s="2444"/>
      <c r="X84" s="2444"/>
      <c r="Y84" s="2444"/>
      <c r="Z84" s="2444"/>
      <c r="AA84" s="2444"/>
      <c r="AB84" s="2444"/>
      <c r="AC84" s="2444"/>
      <c r="AD84" s="2444"/>
      <c r="AE84" s="2444"/>
      <c r="AF84" s="2444"/>
      <c r="AG84" s="2444"/>
      <c r="AH84" s="2444"/>
      <c r="AI84" s="2444"/>
      <c r="AJ84" s="2444"/>
      <c r="AK84" s="2444"/>
      <c r="AL84" s="2444"/>
      <c r="AM84" s="2444"/>
      <c r="AN84" s="2444"/>
      <c r="AO84" s="2444"/>
      <c r="AP84" s="2444"/>
      <c r="AQ84" s="2444"/>
      <c r="AR84" s="2444"/>
      <c r="AS84" s="2444"/>
      <c r="AT84" s="2444"/>
      <c r="AU84" s="2444"/>
      <c r="AV84" s="2444"/>
      <c r="AW84" s="2444"/>
      <c r="AX84" s="2444"/>
      <c r="AY84" s="2444"/>
      <c r="AZ84" s="2444"/>
    </row>
    <row r="85" spans="1:52" ht="18" customHeight="1">
      <c r="A85" s="2444"/>
      <c r="B85" s="2498" t="s">
        <v>1548</v>
      </c>
      <c r="C85" s="2490">
        <f>财务摘要!C85</f>
        <v>0</v>
      </c>
      <c r="D85" s="2490">
        <f>财务摘要!D85</f>
        <v>207.44708469999998</v>
      </c>
      <c r="E85" s="2490">
        <f>财务摘要!E85</f>
        <v>0</v>
      </c>
      <c r="F85" s="2490">
        <f>财务摘要!F85</f>
        <v>0</v>
      </c>
      <c r="G85" s="2490">
        <f>财务摘要!G85</f>
        <v>0</v>
      </c>
      <c r="H85" s="2444"/>
      <c r="I85" s="2445"/>
      <c r="J85" s="2491"/>
      <c r="K85" s="2491"/>
      <c r="L85" s="2491"/>
      <c r="M85" s="2491"/>
      <c r="N85" s="2491"/>
      <c r="O85" s="2497"/>
      <c r="P85" s="2493"/>
      <c r="Q85" s="2493"/>
      <c r="R85" s="2493"/>
      <c r="S85" s="2493"/>
      <c r="T85" s="2493"/>
      <c r="U85" s="2444"/>
      <c r="V85" s="2444"/>
      <c r="W85" s="2444"/>
      <c r="X85" s="2444"/>
      <c r="Y85" s="2444"/>
      <c r="Z85" s="2444"/>
      <c r="AA85" s="2444"/>
      <c r="AB85" s="2444"/>
      <c r="AC85" s="2444"/>
      <c r="AD85" s="2444"/>
      <c r="AE85" s="2444"/>
      <c r="AF85" s="2444"/>
      <c r="AG85" s="2444"/>
      <c r="AH85" s="2444"/>
      <c r="AI85" s="2444"/>
      <c r="AJ85" s="2444"/>
      <c r="AK85" s="2444"/>
      <c r="AL85" s="2444"/>
      <c r="AM85" s="2444"/>
      <c r="AN85" s="2444"/>
      <c r="AO85" s="2444"/>
      <c r="AP85" s="2444"/>
      <c r="AQ85" s="2444"/>
      <c r="AR85" s="2444"/>
      <c r="AS85" s="2444"/>
      <c r="AT85" s="2444"/>
      <c r="AU85" s="2444"/>
      <c r="AV85" s="2444"/>
      <c r="AW85" s="2444"/>
      <c r="AX85" s="2444"/>
      <c r="AY85" s="2444"/>
      <c r="AZ85" s="2444"/>
    </row>
    <row r="86" spans="1:52" ht="18" customHeight="1">
      <c r="A86" s="2444"/>
      <c r="B86" s="2498" t="s">
        <v>1549</v>
      </c>
      <c r="C86" s="2490">
        <f>财务摘要!C86</f>
        <v>1391.01031685</v>
      </c>
      <c r="D86" s="2490">
        <f>财务摘要!D86</f>
        <v>1391.01031685</v>
      </c>
      <c r="E86" s="2490">
        <f>财务摘要!E86</f>
        <v>1391.01031685</v>
      </c>
      <c r="F86" s="2490">
        <f>财务摘要!F86</f>
        <v>1391.01031685</v>
      </c>
      <c r="G86" s="2490">
        <f>财务摘要!G86</f>
        <v>1391.01031685</v>
      </c>
      <c r="H86" s="2444"/>
      <c r="I86" s="2457"/>
      <c r="J86" s="2444"/>
      <c r="K86" s="2444"/>
      <c r="L86" s="2444"/>
      <c r="M86" s="2444"/>
      <c r="N86" s="2491"/>
      <c r="O86" s="2497"/>
      <c r="P86" s="2493"/>
      <c r="Q86" s="2493"/>
      <c r="R86" s="2493"/>
      <c r="S86" s="2493"/>
      <c r="T86" s="2493"/>
      <c r="U86" s="2444"/>
      <c r="V86" s="2444"/>
      <c r="W86" s="2444"/>
      <c r="X86" s="2444"/>
      <c r="Y86" s="2444"/>
      <c r="Z86" s="2444"/>
      <c r="AA86" s="2444"/>
      <c r="AB86" s="2444"/>
      <c r="AC86" s="2444"/>
      <c r="AD86" s="2444"/>
      <c r="AE86" s="2444"/>
      <c r="AF86" s="2444"/>
      <c r="AG86" s="2444"/>
      <c r="AH86" s="2444"/>
      <c r="AI86" s="2444"/>
      <c r="AJ86" s="2444"/>
      <c r="AK86" s="2444"/>
      <c r="AL86" s="2444"/>
      <c r="AM86" s="2444"/>
      <c r="AN86" s="2444"/>
      <c r="AO86" s="2444"/>
      <c r="AP86" s="2444"/>
      <c r="AQ86" s="2444"/>
      <c r="AR86" s="2444"/>
      <c r="AS86" s="2444"/>
      <c r="AT86" s="2444"/>
      <c r="AU86" s="2444"/>
      <c r="AV86" s="2444"/>
      <c r="AW86" s="2444"/>
      <c r="AX86" s="2444"/>
      <c r="AY86" s="2444"/>
      <c r="AZ86" s="2444"/>
    </row>
    <row r="87" spans="1:52" ht="18" customHeight="1">
      <c r="A87" s="2444"/>
      <c r="B87" s="2498" t="s">
        <v>1550</v>
      </c>
      <c r="C87" s="2490">
        <f>财务摘要!C87</f>
        <v>25.982193670000001</v>
      </c>
      <c r="D87" s="2490">
        <f>财务摘要!D87</f>
        <v>67.738098900000011</v>
      </c>
      <c r="E87" s="2490">
        <f>财务摘要!E87</f>
        <v>67.738098900000011</v>
      </c>
      <c r="F87" s="2490">
        <f>财务摘要!F87</f>
        <v>67.738098900000011</v>
      </c>
      <c r="G87" s="2490">
        <f>财务摘要!G87</f>
        <v>67.738098900000011</v>
      </c>
      <c r="H87" s="2444"/>
      <c r="I87" s="2457"/>
      <c r="J87" s="2444"/>
      <c r="K87" s="2444"/>
      <c r="L87" s="2444"/>
      <c r="M87" s="2444"/>
      <c r="N87" s="2491"/>
      <c r="O87" s="2497"/>
      <c r="P87" s="2493"/>
      <c r="Q87" s="2493"/>
      <c r="R87" s="2493"/>
      <c r="S87" s="2493"/>
      <c r="T87" s="2493"/>
      <c r="U87" s="2444"/>
      <c r="V87" s="2444"/>
      <c r="W87" s="2444"/>
      <c r="X87" s="2444"/>
      <c r="Y87" s="2444"/>
      <c r="Z87" s="2444"/>
      <c r="AA87" s="2444"/>
      <c r="AB87" s="2444"/>
      <c r="AC87" s="2444"/>
      <c r="AD87" s="2444"/>
      <c r="AE87" s="2444"/>
      <c r="AF87" s="2444"/>
      <c r="AG87" s="2444"/>
      <c r="AH87" s="2444"/>
      <c r="AI87" s="2444"/>
      <c r="AJ87" s="2444"/>
      <c r="AK87" s="2444"/>
      <c r="AL87" s="2444"/>
      <c r="AM87" s="2444"/>
      <c r="AN87" s="2444"/>
      <c r="AO87" s="2444"/>
      <c r="AP87" s="2444"/>
      <c r="AQ87" s="2444"/>
      <c r="AR87" s="2444"/>
      <c r="AS87" s="2444"/>
      <c r="AT87" s="2444"/>
      <c r="AU87" s="2444"/>
      <c r="AV87" s="2444"/>
      <c r="AW87" s="2444"/>
      <c r="AX87" s="2444"/>
      <c r="AY87" s="2444"/>
      <c r="AZ87" s="2444"/>
    </row>
    <row r="88" spans="1:52" ht="18" customHeight="1">
      <c r="A88" s="2444"/>
      <c r="B88" s="2498" t="s">
        <v>1551</v>
      </c>
      <c r="C88" s="2490">
        <f>财务摘要!C88</f>
        <v>206.53784146000001</v>
      </c>
      <c r="D88" s="2490">
        <f>财务摘要!D88</f>
        <v>266.64553011999999</v>
      </c>
      <c r="E88" s="2490">
        <f ca="1">财务摘要!E88</f>
        <v>179.65046189506444</v>
      </c>
      <c r="F88" s="2490">
        <f ca="1">财务摘要!F88</f>
        <v>76.301849774120527</v>
      </c>
      <c r="G88" s="2490">
        <f ca="1">财务摘要!G88</f>
        <v>-26.44642462466885</v>
      </c>
      <c r="H88" s="2444"/>
      <c r="I88" s="2444"/>
      <c r="J88" s="2444"/>
      <c r="K88" s="2444"/>
      <c r="L88" s="2444"/>
      <c r="M88" s="2444"/>
      <c r="N88" s="2452"/>
      <c r="O88" s="2493"/>
      <c r="P88" s="2493"/>
      <c r="Q88" s="2493"/>
      <c r="R88" s="2493"/>
      <c r="S88" s="2493"/>
      <c r="T88" s="2493"/>
      <c r="U88" s="2444"/>
      <c r="V88" s="2444"/>
      <c r="W88" s="2444"/>
      <c r="X88" s="2444"/>
      <c r="Y88" s="2444"/>
      <c r="Z88" s="2444"/>
      <c r="AA88" s="2444"/>
      <c r="AB88" s="2444"/>
      <c r="AC88" s="2444"/>
      <c r="AD88" s="2444"/>
      <c r="AE88" s="2444"/>
      <c r="AF88" s="2444"/>
      <c r="AG88" s="2444"/>
      <c r="AH88" s="2444"/>
      <c r="AI88" s="2444"/>
      <c r="AJ88" s="2444"/>
      <c r="AK88" s="2444"/>
      <c r="AL88" s="2444"/>
      <c r="AM88" s="2444"/>
      <c r="AN88" s="2444"/>
      <c r="AO88" s="2444"/>
      <c r="AP88" s="2444"/>
      <c r="AQ88" s="2444"/>
      <c r="AR88" s="2444"/>
      <c r="AS88" s="2444"/>
      <c r="AT88" s="2444"/>
      <c r="AU88" s="2444"/>
      <c r="AV88" s="2444"/>
      <c r="AW88" s="2444"/>
      <c r="AX88" s="2444"/>
      <c r="AY88" s="2444"/>
      <c r="AZ88" s="2444"/>
    </row>
    <row r="89" spans="1:52" ht="18" customHeight="1">
      <c r="A89" s="2444"/>
      <c r="B89" s="2469" t="s">
        <v>1552</v>
      </c>
      <c r="C89" s="2490">
        <f>财务摘要!C89</f>
        <v>3407.7585355000001</v>
      </c>
      <c r="D89" s="2490">
        <f>财务摘要!D89</f>
        <v>4069.5436421499999</v>
      </c>
      <c r="E89" s="2490">
        <f ca="1">财务摘要!E89</f>
        <v>2771.3624537316136</v>
      </c>
      <c r="F89" s="2490">
        <f ca="1">财务摘要!F89</f>
        <v>1229.1460173049136</v>
      </c>
      <c r="G89" s="2490">
        <f ca="1">财务摘要!G89</f>
        <v>-304.11189821363701</v>
      </c>
      <c r="H89" s="2444"/>
      <c r="I89" s="2444"/>
      <c r="J89" s="2444"/>
      <c r="K89" s="2444"/>
      <c r="L89" s="2444"/>
      <c r="M89" s="2444"/>
      <c r="N89" s="2452"/>
      <c r="O89" s="2449"/>
      <c r="P89" s="2449"/>
      <c r="Q89" s="2449"/>
      <c r="R89" s="2449"/>
      <c r="S89" s="2449"/>
      <c r="T89" s="2449"/>
      <c r="U89" s="2444"/>
      <c r="V89" s="2444"/>
      <c r="W89" s="2444"/>
      <c r="X89" s="2444"/>
      <c r="Y89" s="2444"/>
      <c r="Z89" s="2444"/>
      <c r="AA89" s="2444"/>
      <c r="AB89" s="2444"/>
      <c r="AC89" s="2444"/>
      <c r="AD89" s="2444"/>
      <c r="AE89" s="2444"/>
      <c r="AF89" s="2444"/>
      <c r="AG89" s="2444"/>
      <c r="AH89" s="2444"/>
      <c r="AI89" s="2444"/>
      <c r="AJ89" s="2444"/>
      <c r="AK89" s="2444"/>
      <c r="AL89" s="2444"/>
      <c r="AM89" s="2444"/>
      <c r="AN89" s="2444"/>
      <c r="AO89" s="2444"/>
      <c r="AP89" s="2444"/>
      <c r="AQ89" s="2444"/>
      <c r="AR89" s="2444"/>
      <c r="AS89" s="2444"/>
      <c r="AT89" s="2444"/>
      <c r="AU89" s="2444"/>
      <c r="AV89" s="2444"/>
      <c r="AW89" s="2444"/>
      <c r="AX89" s="2444"/>
      <c r="AY89" s="2444"/>
      <c r="AZ89" s="2444"/>
    </row>
    <row r="90" spans="1:52" ht="18" customHeight="1">
      <c r="A90" s="2444"/>
      <c r="B90" s="2469" t="s">
        <v>1509</v>
      </c>
      <c r="C90" s="2490">
        <f>财务摘要!C90</f>
        <v>1.8358173</v>
      </c>
      <c r="D90" s="2490">
        <f>财务摘要!D90</f>
        <v>4.2588337699999999</v>
      </c>
      <c r="E90" s="2490">
        <f ca="1">财务摘要!E90</f>
        <v>7.1925278516444759</v>
      </c>
      <c r="F90" s="2490">
        <f ca="1">财务摘要!F90</f>
        <v>10.67770486123591</v>
      </c>
      <c r="G90" s="2490">
        <f ca="1">财务摘要!G90</f>
        <v>14.142636962024939</v>
      </c>
      <c r="H90" s="2444"/>
      <c r="I90" s="2444"/>
      <c r="J90" s="2444"/>
      <c r="K90" s="2444"/>
      <c r="L90" s="2444"/>
      <c r="M90" s="2444"/>
      <c r="N90" s="2452"/>
      <c r="O90" s="2449"/>
      <c r="P90" s="2449"/>
      <c r="Q90" s="2449"/>
      <c r="R90" s="2449"/>
      <c r="S90" s="2449"/>
      <c r="T90" s="2449"/>
      <c r="U90" s="2444"/>
      <c r="V90" s="2444"/>
      <c r="W90" s="2444"/>
      <c r="X90" s="2444"/>
      <c r="Y90" s="2444"/>
      <c r="Z90" s="2444"/>
      <c r="AA90" s="2444"/>
      <c r="AB90" s="2444"/>
      <c r="AC90" s="2444"/>
      <c r="AD90" s="2444"/>
      <c r="AE90" s="2444"/>
      <c r="AF90" s="2444"/>
      <c r="AG90" s="2444"/>
      <c r="AH90" s="2444"/>
      <c r="AI90" s="2444"/>
      <c r="AJ90" s="2444"/>
      <c r="AK90" s="2444"/>
      <c r="AL90" s="2444"/>
      <c r="AM90" s="2444"/>
      <c r="AN90" s="2444"/>
      <c r="AO90" s="2444"/>
      <c r="AP90" s="2444"/>
      <c r="AQ90" s="2444"/>
      <c r="AR90" s="2444"/>
      <c r="AS90" s="2444"/>
      <c r="AT90" s="2444"/>
      <c r="AU90" s="2444"/>
      <c r="AV90" s="2444"/>
      <c r="AW90" s="2444"/>
      <c r="AX90" s="2444"/>
      <c r="AY90" s="2444"/>
      <c r="AZ90" s="2444"/>
    </row>
    <row r="91" spans="1:52" ht="18" customHeight="1">
      <c r="A91" s="2444"/>
      <c r="B91" s="2492" t="s">
        <v>1553</v>
      </c>
      <c r="C91" s="2490">
        <f>财务摘要!C91</f>
        <v>5555.7247047800001</v>
      </c>
      <c r="D91" s="2490">
        <f>财务摘要!D91</f>
        <v>6529.2435064900001</v>
      </c>
      <c r="E91" s="2490">
        <f ca="1">财务摘要!E91</f>
        <v>4939.5538592283228</v>
      </c>
      <c r="F91" s="2490">
        <f ca="1">财务摘要!F91</f>
        <v>3297.4739876902695</v>
      </c>
      <c r="G91" s="2490">
        <f ca="1">财务摘要!G91</f>
        <v>1664.9327298737189</v>
      </c>
      <c r="H91" s="2444"/>
      <c r="I91" s="2444"/>
      <c r="J91" s="2444"/>
      <c r="K91" s="2444"/>
      <c r="L91" s="2444"/>
      <c r="M91" s="2444"/>
      <c r="N91" s="2452"/>
      <c r="O91" s="2449"/>
      <c r="P91" s="2449"/>
      <c r="Q91" s="2449"/>
      <c r="R91" s="2449"/>
      <c r="S91" s="2449"/>
      <c r="T91" s="2449"/>
      <c r="U91" s="2444"/>
      <c r="V91" s="2444"/>
      <c r="W91" s="2444"/>
      <c r="X91" s="2444"/>
      <c r="Y91" s="2444"/>
      <c r="Z91" s="2444"/>
      <c r="AA91" s="2444"/>
      <c r="AB91" s="2444"/>
      <c r="AC91" s="2444"/>
      <c r="AD91" s="2444"/>
      <c r="AE91" s="2444"/>
      <c r="AF91" s="2444"/>
      <c r="AG91" s="2444"/>
      <c r="AH91" s="2444"/>
      <c r="AI91" s="2444"/>
      <c r="AJ91" s="2444"/>
      <c r="AK91" s="2444"/>
      <c r="AL91" s="2444"/>
      <c r="AM91" s="2444"/>
      <c r="AN91" s="2444"/>
      <c r="AO91" s="2444"/>
      <c r="AP91" s="2444"/>
      <c r="AQ91" s="2444"/>
      <c r="AR91" s="2444"/>
      <c r="AS91" s="2444"/>
      <c r="AT91" s="2444"/>
      <c r="AU91" s="2444"/>
      <c r="AV91" s="2444"/>
      <c r="AW91" s="2444"/>
      <c r="AX91" s="2444"/>
      <c r="AY91" s="2444"/>
      <c r="AZ91" s="2444"/>
    </row>
    <row r="92" spans="1:52" ht="18" customHeight="1" thickBot="1">
      <c r="A92" s="2444"/>
      <c r="B92" s="2499" t="s">
        <v>1554</v>
      </c>
      <c r="C92" s="2490">
        <f>财务摘要!C92</f>
        <v>6455.91779666</v>
      </c>
      <c r="D92" s="2490">
        <f>财务摘要!D92</f>
        <v>8305.1069416200007</v>
      </c>
      <c r="E92" s="2490">
        <f ca="1">财务摘要!E92</f>
        <v>7101.58401817294</v>
      </c>
      <c r="F92" s="2490">
        <f ca="1">财务摘要!F92</f>
        <v>7845.5800320261096</v>
      </c>
      <c r="G92" s="2490">
        <f ca="1">财务摘要!G92</f>
        <v>8466.209190227255</v>
      </c>
      <c r="H92" s="2444"/>
      <c r="I92" s="2444"/>
      <c r="J92" s="2444"/>
      <c r="K92" s="2444"/>
      <c r="L92" s="2444"/>
      <c r="M92" s="2444"/>
      <c r="N92" s="2452"/>
      <c r="O92" s="2449"/>
      <c r="P92" s="2449"/>
      <c r="Q92" s="2449"/>
      <c r="R92" s="2449"/>
      <c r="S92" s="2449"/>
      <c r="T92" s="2449"/>
      <c r="U92" s="2444"/>
      <c r="V92" s="2444"/>
      <c r="W92" s="2444"/>
      <c r="X92" s="2444"/>
      <c r="Y92" s="2444"/>
      <c r="Z92" s="2444"/>
      <c r="AA92" s="2444"/>
      <c r="AB92" s="2444"/>
      <c r="AC92" s="2444"/>
      <c r="AD92" s="2444"/>
      <c r="AE92" s="2444"/>
      <c r="AF92" s="2444"/>
      <c r="AG92" s="2444"/>
      <c r="AH92" s="2444"/>
      <c r="AI92" s="2444"/>
      <c r="AJ92" s="2444"/>
      <c r="AK92" s="2444"/>
      <c r="AL92" s="2444"/>
      <c r="AM92" s="2444"/>
      <c r="AN92" s="2444"/>
      <c r="AO92" s="2444"/>
      <c r="AP92" s="2444"/>
      <c r="AQ92" s="2444"/>
      <c r="AR92" s="2444"/>
      <c r="AS92" s="2444"/>
      <c r="AT92" s="2444"/>
      <c r="AU92" s="2444"/>
      <c r="AV92" s="2444"/>
      <c r="AW92" s="2444"/>
      <c r="AX92" s="2444"/>
      <c r="AY92" s="2444"/>
      <c r="AZ92" s="2444"/>
    </row>
    <row r="93" spans="1:52" ht="18" customHeight="1">
      <c r="A93" s="2444"/>
      <c r="B93" s="2534" t="s">
        <v>1511</v>
      </c>
      <c r="C93" s="2534"/>
      <c r="D93" s="2534"/>
      <c r="E93" s="2534"/>
      <c r="F93" s="2534"/>
      <c r="G93" s="2534"/>
      <c r="H93" s="2444"/>
      <c r="I93" s="2444"/>
      <c r="J93" s="2444"/>
      <c r="K93" s="2444"/>
      <c r="L93" s="2444"/>
      <c r="M93" s="2444"/>
      <c r="N93" s="2452"/>
      <c r="O93" s="2449"/>
      <c r="P93" s="2449"/>
      <c r="Q93" s="2449"/>
      <c r="R93" s="2449"/>
      <c r="S93" s="2449"/>
      <c r="T93" s="2449"/>
      <c r="U93" s="2444"/>
      <c r="V93" s="2444"/>
      <c r="W93" s="2444"/>
      <c r="X93" s="2444"/>
      <c r="Y93" s="2444"/>
      <c r="Z93" s="2444"/>
      <c r="AA93" s="2444"/>
      <c r="AB93" s="2444"/>
      <c r="AC93" s="2444"/>
      <c r="AD93" s="2444"/>
      <c r="AE93" s="2444"/>
      <c r="AF93" s="2444"/>
      <c r="AG93" s="2444"/>
      <c r="AH93" s="2444"/>
      <c r="AI93" s="2444"/>
      <c r="AJ93" s="2444"/>
      <c r="AK93" s="2444"/>
      <c r="AL93" s="2444"/>
      <c r="AM93" s="2444"/>
      <c r="AN93" s="2444"/>
      <c r="AO93" s="2444"/>
      <c r="AP93" s="2444"/>
      <c r="AQ93" s="2444"/>
      <c r="AR93" s="2444"/>
      <c r="AS93" s="2444"/>
      <c r="AT93" s="2444"/>
      <c r="AU93" s="2444"/>
      <c r="AV93" s="2444"/>
      <c r="AW93" s="2444"/>
      <c r="AX93" s="2444"/>
      <c r="AY93" s="2444"/>
      <c r="AZ93" s="2444"/>
    </row>
    <row r="94" spans="1:52" ht="18" customHeight="1">
      <c r="A94" s="2444"/>
      <c r="B94" s="2500"/>
      <c r="C94" s="2500"/>
      <c r="D94" s="2500"/>
      <c r="E94" s="2500"/>
      <c r="F94" s="2500"/>
      <c r="G94" s="2500"/>
      <c r="H94" s="2444"/>
      <c r="I94" s="2444"/>
      <c r="J94" s="2457"/>
      <c r="K94" s="2457"/>
      <c r="L94" s="2457"/>
      <c r="M94" s="2457"/>
      <c r="N94" s="2452"/>
      <c r="O94" s="2449"/>
      <c r="P94" s="2449"/>
      <c r="Q94" s="2449"/>
      <c r="R94" s="2449"/>
      <c r="S94" s="2449"/>
      <c r="T94" s="2449"/>
      <c r="U94" s="2444"/>
      <c r="V94" s="2444"/>
      <c r="W94" s="2444"/>
      <c r="X94" s="2444"/>
      <c r="Y94" s="2444"/>
      <c r="Z94" s="2444"/>
      <c r="AA94" s="2444"/>
      <c r="AB94" s="2444"/>
      <c r="AC94" s="2444"/>
      <c r="AD94" s="2444"/>
      <c r="AE94" s="2444"/>
      <c r="AF94" s="2444"/>
      <c r="AG94" s="2444"/>
      <c r="AH94" s="2444"/>
      <c r="AI94" s="2444"/>
      <c r="AJ94" s="2444"/>
      <c r="AK94" s="2444"/>
      <c r="AL94" s="2444"/>
      <c r="AM94" s="2444"/>
      <c r="AN94" s="2444"/>
      <c r="AO94" s="2444"/>
      <c r="AP94" s="2444"/>
      <c r="AQ94" s="2444"/>
      <c r="AR94" s="2444"/>
      <c r="AS94" s="2444"/>
      <c r="AT94" s="2444"/>
      <c r="AU94" s="2444"/>
      <c r="AV94" s="2444"/>
      <c r="AW94" s="2444"/>
      <c r="AX94" s="2444"/>
      <c r="AY94" s="2444"/>
      <c r="AZ94" s="2444"/>
    </row>
    <row r="95" spans="1:52" ht="18" customHeight="1">
      <c r="A95" s="2444"/>
      <c r="B95" s="2501"/>
      <c r="C95" s="2502"/>
      <c r="D95" s="2502"/>
      <c r="E95" s="2502"/>
      <c r="F95" s="2502"/>
      <c r="G95" s="2502"/>
      <c r="H95" s="2444"/>
      <c r="I95" s="2444"/>
      <c r="J95" s="2444"/>
      <c r="K95" s="2444"/>
      <c r="L95" s="2444"/>
      <c r="M95" s="2444"/>
      <c r="N95" s="2452"/>
      <c r="O95" s="2449"/>
      <c r="P95" s="2449"/>
      <c r="Q95" s="2449"/>
      <c r="R95" s="2449"/>
      <c r="S95" s="2449"/>
      <c r="T95" s="2449"/>
      <c r="U95" s="2444"/>
      <c r="V95" s="2444"/>
      <c r="W95" s="2444"/>
      <c r="X95" s="2444"/>
      <c r="Y95" s="2444"/>
      <c r="Z95" s="2444"/>
      <c r="AA95" s="2444"/>
      <c r="AB95" s="2444"/>
      <c r="AC95" s="2444"/>
      <c r="AD95" s="2444"/>
      <c r="AE95" s="2444"/>
      <c r="AF95" s="2444"/>
      <c r="AG95" s="2444"/>
      <c r="AH95" s="2444"/>
      <c r="AI95" s="2444"/>
      <c r="AJ95" s="2444"/>
      <c r="AK95" s="2444"/>
      <c r="AL95" s="2444"/>
      <c r="AM95" s="2444"/>
      <c r="AN95" s="2444"/>
      <c r="AO95" s="2444"/>
      <c r="AP95" s="2444"/>
      <c r="AQ95" s="2444"/>
      <c r="AR95" s="2444"/>
      <c r="AS95" s="2444"/>
      <c r="AT95" s="2444"/>
      <c r="AU95" s="2444"/>
      <c r="AV95" s="2444"/>
      <c r="AW95" s="2444"/>
      <c r="AX95" s="2444"/>
      <c r="AY95" s="2444"/>
      <c r="AZ95" s="2444"/>
    </row>
    <row r="96" spans="1:52" ht="18" customHeight="1" thickBot="1">
      <c r="A96" s="2444"/>
      <c r="B96" s="2532" t="s">
        <v>1555</v>
      </c>
      <c r="C96" s="2533"/>
      <c r="D96" s="2533"/>
      <c r="E96" s="2533"/>
      <c r="F96" s="2533"/>
      <c r="G96" s="2533"/>
      <c r="H96" s="2444"/>
      <c r="N96" s="2452"/>
      <c r="O96" s="2449"/>
      <c r="P96" s="2449"/>
      <c r="Q96" s="2449"/>
      <c r="R96" s="2449"/>
      <c r="S96" s="2449"/>
      <c r="T96" s="2449"/>
      <c r="U96" s="2444"/>
      <c r="V96" s="2444"/>
      <c r="W96" s="2444"/>
      <c r="X96" s="2444"/>
      <c r="Y96" s="2444"/>
      <c r="Z96" s="2444"/>
      <c r="AA96" s="2444"/>
      <c r="AB96" s="2444"/>
      <c r="AC96" s="2444"/>
      <c r="AD96" s="2444"/>
      <c r="AE96" s="2444"/>
      <c r="AF96" s="2444"/>
      <c r="AG96" s="2444"/>
      <c r="AH96" s="2444"/>
      <c r="AI96" s="2444"/>
      <c r="AJ96" s="2444"/>
      <c r="AK96" s="2444"/>
      <c r="AL96" s="2444"/>
      <c r="AM96" s="2444"/>
      <c r="AN96" s="2444"/>
      <c r="AO96" s="2444"/>
      <c r="AP96" s="2444"/>
      <c r="AQ96" s="2444"/>
      <c r="AR96" s="2444"/>
      <c r="AS96" s="2444"/>
      <c r="AT96" s="2444"/>
      <c r="AU96" s="2444"/>
      <c r="AV96" s="2444"/>
      <c r="AW96" s="2444"/>
      <c r="AX96" s="2444"/>
      <c r="AY96" s="2444"/>
      <c r="AZ96" s="2444"/>
    </row>
    <row r="97" spans="1:52" ht="18" customHeight="1">
      <c r="A97" s="2444"/>
      <c r="B97" s="2503"/>
      <c r="C97" s="2454">
        <f>C5</f>
        <v>2018</v>
      </c>
      <c r="D97" s="2454">
        <f>D5</f>
        <v>2019</v>
      </c>
      <c r="E97" s="2454" t="str">
        <f>E5</f>
        <v>2020E</v>
      </c>
      <c r="F97" s="2454" t="str">
        <f>F5</f>
        <v>2021E</v>
      </c>
      <c r="G97" s="2454" t="str">
        <f>G5</f>
        <v>2022E</v>
      </c>
      <c r="H97" s="2444"/>
      <c r="I97" s="2457" t="s">
        <v>1556</v>
      </c>
      <c r="J97" s="2491"/>
      <c r="K97" s="2491"/>
      <c r="L97" s="2491"/>
      <c r="M97" s="2491"/>
      <c r="N97" s="2452"/>
      <c r="O97" s="2449"/>
      <c r="P97" s="2449"/>
      <c r="Q97" s="2449"/>
      <c r="R97" s="2449"/>
      <c r="S97" s="2449"/>
      <c r="T97" s="2449"/>
      <c r="U97" s="2444"/>
      <c r="V97" s="2444"/>
      <c r="W97" s="2444"/>
      <c r="X97" s="2444"/>
      <c r="Y97" s="2444"/>
      <c r="Z97" s="2444"/>
      <c r="AA97" s="2444"/>
      <c r="AB97" s="2444"/>
      <c r="AC97" s="2444"/>
      <c r="AD97" s="2444"/>
      <c r="AE97" s="2444"/>
      <c r="AF97" s="2444"/>
      <c r="AG97" s="2444"/>
      <c r="AH97" s="2444"/>
      <c r="AI97" s="2444"/>
      <c r="AJ97" s="2444"/>
      <c r="AK97" s="2444"/>
      <c r="AL97" s="2444"/>
      <c r="AM97" s="2444"/>
      <c r="AN97" s="2444"/>
      <c r="AO97" s="2444"/>
      <c r="AP97" s="2444"/>
      <c r="AQ97" s="2444"/>
      <c r="AR97" s="2444"/>
      <c r="AS97" s="2444"/>
      <c r="AT97" s="2444"/>
      <c r="AU97" s="2444"/>
      <c r="AV97" s="2444"/>
      <c r="AW97" s="2444"/>
      <c r="AX97" s="2444"/>
      <c r="AY97" s="2444"/>
      <c r="AZ97" s="2444"/>
    </row>
    <row r="98" spans="1:52" ht="18" customHeight="1">
      <c r="A98" s="2444"/>
      <c r="B98" s="2504" t="s">
        <v>1557</v>
      </c>
      <c r="C98" s="2505"/>
      <c r="D98" s="2505"/>
      <c r="E98" s="2505"/>
      <c r="F98" s="2505"/>
      <c r="G98" s="2505"/>
      <c r="H98" s="2444"/>
      <c r="I98" s="2444"/>
      <c r="J98" s="2444"/>
      <c r="K98" s="2444"/>
      <c r="L98" s="2444"/>
      <c r="M98" s="2444"/>
      <c r="N98" s="2452"/>
      <c r="O98" s="2449"/>
      <c r="P98" s="2449"/>
      <c r="Q98" s="2449"/>
      <c r="R98" s="2449"/>
      <c r="S98" s="2449"/>
      <c r="T98" s="2449"/>
      <c r="U98" s="2444"/>
      <c r="V98" s="2444"/>
      <c r="W98" s="2444"/>
      <c r="X98" s="2444"/>
      <c r="Y98" s="2444"/>
      <c r="Z98" s="2444"/>
      <c r="AA98" s="2444"/>
      <c r="AB98" s="2444"/>
      <c r="AC98" s="2444"/>
      <c r="AD98" s="2444"/>
      <c r="AE98" s="2444"/>
      <c r="AF98" s="2444"/>
      <c r="AG98" s="2444"/>
      <c r="AH98" s="2444"/>
      <c r="AI98" s="2444"/>
      <c r="AJ98" s="2444"/>
      <c r="AK98" s="2444"/>
      <c r="AL98" s="2444"/>
      <c r="AM98" s="2444"/>
      <c r="AN98" s="2444"/>
      <c r="AO98" s="2444"/>
      <c r="AP98" s="2444"/>
      <c r="AQ98" s="2444"/>
      <c r="AR98" s="2444"/>
      <c r="AS98" s="2444"/>
      <c r="AT98" s="2444"/>
      <c r="AU98" s="2444"/>
      <c r="AV98" s="2444"/>
      <c r="AW98" s="2444"/>
      <c r="AX98" s="2444"/>
      <c r="AY98" s="2444"/>
      <c r="AZ98" s="2444"/>
    </row>
    <row r="99" spans="1:52" ht="18" customHeight="1">
      <c r="A99" s="2444"/>
      <c r="B99" s="2506" t="s">
        <v>1192</v>
      </c>
      <c r="C99" s="2507">
        <f>财务摘要!C99</f>
        <v>1.4375382534825869</v>
      </c>
      <c r="D99" s="2507">
        <f>财务摘要!D99</f>
        <v>1.8313486324339838</v>
      </c>
      <c r="E99" s="2507">
        <f ca="1">财务摘要!E99</f>
        <v>-2.6505477547709941</v>
      </c>
      <c r="F99" s="2507">
        <f ca="1">财务摘要!F99</f>
        <v>-3.1488041495362493</v>
      </c>
      <c r="G99" s="2507">
        <f ca="1">财务摘要!G99</f>
        <v>-3.1305131839214311</v>
      </c>
      <c r="H99" s="2444"/>
      <c r="I99" s="2444"/>
      <c r="J99" s="2444"/>
      <c r="K99" s="2444"/>
      <c r="L99" s="2444"/>
      <c r="M99" s="2444"/>
      <c r="N99" s="2452"/>
      <c r="O99" s="2449"/>
      <c r="P99" s="2449"/>
      <c r="Q99" s="2449"/>
      <c r="R99" s="2449"/>
      <c r="S99" s="2449"/>
      <c r="T99" s="2449"/>
      <c r="U99" s="2444"/>
      <c r="V99" s="2444"/>
      <c r="W99" s="2444"/>
      <c r="X99" s="2444"/>
      <c r="Y99" s="2444"/>
      <c r="Z99" s="2444"/>
      <c r="AA99" s="2444"/>
      <c r="AB99" s="2444"/>
      <c r="AC99" s="2444"/>
      <c r="AD99" s="2444"/>
      <c r="AE99" s="2444"/>
      <c r="AF99" s="2444"/>
      <c r="AG99" s="2444"/>
      <c r="AH99" s="2444"/>
      <c r="AI99" s="2444"/>
      <c r="AJ99" s="2444"/>
      <c r="AK99" s="2444"/>
      <c r="AL99" s="2444"/>
      <c r="AM99" s="2444"/>
      <c r="AN99" s="2444"/>
      <c r="AO99" s="2444"/>
      <c r="AP99" s="2444"/>
      <c r="AQ99" s="2444"/>
      <c r="AR99" s="2444"/>
      <c r="AS99" s="2444"/>
      <c r="AT99" s="2444"/>
      <c r="AU99" s="2444"/>
      <c r="AV99" s="2444"/>
      <c r="AW99" s="2444"/>
      <c r="AX99" s="2444"/>
      <c r="AY99" s="2444"/>
      <c r="AZ99" s="2444"/>
    </row>
    <row r="100" spans="1:52" ht="18" customHeight="1">
      <c r="A100" s="2444"/>
      <c r="B100" s="2506" t="s">
        <v>1558</v>
      </c>
      <c r="C100" s="2507">
        <f>财务摘要!C100</f>
        <v>0.32448151622655946</v>
      </c>
      <c r="D100" s="2507">
        <f>财务摘要!D100</f>
        <v>0.83226492726750867</v>
      </c>
      <c r="E100" s="2507">
        <f ca="1">财务摘要!E100</f>
        <v>2.4938015149074961</v>
      </c>
      <c r="F100" s="2507">
        <f ca="1">财务摘要!F100</f>
        <v>1.5496890923485946</v>
      </c>
      <c r="G100" s="2507">
        <f ca="1">财务摘要!G100</f>
        <v>1.8040049541425591</v>
      </c>
      <c r="H100" s="2444"/>
      <c r="I100" s="2444"/>
      <c r="J100" s="2444"/>
      <c r="K100" s="2444"/>
      <c r="L100" s="2444"/>
      <c r="M100" s="2444"/>
      <c r="N100" s="2452"/>
      <c r="O100" s="2449"/>
      <c r="P100" s="2449"/>
      <c r="Q100" s="2449"/>
      <c r="R100" s="2449"/>
      <c r="S100" s="2449"/>
      <c r="T100" s="2449"/>
      <c r="U100" s="2444"/>
      <c r="V100" s="2444"/>
      <c r="W100" s="2444"/>
      <c r="X100" s="2444"/>
      <c r="Y100" s="2444"/>
      <c r="Z100" s="2444"/>
      <c r="AA100" s="2444"/>
      <c r="AB100" s="2444"/>
      <c r="AC100" s="2444"/>
      <c r="AD100" s="2444"/>
      <c r="AE100" s="2444"/>
      <c r="AF100" s="2444"/>
      <c r="AG100" s="2444"/>
      <c r="AH100" s="2444"/>
      <c r="AI100" s="2444"/>
      <c r="AJ100" s="2444"/>
      <c r="AK100" s="2444"/>
      <c r="AL100" s="2444"/>
      <c r="AM100" s="2444"/>
      <c r="AN100" s="2444"/>
      <c r="AO100" s="2444"/>
      <c r="AP100" s="2444"/>
      <c r="AQ100" s="2444"/>
      <c r="AR100" s="2444"/>
      <c r="AS100" s="2444"/>
      <c r="AT100" s="2444"/>
      <c r="AU100" s="2444"/>
      <c r="AV100" s="2444"/>
      <c r="AW100" s="2444"/>
      <c r="AX100" s="2444"/>
      <c r="AY100" s="2444"/>
      <c r="AZ100" s="2444"/>
    </row>
    <row r="101" spans="1:52" ht="18" customHeight="1">
      <c r="A101" s="2444"/>
      <c r="B101" s="2506" t="s">
        <v>1559</v>
      </c>
      <c r="C101" s="2507">
        <f>财务摘要!C101</f>
        <v>0</v>
      </c>
      <c r="D101" s="2507">
        <f>财务摘要!D101</f>
        <v>0</v>
      </c>
      <c r="E101" s="2507">
        <f>财务摘要!E101</f>
        <v>0</v>
      </c>
      <c r="F101" s="2507">
        <f ca="1">财务摘要!F101</f>
        <v>0</v>
      </c>
      <c r="G101" s="2507">
        <f ca="1">财务摘要!G101</f>
        <v>0</v>
      </c>
      <c r="H101" s="2444"/>
      <c r="I101" s="2444"/>
      <c r="J101" s="2444"/>
      <c r="K101" s="2444"/>
      <c r="L101" s="2444"/>
      <c r="M101" s="2444"/>
      <c r="N101" s="2452"/>
      <c r="O101" s="2449"/>
      <c r="P101" s="2449"/>
      <c r="Q101" s="2449"/>
      <c r="R101" s="2449"/>
      <c r="S101" s="2449"/>
      <c r="T101" s="2449"/>
      <c r="U101" s="2444"/>
      <c r="V101" s="2444"/>
      <c r="W101" s="2444"/>
      <c r="X101" s="2444"/>
      <c r="Y101" s="2444"/>
      <c r="Z101" s="2444"/>
      <c r="AA101" s="2444"/>
      <c r="AB101" s="2444"/>
      <c r="AC101" s="2444"/>
      <c r="AD101" s="2444"/>
      <c r="AE101" s="2444"/>
      <c r="AF101" s="2444"/>
      <c r="AG101" s="2444"/>
      <c r="AH101" s="2444"/>
      <c r="AI101" s="2444"/>
      <c r="AJ101" s="2444"/>
      <c r="AK101" s="2444"/>
      <c r="AL101" s="2444"/>
      <c r="AM101" s="2444"/>
      <c r="AN101" s="2444"/>
      <c r="AO101" s="2444"/>
      <c r="AP101" s="2444"/>
      <c r="AQ101" s="2444"/>
      <c r="AR101" s="2444"/>
      <c r="AS101" s="2444"/>
      <c r="AT101" s="2444"/>
      <c r="AU101" s="2444"/>
      <c r="AV101" s="2444"/>
      <c r="AW101" s="2444"/>
      <c r="AX101" s="2444"/>
      <c r="AY101" s="2444"/>
      <c r="AZ101" s="2444"/>
    </row>
    <row r="102" spans="1:52" ht="18" customHeight="1">
      <c r="A102" s="2444"/>
      <c r="B102" s="2506" t="s">
        <v>1560</v>
      </c>
      <c r="C102" s="2507">
        <f>财务摘要!C102</f>
        <v>10.627418460543437</v>
      </c>
      <c r="D102" s="2507">
        <f>财务摘要!D102</f>
        <v>12.485619350784539</v>
      </c>
      <c r="E102" s="2507">
        <f ca="1">财务摘要!E102</f>
        <v>9.4381196543755799</v>
      </c>
      <c r="F102" s="2507">
        <f ca="1">财务摘要!F102</f>
        <v>6.2893155048393297</v>
      </c>
      <c r="G102" s="2507">
        <f ca="1">财务摘要!G102</f>
        <v>3.158802320917899</v>
      </c>
      <c r="H102" s="2444"/>
      <c r="I102" s="2444"/>
      <c r="J102" s="2444"/>
      <c r="K102" s="2444"/>
      <c r="L102" s="2444"/>
      <c r="M102" s="2444"/>
      <c r="N102" s="2452"/>
      <c r="O102" s="2449"/>
      <c r="P102" s="2449"/>
      <c r="Q102" s="2449"/>
      <c r="R102" s="2449"/>
      <c r="S102" s="2449"/>
      <c r="T102" s="2449"/>
      <c r="U102" s="2444"/>
      <c r="V102" s="2444"/>
      <c r="W102" s="2444"/>
      <c r="X102" s="2444"/>
      <c r="Y102" s="2444"/>
      <c r="Z102" s="2444"/>
      <c r="AA102" s="2444"/>
      <c r="AB102" s="2444"/>
      <c r="AC102" s="2444"/>
      <c r="AD102" s="2444"/>
      <c r="AE102" s="2444"/>
      <c r="AF102" s="2444"/>
      <c r="AG102" s="2444"/>
      <c r="AH102" s="2444"/>
      <c r="AI102" s="2444"/>
      <c r="AJ102" s="2444"/>
      <c r="AK102" s="2444"/>
      <c r="AL102" s="2444"/>
      <c r="AM102" s="2444"/>
      <c r="AN102" s="2444"/>
      <c r="AO102" s="2444"/>
      <c r="AP102" s="2444"/>
      <c r="AQ102" s="2444"/>
      <c r="AR102" s="2444"/>
      <c r="AS102" s="2444"/>
      <c r="AT102" s="2444"/>
      <c r="AU102" s="2444"/>
      <c r="AV102" s="2444"/>
      <c r="AW102" s="2444"/>
      <c r="AX102" s="2444"/>
      <c r="AY102" s="2444"/>
      <c r="AZ102" s="2444"/>
    </row>
    <row r="103" spans="1:52" ht="18" customHeight="1">
      <c r="A103" s="2444"/>
      <c r="B103" s="2504" t="s">
        <v>1561</v>
      </c>
      <c r="C103" s="2507">
        <f>财务摘要!C103</f>
        <v>0</v>
      </c>
      <c r="D103" s="2507">
        <f>财务摘要!D103</f>
        <v>0</v>
      </c>
      <c r="E103" s="2507">
        <f>财务摘要!E103</f>
        <v>0</v>
      </c>
      <c r="F103" s="2507">
        <f>财务摘要!F103</f>
        <v>0</v>
      </c>
      <c r="G103" s="2507">
        <f>财务摘要!G103</f>
        <v>0</v>
      </c>
      <c r="H103" s="2444"/>
      <c r="I103" s="2444"/>
      <c r="J103" s="2444"/>
      <c r="K103" s="2444"/>
      <c r="L103" s="2444"/>
      <c r="M103" s="2444"/>
      <c r="N103" s="2452"/>
      <c r="O103" s="2465"/>
      <c r="P103" s="2508"/>
      <c r="Q103" s="2508"/>
      <c r="R103" s="2508"/>
      <c r="S103" s="2508"/>
      <c r="T103" s="2508"/>
      <c r="U103" s="2444"/>
      <c r="V103" s="2444"/>
      <c r="W103" s="2444"/>
      <c r="X103" s="2444"/>
      <c r="Y103" s="2444"/>
      <c r="Z103" s="2444"/>
      <c r="AA103" s="2444"/>
      <c r="AB103" s="2444"/>
      <c r="AC103" s="2444"/>
      <c r="AD103" s="2444"/>
      <c r="AE103" s="2444"/>
      <c r="AF103" s="2444"/>
      <c r="AG103" s="2444"/>
      <c r="AH103" s="2444"/>
      <c r="AI103" s="2444"/>
      <c r="AJ103" s="2444"/>
      <c r="AK103" s="2444"/>
      <c r="AL103" s="2444"/>
      <c r="AM103" s="2444"/>
      <c r="AN103" s="2444"/>
      <c r="AO103" s="2444"/>
      <c r="AP103" s="2444"/>
      <c r="AQ103" s="2444"/>
      <c r="AR103" s="2444"/>
      <c r="AS103" s="2444"/>
      <c r="AT103" s="2444"/>
      <c r="AU103" s="2444"/>
      <c r="AV103" s="2444"/>
      <c r="AW103" s="2444"/>
      <c r="AX103" s="2444"/>
      <c r="AY103" s="2444"/>
      <c r="AZ103" s="2444"/>
    </row>
    <row r="104" spans="1:52" ht="18" customHeight="1">
      <c r="A104" s="2444"/>
      <c r="B104" s="2506" t="s">
        <v>157</v>
      </c>
      <c r="C104" s="2507">
        <f>财务摘要!C104</f>
        <v>14.463516119506798</v>
      </c>
      <c r="D104" s="2507">
        <f>财务摘要!D104</f>
        <v>19.384299582042459</v>
      </c>
      <c r="E104" s="2507">
        <f ca="1">财务摘要!E104</f>
        <v>19.078040528413894</v>
      </c>
      <c r="F104" s="2507">
        <f ca="1">财务摘要!F104</f>
        <v>18.548893896874734</v>
      </c>
      <c r="G104" s="2507">
        <f ca="1">财务摘要!G104</f>
        <v>18.959820865053079</v>
      </c>
      <c r="H104" s="2444"/>
      <c r="I104" s="2444"/>
      <c r="J104" s="2444"/>
      <c r="K104" s="2444"/>
      <c r="L104" s="2444"/>
      <c r="M104" s="2444"/>
      <c r="N104" s="2452"/>
      <c r="O104" s="2449"/>
      <c r="P104" s="2508"/>
      <c r="Q104" s="2508"/>
      <c r="R104" s="2508"/>
      <c r="S104" s="2508"/>
      <c r="T104" s="2508"/>
      <c r="U104" s="2444"/>
      <c r="V104" s="2444"/>
      <c r="W104" s="2444"/>
      <c r="X104" s="2444"/>
      <c r="Y104" s="2444"/>
      <c r="Z104" s="2444"/>
      <c r="AA104" s="2444"/>
      <c r="AB104" s="2444"/>
      <c r="AC104" s="2444"/>
      <c r="AD104" s="2444"/>
      <c r="AE104" s="2444"/>
      <c r="AF104" s="2444"/>
      <c r="AG104" s="2444"/>
      <c r="AH104" s="2444"/>
      <c r="AI104" s="2444"/>
      <c r="AJ104" s="2444"/>
      <c r="AK104" s="2444"/>
      <c r="AL104" s="2444"/>
      <c r="AM104" s="2444"/>
      <c r="AN104" s="2444"/>
      <c r="AO104" s="2444"/>
      <c r="AP104" s="2444"/>
      <c r="AQ104" s="2444"/>
      <c r="AR104" s="2444"/>
      <c r="AS104" s="2444"/>
      <c r="AT104" s="2444"/>
      <c r="AU104" s="2444"/>
      <c r="AV104" s="2444"/>
      <c r="AW104" s="2444"/>
      <c r="AX104" s="2444"/>
      <c r="AY104" s="2444"/>
      <c r="AZ104" s="2444"/>
    </row>
    <row r="105" spans="1:52" ht="18" customHeight="1">
      <c r="A105" s="2444"/>
      <c r="B105" s="2506" t="s">
        <v>158</v>
      </c>
      <c r="C105" s="2507">
        <f>财务摘要!C105</f>
        <v>13.52669285414661</v>
      </c>
      <c r="D105" s="2507">
        <f>财务摘要!D105</f>
        <v>14.66766350136175</v>
      </c>
      <c r="E105" s="2507">
        <f ca="1">财务摘要!E105</f>
        <v>-28.083430300040551</v>
      </c>
      <c r="F105" s="2507">
        <f ca="1">财务摘要!F105</f>
        <v>-50.065927637330233</v>
      </c>
      <c r="G105" s="2507">
        <f ca="1">财务摘要!G105</f>
        <v>-99.104434715362387</v>
      </c>
      <c r="H105" s="2444"/>
      <c r="I105" s="2444"/>
      <c r="J105" s="2444"/>
      <c r="K105" s="2444"/>
      <c r="L105" s="2444"/>
      <c r="M105" s="2444"/>
      <c r="N105" s="2452"/>
      <c r="O105" s="2449"/>
      <c r="P105" s="2449"/>
      <c r="Q105" s="2449"/>
      <c r="R105" s="2449"/>
      <c r="S105" s="2449"/>
      <c r="T105" s="2449"/>
      <c r="U105" s="2444"/>
      <c r="V105" s="2444"/>
      <c r="W105" s="2444"/>
      <c r="X105" s="2444"/>
      <c r="Y105" s="2444"/>
      <c r="Z105" s="2444"/>
      <c r="AA105" s="2444"/>
      <c r="AB105" s="2444"/>
      <c r="AC105" s="2444"/>
      <c r="AD105" s="2444"/>
      <c r="AE105" s="2444"/>
      <c r="AF105" s="2444"/>
      <c r="AG105" s="2444"/>
      <c r="AH105" s="2444"/>
      <c r="AI105" s="2444"/>
      <c r="AJ105" s="2444"/>
      <c r="AK105" s="2444"/>
      <c r="AL105" s="2444"/>
      <c r="AM105" s="2444"/>
      <c r="AN105" s="2444"/>
      <c r="AO105" s="2444"/>
      <c r="AP105" s="2444"/>
      <c r="AQ105" s="2444"/>
      <c r="AR105" s="2444"/>
      <c r="AS105" s="2444"/>
      <c r="AT105" s="2444"/>
      <c r="AU105" s="2444"/>
      <c r="AV105" s="2444"/>
      <c r="AW105" s="2444"/>
      <c r="AX105" s="2444"/>
      <c r="AY105" s="2444"/>
      <c r="AZ105" s="2444"/>
    </row>
    <row r="106" spans="1:52" ht="18" customHeight="1">
      <c r="A106" s="2444"/>
      <c r="B106" s="2506" t="s">
        <v>1562</v>
      </c>
      <c r="C106" s="2507">
        <f>财务摘要!C106</f>
        <v>19.667375452696501</v>
      </c>
      <c r="D106" s="2507">
        <f>财务摘要!D106</f>
        <v>20.364534280523451</v>
      </c>
      <c r="E106" s="2507">
        <f>财务摘要!E106</f>
        <v>20.316179094290064</v>
      </c>
      <c r="F106" s="2507">
        <f>财务摘要!F106</f>
        <v>20.116029609170006</v>
      </c>
      <c r="G106" s="2507">
        <f>财务摘要!G106</f>
        <v>20.265580994661171</v>
      </c>
      <c r="H106" s="2444"/>
      <c r="I106" s="2444"/>
      <c r="J106" s="2444"/>
      <c r="K106" s="2444"/>
      <c r="L106" s="2444"/>
      <c r="M106" s="2444"/>
      <c r="N106" s="2452"/>
      <c r="O106" s="2449"/>
      <c r="P106" s="2449"/>
      <c r="Q106" s="2449"/>
      <c r="R106" s="2449"/>
      <c r="S106" s="2449"/>
      <c r="T106" s="2449"/>
      <c r="U106" s="2444"/>
      <c r="V106" s="2444"/>
      <c r="W106" s="2444"/>
      <c r="X106" s="2444"/>
      <c r="Y106" s="2444"/>
      <c r="Z106" s="2444"/>
      <c r="AA106" s="2444"/>
      <c r="AB106" s="2444"/>
      <c r="AC106" s="2444"/>
      <c r="AD106" s="2444"/>
      <c r="AE106" s="2444"/>
      <c r="AF106" s="2444"/>
      <c r="AG106" s="2444"/>
      <c r="AH106" s="2444"/>
      <c r="AI106" s="2444"/>
      <c r="AJ106" s="2444"/>
      <c r="AK106" s="2444"/>
      <c r="AL106" s="2444"/>
      <c r="AM106" s="2444"/>
      <c r="AN106" s="2444"/>
      <c r="AO106" s="2444"/>
      <c r="AP106" s="2444"/>
      <c r="AQ106" s="2444"/>
      <c r="AR106" s="2444"/>
      <c r="AS106" s="2444"/>
      <c r="AT106" s="2444"/>
      <c r="AU106" s="2444"/>
      <c r="AV106" s="2444"/>
      <c r="AW106" s="2444"/>
      <c r="AX106" s="2444"/>
      <c r="AY106" s="2444"/>
      <c r="AZ106" s="2444"/>
    </row>
    <row r="107" spans="1:52" ht="18" customHeight="1">
      <c r="A107" s="2444"/>
      <c r="B107" s="2506" t="s">
        <v>1563</v>
      </c>
      <c r="C107" s="2507">
        <f>财务摘要!C107</f>
        <v>19.597767026955854</v>
      </c>
      <c r="D107" s="2507">
        <f>财务摘要!D107</f>
        <v>18.871134118083113</v>
      </c>
      <c r="E107" s="2507">
        <f>财务摘要!E107</f>
        <v>16.567284731368879</v>
      </c>
      <c r="F107" s="2507">
        <f>财务摘要!F107</f>
        <v>16.367135246248822</v>
      </c>
      <c r="G107" s="2507">
        <f>财务摘要!G107</f>
        <v>16.516686631739983</v>
      </c>
      <c r="H107" s="2444"/>
      <c r="I107" s="2444"/>
      <c r="J107" s="2444"/>
      <c r="K107" s="2444"/>
      <c r="L107" s="2444"/>
      <c r="M107" s="2444"/>
      <c r="N107" s="2452"/>
      <c r="O107" s="2449"/>
      <c r="P107" s="2449"/>
      <c r="Q107" s="2449"/>
      <c r="R107" s="2449"/>
      <c r="S107" s="2449"/>
      <c r="T107" s="2449"/>
      <c r="U107" s="2444"/>
      <c r="V107" s="2444"/>
      <c r="W107" s="2444"/>
      <c r="X107" s="2444"/>
      <c r="Y107" s="2444"/>
      <c r="Z107" s="2444"/>
      <c r="AA107" s="2444"/>
      <c r="AB107" s="2444"/>
      <c r="AC107" s="2444"/>
      <c r="AD107" s="2444"/>
      <c r="AE107" s="2444"/>
      <c r="AF107" s="2444"/>
      <c r="AG107" s="2444"/>
      <c r="AH107" s="2444"/>
      <c r="AI107" s="2444"/>
      <c r="AJ107" s="2444"/>
      <c r="AK107" s="2444"/>
      <c r="AL107" s="2444"/>
      <c r="AM107" s="2444"/>
      <c r="AN107" s="2444"/>
      <c r="AO107" s="2444"/>
      <c r="AP107" s="2444"/>
      <c r="AQ107" s="2444"/>
      <c r="AR107" s="2444"/>
      <c r="AS107" s="2444"/>
      <c r="AT107" s="2444"/>
      <c r="AU107" s="2444"/>
      <c r="AV107" s="2444"/>
      <c r="AW107" s="2444"/>
      <c r="AX107" s="2444"/>
      <c r="AY107" s="2444"/>
      <c r="AZ107" s="2444"/>
    </row>
    <row r="108" spans="1:52" ht="18" customHeight="1">
      <c r="A108" s="2444"/>
      <c r="B108" s="2506" t="s">
        <v>1564</v>
      </c>
      <c r="C108" s="2507">
        <f>财务摘要!C108</f>
        <v>17.678213690108986</v>
      </c>
      <c r="D108" s="2507">
        <f>财务摘要!D108</f>
        <v>17.121196349259183</v>
      </c>
      <c r="E108" s="2507">
        <f>财务摘要!E108</f>
        <v>15.434907879221951</v>
      </c>
      <c r="F108" s="2507">
        <f>财务摘要!F108</f>
        <v>15.234758394101894</v>
      </c>
      <c r="G108" s="2507">
        <f>财务摘要!G108</f>
        <v>15.384309779593055</v>
      </c>
      <c r="H108" s="2444"/>
      <c r="I108" s="2444"/>
      <c r="J108" s="2444"/>
      <c r="K108" s="2444"/>
      <c r="L108" s="2444"/>
      <c r="M108" s="2444"/>
      <c r="N108" s="2452"/>
      <c r="O108" s="2449"/>
      <c r="P108" s="2449"/>
      <c r="Q108" s="2449"/>
      <c r="R108" s="2449"/>
      <c r="S108" s="2449"/>
      <c r="T108" s="2449"/>
      <c r="U108" s="2444"/>
      <c r="V108" s="2444"/>
      <c r="W108" s="2444"/>
      <c r="X108" s="2444"/>
      <c r="Y108" s="2444"/>
      <c r="Z108" s="2444"/>
      <c r="AA108" s="2444"/>
      <c r="AB108" s="2444"/>
      <c r="AC108" s="2444"/>
      <c r="AD108" s="2444"/>
      <c r="AE108" s="2444"/>
      <c r="AF108" s="2444"/>
      <c r="AG108" s="2444"/>
      <c r="AH108" s="2444"/>
      <c r="AI108" s="2444"/>
      <c r="AJ108" s="2444"/>
      <c r="AK108" s="2444"/>
      <c r="AL108" s="2444"/>
      <c r="AM108" s="2444"/>
      <c r="AN108" s="2444"/>
      <c r="AO108" s="2444"/>
      <c r="AP108" s="2444"/>
      <c r="AQ108" s="2444"/>
      <c r="AR108" s="2444"/>
      <c r="AS108" s="2444"/>
      <c r="AT108" s="2444"/>
      <c r="AU108" s="2444"/>
      <c r="AV108" s="2444"/>
      <c r="AW108" s="2444"/>
      <c r="AX108" s="2444"/>
      <c r="AY108" s="2444"/>
      <c r="AZ108" s="2444"/>
    </row>
    <row r="109" spans="1:52" ht="18" customHeight="1">
      <c r="A109" s="2444"/>
      <c r="B109" s="2506" t="s">
        <v>1565</v>
      </c>
      <c r="C109" s="2507">
        <f>财务摘要!C109</f>
        <v>4.9033864924721504</v>
      </c>
      <c r="D109" s="2507">
        <f>财务摘要!D109</f>
        <v>32.609174934937421</v>
      </c>
      <c r="E109" s="2507">
        <f>财务摘要!E109</f>
        <v>0</v>
      </c>
      <c r="F109" s="2507">
        <f>财务摘要!F109</f>
        <v>0</v>
      </c>
      <c r="G109" s="2507">
        <f>财务摘要!G109</f>
        <v>0</v>
      </c>
      <c r="H109" s="2444"/>
      <c r="I109" s="2444"/>
      <c r="J109" s="2444"/>
      <c r="K109" s="2444"/>
      <c r="L109" s="2444"/>
      <c r="M109" s="2444"/>
      <c r="N109" s="2452"/>
      <c r="O109" s="2449"/>
      <c r="P109" s="2449"/>
      <c r="Q109" s="2449"/>
      <c r="R109" s="2449"/>
      <c r="S109" s="2449"/>
      <c r="T109" s="2449"/>
      <c r="U109" s="2444"/>
      <c r="V109" s="2444"/>
      <c r="W109" s="2444"/>
      <c r="X109" s="2444"/>
      <c r="Y109" s="2444"/>
      <c r="Z109" s="2444"/>
      <c r="AA109" s="2444"/>
      <c r="AB109" s="2444"/>
      <c r="AC109" s="2444"/>
      <c r="AD109" s="2444"/>
      <c r="AE109" s="2444"/>
      <c r="AF109" s="2444"/>
      <c r="AG109" s="2444"/>
      <c r="AH109" s="2444"/>
      <c r="AI109" s="2444"/>
      <c r="AJ109" s="2444"/>
      <c r="AK109" s="2444"/>
      <c r="AL109" s="2444"/>
      <c r="AM109" s="2444"/>
      <c r="AN109" s="2444"/>
      <c r="AO109" s="2444"/>
      <c r="AP109" s="2444"/>
      <c r="AQ109" s="2444"/>
      <c r="AR109" s="2444"/>
      <c r="AS109" s="2444"/>
      <c r="AT109" s="2444"/>
      <c r="AU109" s="2444"/>
      <c r="AV109" s="2444"/>
      <c r="AW109" s="2444"/>
      <c r="AX109" s="2444"/>
      <c r="AY109" s="2444"/>
      <c r="AZ109" s="2444"/>
    </row>
    <row r="110" spans="1:52" ht="18" customHeight="1">
      <c r="A110" s="2444"/>
      <c r="B110" s="2506" t="s">
        <v>1566</v>
      </c>
      <c r="C110" s="2507">
        <f>财务摘要!C110</f>
        <v>28.377946953870996</v>
      </c>
      <c r="D110" s="2507">
        <f>财务摘要!D110</f>
        <v>27.394775617090538</v>
      </c>
      <c r="E110" s="2507">
        <f ca="1">财务摘要!E110</f>
        <v>-244.73201376453596</v>
      </c>
      <c r="F110" s="2507" t="e">
        <f ca="1">财务摘要!F110</f>
        <v>#VALUE!</v>
      </c>
      <c r="G110" s="2507" t="e">
        <f ca="1">财务摘要!G110</f>
        <v>#VALUE!</v>
      </c>
      <c r="H110" s="2444"/>
      <c r="I110" s="2457" t="s">
        <v>1567</v>
      </c>
      <c r="J110" s="2457"/>
      <c r="K110" s="2457"/>
      <c r="L110" s="2457"/>
      <c r="M110" s="2457"/>
      <c r="N110" s="2452"/>
      <c r="O110" s="2449"/>
      <c r="P110" s="2449"/>
      <c r="Q110" s="2449"/>
      <c r="R110" s="2449"/>
      <c r="S110" s="2449"/>
      <c r="T110" s="2449"/>
      <c r="U110" s="2444"/>
      <c r="V110" s="2444"/>
      <c r="W110" s="2444"/>
      <c r="X110" s="2444"/>
      <c r="Y110" s="2444"/>
      <c r="Z110" s="2444"/>
      <c r="AA110" s="2444"/>
      <c r="AB110" s="2444"/>
      <c r="AC110" s="2444"/>
      <c r="AD110" s="2444"/>
      <c r="AE110" s="2444"/>
      <c r="AF110" s="2444"/>
      <c r="AG110" s="2444"/>
      <c r="AH110" s="2444"/>
      <c r="AI110" s="2444"/>
      <c r="AJ110" s="2444"/>
      <c r="AK110" s="2444"/>
      <c r="AL110" s="2444"/>
      <c r="AM110" s="2444"/>
      <c r="AN110" s="2444"/>
      <c r="AO110" s="2444"/>
      <c r="AP110" s="2444"/>
      <c r="AQ110" s="2444"/>
      <c r="AR110" s="2444"/>
      <c r="AS110" s="2444"/>
      <c r="AT110" s="2444"/>
      <c r="AU110" s="2444"/>
      <c r="AV110" s="2444"/>
      <c r="AW110" s="2444"/>
      <c r="AX110" s="2444"/>
      <c r="AY110" s="2444"/>
      <c r="AZ110" s="2444"/>
    </row>
    <row r="111" spans="1:52" ht="18" customHeight="1">
      <c r="A111" s="2444"/>
      <c r="B111" s="2506" t="s">
        <v>1568</v>
      </c>
      <c r="C111" s="2507">
        <f>财务摘要!C111</f>
        <v>13.943688879460629</v>
      </c>
      <c r="D111" s="2507">
        <f>财务摘要!D111</f>
        <v>21.382788296565856</v>
      </c>
      <c r="E111" s="2507">
        <f ca="1">财务摘要!E111</f>
        <v>30.444336832627567</v>
      </c>
      <c r="F111" s="2507">
        <f ca="1">财务摘要!F111</f>
        <v>57.970296979575878</v>
      </c>
      <c r="G111" s="2507">
        <f ca="1">财务摘要!G111</f>
        <v>80.334377612644047</v>
      </c>
      <c r="H111" s="2444"/>
      <c r="I111" s="2444"/>
      <c r="J111" s="2444"/>
      <c r="K111" s="2444"/>
      <c r="L111" s="2444"/>
      <c r="M111" s="2444"/>
      <c r="N111" s="2452"/>
      <c r="O111" s="2449"/>
      <c r="P111" s="2449"/>
      <c r="Q111" s="2449"/>
      <c r="R111" s="2449"/>
      <c r="S111" s="2449"/>
      <c r="T111" s="2449"/>
      <c r="U111" s="2444"/>
      <c r="V111" s="2444"/>
      <c r="W111" s="2444"/>
      <c r="X111" s="2444"/>
      <c r="Y111" s="2444"/>
      <c r="Z111" s="2444"/>
      <c r="AA111" s="2444"/>
      <c r="AB111" s="2444"/>
      <c r="AC111" s="2444"/>
      <c r="AD111" s="2444"/>
      <c r="AE111" s="2444"/>
      <c r="AF111" s="2444"/>
      <c r="AG111" s="2444"/>
      <c r="AH111" s="2444"/>
      <c r="AI111" s="2444"/>
      <c r="AJ111" s="2444"/>
      <c r="AK111" s="2444"/>
      <c r="AL111" s="2444"/>
      <c r="AM111" s="2444"/>
      <c r="AN111" s="2444"/>
      <c r="AO111" s="2444"/>
      <c r="AP111" s="2444"/>
      <c r="AQ111" s="2444"/>
      <c r="AR111" s="2444"/>
      <c r="AS111" s="2444"/>
      <c r="AT111" s="2444"/>
      <c r="AU111" s="2444"/>
      <c r="AV111" s="2444"/>
      <c r="AW111" s="2444"/>
      <c r="AX111" s="2444"/>
      <c r="AY111" s="2444"/>
      <c r="AZ111" s="2444"/>
    </row>
    <row r="112" spans="1:52" ht="18" customHeight="1">
      <c r="A112" s="2444"/>
      <c r="B112" s="2506" t="s">
        <v>1569</v>
      </c>
      <c r="C112" s="2507">
        <f>财务摘要!C112</f>
        <v>0.86601230152487807</v>
      </c>
      <c r="D112" s="2507">
        <f>财务摘要!D112</f>
        <v>0.97749675682551584</v>
      </c>
      <c r="E112" s="2507">
        <f ca="1">财务摘要!E112</f>
        <v>1.2931232988439201</v>
      </c>
      <c r="F112" s="2507">
        <f ca="1">财务摘要!F112</f>
        <v>1.9405374739045751</v>
      </c>
      <c r="G112" s="2507">
        <f ca="1">财务摘要!G112</f>
        <v>3.8636961678574768</v>
      </c>
      <c r="H112" s="2444"/>
      <c r="I112" s="2444"/>
      <c r="J112" s="2444"/>
      <c r="K112" s="2444"/>
      <c r="L112" s="2444"/>
      <c r="M112" s="2444"/>
      <c r="N112" s="2452"/>
      <c r="O112" s="2449"/>
      <c r="P112" s="2449"/>
      <c r="Q112" s="2449"/>
      <c r="R112" s="2449"/>
      <c r="S112" s="2449"/>
      <c r="T112" s="2449"/>
      <c r="U112" s="2444"/>
      <c r="V112" s="2444"/>
      <c r="W112" s="2444"/>
      <c r="X112" s="2444"/>
      <c r="Y112" s="2444"/>
      <c r="Z112" s="2444"/>
      <c r="AA112" s="2444"/>
      <c r="AB112" s="2444"/>
      <c r="AC112" s="2444"/>
      <c r="AD112" s="2444"/>
      <c r="AE112" s="2444"/>
      <c r="AF112" s="2444"/>
      <c r="AG112" s="2444"/>
      <c r="AH112" s="2444"/>
      <c r="AI112" s="2444"/>
      <c r="AJ112" s="2444"/>
      <c r="AK112" s="2444"/>
      <c r="AL112" s="2444"/>
      <c r="AM112" s="2444"/>
      <c r="AN112" s="2444"/>
      <c r="AO112" s="2444"/>
      <c r="AP112" s="2444"/>
      <c r="AQ112" s="2444"/>
      <c r="AR112" s="2444"/>
      <c r="AS112" s="2444"/>
      <c r="AT112" s="2444"/>
      <c r="AU112" s="2444"/>
      <c r="AV112" s="2444"/>
      <c r="AW112" s="2444"/>
      <c r="AX112" s="2444"/>
      <c r="AY112" s="2444"/>
      <c r="AZ112" s="2444"/>
    </row>
    <row r="113" spans="1:52" ht="18" customHeight="1">
      <c r="A113" s="2444"/>
      <c r="B113" s="2506" t="s">
        <v>1570</v>
      </c>
      <c r="C113" s="2507">
        <f>财务摘要!C113</f>
        <v>0.74501197960549315</v>
      </c>
      <c r="D113" s="2507">
        <f>财务摘要!D113</f>
        <v>0.76797943732147456</v>
      </c>
      <c r="E113" s="2507">
        <f ca="1">财务摘要!E113</f>
        <v>0.8981308028741648</v>
      </c>
      <c r="F113" s="2507">
        <f ca="1">财务摘要!F113</f>
        <v>0.81296109782629433</v>
      </c>
      <c r="G113" s="2507">
        <f ca="1">财务摘要!G113</f>
        <v>0.75336566964143181</v>
      </c>
      <c r="H113" s="2444"/>
      <c r="I113" s="2444"/>
      <c r="J113" s="2444"/>
      <c r="K113" s="2444"/>
      <c r="L113" s="2444"/>
      <c r="M113" s="2444"/>
      <c r="N113" s="2452"/>
      <c r="O113" s="2449"/>
      <c r="P113" s="2449"/>
      <c r="Q113" s="2449"/>
      <c r="R113" s="2449"/>
      <c r="S113" s="2449"/>
      <c r="T113" s="2449"/>
      <c r="U113" s="2444"/>
      <c r="V113" s="2444"/>
      <c r="W113" s="2444"/>
      <c r="X113" s="2444"/>
      <c r="Y113" s="2444"/>
      <c r="Z113" s="2444"/>
      <c r="AA113" s="2444"/>
      <c r="AB113" s="2444"/>
      <c r="AC113" s="2444"/>
      <c r="AD113" s="2444"/>
      <c r="AE113" s="2444"/>
      <c r="AF113" s="2444"/>
      <c r="AG113" s="2444"/>
      <c r="AH113" s="2444"/>
      <c r="AI113" s="2444"/>
      <c r="AJ113" s="2444"/>
      <c r="AK113" s="2444"/>
      <c r="AL113" s="2444"/>
      <c r="AM113" s="2444"/>
      <c r="AN113" s="2444"/>
      <c r="AO113" s="2444"/>
      <c r="AP113" s="2444"/>
      <c r="AQ113" s="2444"/>
      <c r="AR113" s="2444"/>
      <c r="AS113" s="2444"/>
      <c r="AT113" s="2444"/>
      <c r="AU113" s="2444"/>
      <c r="AV113" s="2444"/>
      <c r="AW113" s="2444"/>
      <c r="AX113" s="2444"/>
      <c r="AY113" s="2444"/>
      <c r="AZ113" s="2444"/>
    </row>
    <row r="114" spans="1:52" ht="18" customHeight="1">
      <c r="A114" s="2444"/>
      <c r="B114" s="2506" t="s">
        <v>1571</v>
      </c>
      <c r="C114" s="2507">
        <f>财务摘要!C114</f>
        <v>13.311740361509852</v>
      </c>
      <c r="D114" s="2507">
        <f>财务摘要!D114</f>
        <v>12.88349140262692</v>
      </c>
      <c r="E114" s="2507">
        <f>财务摘要!E114</f>
        <v>12.88349140262692</v>
      </c>
      <c r="F114" s="2507">
        <f>财务摘要!F114</f>
        <v>12.88349140262692</v>
      </c>
      <c r="G114" s="2507">
        <f>财务摘要!G114</f>
        <v>12.88349140262692</v>
      </c>
      <c r="H114" s="2444"/>
      <c r="I114" s="2444"/>
      <c r="J114" s="2444"/>
      <c r="K114" s="2444"/>
      <c r="L114" s="2444"/>
      <c r="M114" s="2444"/>
      <c r="N114" s="2452"/>
      <c r="O114" s="2449"/>
      <c r="P114" s="2449"/>
      <c r="Q114" s="2449"/>
      <c r="R114" s="2449"/>
      <c r="S114" s="2449"/>
      <c r="T114" s="2449"/>
      <c r="U114" s="2444"/>
      <c r="V114" s="2444"/>
      <c r="W114" s="2444"/>
      <c r="X114" s="2444"/>
      <c r="Y114" s="2444"/>
      <c r="Z114" s="2444"/>
      <c r="AA114" s="2444"/>
      <c r="AB114" s="2444"/>
      <c r="AC114" s="2444"/>
      <c r="AD114" s="2444"/>
      <c r="AE114" s="2444"/>
      <c r="AF114" s="2444"/>
      <c r="AG114" s="2444"/>
      <c r="AH114" s="2444"/>
      <c r="AI114" s="2444"/>
      <c r="AJ114" s="2444"/>
      <c r="AK114" s="2444"/>
      <c r="AL114" s="2444"/>
      <c r="AM114" s="2444"/>
      <c r="AN114" s="2444"/>
      <c r="AO114" s="2444"/>
      <c r="AP114" s="2444"/>
      <c r="AQ114" s="2444"/>
      <c r="AR114" s="2444"/>
      <c r="AS114" s="2444"/>
      <c r="AT114" s="2444"/>
      <c r="AU114" s="2444"/>
      <c r="AV114" s="2444"/>
      <c r="AW114" s="2444"/>
      <c r="AX114" s="2444"/>
      <c r="AY114" s="2444"/>
      <c r="AZ114" s="2444"/>
    </row>
    <row r="115" spans="1:52" ht="18" customHeight="1">
      <c r="A115" s="2444"/>
      <c r="B115" s="2506" t="s">
        <v>1572</v>
      </c>
      <c r="C115" s="2507">
        <f>财务摘要!C115</f>
        <v>0</v>
      </c>
      <c r="D115" s="2507">
        <f>财务摘要!D115</f>
        <v>0</v>
      </c>
      <c r="E115" s="2507">
        <f>财务摘要!E115</f>
        <v>0</v>
      </c>
      <c r="F115" s="2507">
        <f ca="1">财务摘要!F115</f>
        <v>0</v>
      </c>
      <c r="G115" s="2507">
        <f ca="1">财务摘要!G115</f>
        <v>0</v>
      </c>
      <c r="H115" s="2444"/>
      <c r="I115" s="2444"/>
      <c r="J115" s="2444"/>
      <c r="K115" s="2444"/>
      <c r="L115" s="2444"/>
      <c r="M115" s="2444"/>
      <c r="N115" s="2449"/>
      <c r="O115" s="2449"/>
      <c r="P115" s="2449"/>
      <c r="Q115" s="2449"/>
      <c r="R115" s="2449"/>
      <c r="S115" s="2444"/>
      <c r="T115" s="2444"/>
      <c r="U115" s="2444"/>
      <c r="V115" s="2444"/>
      <c r="W115" s="2444"/>
      <c r="X115" s="2444"/>
      <c r="Y115" s="2444"/>
      <c r="Z115" s="2444"/>
      <c r="AA115" s="2444"/>
      <c r="AB115" s="2444"/>
      <c r="AC115" s="2444"/>
      <c r="AD115" s="2444"/>
      <c r="AE115" s="2444"/>
      <c r="AF115" s="2444"/>
      <c r="AG115" s="2444"/>
      <c r="AH115" s="2444"/>
      <c r="AI115" s="2444"/>
      <c r="AJ115" s="2444"/>
      <c r="AK115" s="2444"/>
      <c r="AL115" s="2444"/>
      <c r="AM115" s="2444"/>
      <c r="AN115" s="2444"/>
      <c r="AO115" s="2444"/>
      <c r="AP115" s="2444"/>
      <c r="AQ115" s="2444"/>
      <c r="AR115" s="2444"/>
      <c r="AS115" s="2444"/>
      <c r="AT115" s="2444"/>
      <c r="AU115" s="2444"/>
      <c r="AV115" s="2444"/>
      <c r="AW115" s="2444"/>
      <c r="AX115" s="2444"/>
      <c r="AY115" s="2444"/>
      <c r="AZ115" s="2444"/>
    </row>
    <row r="116" spans="1:52" ht="18" customHeight="1">
      <c r="A116" s="2444"/>
      <c r="B116" s="2504" t="s">
        <v>1573</v>
      </c>
      <c r="C116" s="2507">
        <f>财务摘要!C116</f>
        <v>0</v>
      </c>
      <c r="D116" s="2507">
        <f>财务摘要!D116</f>
        <v>0</v>
      </c>
      <c r="E116" s="2507">
        <f>财务摘要!E116</f>
        <v>0</v>
      </c>
      <c r="F116" s="2507">
        <f>财务摘要!F116</f>
        <v>0</v>
      </c>
      <c r="G116" s="2507">
        <f>财务摘要!G116</f>
        <v>0</v>
      </c>
      <c r="H116" s="2444"/>
      <c r="I116" s="2444"/>
      <c r="J116" s="2444"/>
      <c r="K116" s="2444"/>
      <c r="L116" s="2444"/>
      <c r="M116" s="2444"/>
      <c r="N116" s="2449"/>
      <c r="O116" s="2449"/>
      <c r="P116" s="2449"/>
      <c r="Q116" s="2449"/>
      <c r="R116" s="2449"/>
      <c r="S116" s="2444"/>
      <c r="T116" s="2444"/>
      <c r="U116" s="2444"/>
      <c r="V116" s="2444"/>
      <c r="W116" s="2444"/>
      <c r="X116" s="2444"/>
      <c r="Y116" s="2444"/>
      <c r="Z116" s="2444"/>
      <c r="AA116" s="2444"/>
      <c r="AB116" s="2444"/>
      <c r="AC116" s="2444"/>
      <c r="AD116" s="2444"/>
      <c r="AE116" s="2444"/>
      <c r="AF116" s="2444"/>
      <c r="AG116" s="2444"/>
      <c r="AH116" s="2444"/>
      <c r="AI116" s="2444"/>
      <c r="AJ116" s="2444"/>
      <c r="AK116" s="2444"/>
      <c r="AL116" s="2444"/>
      <c r="AM116" s="2444"/>
      <c r="AN116" s="2444"/>
      <c r="AO116" s="2444"/>
      <c r="AP116" s="2444"/>
      <c r="AQ116" s="2444"/>
      <c r="AR116" s="2444"/>
      <c r="AS116" s="2444"/>
      <c r="AT116" s="2444"/>
      <c r="AU116" s="2444"/>
      <c r="AV116" s="2444"/>
      <c r="AW116" s="2444"/>
      <c r="AX116" s="2444"/>
      <c r="AY116" s="2444"/>
      <c r="AZ116" s="2444"/>
    </row>
    <row r="117" spans="1:52" ht="18" customHeight="1">
      <c r="A117" s="2444"/>
      <c r="B117" s="2506" t="s">
        <v>1193</v>
      </c>
      <c r="C117" s="2507">
        <f>财务摘要!C117</f>
        <v>30.3852783702838</v>
      </c>
      <c r="D117" s="2507">
        <f>财务摘要!D117</f>
        <v>23.851275080237663</v>
      </c>
      <c r="E117" s="2507">
        <f ca="1">财务摘要!E117</f>
        <v>-16.47961253343799</v>
      </c>
      <c r="F117" s="2507">
        <f ca="1">财务摘要!F117</f>
        <v>-13.871932938869227</v>
      </c>
      <c r="G117" s="2507">
        <f ca="1">财务摘要!G117</f>
        <v>-13.95298388275252</v>
      </c>
      <c r="H117" s="2444"/>
      <c r="I117" s="2444"/>
      <c r="J117" s="2444"/>
      <c r="K117" s="2444"/>
      <c r="L117" s="2444"/>
      <c r="M117" s="2444"/>
      <c r="N117" s="2449"/>
      <c r="O117" s="2449"/>
      <c r="P117" s="2449"/>
      <c r="Q117" s="2449"/>
      <c r="R117" s="2449"/>
      <c r="S117" s="2444"/>
      <c r="T117" s="2444"/>
      <c r="U117" s="2444"/>
      <c r="V117" s="2444"/>
      <c r="W117" s="2444"/>
      <c r="X117" s="2444"/>
      <c r="Y117" s="2444"/>
      <c r="Z117" s="2444"/>
      <c r="AA117" s="2444"/>
      <c r="AB117" s="2444"/>
      <c r="AC117" s="2444"/>
      <c r="AD117" s="2444"/>
      <c r="AE117" s="2444"/>
      <c r="AF117" s="2444"/>
      <c r="AG117" s="2444"/>
      <c r="AH117" s="2444"/>
      <c r="AI117" s="2444"/>
      <c r="AJ117" s="2444"/>
      <c r="AK117" s="2444"/>
      <c r="AL117" s="2444"/>
      <c r="AM117" s="2444"/>
      <c r="AN117" s="2444"/>
      <c r="AO117" s="2444"/>
      <c r="AP117" s="2444"/>
      <c r="AQ117" s="2444"/>
      <c r="AR117" s="2444"/>
      <c r="AS117" s="2444"/>
      <c r="AT117" s="2444"/>
      <c r="AU117" s="2444"/>
      <c r="AV117" s="2444"/>
      <c r="AW117" s="2444"/>
      <c r="AX117" s="2444"/>
      <c r="AY117" s="2444"/>
      <c r="AZ117" s="2444"/>
    </row>
    <row r="118" spans="1:52" ht="18" customHeight="1">
      <c r="A118" s="2444"/>
      <c r="B118" s="2506" t="s">
        <v>1194</v>
      </c>
      <c r="C118" s="2507">
        <f>财务摘要!C118</f>
        <v>4.1101232780257346</v>
      </c>
      <c r="D118" s="2507">
        <f>财务摘要!D118</f>
        <v>3.4984247695534103</v>
      </c>
      <c r="E118" s="2507">
        <f ca="1">财务摘要!E118</f>
        <v>4.628040499544805</v>
      </c>
      <c r="F118" s="2507">
        <f ca="1">财务摘要!F118</f>
        <v>6.9451119070732439</v>
      </c>
      <c r="G118" s="2507">
        <f ca="1">财务摘要!G118</f>
        <v>13.828025802927506</v>
      </c>
      <c r="H118" s="2444"/>
      <c r="I118" s="2444"/>
      <c r="J118" s="2444"/>
      <c r="K118" s="2444"/>
      <c r="L118" s="2444"/>
      <c r="M118" s="2444"/>
      <c r="N118" s="2452"/>
      <c r="O118" s="2449"/>
      <c r="P118" s="2449"/>
      <c r="Q118" s="2449"/>
      <c r="R118" s="2449"/>
      <c r="S118" s="2449"/>
      <c r="T118" s="2449"/>
      <c r="U118" s="2444"/>
      <c r="V118" s="2444"/>
      <c r="W118" s="2444"/>
      <c r="X118" s="2444"/>
      <c r="Y118" s="2444"/>
      <c r="Z118" s="2444"/>
      <c r="AA118" s="2444"/>
      <c r="AB118" s="2444"/>
      <c r="AC118" s="2444"/>
      <c r="AD118" s="2444"/>
      <c r="AE118" s="2444"/>
      <c r="AF118" s="2444"/>
      <c r="AG118" s="2444"/>
      <c r="AH118" s="2444"/>
      <c r="AI118" s="2444"/>
      <c r="AJ118" s="2444"/>
      <c r="AK118" s="2444"/>
      <c r="AL118" s="2444"/>
      <c r="AM118" s="2444"/>
      <c r="AN118" s="2444"/>
      <c r="AO118" s="2444"/>
      <c r="AP118" s="2444"/>
      <c r="AQ118" s="2444"/>
      <c r="AR118" s="2444"/>
      <c r="AS118" s="2444"/>
      <c r="AT118" s="2444"/>
      <c r="AU118" s="2444"/>
      <c r="AV118" s="2444"/>
      <c r="AW118" s="2444"/>
      <c r="AX118" s="2444"/>
      <c r="AY118" s="2444"/>
      <c r="AZ118" s="2444"/>
    </row>
    <row r="119" spans="1:52" ht="18" customHeight="1">
      <c r="A119" s="2444"/>
      <c r="B119" s="2509" t="s">
        <v>1574</v>
      </c>
      <c r="C119" s="2507">
        <f>财务摘要!C119</f>
        <v>4.6508734658296271</v>
      </c>
      <c r="D119" s="2507">
        <f>财务摘要!D119</f>
        <v>3.3253989280943665</v>
      </c>
      <c r="E119" s="2507">
        <f ca="1">财务摘要!E119</f>
        <v>3.510449439703935</v>
      </c>
      <c r="F119" s="2507">
        <f ca="1">财务摘要!F119</f>
        <v>3.7791556992504534</v>
      </c>
      <c r="G119" s="2507">
        <f ca="1">财务摘要!G119</f>
        <v>4.027021168595442</v>
      </c>
      <c r="H119" s="2444"/>
      <c r="I119" s="2444"/>
      <c r="J119" s="2444"/>
      <c r="K119" s="2444"/>
      <c r="L119" s="2444"/>
      <c r="M119" s="2444"/>
      <c r="N119" s="2452"/>
      <c r="O119" s="2449"/>
      <c r="P119" s="2449"/>
      <c r="Q119" s="2449"/>
      <c r="R119" s="2449"/>
      <c r="S119" s="2449"/>
      <c r="T119" s="2449"/>
      <c r="U119" s="2444"/>
      <c r="V119" s="2444"/>
      <c r="W119" s="2444"/>
      <c r="X119" s="2444"/>
      <c r="Y119" s="2444"/>
      <c r="Z119" s="2444"/>
      <c r="AA119" s="2444"/>
      <c r="AB119" s="2444"/>
      <c r="AC119" s="2444"/>
      <c r="AD119" s="2444"/>
      <c r="AE119" s="2444"/>
      <c r="AF119" s="2444"/>
      <c r="AG119" s="2444"/>
      <c r="AH119" s="2444"/>
      <c r="AI119" s="2444"/>
      <c r="AJ119" s="2444"/>
      <c r="AK119" s="2444"/>
      <c r="AL119" s="2444"/>
      <c r="AM119" s="2444"/>
      <c r="AN119" s="2444"/>
      <c r="AO119" s="2444"/>
      <c r="AP119" s="2444"/>
      <c r="AQ119" s="2444"/>
      <c r="AR119" s="2444"/>
      <c r="AS119" s="2444"/>
      <c r="AT119" s="2444"/>
      <c r="AU119" s="2444"/>
      <c r="AV119" s="2444"/>
      <c r="AW119" s="2444"/>
      <c r="AX119" s="2444"/>
      <c r="AY119" s="2444"/>
      <c r="AZ119" s="2444"/>
    </row>
    <row r="120" spans="1:52" ht="18" customHeight="1">
      <c r="A120" s="2444"/>
      <c r="B120" s="2509" t="s">
        <v>1575</v>
      </c>
      <c r="C120" s="2507">
        <f>财务摘要!C120</f>
        <v>23.731649934569372</v>
      </c>
      <c r="D120" s="2507">
        <f>财务摘要!D120</f>
        <v>17.621616736366839</v>
      </c>
      <c r="E120" s="2507">
        <f ca="1">财务摘要!E120</f>
        <v>21.189045136993204</v>
      </c>
      <c r="F120" s="2507">
        <f ca="1">财务摘要!F120</f>
        <v>23.089903287238965</v>
      </c>
      <c r="G120" s="2507">
        <f ca="1">财务摘要!G120</f>
        <v>24.381531589130887</v>
      </c>
      <c r="H120" s="2444"/>
      <c r="I120" s="2444"/>
      <c r="J120" s="2444"/>
      <c r="K120" s="2444"/>
      <c r="L120" s="2444"/>
      <c r="M120" s="2444"/>
      <c r="N120" s="2452"/>
      <c r="O120" s="2449"/>
      <c r="P120" s="2449"/>
      <c r="Q120" s="2449"/>
      <c r="R120" s="2449"/>
      <c r="S120" s="2449"/>
      <c r="T120" s="2449"/>
      <c r="U120" s="2444"/>
      <c r="V120" s="2444"/>
      <c r="W120" s="2444"/>
      <c r="X120" s="2444"/>
      <c r="Y120" s="2444"/>
      <c r="Z120" s="2444"/>
      <c r="AA120" s="2444"/>
      <c r="AB120" s="2444"/>
      <c r="AC120" s="2444"/>
      <c r="AD120" s="2444"/>
      <c r="AE120" s="2444"/>
      <c r="AF120" s="2444"/>
      <c r="AG120" s="2444"/>
      <c r="AH120" s="2444"/>
      <c r="AI120" s="2444"/>
      <c r="AJ120" s="2444"/>
      <c r="AK120" s="2444"/>
      <c r="AL120" s="2444"/>
      <c r="AM120" s="2444"/>
      <c r="AN120" s="2444"/>
      <c r="AO120" s="2444"/>
      <c r="AP120" s="2444"/>
      <c r="AQ120" s="2444"/>
      <c r="AR120" s="2444"/>
      <c r="AS120" s="2444"/>
      <c r="AT120" s="2444"/>
      <c r="AU120" s="2444"/>
      <c r="AV120" s="2444"/>
      <c r="AW120" s="2444"/>
      <c r="AX120" s="2444"/>
      <c r="AY120" s="2444"/>
      <c r="AZ120" s="2444"/>
    </row>
    <row r="121" spans="1:52" ht="18" customHeight="1" thickBot="1">
      <c r="A121" s="2444"/>
      <c r="B121" s="2510" t="s">
        <v>1547</v>
      </c>
      <c r="C121" s="2507">
        <f>财务摘要!C121</f>
        <v>522.6</v>
      </c>
      <c r="D121" s="2507">
        <f>财务摘要!D121</f>
        <v>522.6</v>
      </c>
      <c r="E121" s="2507">
        <f>财务摘要!E121</f>
        <v>522.6</v>
      </c>
      <c r="F121" s="2507">
        <f>财务摘要!F121</f>
        <v>522.6</v>
      </c>
      <c r="G121" s="2507">
        <f>财务摘要!G121</f>
        <v>522.6</v>
      </c>
      <c r="H121" s="2444"/>
      <c r="I121" s="2444"/>
      <c r="J121" s="2444"/>
      <c r="K121" s="2444"/>
      <c r="L121" s="2444"/>
      <c r="M121" s="2444"/>
      <c r="N121" s="2489"/>
      <c r="O121" s="2449"/>
      <c r="P121" s="2449"/>
      <c r="Q121" s="2449"/>
      <c r="R121" s="2449"/>
      <c r="S121" s="2449"/>
      <c r="T121" s="2449"/>
      <c r="U121" s="2444"/>
      <c r="V121" s="2444"/>
      <c r="W121" s="2444"/>
      <c r="X121" s="2444"/>
      <c r="Y121" s="2444"/>
      <c r="Z121" s="2444"/>
      <c r="AA121" s="2444"/>
      <c r="AB121" s="2444"/>
      <c r="AC121" s="2444"/>
      <c r="AD121" s="2444"/>
      <c r="AE121" s="2444"/>
      <c r="AF121" s="2444"/>
      <c r="AG121" s="2444"/>
      <c r="AH121" s="2444"/>
      <c r="AI121" s="2444"/>
      <c r="AJ121" s="2444"/>
      <c r="AK121" s="2444"/>
      <c r="AL121" s="2444"/>
      <c r="AM121" s="2444"/>
      <c r="AN121" s="2444"/>
      <c r="AO121" s="2444"/>
      <c r="AP121" s="2444"/>
      <c r="AQ121" s="2444"/>
      <c r="AR121" s="2444"/>
      <c r="AS121" s="2444"/>
      <c r="AT121" s="2444"/>
      <c r="AU121" s="2444"/>
      <c r="AV121" s="2444"/>
      <c r="AW121" s="2444"/>
      <c r="AX121" s="2444"/>
      <c r="AY121" s="2444"/>
      <c r="AZ121" s="2444"/>
    </row>
    <row r="122" spans="1:52" ht="18" customHeight="1">
      <c r="A122" s="2444"/>
      <c r="B122" s="2534" t="s">
        <v>1511</v>
      </c>
      <c r="C122" s="2534"/>
      <c r="D122" s="2534"/>
      <c r="E122" s="2534"/>
      <c r="F122" s="2534"/>
      <c r="G122" s="2534"/>
      <c r="H122" s="2444"/>
      <c r="I122" s="2444"/>
      <c r="J122" s="2444"/>
      <c r="K122" s="2444"/>
      <c r="L122" s="2444"/>
      <c r="M122" s="2444"/>
      <c r="N122" s="2511"/>
      <c r="O122" s="2449"/>
      <c r="P122" s="2449"/>
      <c r="Q122" s="2449"/>
      <c r="R122" s="2449"/>
      <c r="S122" s="2449"/>
      <c r="T122" s="2449"/>
      <c r="U122" s="2444"/>
      <c r="V122" s="2444"/>
      <c r="W122" s="2444"/>
      <c r="X122" s="2444"/>
      <c r="Y122" s="2444"/>
      <c r="Z122" s="2444"/>
      <c r="AA122" s="2444"/>
      <c r="AB122" s="2444"/>
      <c r="AC122" s="2444"/>
      <c r="AD122" s="2444"/>
      <c r="AE122" s="2444"/>
      <c r="AF122" s="2444"/>
      <c r="AG122" s="2444"/>
      <c r="AH122" s="2444"/>
      <c r="AI122" s="2444"/>
      <c r="AJ122" s="2444"/>
      <c r="AK122" s="2444"/>
      <c r="AL122" s="2444"/>
      <c r="AM122" s="2444"/>
      <c r="AN122" s="2444"/>
      <c r="AO122" s="2444"/>
      <c r="AP122" s="2444"/>
      <c r="AQ122" s="2444"/>
      <c r="AR122" s="2444"/>
      <c r="AS122" s="2444"/>
      <c r="AT122" s="2444"/>
      <c r="AU122" s="2444"/>
      <c r="AV122" s="2444"/>
      <c r="AW122" s="2444"/>
      <c r="AX122" s="2444"/>
      <c r="AY122" s="2444"/>
      <c r="AZ122" s="2444"/>
    </row>
    <row r="123" spans="1:52" ht="18" customHeight="1">
      <c r="A123" s="2444"/>
      <c r="B123" s="2483"/>
      <c r="C123" s="2483"/>
      <c r="D123" s="2483"/>
      <c r="E123" s="2483"/>
      <c r="F123" s="2483"/>
      <c r="G123" s="2483"/>
      <c r="H123" s="2444"/>
      <c r="I123" s="2444"/>
      <c r="J123" s="2444"/>
      <c r="K123" s="2444"/>
      <c r="L123" s="2444"/>
      <c r="M123" s="2444"/>
      <c r="N123" s="2511"/>
      <c r="O123" s="2449"/>
      <c r="P123" s="2449"/>
      <c r="Q123" s="2449"/>
      <c r="R123" s="2449"/>
      <c r="S123" s="2449"/>
      <c r="T123" s="2449"/>
      <c r="U123" s="2444"/>
      <c r="V123" s="2444"/>
      <c r="W123" s="2444"/>
      <c r="X123" s="2444"/>
      <c r="Y123" s="2444"/>
      <c r="Z123" s="2444"/>
      <c r="AA123" s="2444"/>
      <c r="AB123" s="2444"/>
      <c r="AC123" s="2444"/>
      <c r="AD123" s="2444"/>
      <c r="AE123" s="2444"/>
      <c r="AF123" s="2444"/>
      <c r="AG123" s="2444"/>
      <c r="AH123" s="2444"/>
      <c r="AI123" s="2444"/>
      <c r="AJ123" s="2444"/>
      <c r="AK123" s="2444"/>
      <c r="AL123" s="2444"/>
      <c r="AM123" s="2444"/>
      <c r="AN123" s="2444"/>
      <c r="AO123" s="2444"/>
      <c r="AP123" s="2444"/>
      <c r="AQ123" s="2444"/>
      <c r="AR123" s="2444"/>
      <c r="AS123" s="2444"/>
      <c r="AT123" s="2444"/>
      <c r="AU123" s="2444"/>
      <c r="AV123" s="2444"/>
      <c r="AW123" s="2444"/>
      <c r="AX123" s="2444"/>
      <c r="AY123" s="2444"/>
      <c r="AZ123" s="2444"/>
    </row>
    <row r="124" spans="1:52" ht="18" customHeight="1">
      <c r="A124" s="2444"/>
      <c r="B124" s="2483"/>
      <c r="C124" s="2483"/>
      <c r="D124" s="2483"/>
      <c r="E124" s="2483"/>
      <c r="F124" s="2483"/>
      <c r="G124" s="2483"/>
      <c r="H124" s="2444"/>
      <c r="I124" s="2444"/>
      <c r="J124" s="2444"/>
      <c r="K124" s="2444"/>
      <c r="L124" s="2444"/>
      <c r="M124" s="2444"/>
      <c r="N124" s="2511"/>
      <c r="O124" s="2449"/>
      <c r="P124" s="2449"/>
      <c r="Q124" s="2449"/>
      <c r="R124" s="2449"/>
      <c r="S124" s="2449"/>
      <c r="T124" s="2449"/>
      <c r="U124" s="2444"/>
      <c r="V124" s="2444"/>
      <c r="W124" s="2444"/>
      <c r="X124" s="2444"/>
      <c r="Y124" s="2444"/>
      <c r="Z124" s="2444"/>
      <c r="AA124" s="2444"/>
      <c r="AB124" s="2444"/>
      <c r="AC124" s="2444"/>
      <c r="AD124" s="2444"/>
      <c r="AE124" s="2444"/>
      <c r="AF124" s="2444"/>
      <c r="AG124" s="2444"/>
      <c r="AH124" s="2444"/>
      <c r="AI124" s="2444"/>
      <c r="AJ124" s="2444"/>
      <c r="AK124" s="2444"/>
      <c r="AL124" s="2444"/>
      <c r="AM124" s="2444"/>
      <c r="AN124" s="2444"/>
      <c r="AO124" s="2444"/>
      <c r="AP124" s="2444"/>
      <c r="AQ124" s="2444"/>
      <c r="AR124" s="2444"/>
      <c r="AS124" s="2444"/>
      <c r="AT124" s="2444"/>
      <c r="AU124" s="2444"/>
      <c r="AV124" s="2444"/>
      <c r="AW124" s="2444"/>
      <c r="AX124" s="2444"/>
      <c r="AY124" s="2444"/>
      <c r="AZ124" s="2444"/>
    </row>
    <row r="125" spans="1:52" ht="18" customHeight="1" thickBot="1">
      <c r="A125" s="2444"/>
      <c r="B125" s="2484" t="s">
        <v>1576</v>
      </c>
      <c r="C125" s="2485"/>
      <c r="D125" s="2485"/>
      <c r="E125" s="2485"/>
      <c r="F125" s="2485"/>
      <c r="G125" s="2485"/>
      <c r="H125" s="2486"/>
      <c r="I125" s="2486"/>
      <c r="J125" s="2512"/>
      <c r="K125" s="2512"/>
      <c r="L125" s="2512"/>
      <c r="M125" s="2512"/>
      <c r="N125" s="2489"/>
      <c r="O125" s="2449"/>
      <c r="P125" s="2449"/>
      <c r="Q125" s="2449"/>
      <c r="R125" s="2449"/>
      <c r="S125" s="2449"/>
      <c r="T125" s="2449"/>
      <c r="U125" s="2444"/>
      <c r="V125" s="2444"/>
      <c r="W125" s="2444"/>
      <c r="X125" s="2444"/>
      <c r="Y125" s="2444"/>
      <c r="Z125" s="2444"/>
      <c r="AA125" s="2444"/>
      <c r="AB125" s="2444"/>
      <c r="AC125" s="2444"/>
      <c r="AD125" s="2444"/>
      <c r="AE125" s="2444"/>
      <c r="AF125" s="2444"/>
      <c r="AG125" s="2444"/>
      <c r="AH125" s="2444"/>
      <c r="AI125" s="2444"/>
      <c r="AJ125" s="2444"/>
      <c r="AK125" s="2444"/>
      <c r="AL125" s="2444"/>
      <c r="AM125" s="2444"/>
      <c r="AN125" s="2444"/>
      <c r="AO125" s="2444"/>
      <c r="AP125" s="2444"/>
      <c r="AQ125" s="2444"/>
      <c r="AR125" s="2444"/>
      <c r="AS125" s="2444"/>
      <c r="AT125" s="2444"/>
      <c r="AU125" s="2444"/>
      <c r="AV125" s="2444"/>
      <c r="AW125" s="2444"/>
      <c r="AX125" s="2444"/>
      <c r="AY125" s="2444"/>
      <c r="AZ125" s="2444"/>
    </row>
    <row r="126" spans="1:52" ht="18" customHeight="1" thickTop="1">
      <c r="A126" s="2444"/>
      <c r="B126" s="2444"/>
      <c r="C126" s="2444"/>
      <c r="D126" s="2444"/>
      <c r="E126" s="2444"/>
      <c r="F126" s="2444"/>
      <c r="G126" s="2444"/>
      <c r="H126" s="2444"/>
      <c r="I126" s="2444"/>
      <c r="J126" s="2444"/>
      <c r="K126" s="2444"/>
      <c r="L126" s="2444"/>
      <c r="M126" s="2444"/>
      <c r="N126" s="2448"/>
      <c r="O126" s="2449"/>
      <c r="P126" s="2449"/>
      <c r="Q126" s="2449"/>
      <c r="R126" s="2449"/>
      <c r="S126" s="2449"/>
      <c r="T126" s="2449"/>
      <c r="U126" s="2444"/>
      <c r="V126" s="2444"/>
      <c r="W126" s="2444"/>
      <c r="X126" s="2444"/>
      <c r="Y126" s="2444"/>
      <c r="Z126" s="2444"/>
      <c r="AA126" s="2444"/>
      <c r="AB126" s="2444"/>
      <c r="AC126" s="2444"/>
      <c r="AD126" s="2444"/>
      <c r="AE126" s="2444"/>
      <c r="AF126" s="2444"/>
      <c r="AG126" s="2444"/>
      <c r="AH126" s="2444"/>
      <c r="AI126" s="2444"/>
      <c r="AJ126" s="2444"/>
      <c r="AK126" s="2444"/>
      <c r="AL126" s="2444"/>
      <c r="AM126" s="2444"/>
      <c r="AN126" s="2444"/>
      <c r="AO126" s="2444"/>
      <c r="AP126" s="2444"/>
      <c r="AQ126" s="2444"/>
      <c r="AR126" s="2444"/>
      <c r="AS126" s="2444"/>
      <c r="AT126" s="2444"/>
      <c r="AU126" s="2444"/>
      <c r="AV126" s="2444"/>
      <c r="AW126" s="2444"/>
      <c r="AX126" s="2444"/>
      <c r="AY126" s="2444"/>
      <c r="AZ126" s="2444"/>
    </row>
    <row r="127" spans="1:52" ht="18" customHeight="1">
      <c r="A127" s="2444"/>
      <c r="B127" s="2444"/>
      <c r="C127" s="2444"/>
      <c r="D127" s="2444"/>
      <c r="E127" s="2444"/>
      <c r="F127" s="2444"/>
      <c r="G127" s="2444"/>
      <c r="H127" s="2444"/>
      <c r="I127" s="2444"/>
      <c r="J127" s="2444"/>
      <c r="K127" s="2444"/>
      <c r="L127" s="2444"/>
      <c r="M127" s="2444"/>
      <c r="N127" s="2448"/>
      <c r="O127" s="2449"/>
      <c r="P127" s="2449"/>
      <c r="Q127" s="2449"/>
      <c r="R127" s="2449"/>
      <c r="S127" s="2449"/>
      <c r="T127" s="2449"/>
      <c r="U127" s="2444"/>
      <c r="V127" s="2444"/>
      <c r="W127" s="2444"/>
      <c r="X127" s="2444"/>
      <c r="Y127" s="2444"/>
      <c r="Z127" s="2444"/>
      <c r="AA127" s="2444"/>
      <c r="AB127" s="2444"/>
      <c r="AC127" s="2444"/>
      <c r="AD127" s="2444"/>
      <c r="AE127" s="2444"/>
      <c r="AF127" s="2444"/>
      <c r="AG127" s="2444"/>
      <c r="AH127" s="2444"/>
      <c r="AI127" s="2444"/>
      <c r="AJ127" s="2444"/>
      <c r="AK127" s="2444"/>
      <c r="AL127" s="2444"/>
      <c r="AM127" s="2444"/>
      <c r="AN127" s="2444"/>
      <c r="AO127" s="2444"/>
      <c r="AP127" s="2444"/>
      <c r="AQ127" s="2444"/>
      <c r="AR127" s="2444"/>
      <c r="AS127" s="2444"/>
      <c r="AT127" s="2444"/>
      <c r="AU127" s="2444"/>
      <c r="AV127" s="2444"/>
      <c r="AW127" s="2444"/>
      <c r="AX127" s="2444"/>
      <c r="AY127" s="2444"/>
      <c r="AZ127" s="2444"/>
    </row>
    <row r="128" spans="1:52" ht="18" customHeight="1">
      <c r="A128" s="2444"/>
      <c r="B128" s="2444"/>
      <c r="C128" s="2444"/>
      <c r="D128" s="2444"/>
      <c r="E128" s="2444"/>
      <c r="F128" s="2444"/>
      <c r="G128" s="2444"/>
      <c r="H128" s="2444"/>
      <c r="I128" s="2444"/>
      <c r="J128" s="2444"/>
      <c r="K128" s="2444"/>
      <c r="L128" s="2444"/>
      <c r="M128" s="2444"/>
      <c r="N128" s="2448"/>
      <c r="O128" s="2449"/>
      <c r="P128" s="2449"/>
      <c r="Q128" s="2449"/>
      <c r="R128" s="2449"/>
      <c r="S128" s="2449"/>
      <c r="T128" s="2449"/>
      <c r="U128" s="2444"/>
      <c r="V128" s="2444"/>
      <c r="W128" s="2444"/>
      <c r="X128" s="2444"/>
      <c r="Y128" s="2444"/>
      <c r="Z128" s="2444"/>
      <c r="AA128" s="2444"/>
      <c r="AB128" s="2444"/>
      <c r="AC128" s="2444"/>
      <c r="AD128" s="2444"/>
      <c r="AE128" s="2444"/>
      <c r="AF128" s="2444"/>
      <c r="AG128" s="2444"/>
      <c r="AH128" s="2444"/>
      <c r="AI128" s="2444"/>
      <c r="AJ128" s="2444"/>
      <c r="AK128" s="2444"/>
      <c r="AL128" s="2444"/>
      <c r="AM128" s="2444"/>
      <c r="AN128" s="2444"/>
      <c r="AO128" s="2444"/>
      <c r="AP128" s="2444"/>
      <c r="AQ128" s="2444"/>
      <c r="AR128" s="2444"/>
      <c r="AS128" s="2444"/>
      <c r="AT128" s="2444"/>
      <c r="AU128" s="2444"/>
      <c r="AV128" s="2444"/>
      <c r="AW128" s="2444"/>
      <c r="AX128" s="2444"/>
      <c r="AY128" s="2444"/>
      <c r="AZ128" s="2444"/>
    </row>
    <row r="129" spans="1:52" ht="18" customHeight="1">
      <c r="A129" s="2444"/>
      <c r="B129" s="2444"/>
      <c r="C129" s="2444"/>
      <c r="D129" s="2444"/>
      <c r="E129" s="2444"/>
      <c r="F129" s="2444"/>
      <c r="G129" s="2444"/>
      <c r="H129" s="2444"/>
      <c r="I129" s="2444"/>
      <c r="J129" s="2444"/>
      <c r="K129" s="2444"/>
      <c r="L129" s="2444"/>
      <c r="M129" s="2444"/>
      <c r="N129" s="2448"/>
      <c r="O129" s="2449"/>
      <c r="P129" s="2449"/>
      <c r="Q129" s="2449"/>
      <c r="R129" s="2449"/>
      <c r="S129" s="2449"/>
      <c r="T129" s="2449"/>
      <c r="U129" s="2444"/>
      <c r="V129" s="2444"/>
      <c r="W129" s="2444"/>
      <c r="X129" s="2444"/>
      <c r="Y129" s="2444"/>
      <c r="Z129" s="2444"/>
      <c r="AA129" s="2444"/>
      <c r="AB129" s="2444"/>
      <c r="AC129" s="2444"/>
      <c r="AD129" s="2444"/>
      <c r="AE129" s="2444"/>
      <c r="AF129" s="2444"/>
      <c r="AG129" s="2444"/>
      <c r="AH129" s="2444"/>
      <c r="AI129" s="2444"/>
      <c r="AJ129" s="2444"/>
      <c r="AK129" s="2444"/>
      <c r="AL129" s="2444"/>
      <c r="AM129" s="2444"/>
      <c r="AN129" s="2444"/>
      <c r="AO129" s="2444"/>
      <c r="AP129" s="2444"/>
      <c r="AQ129" s="2444"/>
      <c r="AR129" s="2444"/>
      <c r="AS129" s="2444"/>
      <c r="AT129" s="2444"/>
      <c r="AU129" s="2444"/>
      <c r="AV129" s="2444"/>
      <c r="AW129" s="2444"/>
      <c r="AX129" s="2444"/>
      <c r="AY129" s="2444"/>
      <c r="AZ129" s="2444"/>
    </row>
    <row r="130" spans="1:52" ht="18" customHeight="1">
      <c r="A130" s="2444"/>
      <c r="B130" s="2445"/>
      <c r="C130" s="2445"/>
      <c r="D130" s="2445"/>
      <c r="E130" s="2445"/>
      <c r="F130" s="2445"/>
      <c r="G130" s="2445"/>
      <c r="H130" s="2444"/>
      <c r="I130" s="2444"/>
      <c r="J130" s="2444"/>
      <c r="K130" s="2444"/>
      <c r="L130" s="2444"/>
      <c r="M130" s="2444"/>
      <c r="N130" s="2448"/>
      <c r="O130" s="2449"/>
      <c r="P130" s="2449"/>
      <c r="Q130" s="2449"/>
      <c r="R130" s="2449"/>
      <c r="S130" s="2449"/>
      <c r="T130" s="2449"/>
      <c r="U130" s="2444"/>
      <c r="V130" s="2444"/>
      <c r="W130" s="2444"/>
      <c r="X130" s="2444"/>
      <c r="Y130" s="2444"/>
      <c r="Z130" s="2444"/>
      <c r="AA130" s="2444"/>
      <c r="AB130" s="2444"/>
      <c r="AC130" s="2444"/>
      <c r="AD130" s="2444"/>
      <c r="AE130" s="2444"/>
      <c r="AF130" s="2444"/>
      <c r="AG130" s="2444"/>
      <c r="AH130" s="2444"/>
      <c r="AI130" s="2444"/>
      <c r="AJ130" s="2444"/>
      <c r="AK130" s="2444"/>
      <c r="AL130" s="2444"/>
      <c r="AM130" s="2444"/>
      <c r="AN130" s="2444"/>
      <c r="AO130" s="2444"/>
      <c r="AP130" s="2444"/>
      <c r="AQ130" s="2444"/>
      <c r="AR130" s="2444"/>
      <c r="AS130" s="2444"/>
      <c r="AT130" s="2444"/>
      <c r="AU130" s="2444"/>
      <c r="AV130" s="2444"/>
      <c r="AW130" s="2444"/>
      <c r="AX130" s="2444"/>
      <c r="AY130" s="2444"/>
      <c r="AZ130" s="2444"/>
    </row>
    <row r="131" spans="1:52" ht="18" customHeight="1">
      <c r="A131" s="2444"/>
      <c r="B131" s="2445"/>
      <c r="C131" s="2445"/>
      <c r="D131" s="2445"/>
      <c r="E131" s="2445"/>
      <c r="F131" s="2445"/>
      <c r="G131" s="2445"/>
      <c r="H131" s="2444"/>
      <c r="I131" s="2444"/>
      <c r="J131" s="2444"/>
      <c r="K131" s="2444"/>
      <c r="L131" s="2444"/>
      <c r="M131" s="2444"/>
      <c r="N131" s="2448"/>
      <c r="O131" s="2449"/>
      <c r="P131" s="2449"/>
      <c r="Q131" s="2449"/>
      <c r="R131" s="2449"/>
      <c r="S131" s="2449"/>
      <c r="T131" s="2449"/>
      <c r="U131" s="2444"/>
      <c r="V131" s="2444"/>
      <c r="W131" s="2444"/>
      <c r="X131" s="2444"/>
      <c r="Y131" s="2444"/>
      <c r="Z131" s="2444"/>
      <c r="AA131" s="2444"/>
      <c r="AB131" s="2444"/>
      <c r="AC131" s="2444"/>
      <c r="AD131" s="2444"/>
      <c r="AE131" s="2444"/>
      <c r="AF131" s="2444"/>
      <c r="AG131" s="2444"/>
      <c r="AH131" s="2444"/>
      <c r="AI131" s="2444"/>
      <c r="AJ131" s="2444"/>
      <c r="AK131" s="2444"/>
      <c r="AL131" s="2444"/>
      <c r="AM131" s="2444"/>
      <c r="AN131" s="2444"/>
      <c r="AO131" s="2444"/>
      <c r="AP131" s="2444"/>
      <c r="AQ131" s="2444"/>
      <c r="AR131" s="2444"/>
      <c r="AS131" s="2444"/>
      <c r="AT131" s="2444"/>
      <c r="AU131" s="2444"/>
      <c r="AV131" s="2444"/>
      <c r="AW131" s="2444"/>
      <c r="AX131" s="2444"/>
      <c r="AY131" s="2444"/>
      <c r="AZ131" s="2444"/>
    </row>
    <row r="132" spans="1:52" ht="18" customHeight="1">
      <c r="A132" s="2444"/>
      <c r="B132" s="2445"/>
      <c r="C132" s="2445"/>
      <c r="D132" s="2445"/>
      <c r="E132" s="2445"/>
      <c r="F132" s="2445"/>
      <c r="G132" s="2445"/>
      <c r="H132" s="2444"/>
      <c r="I132" s="2444"/>
      <c r="J132" s="2444"/>
      <c r="K132" s="2444"/>
      <c r="L132" s="2444"/>
      <c r="M132" s="2444"/>
      <c r="N132" s="2448"/>
      <c r="O132" s="2449"/>
      <c r="P132" s="2449"/>
      <c r="Q132" s="2449"/>
      <c r="R132" s="2449"/>
      <c r="S132" s="2449"/>
      <c r="T132" s="2449"/>
      <c r="U132" s="2444"/>
      <c r="V132" s="2444"/>
      <c r="W132" s="2444"/>
      <c r="X132" s="2444"/>
      <c r="Y132" s="2444"/>
      <c r="Z132" s="2444"/>
      <c r="AA132" s="2444"/>
      <c r="AB132" s="2444"/>
      <c r="AC132" s="2444"/>
      <c r="AD132" s="2444"/>
      <c r="AE132" s="2444"/>
      <c r="AF132" s="2444"/>
      <c r="AG132" s="2444"/>
      <c r="AH132" s="2444"/>
      <c r="AI132" s="2444"/>
      <c r="AJ132" s="2444"/>
      <c r="AK132" s="2444"/>
      <c r="AL132" s="2444"/>
      <c r="AM132" s="2444"/>
      <c r="AN132" s="2444"/>
      <c r="AO132" s="2444"/>
      <c r="AP132" s="2444"/>
      <c r="AQ132" s="2444"/>
      <c r="AR132" s="2444"/>
      <c r="AS132" s="2444"/>
      <c r="AT132" s="2444"/>
      <c r="AU132" s="2444"/>
      <c r="AV132" s="2444"/>
      <c r="AW132" s="2444"/>
      <c r="AX132" s="2444"/>
      <c r="AY132" s="2444"/>
      <c r="AZ132" s="2444"/>
    </row>
    <row r="133" spans="1:52" ht="18" customHeight="1">
      <c r="A133" s="2444"/>
      <c r="B133" s="2445"/>
      <c r="C133" s="2445"/>
      <c r="D133" s="2445"/>
      <c r="E133" s="2445"/>
      <c r="F133" s="2445"/>
      <c r="G133" s="2445"/>
      <c r="H133" s="2444"/>
      <c r="I133" s="2444"/>
      <c r="J133" s="2444"/>
      <c r="K133" s="2444"/>
      <c r="L133" s="2444"/>
      <c r="M133" s="2444"/>
      <c r="N133" s="2448"/>
      <c r="O133" s="2449"/>
      <c r="P133" s="2449"/>
      <c r="Q133" s="2449"/>
      <c r="R133" s="2449"/>
      <c r="S133" s="2449"/>
      <c r="T133" s="2449"/>
      <c r="U133" s="2444"/>
      <c r="V133" s="2444"/>
      <c r="W133" s="2444"/>
      <c r="X133" s="2444"/>
      <c r="Y133" s="2444"/>
      <c r="Z133" s="2444"/>
      <c r="AA133" s="2444"/>
      <c r="AB133" s="2444"/>
      <c r="AC133" s="2444"/>
      <c r="AD133" s="2444"/>
      <c r="AE133" s="2444"/>
      <c r="AF133" s="2444"/>
      <c r="AG133" s="2444"/>
      <c r="AH133" s="2444"/>
      <c r="AI133" s="2444"/>
      <c r="AJ133" s="2444"/>
      <c r="AK133" s="2444"/>
      <c r="AL133" s="2444"/>
      <c r="AM133" s="2444"/>
      <c r="AN133" s="2444"/>
      <c r="AO133" s="2444"/>
      <c r="AP133" s="2444"/>
      <c r="AQ133" s="2444"/>
      <c r="AR133" s="2444"/>
      <c r="AS133" s="2444"/>
      <c r="AT133" s="2444"/>
      <c r="AU133" s="2444"/>
      <c r="AV133" s="2444"/>
      <c r="AW133" s="2444"/>
      <c r="AX133" s="2444"/>
      <c r="AY133" s="2444"/>
      <c r="AZ133" s="2444"/>
    </row>
    <row r="134" spans="1:52" ht="18" customHeight="1">
      <c r="A134" s="2444"/>
      <c r="B134" s="2445"/>
      <c r="C134" s="2445"/>
      <c r="D134" s="2445"/>
      <c r="E134" s="2445"/>
      <c r="F134" s="2445"/>
      <c r="G134" s="2445"/>
      <c r="H134" s="2444"/>
      <c r="I134" s="2444"/>
      <c r="J134" s="2444"/>
      <c r="K134" s="2444"/>
      <c r="L134" s="2444"/>
      <c r="M134" s="2444"/>
      <c r="N134" s="2448"/>
      <c r="O134" s="2449"/>
      <c r="P134" s="2449"/>
      <c r="Q134" s="2449"/>
      <c r="R134" s="2449"/>
      <c r="S134" s="2449"/>
      <c r="T134" s="2449"/>
      <c r="U134" s="2444"/>
      <c r="V134" s="2444"/>
      <c r="W134" s="2444"/>
      <c r="X134" s="2444"/>
      <c r="Y134" s="2444"/>
      <c r="Z134" s="2444"/>
      <c r="AA134" s="2444"/>
      <c r="AB134" s="2444"/>
      <c r="AC134" s="2444"/>
      <c r="AD134" s="2444"/>
      <c r="AE134" s="2444"/>
      <c r="AF134" s="2444"/>
      <c r="AG134" s="2444"/>
      <c r="AH134" s="2444"/>
      <c r="AI134" s="2444"/>
      <c r="AJ134" s="2444"/>
      <c r="AK134" s="2444"/>
      <c r="AL134" s="2444"/>
      <c r="AM134" s="2444"/>
      <c r="AN134" s="2444"/>
      <c r="AO134" s="2444"/>
      <c r="AP134" s="2444"/>
      <c r="AQ134" s="2444"/>
      <c r="AR134" s="2444"/>
      <c r="AS134" s="2444"/>
      <c r="AT134" s="2444"/>
      <c r="AU134" s="2444"/>
      <c r="AV134" s="2444"/>
      <c r="AW134" s="2444"/>
      <c r="AX134" s="2444"/>
      <c r="AY134" s="2444"/>
      <c r="AZ134" s="2444"/>
    </row>
    <row r="135" spans="1:52" ht="18" customHeight="1">
      <c r="A135" s="2444"/>
      <c r="B135" s="2445"/>
      <c r="C135" s="2445"/>
      <c r="D135" s="2445"/>
      <c r="E135" s="2445"/>
      <c r="F135" s="2445"/>
      <c r="G135" s="2445"/>
      <c r="H135" s="2444"/>
      <c r="I135" s="2444"/>
      <c r="J135" s="2444"/>
      <c r="K135" s="2444"/>
      <c r="L135" s="2444"/>
      <c r="M135" s="2444"/>
      <c r="N135" s="2448"/>
      <c r="O135" s="2449"/>
      <c r="P135" s="2449"/>
      <c r="Q135" s="2449"/>
      <c r="R135" s="2449"/>
      <c r="S135" s="2449"/>
      <c r="T135" s="2449"/>
      <c r="U135" s="2444"/>
      <c r="V135" s="2444"/>
      <c r="W135" s="2444"/>
      <c r="X135" s="2444"/>
      <c r="Y135" s="2444"/>
      <c r="Z135" s="2444"/>
      <c r="AA135" s="2444"/>
      <c r="AB135" s="2444"/>
      <c r="AC135" s="2444"/>
      <c r="AD135" s="2444"/>
      <c r="AE135" s="2444"/>
      <c r="AF135" s="2444"/>
      <c r="AG135" s="2444"/>
      <c r="AH135" s="2444"/>
      <c r="AI135" s="2444"/>
      <c r="AJ135" s="2444"/>
      <c r="AK135" s="2444"/>
      <c r="AL135" s="2444"/>
      <c r="AM135" s="2444"/>
      <c r="AN135" s="2444"/>
      <c r="AO135" s="2444"/>
      <c r="AP135" s="2444"/>
      <c r="AQ135" s="2444"/>
      <c r="AR135" s="2444"/>
      <c r="AS135" s="2444"/>
      <c r="AT135" s="2444"/>
      <c r="AU135" s="2444"/>
      <c r="AV135" s="2444"/>
      <c r="AW135" s="2444"/>
      <c r="AX135" s="2444"/>
      <c r="AY135" s="2444"/>
      <c r="AZ135" s="2444"/>
    </row>
    <row r="136" spans="1:52" ht="18" customHeight="1">
      <c r="A136" s="2444"/>
      <c r="B136" s="2445"/>
      <c r="C136" s="2445"/>
      <c r="D136" s="2445"/>
      <c r="E136" s="2445"/>
      <c r="F136" s="2445"/>
      <c r="G136" s="2445"/>
      <c r="H136" s="2444"/>
      <c r="I136" s="2444"/>
      <c r="J136" s="2444"/>
      <c r="K136" s="2444"/>
      <c r="L136" s="2444"/>
      <c r="M136" s="2444"/>
      <c r="N136" s="2448"/>
      <c r="O136" s="2449"/>
      <c r="P136" s="2449"/>
      <c r="Q136" s="2449"/>
      <c r="R136" s="2449"/>
      <c r="S136" s="2449"/>
      <c r="T136" s="2449"/>
      <c r="U136" s="2444"/>
      <c r="V136" s="2444"/>
      <c r="W136" s="2444"/>
      <c r="X136" s="2444"/>
      <c r="Y136" s="2444"/>
      <c r="Z136" s="2444"/>
      <c r="AA136" s="2444"/>
      <c r="AB136" s="2444"/>
      <c r="AC136" s="2444"/>
      <c r="AD136" s="2444"/>
      <c r="AE136" s="2444"/>
      <c r="AF136" s="2444"/>
      <c r="AG136" s="2444"/>
      <c r="AH136" s="2444"/>
      <c r="AI136" s="2444"/>
      <c r="AJ136" s="2444"/>
      <c r="AK136" s="2444"/>
      <c r="AL136" s="2444"/>
      <c r="AM136" s="2444"/>
      <c r="AN136" s="2444"/>
      <c r="AO136" s="2444"/>
      <c r="AP136" s="2444"/>
      <c r="AQ136" s="2444"/>
      <c r="AR136" s="2444"/>
      <c r="AS136" s="2444"/>
      <c r="AT136" s="2444"/>
      <c r="AU136" s="2444"/>
      <c r="AV136" s="2444"/>
      <c r="AW136" s="2444"/>
      <c r="AX136" s="2444"/>
      <c r="AY136" s="2444"/>
      <c r="AZ136" s="2444"/>
    </row>
    <row r="137" spans="1:52" ht="18" customHeight="1">
      <c r="A137" s="2444"/>
      <c r="B137" s="2445"/>
      <c r="C137" s="2445"/>
      <c r="D137" s="2445"/>
      <c r="E137" s="2445"/>
      <c r="F137" s="2445"/>
      <c r="G137" s="2445"/>
      <c r="H137" s="2444"/>
      <c r="I137" s="2444"/>
      <c r="J137" s="2444"/>
      <c r="K137" s="2444"/>
      <c r="L137" s="2444"/>
      <c r="M137" s="2444"/>
      <c r="N137" s="2448"/>
      <c r="O137" s="2449"/>
      <c r="P137" s="2449"/>
      <c r="Q137" s="2449"/>
      <c r="R137" s="2449"/>
      <c r="S137" s="2449"/>
      <c r="T137" s="2449"/>
      <c r="U137" s="2444"/>
      <c r="V137" s="2444"/>
      <c r="W137" s="2444"/>
      <c r="X137" s="2444"/>
      <c r="Y137" s="2444"/>
      <c r="Z137" s="2444"/>
      <c r="AA137" s="2444"/>
      <c r="AB137" s="2444"/>
      <c r="AC137" s="2444"/>
      <c r="AD137" s="2444"/>
      <c r="AE137" s="2444"/>
      <c r="AF137" s="2444"/>
      <c r="AG137" s="2444"/>
      <c r="AH137" s="2444"/>
      <c r="AI137" s="2444"/>
      <c r="AJ137" s="2444"/>
      <c r="AK137" s="2444"/>
      <c r="AL137" s="2444"/>
      <c r="AM137" s="2444"/>
      <c r="AN137" s="2444"/>
      <c r="AO137" s="2444"/>
      <c r="AP137" s="2444"/>
      <c r="AQ137" s="2444"/>
      <c r="AR137" s="2444"/>
      <c r="AS137" s="2444"/>
      <c r="AT137" s="2444"/>
      <c r="AU137" s="2444"/>
      <c r="AV137" s="2444"/>
      <c r="AW137" s="2444"/>
      <c r="AX137" s="2444"/>
      <c r="AY137" s="2444"/>
      <c r="AZ137" s="2444"/>
    </row>
    <row r="138" spans="1:52" ht="18" customHeight="1">
      <c r="A138" s="2444"/>
      <c r="B138" s="2445"/>
      <c r="C138" s="2445"/>
      <c r="D138" s="2445"/>
      <c r="E138" s="2445"/>
      <c r="F138" s="2445"/>
      <c r="G138" s="2445"/>
      <c r="H138" s="2444"/>
      <c r="I138" s="2444"/>
      <c r="J138" s="2444"/>
      <c r="K138" s="2444"/>
      <c r="L138" s="2444"/>
      <c r="M138" s="2444"/>
      <c r="N138" s="2448"/>
      <c r="O138" s="2449"/>
      <c r="P138" s="2449"/>
      <c r="Q138" s="2449"/>
      <c r="R138" s="2449"/>
      <c r="S138" s="2449"/>
      <c r="T138" s="2449"/>
      <c r="U138" s="2444"/>
      <c r="V138" s="2444"/>
      <c r="W138" s="2444"/>
      <c r="X138" s="2444"/>
      <c r="Y138" s="2444"/>
      <c r="Z138" s="2444"/>
      <c r="AA138" s="2444"/>
      <c r="AB138" s="2444"/>
      <c r="AC138" s="2444"/>
      <c r="AD138" s="2444"/>
      <c r="AE138" s="2444"/>
      <c r="AF138" s="2444"/>
      <c r="AG138" s="2444"/>
      <c r="AH138" s="2444"/>
      <c r="AI138" s="2444"/>
      <c r="AJ138" s="2444"/>
      <c r="AK138" s="2444"/>
      <c r="AL138" s="2444"/>
      <c r="AM138" s="2444"/>
      <c r="AN138" s="2444"/>
      <c r="AO138" s="2444"/>
      <c r="AP138" s="2444"/>
      <c r="AQ138" s="2444"/>
      <c r="AR138" s="2444"/>
      <c r="AS138" s="2444"/>
      <c r="AT138" s="2444"/>
      <c r="AU138" s="2444"/>
      <c r="AV138" s="2444"/>
      <c r="AW138" s="2444"/>
      <c r="AX138" s="2444"/>
      <c r="AY138" s="2444"/>
      <c r="AZ138" s="2444"/>
    </row>
    <row r="139" spans="1:52" ht="18" customHeight="1">
      <c r="A139" s="2444"/>
      <c r="B139" s="2445"/>
      <c r="C139" s="2445"/>
      <c r="D139" s="2445"/>
      <c r="E139" s="2445"/>
      <c r="F139" s="2445"/>
      <c r="G139" s="2445"/>
      <c r="H139" s="2444"/>
      <c r="I139" s="2444"/>
      <c r="J139" s="2444"/>
      <c r="K139" s="2444"/>
      <c r="L139" s="2444"/>
      <c r="M139" s="2444"/>
      <c r="N139" s="2448"/>
      <c r="O139" s="2449"/>
      <c r="P139" s="2449"/>
      <c r="Q139" s="2449"/>
      <c r="R139" s="2449"/>
      <c r="S139" s="2449"/>
      <c r="T139" s="2449"/>
      <c r="U139" s="2444"/>
      <c r="V139" s="2444"/>
      <c r="W139" s="2444"/>
      <c r="X139" s="2444"/>
      <c r="Y139" s="2444"/>
      <c r="Z139" s="2444"/>
      <c r="AA139" s="2444"/>
      <c r="AB139" s="2444"/>
      <c r="AC139" s="2444"/>
      <c r="AD139" s="2444"/>
      <c r="AE139" s="2444"/>
      <c r="AF139" s="2444"/>
      <c r="AG139" s="2444"/>
      <c r="AH139" s="2444"/>
      <c r="AI139" s="2444"/>
      <c r="AJ139" s="2444"/>
      <c r="AK139" s="2444"/>
      <c r="AL139" s="2444"/>
      <c r="AM139" s="2444"/>
      <c r="AN139" s="2444"/>
      <c r="AO139" s="2444"/>
      <c r="AP139" s="2444"/>
      <c r="AQ139" s="2444"/>
      <c r="AR139" s="2444"/>
      <c r="AS139" s="2444"/>
      <c r="AT139" s="2444"/>
      <c r="AU139" s="2444"/>
      <c r="AV139" s="2444"/>
      <c r="AW139" s="2444"/>
      <c r="AX139" s="2444"/>
      <c r="AY139" s="2444"/>
      <c r="AZ139" s="2444"/>
    </row>
    <row r="140" spans="1:52" ht="18" customHeight="1">
      <c r="A140" s="2444"/>
      <c r="B140" s="2445"/>
      <c r="C140" s="2445"/>
      <c r="D140" s="2445"/>
      <c r="E140" s="2445"/>
      <c r="F140" s="2445"/>
      <c r="G140" s="2445"/>
      <c r="H140" s="2444"/>
      <c r="I140" s="2444"/>
      <c r="J140" s="2444"/>
      <c r="K140" s="2444"/>
      <c r="L140" s="2444"/>
      <c r="M140" s="2444"/>
      <c r="N140" s="2448"/>
      <c r="O140" s="2449"/>
      <c r="P140" s="2449"/>
      <c r="Q140" s="2449"/>
      <c r="R140" s="2449"/>
      <c r="S140" s="2449"/>
      <c r="T140" s="2449"/>
      <c r="U140" s="2444"/>
      <c r="V140" s="2444"/>
      <c r="W140" s="2444"/>
      <c r="X140" s="2444"/>
      <c r="Y140" s="2444"/>
      <c r="Z140" s="2444"/>
      <c r="AA140" s="2444"/>
      <c r="AB140" s="2444"/>
      <c r="AC140" s="2444"/>
      <c r="AD140" s="2444"/>
      <c r="AE140" s="2444"/>
      <c r="AF140" s="2444"/>
      <c r="AG140" s="2444"/>
      <c r="AH140" s="2444"/>
      <c r="AI140" s="2444"/>
      <c r="AJ140" s="2444"/>
      <c r="AK140" s="2444"/>
      <c r="AL140" s="2444"/>
      <c r="AM140" s="2444"/>
      <c r="AN140" s="2444"/>
      <c r="AO140" s="2444"/>
      <c r="AP140" s="2444"/>
      <c r="AQ140" s="2444"/>
      <c r="AR140" s="2444"/>
      <c r="AS140" s="2444"/>
      <c r="AT140" s="2444"/>
      <c r="AU140" s="2444"/>
      <c r="AV140" s="2444"/>
      <c r="AW140" s="2444"/>
      <c r="AX140" s="2444"/>
      <c r="AY140" s="2444"/>
      <c r="AZ140" s="2444"/>
    </row>
    <row r="141" spans="1:52" ht="18" customHeight="1">
      <c r="A141" s="2444"/>
      <c r="B141" s="2445"/>
      <c r="C141" s="2445"/>
      <c r="D141" s="2445"/>
      <c r="E141" s="2445"/>
      <c r="F141" s="2445"/>
      <c r="G141" s="2445"/>
      <c r="H141" s="2444"/>
      <c r="I141" s="2444"/>
      <c r="J141" s="2444"/>
      <c r="K141" s="2444"/>
      <c r="L141" s="2444"/>
      <c r="M141" s="2444"/>
      <c r="N141" s="2448"/>
      <c r="O141" s="2449"/>
      <c r="P141" s="2449"/>
      <c r="Q141" s="2449"/>
      <c r="R141" s="2449"/>
      <c r="S141" s="2449"/>
      <c r="T141" s="2449"/>
      <c r="U141" s="2444"/>
      <c r="V141" s="2444"/>
      <c r="W141" s="2444"/>
      <c r="X141" s="2444"/>
      <c r="Y141" s="2444"/>
      <c r="Z141" s="2444"/>
      <c r="AA141" s="2444"/>
      <c r="AB141" s="2444"/>
      <c r="AC141" s="2444"/>
      <c r="AD141" s="2444"/>
      <c r="AE141" s="2444"/>
      <c r="AF141" s="2444"/>
      <c r="AG141" s="2444"/>
      <c r="AH141" s="2444"/>
      <c r="AI141" s="2444"/>
      <c r="AJ141" s="2444"/>
      <c r="AK141" s="2444"/>
      <c r="AL141" s="2444"/>
      <c r="AM141" s="2444"/>
      <c r="AN141" s="2444"/>
      <c r="AO141" s="2444"/>
      <c r="AP141" s="2444"/>
      <c r="AQ141" s="2444"/>
      <c r="AR141" s="2444"/>
      <c r="AS141" s="2444"/>
      <c r="AT141" s="2444"/>
      <c r="AU141" s="2444"/>
      <c r="AV141" s="2444"/>
      <c r="AW141" s="2444"/>
      <c r="AX141" s="2444"/>
      <c r="AY141" s="2444"/>
      <c r="AZ141" s="2444"/>
    </row>
    <row r="142" spans="1:52" ht="18" customHeight="1">
      <c r="A142" s="2444"/>
      <c r="B142" s="2445"/>
      <c r="C142" s="2445"/>
      <c r="D142" s="2445"/>
      <c r="E142" s="2445"/>
      <c r="F142" s="2445"/>
      <c r="G142" s="2445"/>
      <c r="H142" s="2444"/>
      <c r="I142" s="2444"/>
      <c r="J142" s="2444"/>
      <c r="K142" s="2444"/>
      <c r="L142" s="2444"/>
      <c r="M142" s="2444"/>
      <c r="N142" s="2448"/>
      <c r="O142" s="2449"/>
      <c r="P142" s="2449"/>
      <c r="Q142" s="2449"/>
      <c r="R142" s="2449"/>
      <c r="S142" s="2449"/>
      <c r="T142" s="2449"/>
      <c r="U142" s="2444"/>
      <c r="V142" s="2444"/>
      <c r="W142" s="2444"/>
      <c r="X142" s="2444"/>
      <c r="Y142" s="2444"/>
      <c r="Z142" s="2444"/>
      <c r="AA142" s="2444"/>
      <c r="AB142" s="2444"/>
      <c r="AC142" s="2444"/>
      <c r="AD142" s="2444"/>
      <c r="AE142" s="2444"/>
      <c r="AF142" s="2444"/>
      <c r="AG142" s="2444"/>
      <c r="AH142" s="2444"/>
      <c r="AI142" s="2444"/>
      <c r="AJ142" s="2444"/>
      <c r="AK142" s="2444"/>
      <c r="AL142" s="2444"/>
      <c r="AM142" s="2444"/>
      <c r="AN142" s="2444"/>
      <c r="AO142" s="2444"/>
      <c r="AP142" s="2444"/>
      <c r="AQ142" s="2444"/>
      <c r="AR142" s="2444"/>
      <c r="AS142" s="2444"/>
      <c r="AT142" s="2444"/>
      <c r="AU142" s="2444"/>
      <c r="AV142" s="2444"/>
      <c r="AW142" s="2444"/>
      <c r="AX142" s="2444"/>
      <c r="AY142" s="2444"/>
      <c r="AZ142" s="2444"/>
    </row>
    <row r="143" spans="1:52" ht="18" customHeight="1">
      <c r="A143" s="2444"/>
      <c r="B143" s="2445"/>
      <c r="C143" s="2445"/>
      <c r="D143" s="2445"/>
      <c r="E143" s="2445"/>
      <c r="F143" s="2445"/>
      <c r="G143" s="2445"/>
      <c r="H143" s="2444"/>
      <c r="I143" s="2444"/>
      <c r="J143" s="2444"/>
      <c r="K143" s="2444"/>
      <c r="L143" s="2444"/>
      <c r="M143" s="2444"/>
      <c r="N143" s="2448"/>
      <c r="O143" s="2449"/>
      <c r="P143" s="2449"/>
      <c r="Q143" s="2449"/>
      <c r="R143" s="2449"/>
      <c r="S143" s="2449"/>
      <c r="T143" s="2449"/>
      <c r="U143" s="2444"/>
      <c r="V143" s="2444"/>
      <c r="W143" s="2444"/>
      <c r="X143" s="2444"/>
      <c r="Y143" s="2444"/>
      <c r="Z143" s="2444"/>
      <c r="AA143" s="2444"/>
      <c r="AB143" s="2444"/>
      <c r="AC143" s="2444"/>
      <c r="AD143" s="2444"/>
      <c r="AE143" s="2444"/>
      <c r="AF143" s="2444"/>
      <c r="AG143" s="2444"/>
      <c r="AH143" s="2444"/>
      <c r="AI143" s="2444"/>
      <c r="AJ143" s="2444"/>
      <c r="AK143" s="2444"/>
      <c r="AL143" s="2444"/>
      <c r="AM143" s="2444"/>
      <c r="AN143" s="2444"/>
      <c r="AO143" s="2444"/>
      <c r="AP143" s="2444"/>
      <c r="AQ143" s="2444"/>
      <c r="AR143" s="2444"/>
      <c r="AS143" s="2444"/>
      <c r="AT143" s="2444"/>
      <c r="AU143" s="2444"/>
      <c r="AV143" s="2444"/>
      <c r="AW143" s="2444"/>
      <c r="AX143" s="2444"/>
      <c r="AY143" s="2444"/>
      <c r="AZ143" s="2444"/>
    </row>
    <row r="144" spans="1:52" ht="18" customHeight="1">
      <c r="A144" s="2444"/>
      <c r="B144" s="2445"/>
      <c r="C144" s="2445"/>
      <c r="D144" s="2445"/>
      <c r="E144" s="2445"/>
      <c r="F144" s="2445"/>
      <c r="G144" s="2445"/>
      <c r="H144" s="2444"/>
      <c r="I144" s="2444"/>
      <c r="J144" s="2444"/>
      <c r="K144" s="2444"/>
      <c r="L144" s="2444"/>
      <c r="M144" s="2444"/>
      <c r="N144" s="2448"/>
      <c r="O144" s="2449"/>
      <c r="P144" s="2449"/>
      <c r="Q144" s="2449"/>
      <c r="R144" s="2449"/>
      <c r="S144" s="2449"/>
      <c r="T144" s="2449"/>
      <c r="U144" s="2444"/>
      <c r="V144" s="2444"/>
      <c r="W144" s="2444"/>
      <c r="X144" s="2444"/>
      <c r="Y144" s="2444"/>
      <c r="Z144" s="2444"/>
      <c r="AA144" s="2444"/>
      <c r="AB144" s="2444"/>
      <c r="AC144" s="2444"/>
      <c r="AD144" s="2444"/>
      <c r="AE144" s="2444"/>
      <c r="AF144" s="2444"/>
      <c r="AG144" s="2444"/>
      <c r="AH144" s="2444"/>
      <c r="AI144" s="2444"/>
      <c r="AJ144" s="2444"/>
      <c r="AK144" s="2444"/>
      <c r="AL144" s="2444"/>
      <c r="AM144" s="2444"/>
      <c r="AN144" s="2444"/>
      <c r="AO144" s="2444"/>
      <c r="AP144" s="2444"/>
      <c r="AQ144" s="2444"/>
      <c r="AR144" s="2444"/>
      <c r="AS144" s="2444"/>
      <c r="AT144" s="2444"/>
      <c r="AU144" s="2444"/>
      <c r="AV144" s="2444"/>
      <c r="AW144" s="2444"/>
      <c r="AX144" s="2444"/>
      <c r="AY144" s="2444"/>
      <c r="AZ144" s="2444"/>
    </row>
    <row r="145" spans="1:52" ht="18" customHeight="1">
      <c r="A145" s="2444"/>
      <c r="B145" s="2445"/>
      <c r="C145" s="2445"/>
      <c r="D145" s="2445"/>
      <c r="E145" s="2445"/>
      <c r="F145" s="2445"/>
      <c r="G145" s="2445"/>
      <c r="H145" s="2444"/>
      <c r="I145" s="2444"/>
      <c r="J145" s="2444"/>
      <c r="K145" s="2444"/>
      <c r="L145" s="2444"/>
      <c r="M145" s="2444"/>
      <c r="N145" s="2448"/>
      <c r="O145" s="2449"/>
      <c r="P145" s="2449"/>
      <c r="Q145" s="2449"/>
      <c r="R145" s="2449"/>
      <c r="S145" s="2449"/>
      <c r="T145" s="2449"/>
      <c r="U145" s="2444"/>
      <c r="V145" s="2444"/>
      <c r="W145" s="2444"/>
      <c r="X145" s="2444"/>
      <c r="Y145" s="2444"/>
      <c r="Z145" s="2444"/>
      <c r="AA145" s="2444"/>
      <c r="AB145" s="2444"/>
      <c r="AC145" s="2444"/>
      <c r="AD145" s="2444"/>
      <c r="AE145" s="2444"/>
      <c r="AF145" s="2444"/>
      <c r="AG145" s="2444"/>
      <c r="AH145" s="2444"/>
      <c r="AI145" s="2444"/>
      <c r="AJ145" s="2444"/>
      <c r="AK145" s="2444"/>
      <c r="AL145" s="2444"/>
      <c r="AM145" s="2444"/>
      <c r="AN145" s="2444"/>
      <c r="AO145" s="2444"/>
      <c r="AP145" s="2444"/>
      <c r="AQ145" s="2444"/>
      <c r="AR145" s="2444"/>
      <c r="AS145" s="2444"/>
      <c r="AT145" s="2444"/>
      <c r="AU145" s="2444"/>
      <c r="AV145" s="2444"/>
      <c r="AW145" s="2444"/>
      <c r="AX145" s="2444"/>
      <c r="AY145" s="2444"/>
      <c r="AZ145" s="2444"/>
    </row>
    <row r="146" spans="1:52" ht="18" customHeight="1">
      <c r="A146" s="2444"/>
      <c r="B146" s="2445"/>
      <c r="C146" s="2445"/>
      <c r="D146" s="2445"/>
      <c r="E146" s="2445"/>
      <c r="F146" s="2445"/>
      <c r="G146" s="2445"/>
      <c r="H146" s="2444"/>
      <c r="I146" s="2444"/>
      <c r="J146" s="2444"/>
      <c r="K146" s="2444"/>
      <c r="L146" s="2444"/>
      <c r="M146" s="2444"/>
      <c r="N146" s="2448"/>
      <c r="O146" s="2449"/>
      <c r="P146" s="2449"/>
      <c r="Q146" s="2449"/>
      <c r="R146" s="2449"/>
      <c r="S146" s="2449"/>
      <c r="T146" s="2449"/>
      <c r="U146" s="2444"/>
      <c r="V146" s="2444"/>
      <c r="W146" s="2444"/>
      <c r="X146" s="2444"/>
      <c r="Y146" s="2444"/>
      <c r="Z146" s="2444"/>
      <c r="AA146" s="2444"/>
      <c r="AB146" s="2444"/>
      <c r="AC146" s="2444"/>
      <c r="AD146" s="2444"/>
      <c r="AE146" s="2444"/>
      <c r="AF146" s="2444"/>
      <c r="AG146" s="2444"/>
      <c r="AH146" s="2444"/>
      <c r="AI146" s="2444"/>
      <c r="AJ146" s="2444"/>
      <c r="AK146" s="2444"/>
      <c r="AL146" s="2444"/>
      <c r="AM146" s="2444"/>
      <c r="AN146" s="2444"/>
      <c r="AO146" s="2444"/>
      <c r="AP146" s="2444"/>
      <c r="AQ146" s="2444"/>
      <c r="AR146" s="2444"/>
      <c r="AS146" s="2444"/>
      <c r="AT146" s="2444"/>
      <c r="AU146" s="2444"/>
      <c r="AV146" s="2444"/>
      <c r="AW146" s="2444"/>
      <c r="AX146" s="2444"/>
      <c r="AY146" s="2444"/>
      <c r="AZ146" s="2444"/>
    </row>
    <row r="147" spans="1:52" ht="18" customHeight="1">
      <c r="A147" s="2444"/>
      <c r="B147" s="2445"/>
      <c r="C147" s="2445"/>
      <c r="D147" s="2445"/>
      <c r="E147" s="2445"/>
      <c r="F147" s="2445"/>
      <c r="G147" s="2445"/>
      <c r="H147" s="2444"/>
      <c r="I147" s="2444"/>
      <c r="J147" s="2444"/>
      <c r="K147" s="2444"/>
      <c r="L147" s="2444"/>
      <c r="M147" s="2444"/>
      <c r="N147" s="2448"/>
      <c r="O147" s="2449"/>
      <c r="P147" s="2449"/>
      <c r="Q147" s="2449"/>
      <c r="R147" s="2449"/>
      <c r="S147" s="2449"/>
      <c r="T147" s="2449"/>
      <c r="U147" s="2444"/>
      <c r="V147" s="2444"/>
      <c r="W147" s="2444"/>
      <c r="X147" s="2444"/>
      <c r="Y147" s="2444"/>
      <c r="Z147" s="2444"/>
      <c r="AA147" s="2444"/>
      <c r="AB147" s="2444"/>
      <c r="AC147" s="2444"/>
      <c r="AD147" s="2444"/>
      <c r="AE147" s="2444"/>
      <c r="AF147" s="2444"/>
      <c r="AG147" s="2444"/>
      <c r="AH147" s="2444"/>
      <c r="AI147" s="2444"/>
      <c r="AJ147" s="2444"/>
      <c r="AK147" s="2444"/>
      <c r="AL147" s="2444"/>
      <c r="AM147" s="2444"/>
      <c r="AN147" s="2444"/>
      <c r="AO147" s="2444"/>
      <c r="AP147" s="2444"/>
      <c r="AQ147" s="2444"/>
      <c r="AR147" s="2444"/>
      <c r="AS147" s="2444"/>
      <c r="AT147" s="2444"/>
      <c r="AU147" s="2444"/>
      <c r="AV147" s="2444"/>
      <c r="AW147" s="2444"/>
      <c r="AX147" s="2444"/>
      <c r="AY147" s="2444"/>
      <c r="AZ147" s="2444"/>
    </row>
    <row r="148" spans="1:52" ht="18" customHeight="1">
      <c r="A148" s="2444"/>
      <c r="B148" s="2445"/>
      <c r="C148" s="2445"/>
      <c r="D148" s="2445"/>
      <c r="E148" s="2445"/>
      <c r="F148" s="2445"/>
      <c r="G148" s="2445"/>
      <c r="H148" s="2444"/>
      <c r="I148" s="2444"/>
      <c r="J148" s="2444"/>
      <c r="K148" s="2444"/>
      <c r="L148" s="2444"/>
      <c r="M148" s="2444"/>
      <c r="N148" s="2448"/>
      <c r="O148" s="2449"/>
      <c r="P148" s="2449"/>
      <c r="Q148" s="2449"/>
      <c r="R148" s="2449"/>
      <c r="S148" s="2449"/>
      <c r="T148" s="2449"/>
      <c r="U148" s="2444"/>
      <c r="V148" s="2444"/>
      <c r="W148" s="2444"/>
      <c r="X148" s="2444"/>
      <c r="Y148" s="2444"/>
      <c r="Z148" s="2444"/>
      <c r="AA148" s="2444"/>
      <c r="AB148" s="2444"/>
      <c r="AC148" s="2444"/>
      <c r="AD148" s="2444"/>
      <c r="AE148" s="2444"/>
      <c r="AF148" s="2444"/>
      <c r="AG148" s="2444"/>
      <c r="AH148" s="2444"/>
      <c r="AI148" s="2444"/>
      <c r="AJ148" s="2444"/>
      <c r="AK148" s="2444"/>
      <c r="AL148" s="2444"/>
      <c r="AM148" s="2444"/>
      <c r="AN148" s="2444"/>
      <c r="AO148" s="2444"/>
      <c r="AP148" s="2444"/>
      <c r="AQ148" s="2444"/>
      <c r="AR148" s="2444"/>
      <c r="AS148" s="2444"/>
      <c r="AT148" s="2444"/>
      <c r="AU148" s="2444"/>
      <c r="AV148" s="2444"/>
      <c r="AW148" s="2444"/>
      <c r="AX148" s="2444"/>
      <c r="AY148" s="2444"/>
      <c r="AZ148" s="2444"/>
    </row>
    <row r="149" spans="1:52" ht="18" customHeight="1">
      <c r="A149" s="2444"/>
      <c r="B149" s="2445"/>
      <c r="C149" s="2445"/>
      <c r="D149" s="2445"/>
      <c r="E149" s="2445"/>
      <c r="F149" s="2445"/>
      <c r="G149" s="2445"/>
      <c r="H149" s="2444"/>
      <c r="I149" s="2444"/>
      <c r="J149" s="2444"/>
      <c r="K149" s="2444"/>
      <c r="L149" s="2444"/>
      <c r="M149" s="2444"/>
      <c r="N149" s="2448"/>
      <c r="O149" s="2449"/>
      <c r="P149" s="2449"/>
      <c r="Q149" s="2449"/>
      <c r="R149" s="2449"/>
      <c r="S149" s="2449"/>
      <c r="T149" s="2449"/>
      <c r="U149" s="2444"/>
      <c r="V149" s="2444"/>
      <c r="W149" s="2444"/>
      <c r="X149" s="2444"/>
      <c r="Y149" s="2444"/>
      <c r="Z149" s="2444"/>
      <c r="AA149" s="2444"/>
      <c r="AB149" s="2444"/>
      <c r="AC149" s="2444"/>
      <c r="AD149" s="2444"/>
      <c r="AE149" s="2444"/>
      <c r="AF149" s="2444"/>
      <c r="AG149" s="2444"/>
      <c r="AH149" s="2444"/>
      <c r="AI149" s="2444"/>
      <c r="AJ149" s="2444"/>
      <c r="AK149" s="2444"/>
      <c r="AL149" s="2444"/>
      <c r="AM149" s="2444"/>
      <c r="AN149" s="2444"/>
      <c r="AO149" s="2444"/>
      <c r="AP149" s="2444"/>
      <c r="AQ149" s="2444"/>
      <c r="AR149" s="2444"/>
      <c r="AS149" s="2444"/>
      <c r="AT149" s="2444"/>
      <c r="AU149" s="2444"/>
      <c r="AV149" s="2444"/>
      <c r="AW149" s="2444"/>
      <c r="AX149" s="2444"/>
      <c r="AY149" s="2444"/>
      <c r="AZ149" s="2444"/>
    </row>
    <row r="150" spans="1:52" ht="18" customHeight="1">
      <c r="A150" s="2444"/>
      <c r="B150" s="2445"/>
      <c r="C150" s="2445"/>
      <c r="D150" s="2445"/>
      <c r="E150" s="2445"/>
      <c r="F150" s="2445"/>
      <c r="G150" s="2445"/>
      <c r="H150" s="2444"/>
      <c r="I150" s="2444"/>
      <c r="J150" s="2444"/>
      <c r="K150" s="2444"/>
      <c r="L150" s="2444"/>
      <c r="M150" s="2444"/>
      <c r="N150" s="2448"/>
      <c r="O150" s="2449"/>
      <c r="P150" s="2449"/>
      <c r="Q150" s="2449"/>
      <c r="R150" s="2449"/>
      <c r="S150" s="2449"/>
      <c r="T150" s="2449"/>
      <c r="U150" s="2444"/>
      <c r="V150" s="2444"/>
      <c r="W150" s="2444"/>
      <c r="X150" s="2444"/>
      <c r="Y150" s="2444"/>
      <c r="Z150" s="2444"/>
      <c r="AA150" s="2444"/>
      <c r="AB150" s="2444"/>
      <c r="AC150" s="2444"/>
      <c r="AD150" s="2444"/>
      <c r="AE150" s="2444"/>
      <c r="AF150" s="2444"/>
      <c r="AG150" s="2444"/>
      <c r="AH150" s="2444"/>
      <c r="AI150" s="2444"/>
      <c r="AJ150" s="2444"/>
      <c r="AK150" s="2444"/>
      <c r="AL150" s="2444"/>
      <c r="AM150" s="2444"/>
      <c r="AN150" s="2444"/>
      <c r="AO150" s="2444"/>
      <c r="AP150" s="2444"/>
      <c r="AQ150" s="2444"/>
      <c r="AR150" s="2444"/>
      <c r="AS150" s="2444"/>
      <c r="AT150" s="2444"/>
      <c r="AU150" s="2444"/>
      <c r="AV150" s="2444"/>
      <c r="AW150" s="2444"/>
      <c r="AX150" s="2444"/>
      <c r="AY150" s="2444"/>
      <c r="AZ150" s="2444"/>
    </row>
    <row r="151" spans="1:52" ht="18" customHeight="1">
      <c r="A151" s="2444"/>
      <c r="B151" s="2445"/>
      <c r="C151" s="2445"/>
      <c r="D151" s="2445"/>
      <c r="E151" s="2445"/>
      <c r="F151" s="2445"/>
      <c r="G151" s="2445"/>
      <c r="H151" s="2444"/>
      <c r="I151" s="2444"/>
      <c r="J151" s="2444"/>
      <c r="K151" s="2444"/>
      <c r="L151" s="2444"/>
      <c r="M151" s="2444"/>
      <c r="N151" s="2448"/>
      <c r="O151" s="2449"/>
      <c r="P151" s="2449"/>
      <c r="Q151" s="2449"/>
      <c r="R151" s="2449"/>
      <c r="S151" s="2449"/>
      <c r="T151" s="2449"/>
      <c r="U151" s="2444"/>
      <c r="V151" s="2444"/>
      <c r="W151" s="2444"/>
      <c r="X151" s="2444"/>
      <c r="Y151" s="2444"/>
      <c r="Z151" s="2444"/>
      <c r="AA151" s="2444"/>
      <c r="AB151" s="2444"/>
      <c r="AC151" s="2444"/>
      <c r="AD151" s="2444"/>
      <c r="AE151" s="2444"/>
      <c r="AF151" s="2444"/>
      <c r="AG151" s="2444"/>
      <c r="AH151" s="2444"/>
      <c r="AI151" s="2444"/>
      <c r="AJ151" s="2444"/>
      <c r="AK151" s="2444"/>
      <c r="AL151" s="2444"/>
      <c r="AM151" s="2444"/>
      <c r="AN151" s="2444"/>
      <c r="AO151" s="2444"/>
      <c r="AP151" s="2444"/>
      <c r="AQ151" s="2444"/>
      <c r="AR151" s="2444"/>
      <c r="AS151" s="2444"/>
      <c r="AT151" s="2444"/>
      <c r="AU151" s="2444"/>
      <c r="AV151" s="2444"/>
      <c r="AW151" s="2444"/>
      <c r="AX151" s="2444"/>
      <c r="AY151" s="2444"/>
      <c r="AZ151" s="2444"/>
    </row>
    <row r="152" spans="1:52" ht="18" customHeight="1">
      <c r="A152" s="2444"/>
      <c r="B152" s="2445"/>
      <c r="C152" s="2445"/>
      <c r="D152" s="2445"/>
      <c r="E152" s="2445"/>
      <c r="F152" s="2445"/>
      <c r="G152" s="2445"/>
      <c r="H152" s="2444"/>
      <c r="I152" s="2444"/>
      <c r="J152" s="2444"/>
      <c r="K152" s="2444"/>
      <c r="L152" s="2444"/>
      <c r="M152" s="2444"/>
      <c r="N152" s="2448"/>
      <c r="O152" s="2449"/>
      <c r="P152" s="2449"/>
      <c r="Q152" s="2449"/>
      <c r="R152" s="2449"/>
      <c r="S152" s="2449"/>
      <c r="T152" s="2449"/>
      <c r="U152" s="2444"/>
      <c r="V152" s="2444"/>
      <c r="W152" s="2444"/>
      <c r="X152" s="2444"/>
      <c r="Y152" s="2444"/>
      <c r="Z152" s="2444"/>
      <c r="AA152" s="2444"/>
      <c r="AB152" s="2444"/>
      <c r="AC152" s="2444"/>
      <c r="AD152" s="2444"/>
      <c r="AE152" s="2444"/>
      <c r="AF152" s="2444"/>
      <c r="AG152" s="2444"/>
      <c r="AH152" s="2444"/>
      <c r="AI152" s="2444"/>
      <c r="AJ152" s="2444"/>
      <c r="AK152" s="2444"/>
      <c r="AL152" s="2444"/>
      <c r="AM152" s="2444"/>
      <c r="AN152" s="2444"/>
      <c r="AO152" s="2444"/>
      <c r="AP152" s="2444"/>
      <c r="AQ152" s="2444"/>
      <c r="AR152" s="2444"/>
      <c r="AS152" s="2444"/>
      <c r="AT152" s="2444"/>
      <c r="AU152" s="2444"/>
      <c r="AV152" s="2444"/>
      <c r="AW152" s="2444"/>
      <c r="AX152" s="2444"/>
      <c r="AY152" s="2444"/>
      <c r="AZ152" s="2444"/>
    </row>
    <row r="153" spans="1:52" ht="18" customHeight="1">
      <c r="A153" s="2444"/>
      <c r="B153" s="2445"/>
      <c r="C153" s="2445"/>
      <c r="D153" s="2445"/>
      <c r="E153" s="2445"/>
      <c r="F153" s="2445"/>
      <c r="G153" s="2445"/>
      <c r="H153" s="2444"/>
      <c r="I153" s="2444"/>
      <c r="J153" s="2444"/>
      <c r="K153" s="2444"/>
      <c r="L153" s="2444"/>
      <c r="M153" s="2444"/>
      <c r="N153" s="2448"/>
      <c r="O153" s="2449"/>
      <c r="P153" s="2449"/>
      <c r="Q153" s="2449"/>
      <c r="R153" s="2449"/>
      <c r="S153" s="2449"/>
      <c r="T153" s="2449"/>
      <c r="U153" s="2444"/>
      <c r="V153" s="2444"/>
      <c r="W153" s="2444"/>
      <c r="X153" s="2444"/>
      <c r="Y153" s="2444"/>
      <c r="Z153" s="2444"/>
      <c r="AA153" s="2444"/>
      <c r="AB153" s="2444"/>
      <c r="AC153" s="2444"/>
      <c r="AD153" s="2444"/>
      <c r="AE153" s="2444"/>
      <c r="AF153" s="2444"/>
      <c r="AG153" s="2444"/>
      <c r="AH153" s="2444"/>
      <c r="AI153" s="2444"/>
      <c r="AJ153" s="2444"/>
      <c r="AK153" s="2444"/>
      <c r="AL153" s="2444"/>
      <c r="AM153" s="2444"/>
      <c r="AN153" s="2444"/>
      <c r="AO153" s="2444"/>
      <c r="AP153" s="2444"/>
      <c r="AQ153" s="2444"/>
      <c r="AR153" s="2444"/>
      <c r="AS153" s="2444"/>
      <c r="AT153" s="2444"/>
      <c r="AU153" s="2444"/>
      <c r="AV153" s="2444"/>
      <c r="AW153" s="2444"/>
      <c r="AX153" s="2444"/>
      <c r="AY153" s="2444"/>
      <c r="AZ153" s="2444"/>
    </row>
    <row r="154" spans="1:52" ht="18" customHeight="1">
      <c r="A154" s="2444"/>
      <c r="B154" s="2445"/>
      <c r="C154" s="2445"/>
      <c r="D154" s="2445"/>
      <c r="E154" s="2445"/>
      <c r="F154" s="2445"/>
      <c r="G154" s="2445"/>
      <c r="H154" s="2444"/>
      <c r="I154" s="2444"/>
      <c r="J154" s="2444"/>
      <c r="K154" s="2444"/>
      <c r="L154" s="2444"/>
      <c r="M154" s="2444"/>
      <c r="N154" s="2448"/>
      <c r="O154" s="2449"/>
      <c r="P154" s="2449"/>
      <c r="Q154" s="2449"/>
      <c r="R154" s="2449"/>
      <c r="S154" s="2449"/>
      <c r="T154" s="2449"/>
      <c r="U154" s="2444"/>
      <c r="V154" s="2444"/>
      <c r="W154" s="2444"/>
      <c r="X154" s="2444"/>
      <c r="Y154" s="2444"/>
      <c r="Z154" s="2444"/>
      <c r="AA154" s="2444"/>
      <c r="AB154" s="2444"/>
      <c r="AC154" s="2444"/>
      <c r="AD154" s="2444"/>
      <c r="AE154" s="2444"/>
      <c r="AF154" s="2444"/>
      <c r="AG154" s="2444"/>
      <c r="AH154" s="2444"/>
      <c r="AI154" s="2444"/>
      <c r="AJ154" s="2444"/>
      <c r="AK154" s="2444"/>
      <c r="AL154" s="2444"/>
      <c r="AM154" s="2444"/>
      <c r="AN154" s="2444"/>
      <c r="AO154" s="2444"/>
      <c r="AP154" s="2444"/>
      <c r="AQ154" s="2444"/>
      <c r="AR154" s="2444"/>
      <c r="AS154" s="2444"/>
      <c r="AT154" s="2444"/>
      <c r="AU154" s="2444"/>
      <c r="AV154" s="2444"/>
      <c r="AW154" s="2444"/>
      <c r="AX154" s="2444"/>
      <c r="AY154" s="2444"/>
      <c r="AZ154" s="2444"/>
    </row>
    <row r="155" spans="1:52" ht="18" customHeight="1">
      <c r="A155" s="2444"/>
      <c r="B155" s="2445"/>
      <c r="C155" s="2445"/>
      <c r="D155" s="2445"/>
      <c r="E155" s="2445"/>
      <c r="F155" s="2445"/>
      <c r="G155" s="2445"/>
      <c r="H155" s="2444"/>
      <c r="I155" s="2444"/>
      <c r="J155" s="2444"/>
      <c r="K155" s="2444"/>
      <c r="L155" s="2444"/>
      <c r="M155" s="2444"/>
      <c r="N155" s="2448"/>
      <c r="O155" s="2449"/>
      <c r="P155" s="2449"/>
      <c r="Q155" s="2449"/>
      <c r="R155" s="2449"/>
      <c r="S155" s="2449"/>
      <c r="T155" s="2449"/>
      <c r="U155" s="2444"/>
      <c r="V155" s="2444"/>
      <c r="W155" s="2444"/>
      <c r="X155" s="2444"/>
      <c r="Y155" s="2444"/>
      <c r="Z155" s="2444"/>
      <c r="AA155" s="2444"/>
      <c r="AB155" s="2444"/>
      <c r="AC155" s="2444"/>
      <c r="AD155" s="2444"/>
      <c r="AE155" s="2444"/>
      <c r="AF155" s="2444"/>
      <c r="AG155" s="2444"/>
      <c r="AH155" s="2444"/>
      <c r="AI155" s="2444"/>
      <c r="AJ155" s="2444"/>
      <c r="AK155" s="2444"/>
      <c r="AL155" s="2444"/>
      <c r="AM155" s="2444"/>
      <c r="AN155" s="2444"/>
      <c r="AO155" s="2444"/>
      <c r="AP155" s="2444"/>
      <c r="AQ155" s="2444"/>
      <c r="AR155" s="2444"/>
      <c r="AS155" s="2444"/>
      <c r="AT155" s="2444"/>
      <c r="AU155" s="2444"/>
      <c r="AV155" s="2444"/>
      <c r="AW155" s="2444"/>
      <c r="AX155" s="2444"/>
      <c r="AY155" s="2444"/>
      <c r="AZ155" s="2444"/>
    </row>
    <row r="156" spans="1:52" ht="18" customHeight="1">
      <c r="A156" s="2444"/>
      <c r="B156" s="2445"/>
      <c r="C156" s="2445"/>
      <c r="D156" s="2445"/>
      <c r="E156" s="2445"/>
      <c r="F156" s="2445"/>
      <c r="G156" s="2445"/>
      <c r="H156" s="2444"/>
      <c r="I156" s="2444"/>
      <c r="J156" s="2444"/>
      <c r="K156" s="2444"/>
      <c r="L156" s="2444"/>
      <c r="M156" s="2444"/>
      <c r="N156" s="2448"/>
      <c r="O156" s="2449"/>
      <c r="P156" s="2449"/>
      <c r="Q156" s="2449"/>
      <c r="R156" s="2449"/>
      <c r="S156" s="2449"/>
      <c r="T156" s="2449"/>
      <c r="U156" s="2444"/>
      <c r="V156" s="2444"/>
      <c r="W156" s="2444"/>
      <c r="X156" s="2444"/>
      <c r="Y156" s="2444"/>
      <c r="Z156" s="2444"/>
      <c r="AA156" s="2444"/>
      <c r="AB156" s="2444"/>
      <c r="AC156" s="2444"/>
      <c r="AD156" s="2444"/>
      <c r="AE156" s="2444"/>
      <c r="AF156" s="2444"/>
      <c r="AG156" s="2444"/>
      <c r="AH156" s="2444"/>
      <c r="AI156" s="2444"/>
      <c r="AJ156" s="2444"/>
      <c r="AK156" s="2444"/>
      <c r="AL156" s="2444"/>
      <c r="AM156" s="2444"/>
      <c r="AN156" s="2444"/>
      <c r="AO156" s="2444"/>
      <c r="AP156" s="2444"/>
      <c r="AQ156" s="2444"/>
      <c r="AR156" s="2444"/>
      <c r="AS156" s="2444"/>
      <c r="AT156" s="2444"/>
      <c r="AU156" s="2444"/>
      <c r="AV156" s="2444"/>
      <c r="AW156" s="2444"/>
      <c r="AX156" s="2444"/>
      <c r="AY156" s="2444"/>
      <c r="AZ156" s="2444"/>
    </row>
    <row r="157" spans="1:52" ht="18" customHeight="1">
      <c r="A157" s="2444"/>
      <c r="B157" s="2445"/>
      <c r="C157" s="2445"/>
      <c r="D157" s="2445"/>
      <c r="E157" s="2445"/>
      <c r="F157" s="2445"/>
      <c r="G157" s="2445"/>
      <c r="H157" s="2444"/>
      <c r="I157" s="2444"/>
      <c r="J157" s="2444"/>
      <c r="K157" s="2444"/>
      <c r="L157" s="2444"/>
      <c r="M157" s="2444"/>
      <c r="N157" s="2448"/>
      <c r="O157" s="2449"/>
      <c r="P157" s="2449"/>
      <c r="Q157" s="2449"/>
      <c r="R157" s="2449"/>
      <c r="S157" s="2449"/>
      <c r="T157" s="2449"/>
      <c r="U157" s="2444"/>
      <c r="V157" s="2444"/>
      <c r="W157" s="2444"/>
      <c r="X157" s="2444"/>
      <c r="Y157" s="2444"/>
      <c r="Z157" s="2444"/>
      <c r="AA157" s="2444"/>
      <c r="AB157" s="2444"/>
      <c r="AC157" s="2444"/>
      <c r="AD157" s="2444"/>
      <c r="AE157" s="2444"/>
      <c r="AF157" s="2444"/>
      <c r="AG157" s="2444"/>
      <c r="AH157" s="2444"/>
      <c r="AI157" s="2444"/>
      <c r="AJ157" s="2444"/>
      <c r="AK157" s="2444"/>
      <c r="AL157" s="2444"/>
      <c r="AM157" s="2444"/>
      <c r="AN157" s="2444"/>
      <c r="AO157" s="2444"/>
      <c r="AP157" s="2444"/>
      <c r="AQ157" s="2444"/>
      <c r="AR157" s="2444"/>
      <c r="AS157" s="2444"/>
      <c r="AT157" s="2444"/>
      <c r="AU157" s="2444"/>
      <c r="AV157" s="2444"/>
      <c r="AW157" s="2444"/>
      <c r="AX157" s="2444"/>
      <c r="AY157" s="2444"/>
      <c r="AZ157" s="2444"/>
    </row>
    <row r="158" spans="1:52" ht="18" customHeight="1">
      <c r="A158" s="2444"/>
      <c r="B158" s="2445"/>
      <c r="C158" s="2445"/>
      <c r="D158" s="2445"/>
      <c r="E158" s="2445"/>
      <c r="F158" s="2445"/>
      <c r="G158" s="2445"/>
      <c r="H158" s="2444"/>
      <c r="I158" s="2444"/>
      <c r="J158" s="2444"/>
      <c r="K158" s="2444"/>
      <c r="L158" s="2444"/>
      <c r="M158" s="2444"/>
      <c r="N158" s="2448"/>
      <c r="O158" s="2449"/>
      <c r="P158" s="2449"/>
      <c r="Q158" s="2449"/>
      <c r="R158" s="2449"/>
      <c r="S158" s="2449"/>
      <c r="T158" s="2449"/>
      <c r="U158" s="2444"/>
      <c r="V158" s="2444"/>
      <c r="W158" s="2444"/>
      <c r="X158" s="2444"/>
      <c r="Y158" s="2444"/>
      <c r="Z158" s="2444"/>
      <c r="AA158" s="2444"/>
      <c r="AB158" s="2444"/>
      <c r="AC158" s="2444"/>
      <c r="AD158" s="2444"/>
      <c r="AE158" s="2444"/>
      <c r="AF158" s="2444"/>
      <c r="AG158" s="2444"/>
      <c r="AH158" s="2444"/>
      <c r="AI158" s="2444"/>
      <c r="AJ158" s="2444"/>
      <c r="AK158" s="2444"/>
      <c r="AL158" s="2444"/>
      <c r="AM158" s="2444"/>
      <c r="AN158" s="2444"/>
      <c r="AO158" s="2444"/>
      <c r="AP158" s="2444"/>
      <c r="AQ158" s="2444"/>
      <c r="AR158" s="2444"/>
      <c r="AS158" s="2444"/>
      <c r="AT158" s="2444"/>
      <c r="AU158" s="2444"/>
      <c r="AV158" s="2444"/>
      <c r="AW158" s="2444"/>
      <c r="AX158" s="2444"/>
      <c r="AY158" s="2444"/>
      <c r="AZ158" s="2444"/>
    </row>
    <row r="159" spans="1:52" ht="18" customHeight="1">
      <c r="A159" s="2444"/>
      <c r="B159" s="2445"/>
      <c r="C159" s="2445"/>
      <c r="D159" s="2445"/>
      <c r="E159" s="2445"/>
      <c r="F159" s="2445"/>
      <c r="G159" s="2445"/>
      <c r="H159" s="2444"/>
      <c r="I159" s="2444"/>
      <c r="J159" s="2444"/>
      <c r="K159" s="2444"/>
      <c r="L159" s="2444"/>
      <c r="M159" s="2444"/>
      <c r="N159" s="2448"/>
      <c r="O159" s="2449"/>
      <c r="P159" s="2449"/>
      <c r="Q159" s="2449"/>
      <c r="R159" s="2449"/>
      <c r="S159" s="2449"/>
      <c r="T159" s="2449"/>
      <c r="U159" s="2444"/>
      <c r="V159" s="2444"/>
      <c r="W159" s="2444"/>
      <c r="X159" s="2444"/>
      <c r="Y159" s="2444"/>
      <c r="Z159" s="2444"/>
      <c r="AA159" s="2444"/>
      <c r="AB159" s="2444"/>
      <c r="AC159" s="2444"/>
      <c r="AD159" s="2444"/>
      <c r="AE159" s="2444"/>
      <c r="AF159" s="2444"/>
      <c r="AG159" s="2444"/>
      <c r="AH159" s="2444"/>
      <c r="AI159" s="2444"/>
      <c r="AJ159" s="2444"/>
      <c r="AK159" s="2444"/>
      <c r="AL159" s="2444"/>
      <c r="AM159" s="2444"/>
      <c r="AN159" s="2444"/>
      <c r="AO159" s="2444"/>
      <c r="AP159" s="2444"/>
      <c r="AQ159" s="2444"/>
      <c r="AR159" s="2444"/>
      <c r="AS159" s="2444"/>
      <c r="AT159" s="2444"/>
      <c r="AU159" s="2444"/>
      <c r="AV159" s="2444"/>
      <c r="AW159" s="2444"/>
      <c r="AX159" s="2444"/>
      <c r="AY159" s="2444"/>
      <c r="AZ159" s="2444"/>
    </row>
    <row r="160" spans="1:52" ht="18" customHeight="1">
      <c r="A160" s="2444"/>
      <c r="B160" s="2445"/>
      <c r="C160" s="2445"/>
      <c r="D160" s="2445"/>
      <c r="E160" s="2445"/>
      <c r="F160" s="2445"/>
      <c r="G160" s="2445"/>
      <c r="H160" s="2444"/>
      <c r="I160" s="2444"/>
      <c r="J160" s="2444"/>
      <c r="K160" s="2444"/>
      <c r="L160" s="2444"/>
      <c r="M160" s="2444"/>
      <c r="N160" s="2448"/>
      <c r="O160" s="2449"/>
      <c r="P160" s="2449"/>
      <c r="Q160" s="2449"/>
      <c r="R160" s="2449"/>
      <c r="S160" s="2449"/>
      <c r="T160" s="2449"/>
      <c r="U160" s="2444"/>
      <c r="V160" s="2444"/>
      <c r="W160" s="2444"/>
      <c r="X160" s="2444"/>
      <c r="Y160" s="2444"/>
      <c r="Z160" s="2444"/>
      <c r="AA160" s="2444"/>
      <c r="AB160" s="2444"/>
      <c r="AC160" s="2444"/>
      <c r="AD160" s="2444"/>
      <c r="AE160" s="2444"/>
      <c r="AF160" s="2444"/>
      <c r="AG160" s="2444"/>
      <c r="AH160" s="2444"/>
      <c r="AI160" s="2444"/>
      <c r="AJ160" s="2444"/>
      <c r="AK160" s="2444"/>
      <c r="AL160" s="2444"/>
      <c r="AM160" s="2444"/>
      <c r="AN160" s="2444"/>
      <c r="AO160" s="2444"/>
      <c r="AP160" s="2444"/>
      <c r="AQ160" s="2444"/>
      <c r="AR160" s="2444"/>
      <c r="AS160" s="2444"/>
      <c r="AT160" s="2444"/>
      <c r="AU160" s="2444"/>
      <c r="AV160" s="2444"/>
      <c r="AW160" s="2444"/>
      <c r="AX160" s="2444"/>
      <c r="AY160" s="2444"/>
      <c r="AZ160" s="2444"/>
    </row>
    <row r="161" spans="1:52" ht="18" customHeight="1">
      <c r="A161" s="2444"/>
      <c r="B161" s="2445"/>
      <c r="C161" s="2445"/>
      <c r="D161" s="2445"/>
      <c r="E161" s="2445"/>
      <c r="F161" s="2445"/>
      <c r="G161" s="2445"/>
      <c r="H161" s="2444"/>
      <c r="I161" s="2444"/>
      <c r="J161" s="2444"/>
      <c r="K161" s="2444"/>
      <c r="L161" s="2444"/>
      <c r="M161" s="2444"/>
      <c r="N161" s="2448"/>
      <c r="O161" s="2449"/>
      <c r="P161" s="2449"/>
      <c r="Q161" s="2449"/>
      <c r="R161" s="2449"/>
      <c r="S161" s="2449"/>
      <c r="T161" s="2449"/>
      <c r="U161" s="2444"/>
      <c r="V161" s="2444"/>
      <c r="W161" s="2444"/>
      <c r="X161" s="2444"/>
      <c r="Y161" s="2444"/>
      <c r="Z161" s="2444"/>
      <c r="AA161" s="2444"/>
      <c r="AB161" s="2444"/>
      <c r="AC161" s="2444"/>
      <c r="AD161" s="2444"/>
      <c r="AE161" s="2444"/>
      <c r="AF161" s="2444"/>
      <c r="AG161" s="2444"/>
      <c r="AH161" s="2444"/>
      <c r="AI161" s="2444"/>
      <c r="AJ161" s="2444"/>
      <c r="AK161" s="2444"/>
      <c r="AL161" s="2444"/>
      <c r="AM161" s="2444"/>
      <c r="AN161" s="2444"/>
      <c r="AO161" s="2444"/>
      <c r="AP161" s="2444"/>
      <c r="AQ161" s="2444"/>
      <c r="AR161" s="2444"/>
      <c r="AS161" s="2444"/>
      <c r="AT161" s="2444"/>
      <c r="AU161" s="2444"/>
      <c r="AV161" s="2444"/>
      <c r="AW161" s="2444"/>
      <c r="AX161" s="2444"/>
      <c r="AY161" s="2444"/>
      <c r="AZ161" s="2444"/>
    </row>
    <row r="162" spans="1:52" ht="18" customHeight="1">
      <c r="A162" s="2444"/>
      <c r="B162" s="2445"/>
      <c r="C162" s="2445"/>
      <c r="D162" s="2445"/>
      <c r="E162" s="2445"/>
      <c r="F162" s="2445"/>
      <c r="G162" s="2445"/>
      <c r="H162" s="2444"/>
      <c r="I162" s="2444"/>
      <c r="J162" s="2444"/>
      <c r="K162" s="2444"/>
      <c r="L162" s="2444"/>
      <c r="M162" s="2444"/>
      <c r="N162" s="2448"/>
      <c r="O162" s="2449"/>
      <c r="P162" s="2449"/>
      <c r="Q162" s="2449"/>
      <c r="R162" s="2449"/>
      <c r="S162" s="2449"/>
      <c r="T162" s="2449"/>
      <c r="U162" s="2444"/>
      <c r="V162" s="2444"/>
      <c r="W162" s="2444"/>
      <c r="X162" s="2444"/>
      <c r="Y162" s="2444"/>
      <c r="Z162" s="2444"/>
      <c r="AA162" s="2444"/>
      <c r="AB162" s="2444"/>
      <c r="AC162" s="2444"/>
      <c r="AD162" s="2444"/>
      <c r="AE162" s="2444"/>
      <c r="AF162" s="2444"/>
      <c r="AG162" s="2444"/>
      <c r="AH162" s="2444"/>
      <c r="AI162" s="2444"/>
      <c r="AJ162" s="2444"/>
      <c r="AK162" s="2444"/>
      <c r="AL162" s="2444"/>
      <c r="AM162" s="2444"/>
      <c r="AN162" s="2444"/>
      <c r="AO162" s="2444"/>
      <c r="AP162" s="2444"/>
      <c r="AQ162" s="2444"/>
      <c r="AR162" s="2444"/>
      <c r="AS162" s="2444"/>
      <c r="AT162" s="2444"/>
      <c r="AU162" s="2444"/>
      <c r="AV162" s="2444"/>
      <c r="AW162" s="2444"/>
      <c r="AX162" s="2444"/>
      <c r="AY162" s="2444"/>
      <c r="AZ162" s="2444"/>
    </row>
    <row r="163" spans="1:52" ht="18" customHeight="1">
      <c r="A163" s="2444"/>
      <c r="B163" s="2445"/>
      <c r="C163" s="2445"/>
      <c r="D163" s="2445"/>
      <c r="E163" s="2445"/>
      <c r="F163" s="2445"/>
      <c r="G163" s="2445"/>
      <c r="H163" s="2444"/>
      <c r="I163" s="2444"/>
      <c r="J163" s="2444"/>
      <c r="K163" s="2444"/>
      <c r="L163" s="2444"/>
      <c r="M163" s="2444"/>
      <c r="N163" s="2448"/>
      <c r="O163" s="2449"/>
      <c r="P163" s="2449"/>
      <c r="Q163" s="2449"/>
      <c r="R163" s="2449"/>
      <c r="S163" s="2449"/>
      <c r="T163" s="2449"/>
      <c r="U163" s="2444"/>
      <c r="V163" s="2444"/>
      <c r="W163" s="2444"/>
      <c r="X163" s="2444"/>
      <c r="Y163" s="2444"/>
      <c r="Z163" s="2444"/>
      <c r="AA163" s="2444"/>
      <c r="AB163" s="2444"/>
      <c r="AC163" s="2444"/>
      <c r="AD163" s="2444"/>
      <c r="AE163" s="2444"/>
      <c r="AF163" s="2444"/>
      <c r="AG163" s="2444"/>
      <c r="AH163" s="2444"/>
      <c r="AI163" s="2444"/>
      <c r="AJ163" s="2444"/>
      <c r="AK163" s="2444"/>
      <c r="AL163" s="2444"/>
      <c r="AM163" s="2444"/>
      <c r="AN163" s="2444"/>
      <c r="AO163" s="2444"/>
      <c r="AP163" s="2444"/>
      <c r="AQ163" s="2444"/>
      <c r="AR163" s="2444"/>
      <c r="AS163" s="2444"/>
      <c r="AT163" s="2444"/>
      <c r="AU163" s="2444"/>
      <c r="AV163" s="2444"/>
      <c r="AW163" s="2444"/>
      <c r="AX163" s="2444"/>
      <c r="AY163" s="2444"/>
      <c r="AZ163" s="2444"/>
    </row>
    <row r="164" spans="1:52" ht="18" customHeight="1">
      <c r="A164" s="2444"/>
      <c r="B164" s="2445"/>
      <c r="C164" s="2445"/>
      <c r="D164" s="2445"/>
      <c r="E164" s="2445"/>
      <c r="F164" s="2445"/>
      <c r="G164" s="2445"/>
      <c r="H164" s="2444"/>
      <c r="I164" s="2444"/>
      <c r="J164" s="2444"/>
      <c r="K164" s="2444"/>
      <c r="L164" s="2444"/>
      <c r="M164" s="2444"/>
      <c r="N164" s="2448"/>
      <c r="O164" s="2449"/>
      <c r="P164" s="2449"/>
      <c r="Q164" s="2449"/>
      <c r="R164" s="2449"/>
      <c r="S164" s="2449"/>
      <c r="T164" s="2449"/>
      <c r="U164" s="2444"/>
      <c r="V164" s="2444"/>
      <c r="W164" s="2444"/>
      <c r="X164" s="2444"/>
      <c r="Y164" s="2444"/>
      <c r="Z164" s="2444"/>
      <c r="AA164" s="2444"/>
      <c r="AB164" s="2444"/>
      <c r="AC164" s="2444"/>
      <c r="AD164" s="2444"/>
      <c r="AE164" s="2444"/>
      <c r="AF164" s="2444"/>
      <c r="AG164" s="2444"/>
      <c r="AH164" s="2444"/>
      <c r="AI164" s="2444"/>
      <c r="AJ164" s="2444"/>
      <c r="AK164" s="2444"/>
      <c r="AL164" s="2444"/>
      <c r="AM164" s="2444"/>
      <c r="AN164" s="2444"/>
      <c r="AO164" s="2444"/>
      <c r="AP164" s="2444"/>
      <c r="AQ164" s="2444"/>
      <c r="AR164" s="2444"/>
      <c r="AS164" s="2444"/>
      <c r="AT164" s="2444"/>
      <c r="AU164" s="2444"/>
      <c r="AV164" s="2444"/>
      <c r="AW164" s="2444"/>
      <c r="AX164" s="2444"/>
      <c r="AY164" s="2444"/>
      <c r="AZ164" s="2444"/>
    </row>
    <row r="165" spans="1:52" ht="18" customHeight="1">
      <c r="A165" s="2444"/>
      <c r="B165" s="2445"/>
      <c r="C165" s="2445"/>
      <c r="D165" s="2445"/>
      <c r="E165" s="2445"/>
      <c r="F165" s="2445"/>
      <c r="G165" s="2445"/>
      <c r="H165" s="2444"/>
      <c r="I165" s="2444"/>
      <c r="J165" s="2444"/>
      <c r="K165" s="2444"/>
      <c r="L165" s="2444"/>
      <c r="M165" s="2444"/>
      <c r="N165" s="2448"/>
      <c r="O165" s="2449"/>
      <c r="P165" s="2449"/>
      <c r="Q165" s="2449"/>
      <c r="R165" s="2449"/>
      <c r="S165" s="2449"/>
      <c r="T165" s="2449"/>
      <c r="U165" s="2444"/>
      <c r="V165" s="2444"/>
      <c r="W165" s="2444"/>
      <c r="X165" s="2444"/>
      <c r="Y165" s="2444"/>
      <c r="Z165" s="2444"/>
      <c r="AA165" s="2444"/>
      <c r="AB165" s="2444"/>
      <c r="AC165" s="2444"/>
      <c r="AD165" s="2444"/>
      <c r="AE165" s="2444"/>
      <c r="AF165" s="2444"/>
      <c r="AG165" s="2444"/>
      <c r="AH165" s="2444"/>
      <c r="AI165" s="2444"/>
      <c r="AJ165" s="2444"/>
      <c r="AK165" s="2444"/>
      <c r="AL165" s="2444"/>
      <c r="AM165" s="2444"/>
      <c r="AN165" s="2444"/>
      <c r="AO165" s="2444"/>
      <c r="AP165" s="2444"/>
      <c r="AQ165" s="2444"/>
      <c r="AR165" s="2444"/>
      <c r="AS165" s="2444"/>
      <c r="AT165" s="2444"/>
      <c r="AU165" s="2444"/>
      <c r="AV165" s="2444"/>
      <c r="AW165" s="2444"/>
      <c r="AX165" s="2444"/>
      <c r="AY165" s="2444"/>
      <c r="AZ165" s="2444"/>
    </row>
    <row r="166" spans="1:52" ht="18" customHeight="1">
      <c r="A166" s="2444"/>
      <c r="B166" s="2445"/>
      <c r="C166" s="2445"/>
      <c r="D166" s="2445"/>
      <c r="E166" s="2445"/>
      <c r="F166" s="2445"/>
      <c r="G166" s="2445"/>
      <c r="H166" s="2444"/>
      <c r="I166" s="2444"/>
      <c r="J166" s="2444"/>
      <c r="K166" s="2444"/>
      <c r="L166" s="2444"/>
      <c r="M166" s="2444"/>
      <c r="N166" s="2448"/>
      <c r="O166" s="2449"/>
      <c r="P166" s="2449"/>
      <c r="Q166" s="2449"/>
      <c r="R166" s="2449"/>
      <c r="S166" s="2449"/>
      <c r="T166" s="2449"/>
      <c r="U166" s="2444"/>
      <c r="V166" s="2444"/>
      <c r="W166" s="2444"/>
      <c r="X166" s="2444"/>
      <c r="Y166" s="2444"/>
      <c r="Z166" s="2444"/>
      <c r="AA166" s="2444"/>
      <c r="AB166" s="2444"/>
      <c r="AC166" s="2444"/>
      <c r="AD166" s="2444"/>
      <c r="AE166" s="2444"/>
      <c r="AF166" s="2444"/>
      <c r="AG166" s="2444"/>
      <c r="AH166" s="2444"/>
      <c r="AI166" s="2444"/>
      <c r="AJ166" s="2444"/>
      <c r="AK166" s="2444"/>
      <c r="AL166" s="2444"/>
      <c r="AM166" s="2444"/>
      <c r="AN166" s="2444"/>
      <c r="AO166" s="2444"/>
      <c r="AP166" s="2444"/>
      <c r="AQ166" s="2444"/>
      <c r="AR166" s="2444"/>
      <c r="AS166" s="2444"/>
      <c r="AT166" s="2444"/>
      <c r="AU166" s="2444"/>
      <c r="AV166" s="2444"/>
      <c r="AW166" s="2444"/>
      <c r="AX166" s="2444"/>
      <c r="AY166" s="2444"/>
      <c r="AZ166" s="2444"/>
    </row>
    <row r="167" spans="1:52" ht="18" customHeight="1">
      <c r="A167" s="2444"/>
      <c r="B167" s="2445"/>
      <c r="C167" s="2445"/>
      <c r="D167" s="2445"/>
      <c r="E167" s="2445"/>
      <c r="F167" s="2445"/>
      <c r="G167" s="2445"/>
      <c r="H167" s="2444"/>
      <c r="I167" s="2444"/>
      <c r="J167" s="2444"/>
      <c r="K167" s="2444"/>
      <c r="L167" s="2444"/>
      <c r="M167" s="2444"/>
      <c r="N167" s="2448"/>
      <c r="O167" s="2449"/>
      <c r="P167" s="2449"/>
      <c r="Q167" s="2449"/>
      <c r="R167" s="2449"/>
      <c r="S167" s="2449"/>
      <c r="T167" s="2449"/>
      <c r="U167" s="2444"/>
      <c r="V167" s="2444"/>
      <c r="W167" s="2444"/>
      <c r="X167" s="2444"/>
      <c r="Y167" s="2444"/>
      <c r="Z167" s="2444"/>
      <c r="AA167" s="2444"/>
      <c r="AB167" s="2444"/>
      <c r="AC167" s="2444"/>
      <c r="AD167" s="2444"/>
      <c r="AE167" s="2444"/>
      <c r="AF167" s="2444"/>
      <c r="AG167" s="2444"/>
      <c r="AH167" s="2444"/>
      <c r="AI167" s="2444"/>
      <c r="AJ167" s="2444"/>
      <c r="AK167" s="2444"/>
      <c r="AL167" s="2444"/>
      <c r="AM167" s="2444"/>
      <c r="AN167" s="2444"/>
      <c r="AO167" s="2444"/>
      <c r="AP167" s="2444"/>
      <c r="AQ167" s="2444"/>
      <c r="AR167" s="2444"/>
      <c r="AS167" s="2444"/>
      <c r="AT167" s="2444"/>
      <c r="AU167" s="2444"/>
      <c r="AV167" s="2444"/>
      <c r="AW167" s="2444"/>
      <c r="AX167" s="2444"/>
      <c r="AY167" s="2444"/>
      <c r="AZ167" s="2444"/>
    </row>
    <row r="168" spans="1:52" ht="18" customHeight="1">
      <c r="A168" s="2444"/>
      <c r="B168" s="2445"/>
      <c r="C168" s="2445"/>
      <c r="D168" s="2445"/>
      <c r="E168" s="2445"/>
      <c r="F168" s="2445"/>
      <c r="G168" s="2445"/>
      <c r="H168" s="2444"/>
      <c r="I168" s="2444"/>
      <c r="J168" s="2444"/>
      <c r="K168" s="2444"/>
      <c r="L168" s="2444"/>
      <c r="M168" s="2444"/>
      <c r="N168" s="2448"/>
      <c r="O168" s="2449"/>
      <c r="P168" s="2449"/>
      <c r="Q168" s="2449"/>
      <c r="R168" s="2449"/>
      <c r="S168" s="2449"/>
      <c r="T168" s="2449"/>
      <c r="U168" s="2444"/>
      <c r="V168" s="2444"/>
      <c r="W168" s="2444"/>
      <c r="X168" s="2444"/>
      <c r="Y168" s="2444"/>
      <c r="Z168" s="2444"/>
      <c r="AA168" s="2444"/>
      <c r="AB168" s="2444"/>
      <c r="AC168" s="2444"/>
      <c r="AD168" s="2444"/>
      <c r="AE168" s="2444"/>
      <c r="AF168" s="2444"/>
      <c r="AG168" s="2444"/>
      <c r="AH168" s="2444"/>
      <c r="AI168" s="2444"/>
      <c r="AJ168" s="2444"/>
      <c r="AK168" s="2444"/>
      <c r="AL168" s="2444"/>
      <c r="AM168" s="2444"/>
      <c r="AN168" s="2444"/>
      <c r="AO168" s="2444"/>
      <c r="AP168" s="2444"/>
      <c r="AQ168" s="2444"/>
      <c r="AR168" s="2444"/>
      <c r="AS168" s="2444"/>
      <c r="AT168" s="2444"/>
      <c r="AU168" s="2444"/>
      <c r="AV168" s="2444"/>
      <c r="AW168" s="2444"/>
      <c r="AX168" s="2444"/>
      <c r="AY168" s="2444"/>
      <c r="AZ168" s="2444"/>
    </row>
    <row r="169" spans="1:52" ht="18" customHeight="1">
      <c r="A169" s="2444"/>
      <c r="B169" s="2445"/>
      <c r="C169" s="2445"/>
      <c r="D169" s="2445"/>
      <c r="E169" s="2445"/>
      <c r="F169" s="2445"/>
      <c r="G169" s="2445"/>
      <c r="H169" s="2444"/>
      <c r="I169" s="2444"/>
      <c r="J169" s="2444"/>
      <c r="K169" s="2444"/>
      <c r="L169" s="2444"/>
      <c r="M169" s="2444"/>
      <c r="N169" s="2448"/>
      <c r="O169" s="2449"/>
      <c r="P169" s="2449"/>
      <c r="Q169" s="2449"/>
      <c r="R169" s="2449"/>
      <c r="S169" s="2449"/>
      <c r="T169" s="2449"/>
      <c r="U169" s="2444"/>
      <c r="V169" s="2444"/>
      <c r="W169" s="2444"/>
      <c r="X169" s="2444"/>
      <c r="Y169" s="2444"/>
      <c r="Z169" s="2444"/>
      <c r="AA169" s="2444"/>
      <c r="AB169" s="2444"/>
      <c r="AC169" s="2444"/>
      <c r="AD169" s="2444"/>
      <c r="AE169" s="2444"/>
      <c r="AF169" s="2444"/>
      <c r="AG169" s="2444"/>
      <c r="AH169" s="2444"/>
      <c r="AI169" s="2444"/>
      <c r="AJ169" s="2444"/>
      <c r="AK169" s="2444"/>
      <c r="AL169" s="2444"/>
      <c r="AM169" s="2444"/>
      <c r="AN169" s="2444"/>
      <c r="AO169" s="2444"/>
      <c r="AP169" s="2444"/>
      <c r="AQ169" s="2444"/>
      <c r="AR169" s="2444"/>
      <c r="AS169" s="2444"/>
      <c r="AT169" s="2444"/>
      <c r="AU169" s="2444"/>
      <c r="AV169" s="2444"/>
      <c r="AW169" s="2444"/>
      <c r="AX169" s="2444"/>
      <c r="AY169" s="2444"/>
      <c r="AZ169" s="2444"/>
    </row>
    <row r="170" spans="1:52" ht="18" customHeight="1">
      <c r="A170" s="2444"/>
      <c r="B170" s="2445"/>
      <c r="C170" s="2445"/>
      <c r="D170" s="2445"/>
      <c r="E170" s="2445"/>
      <c r="F170" s="2445"/>
      <c r="G170" s="2445"/>
      <c r="H170" s="2444"/>
      <c r="I170" s="2444"/>
      <c r="J170" s="2444"/>
      <c r="K170" s="2444"/>
      <c r="L170" s="2444"/>
      <c r="M170" s="2444"/>
      <c r="N170" s="2448"/>
      <c r="O170" s="2449"/>
      <c r="P170" s="2449"/>
      <c r="Q170" s="2449"/>
      <c r="R170" s="2449"/>
      <c r="S170" s="2449"/>
      <c r="T170" s="2449"/>
      <c r="U170" s="2444"/>
      <c r="V170" s="2444"/>
      <c r="W170" s="2444"/>
      <c r="X170" s="2444"/>
      <c r="Y170" s="2444"/>
      <c r="Z170" s="2444"/>
      <c r="AA170" s="2444"/>
      <c r="AB170" s="2444"/>
      <c r="AC170" s="2444"/>
      <c r="AD170" s="2444"/>
      <c r="AE170" s="2444"/>
      <c r="AF170" s="2444"/>
      <c r="AG170" s="2444"/>
      <c r="AH170" s="2444"/>
      <c r="AI170" s="2444"/>
      <c r="AJ170" s="2444"/>
      <c r="AK170" s="2444"/>
      <c r="AL170" s="2444"/>
      <c r="AM170" s="2444"/>
      <c r="AN170" s="2444"/>
      <c r="AO170" s="2444"/>
      <c r="AP170" s="2444"/>
      <c r="AQ170" s="2444"/>
      <c r="AR170" s="2444"/>
      <c r="AS170" s="2444"/>
      <c r="AT170" s="2444"/>
      <c r="AU170" s="2444"/>
      <c r="AV170" s="2444"/>
      <c r="AW170" s="2444"/>
      <c r="AX170" s="2444"/>
      <c r="AY170" s="2444"/>
      <c r="AZ170" s="2444"/>
    </row>
    <row r="171" spans="1:52" ht="18" customHeight="1">
      <c r="A171" s="2444"/>
      <c r="B171" s="2445"/>
      <c r="C171" s="2445"/>
      <c r="D171" s="2445"/>
      <c r="E171" s="2445"/>
      <c r="F171" s="2445"/>
      <c r="G171" s="2445"/>
      <c r="H171" s="2444"/>
      <c r="I171" s="2444"/>
      <c r="J171" s="2444"/>
      <c r="K171" s="2444"/>
      <c r="L171" s="2444"/>
      <c r="M171" s="2444"/>
      <c r="N171" s="2448"/>
      <c r="O171" s="2449"/>
      <c r="P171" s="2449"/>
      <c r="Q171" s="2449"/>
      <c r="R171" s="2449"/>
      <c r="S171" s="2449"/>
      <c r="T171" s="2449"/>
      <c r="U171" s="2444"/>
      <c r="V171" s="2444"/>
      <c r="W171" s="2444"/>
      <c r="X171" s="2444"/>
      <c r="Y171" s="2444"/>
      <c r="Z171" s="2444"/>
      <c r="AA171" s="2444"/>
      <c r="AB171" s="2444"/>
      <c r="AC171" s="2444"/>
      <c r="AD171" s="2444"/>
      <c r="AE171" s="2444"/>
      <c r="AF171" s="2444"/>
      <c r="AG171" s="2444"/>
      <c r="AH171" s="2444"/>
      <c r="AI171" s="2444"/>
      <c r="AJ171" s="2444"/>
      <c r="AK171" s="2444"/>
      <c r="AL171" s="2444"/>
      <c r="AM171" s="2444"/>
      <c r="AN171" s="2444"/>
      <c r="AO171" s="2444"/>
      <c r="AP171" s="2444"/>
      <c r="AQ171" s="2444"/>
      <c r="AR171" s="2444"/>
      <c r="AS171" s="2444"/>
      <c r="AT171" s="2444"/>
      <c r="AU171" s="2444"/>
      <c r="AV171" s="2444"/>
      <c r="AW171" s="2444"/>
      <c r="AX171" s="2444"/>
      <c r="AY171" s="2444"/>
      <c r="AZ171" s="2444"/>
    </row>
    <row r="172" spans="1:52" ht="18" customHeight="1">
      <c r="A172" s="2444"/>
      <c r="B172" s="2445"/>
      <c r="C172" s="2445"/>
      <c r="D172" s="2445"/>
      <c r="E172" s="2445"/>
      <c r="F172" s="2445"/>
      <c r="G172" s="2445"/>
      <c r="H172" s="2444"/>
      <c r="I172" s="2444"/>
      <c r="J172" s="2444"/>
      <c r="K172" s="2444"/>
      <c r="L172" s="2444"/>
      <c r="M172" s="2444"/>
      <c r="N172" s="2448"/>
      <c r="O172" s="2449"/>
      <c r="P172" s="2449"/>
      <c r="Q172" s="2449"/>
      <c r="R172" s="2449"/>
      <c r="S172" s="2449"/>
      <c r="T172" s="2449"/>
      <c r="U172" s="2444"/>
      <c r="V172" s="2444"/>
      <c r="W172" s="2444"/>
      <c r="X172" s="2444"/>
      <c r="Y172" s="2444"/>
      <c r="Z172" s="2444"/>
      <c r="AA172" s="2444"/>
      <c r="AB172" s="2444"/>
      <c r="AC172" s="2444"/>
      <c r="AD172" s="2444"/>
      <c r="AE172" s="2444"/>
      <c r="AF172" s="2444"/>
      <c r="AG172" s="2444"/>
      <c r="AH172" s="2444"/>
      <c r="AI172" s="2444"/>
      <c r="AJ172" s="2444"/>
      <c r="AK172" s="2444"/>
      <c r="AL172" s="2444"/>
      <c r="AM172" s="2444"/>
      <c r="AN172" s="2444"/>
      <c r="AO172" s="2444"/>
      <c r="AP172" s="2444"/>
      <c r="AQ172" s="2444"/>
      <c r="AR172" s="2444"/>
      <c r="AS172" s="2444"/>
      <c r="AT172" s="2444"/>
      <c r="AU172" s="2444"/>
      <c r="AV172" s="2444"/>
      <c r="AW172" s="2444"/>
      <c r="AX172" s="2444"/>
      <c r="AY172" s="2444"/>
      <c r="AZ172" s="2444"/>
    </row>
    <row r="173" spans="1:52" ht="18" customHeight="1">
      <c r="A173" s="2444"/>
      <c r="B173" s="2445"/>
      <c r="C173" s="2445"/>
      <c r="D173" s="2445"/>
      <c r="E173" s="2445"/>
      <c r="F173" s="2445"/>
      <c r="G173" s="2445"/>
      <c r="H173" s="2444"/>
      <c r="I173" s="2444"/>
      <c r="J173" s="2444"/>
      <c r="K173" s="2444"/>
      <c r="L173" s="2444"/>
      <c r="M173" s="2444"/>
      <c r="N173" s="2448"/>
      <c r="O173" s="2449"/>
      <c r="P173" s="2449"/>
      <c r="Q173" s="2449"/>
      <c r="R173" s="2449"/>
      <c r="S173" s="2449"/>
      <c r="T173" s="2449"/>
      <c r="U173" s="2444"/>
      <c r="V173" s="2444"/>
      <c r="W173" s="2444"/>
      <c r="X173" s="2444"/>
      <c r="Y173" s="2444"/>
      <c r="Z173" s="2444"/>
      <c r="AA173" s="2444"/>
      <c r="AB173" s="2444"/>
      <c r="AC173" s="2444"/>
      <c r="AD173" s="2444"/>
      <c r="AE173" s="2444"/>
      <c r="AF173" s="2444"/>
      <c r="AG173" s="2444"/>
      <c r="AH173" s="2444"/>
      <c r="AI173" s="2444"/>
      <c r="AJ173" s="2444"/>
      <c r="AK173" s="2444"/>
      <c r="AL173" s="2444"/>
      <c r="AM173" s="2444"/>
      <c r="AN173" s="2444"/>
      <c r="AO173" s="2444"/>
      <c r="AP173" s="2444"/>
      <c r="AQ173" s="2444"/>
      <c r="AR173" s="2444"/>
      <c r="AS173" s="2444"/>
      <c r="AT173" s="2444"/>
      <c r="AU173" s="2444"/>
      <c r="AV173" s="2444"/>
      <c r="AW173" s="2444"/>
      <c r="AX173" s="2444"/>
      <c r="AY173" s="2444"/>
      <c r="AZ173" s="2444"/>
    </row>
    <row r="174" spans="1:52" ht="18" customHeight="1">
      <c r="A174" s="2444"/>
      <c r="B174" s="2445"/>
      <c r="C174" s="2445"/>
      <c r="D174" s="2445"/>
      <c r="E174" s="2445"/>
      <c r="F174" s="2445"/>
      <c r="G174" s="2445"/>
      <c r="H174" s="2444"/>
      <c r="I174" s="2444"/>
      <c r="J174" s="2444"/>
      <c r="K174" s="2444"/>
      <c r="L174" s="2444"/>
      <c r="M174" s="2444"/>
      <c r="N174" s="2448"/>
      <c r="O174" s="2449"/>
      <c r="P174" s="2449"/>
      <c r="Q174" s="2449"/>
      <c r="R174" s="2449"/>
      <c r="S174" s="2449"/>
      <c r="T174" s="2449"/>
      <c r="U174" s="2444"/>
      <c r="V174" s="2444"/>
      <c r="W174" s="2444"/>
      <c r="X174" s="2444"/>
      <c r="Y174" s="2444"/>
      <c r="Z174" s="2444"/>
      <c r="AA174" s="2444"/>
      <c r="AB174" s="2444"/>
      <c r="AC174" s="2444"/>
      <c r="AD174" s="2444"/>
      <c r="AE174" s="2444"/>
      <c r="AF174" s="2444"/>
      <c r="AG174" s="2444"/>
      <c r="AH174" s="2444"/>
      <c r="AI174" s="2444"/>
      <c r="AJ174" s="2444"/>
      <c r="AK174" s="2444"/>
      <c r="AL174" s="2444"/>
      <c r="AM174" s="2444"/>
      <c r="AN174" s="2444"/>
      <c r="AO174" s="2444"/>
      <c r="AP174" s="2444"/>
      <c r="AQ174" s="2444"/>
      <c r="AR174" s="2444"/>
      <c r="AS174" s="2444"/>
      <c r="AT174" s="2444"/>
      <c r="AU174" s="2444"/>
      <c r="AV174" s="2444"/>
      <c r="AW174" s="2444"/>
      <c r="AX174" s="2444"/>
      <c r="AY174" s="2444"/>
      <c r="AZ174" s="2444"/>
    </row>
    <row r="175" spans="1:52" ht="18" customHeight="1">
      <c r="A175" s="2444"/>
      <c r="B175" s="2445"/>
      <c r="C175" s="2445"/>
      <c r="D175" s="2445"/>
      <c r="E175" s="2445"/>
      <c r="F175" s="2445"/>
      <c r="G175" s="2445"/>
      <c r="H175" s="2444"/>
      <c r="I175" s="2444"/>
      <c r="J175" s="2444"/>
      <c r="K175" s="2444"/>
      <c r="L175" s="2444"/>
      <c r="M175" s="2444"/>
      <c r="N175" s="2448"/>
      <c r="O175" s="2449"/>
      <c r="P175" s="2449"/>
      <c r="Q175" s="2449"/>
      <c r="R175" s="2449"/>
      <c r="S175" s="2449"/>
      <c r="T175" s="2449"/>
      <c r="U175" s="2444"/>
      <c r="V175" s="2444"/>
      <c r="W175" s="2444"/>
      <c r="X175" s="2444"/>
      <c r="Y175" s="2444"/>
      <c r="Z175" s="2444"/>
      <c r="AA175" s="2444"/>
      <c r="AB175" s="2444"/>
      <c r="AC175" s="2444"/>
      <c r="AD175" s="2444"/>
      <c r="AE175" s="2444"/>
      <c r="AF175" s="2444"/>
      <c r="AG175" s="2444"/>
      <c r="AH175" s="2444"/>
      <c r="AI175" s="2444"/>
      <c r="AJ175" s="2444"/>
      <c r="AK175" s="2444"/>
      <c r="AL175" s="2444"/>
      <c r="AM175" s="2444"/>
      <c r="AN175" s="2444"/>
      <c r="AO175" s="2444"/>
      <c r="AP175" s="2444"/>
      <c r="AQ175" s="2444"/>
      <c r="AR175" s="2444"/>
      <c r="AS175" s="2444"/>
      <c r="AT175" s="2444"/>
      <c r="AU175" s="2444"/>
      <c r="AV175" s="2444"/>
      <c r="AW175" s="2444"/>
      <c r="AX175" s="2444"/>
      <c r="AY175" s="2444"/>
      <c r="AZ175" s="2444"/>
    </row>
    <row r="176" spans="1:52" ht="18" customHeight="1">
      <c r="A176" s="2444"/>
      <c r="B176" s="2445"/>
      <c r="C176" s="2445"/>
      <c r="D176" s="2445"/>
      <c r="E176" s="2445"/>
      <c r="F176" s="2445"/>
      <c r="G176" s="2445"/>
      <c r="H176" s="2444"/>
      <c r="I176" s="2444"/>
      <c r="J176" s="2444"/>
      <c r="K176" s="2444"/>
      <c r="L176" s="2444"/>
      <c r="M176" s="2444"/>
      <c r="N176" s="2448"/>
      <c r="O176" s="2449"/>
      <c r="P176" s="2449"/>
      <c r="Q176" s="2449"/>
      <c r="R176" s="2449"/>
      <c r="S176" s="2449"/>
      <c r="T176" s="2449"/>
      <c r="U176" s="2444"/>
      <c r="V176" s="2444"/>
      <c r="W176" s="2444"/>
      <c r="X176" s="2444"/>
      <c r="Y176" s="2444"/>
      <c r="Z176" s="2444"/>
      <c r="AA176" s="2444"/>
      <c r="AB176" s="2444"/>
      <c r="AC176" s="2444"/>
      <c r="AD176" s="2444"/>
      <c r="AE176" s="2444"/>
      <c r="AF176" s="2444"/>
      <c r="AG176" s="2444"/>
      <c r="AH176" s="2444"/>
      <c r="AI176" s="2444"/>
      <c r="AJ176" s="2444"/>
      <c r="AK176" s="2444"/>
      <c r="AL176" s="2444"/>
      <c r="AM176" s="2444"/>
      <c r="AN176" s="2444"/>
      <c r="AO176" s="2444"/>
      <c r="AP176" s="2444"/>
      <c r="AQ176" s="2444"/>
      <c r="AR176" s="2444"/>
      <c r="AS176" s="2444"/>
      <c r="AT176" s="2444"/>
      <c r="AU176" s="2444"/>
      <c r="AV176" s="2444"/>
      <c r="AW176" s="2444"/>
      <c r="AX176" s="2444"/>
      <c r="AY176" s="2444"/>
      <c r="AZ176" s="2444"/>
    </row>
    <row r="177" spans="1:52" ht="18" customHeight="1">
      <c r="A177" s="2444"/>
      <c r="B177" s="2445"/>
      <c r="C177" s="2445"/>
      <c r="D177" s="2445"/>
      <c r="E177" s="2445"/>
      <c r="F177" s="2445"/>
      <c r="G177" s="2445"/>
      <c r="H177" s="2444"/>
      <c r="I177" s="2444"/>
      <c r="J177" s="2444"/>
      <c r="K177" s="2444"/>
      <c r="L177" s="2444"/>
      <c r="M177" s="2444"/>
      <c r="N177" s="2448"/>
      <c r="O177" s="2449"/>
      <c r="P177" s="2449"/>
      <c r="Q177" s="2449"/>
      <c r="R177" s="2449"/>
      <c r="S177" s="2449"/>
      <c r="T177" s="2449"/>
      <c r="U177" s="2444"/>
      <c r="V177" s="2444"/>
      <c r="W177" s="2444"/>
      <c r="X177" s="2444"/>
      <c r="Y177" s="2444"/>
      <c r="Z177" s="2444"/>
      <c r="AA177" s="2444"/>
      <c r="AB177" s="2444"/>
      <c r="AC177" s="2444"/>
      <c r="AD177" s="2444"/>
      <c r="AE177" s="2444"/>
      <c r="AF177" s="2444"/>
      <c r="AG177" s="2444"/>
      <c r="AH177" s="2444"/>
      <c r="AI177" s="2444"/>
      <c r="AJ177" s="2444"/>
      <c r="AK177" s="2444"/>
      <c r="AL177" s="2444"/>
      <c r="AM177" s="2444"/>
      <c r="AN177" s="2444"/>
      <c r="AO177" s="2444"/>
      <c r="AP177" s="2444"/>
      <c r="AQ177" s="2444"/>
      <c r="AR177" s="2444"/>
      <c r="AS177" s="2444"/>
      <c r="AT177" s="2444"/>
      <c r="AU177" s="2444"/>
      <c r="AV177" s="2444"/>
      <c r="AW177" s="2444"/>
      <c r="AX177" s="2444"/>
      <c r="AY177" s="2444"/>
      <c r="AZ177" s="2444"/>
    </row>
    <row r="178" spans="1:52" ht="18" customHeight="1">
      <c r="A178" s="2444"/>
      <c r="B178" s="2445"/>
      <c r="C178" s="2445"/>
      <c r="D178" s="2445"/>
      <c r="E178" s="2445"/>
      <c r="F178" s="2445"/>
      <c r="G178" s="2445"/>
      <c r="H178" s="2444"/>
      <c r="I178" s="2444"/>
      <c r="J178" s="2444"/>
      <c r="K178" s="2444"/>
      <c r="L178" s="2444"/>
      <c r="M178" s="2444"/>
      <c r="N178" s="2448"/>
      <c r="O178" s="2449"/>
      <c r="P178" s="2449"/>
      <c r="Q178" s="2449"/>
      <c r="R178" s="2449"/>
      <c r="S178" s="2449"/>
      <c r="T178" s="2449"/>
      <c r="U178" s="2444"/>
      <c r="V178" s="2444"/>
      <c r="W178" s="2444"/>
      <c r="X178" s="2444"/>
      <c r="Y178" s="2444"/>
      <c r="Z178" s="2444"/>
      <c r="AA178" s="2444"/>
      <c r="AB178" s="2444"/>
      <c r="AC178" s="2444"/>
      <c r="AD178" s="2444"/>
      <c r="AE178" s="2444"/>
      <c r="AF178" s="2444"/>
      <c r="AG178" s="2444"/>
      <c r="AH178" s="2444"/>
      <c r="AI178" s="2444"/>
      <c r="AJ178" s="2444"/>
      <c r="AK178" s="2444"/>
      <c r="AL178" s="2444"/>
      <c r="AM178" s="2444"/>
      <c r="AN178" s="2444"/>
      <c r="AO178" s="2444"/>
      <c r="AP178" s="2444"/>
      <c r="AQ178" s="2444"/>
      <c r="AR178" s="2444"/>
      <c r="AS178" s="2444"/>
      <c r="AT178" s="2444"/>
      <c r="AU178" s="2444"/>
      <c r="AV178" s="2444"/>
      <c r="AW178" s="2444"/>
      <c r="AX178" s="2444"/>
      <c r="AY178" s="2444"/>
      <c r="AZ178" s="2444"/>
    </row>
    <row r="179" spans="1:52" ht="18" customHeight="1">
      <c r="A179" s="2444"/>
      <c r="B179" s="2445"/>
      <c r="C179" s="2445"/>
      <c r="D179" s="2445"/>
      <c r="E179" s="2445"/>
      <c r="F179" s="2445"/>
      <c r="G179" s="2445"/>
      <c r="H179" s="2444"/>
      <c r="I179" s="2444"/>
      <c r="J179" s="2444"/>
      <c r="K179" s="2444"/>
      <c r="L179" s="2444"/>
      <c r="M179" s="2444"/>
      <c r="N179" s="2448"/>
      <c r="O179" s="2449"/>
      <c r="P179" s="2449"/>
      <c r="Q179" s="2449"/>
      <c r="R179" s="2449"/>
      <c r="S179" s="2449"/>
      <c r="T179" s="2449"/>
      <c r="U179" s="2444"/>
      <c r="V179" s="2444"/>
      <c r="W179" s="2444"/>
      <c r="X179" s="2444"/>
      <c r="Y179" s="2444"/>
      <c r="Z179" s="2444"/>
      <c r="AA179" s="2444"/>
      <c r="AB179" s="2444"/>
      <c r="AC179" s="2444"/>
      <c r="AD179" s="2444"/>
      <c r="AE179" s="2444"/>
      <c r="AF179" s="2444"/>
      <c r="AG179" s="2444"/>
      <c r="AH179" s="2444"/>
      <c r="AI179" s="2444"/>
      <c r="AJ179" s="2444"/>
      <c r="AK179" s="2444"/>
      <c r="AL179" s="2444"/>
      <c r="AM179" s="2444"/>
      <c r="AN179" s="2444"/>
      <c r="AO179" s="2444"/>
      <c r="AP179" s="2444"/>
      <c r="AQ179" s="2444"/>
      <c r="AR179" s="2444"/>
      <c r="AS179" s="2444"/>
      <c r="AT179" s="2444"/>
      <c r="AU179" s="2444"/>
      <c r="AV179" s="2444"/>
      <c r="AW179" s="2444"/>
      <c r="AX179" s="2444"/>
      <c r="AY179" s="2444"/>
      <c r="AZ179" s="2444"/>
    </row>
    <row r="180" spans="1:52" ht="18" customHeight="1">
      <c r="A180" s="2444"/>
      <c r="B180" s="2445"/>
      <c r="C180" s="2445"/>
      <c r="D180" s="2445"/>
      <c r="E180" s="2445"/>
      <c r="F180" s="2445"/>
      <c r="G180" s="2445"/>
      <c r="H180" s="2444"/>
      <c r="I180" s="2444"/>
      <c r="J180" s="2444"/>
      <c r="K180" s="2444"/>
      <c r="L180" s="2444"/>
      <c r="M180" s="2444"/>
      <c r="N180" s="2448"/>
      <c r="O180" s="2449"/>
      <c r="P180" s="2449"/>
      <c r="Q180" s="2449"/>
      <c r="R180" s="2449"/>
      <c r="S180" s="2449"/>
      <c r="T180" s="2449"/>
      <c r="U180" s="2444"/>
      <c r="V180" s="2444"/>
      <c r="W180" s="2444"/>
      <c r="X180" s="2444"/>
      <c r="Y180" s="2444"/>
      <c r="Z180" s="2444"/>
      <c r="AA180" s="2444"/>
      <c r="AB180" s="2444"/>
      <c r="AC180" s="2444"/>
      <c r="AD180" s="2444"/>
      <c r="AE180" s="2444"/>
      <c r="AF180" s="2444"/>
      <c r="AG180" s="2444"/>
      <c r="AH180" s="2444"/>
      <c r="AI180" s="2444"/>
      <c r="AJ180" s="2444"/>
      <c r="AK180" s="2444"/>
      <c r="AL180" s="2444"/>
      <c r="AM180" s="2444"/>
      <c r="AN180" s="2444"/>
      <c r="AO180" s="2444"/>
      <c r="AP180" s="2444"/>
      <c r="AQ180" s="2444"/>
      <c r="AR180" s="2444"/>
      <c r="AS180" s="2444"/>
      <c r="AT180" s="2444"/>
      <c r="AU180" s="2444"/>
      <c r="AV180" s="2444"/>
      <c r="AW180" s="2444"/>
      <c r="AX180" s="2444"/>
      <c r="AY180" s="2444"/>
      <c r="AZ180" s="2444"/>
    </row>
    <row r="181" spans="1:52" ht="18" customHeight="1">
      <c r="A181" s="2444"/>
      <c r="B181" s="2445"/>
      <c r="C181" s="2445"/>
      <c r="D181" s="2445"/>
      <c r="E181" s="2445"/>
      <c r="F181" s="2445"/>
      <c r="G181" s="2445"/>
      <c r="H181" s="2444"/>
      <c r="I181" s="2444"/>
      <c r="J181" s="2444"/>
      <c r="K181" s="2444"/>
      <c r="L181" s="2444"/>
      <c r="M181" s="2444"/>
      <c r="N181" s="2448"/>
      <c r="O181" s="2449"/>
      <c r="P181" s="2449"/>
      <c r="Q181" s="2449"/>
      <c r="R181" s="2449"/>
      <c r="S181" s="2449"/>
      <c r="T181" s="2449"/>
      <c r="U181" s="2444"/>
      <c r="V181" s="2444"/>
      <c r="W181" s="2444"/>
      <c r="X181" s="2444"/>
      <c r="Y181" s="2444"/>
      <c r="Z181" s="2444"/>
      <c r="AA181" s="2444"/>
      <c r="AB181" s="2444"/>
      <c r="AC181" s="2444"/>
      <c r="AD181" s="2444"/>
      <c r="AE181" s="2444"/>
      <c r="AF181" s="2444"/>
      <c r="AG181" s="2444"/>
      <c r="AH181" s="2444"/>
      <c r="AI181" s="2444"/>
      <c r="AJ181" s="2444"/>
      <c r="AK181" s="2444"/>
      <c r="AL181" s="2444"/>
      <c r="AM181" s="2444"/>
      <c r="AN181" s="2444"/>
      <c r="AO181" s="2444"/>
      <c r="AP181" s="2444"/>
      <c r="AQ181" s="2444"/>
      <c r="AR181" s="2444"/>
      <c r="AS181" s="2444"/>
      <c r="AT181" s="2444"/>
      <c r="AU181" s="2444"/>
      <c r="AV181" s="2444"/>
      <c r="AW181" s="2444"/>
      <c r="AX181" s="2444"/>
      <c r="AY181" s="2444"/>
      <c r="AZ181" s="2444"/>
    </row>
    <row r="182" spans="1:52" ht="18" customHeight="1">
      <c r="A182" s="2444"/>
      <c r="B182" s="2445"/>
      <c r="C182" s="2445"/>
      <c r="D182" s="2445"/>
      <c r="E182" s="2445"/>
      <c r="F182" s="2445"/>
      <c r="G182" s="2445"/>
      <c r="H182" s="2444"/>
      <c r="I182" s="2444"/>
      <c r="J182" s="2444"/>
      <c r="K182" s="2444"/>
      <c r="L182" s="2444"/>
      <c r="M182" s="2444"/>
      <c r="N182" s="2448"/>
      <c r="O182" s="2449"/>
      <c r="P182" s="2449"/>
      <c r="Q182" s="2449"/>
      <c r="R182" s="2449"/>
      <c r="S182" s="2449"/>
      <c r="T182" s="2449"/>
      <c r="U182" s="2444"/>
      <c r="V182" s="2444"/>
      <c r="W182" s="2444"/>
      <c r="X182" s="2444"/>
      <c r="Y182" s="2444"/>
      <c r="Z182" s="2444"/>
      <c r="AA182" s="2444"/>
      <c r="AB182" s="2444"/>
      <c r="AC182" s="2444"/>
      <c r="AD182" s="2444"/>
      <c r="AE182" s="2444"/>
      <c r="AF182" s="2444"/>
      <c r="AG182" s="2444"/>
      <c r="AH182" s="2444"/>
      <c r="AI182" s="2444"/>
      <c r="AJ182" s="2444"/>
      <c r="AK182" s="2444"/>
      <c r="AL182" s="2444"/>
      <c r="AM182" s="2444"/>
      <c r="AN182" s="2444"/>
      <c r="AO182" s="2444"/>
      <c r="AP182" s="2444"/>
      <c r="AQ182" s="2444"/>
      <c r="AR182" s="2444"/>
      <c r="AS182" s="2444"/>
      <c r="AT182" s="2444"/>
      <c r="AU182" s="2444"/>
      <c r="AV182" s="2444"/>
      <c r="AW182" s="2444"/>
      <c r="AX182" s="2444"/>
      <c r="AY182" s="2444"/>
      <c r="AZ182" s="2444"/>
    </row>
    <row r="183" spans="1:52" ht="18" customHeight="1">
      <c r="A183" s="2444"/>
      <c r="B183" s="2445"/>
      <c r="C183" s="2445"/>
      <c r="D183" s="2445"/>
      <c r="E183" s="2445"/>
      <c r="F183" s="2445"/>
      <c r="G183" s="2445"/>
      <c r="H183" s="2444"/>
      <c r="I183" s="2444"/>
      <c r="J183" s="2444"/>
      <c r="K183" s="2444"/>
      <c r="L183" s="2444"/>
      <c r="M183" s="2444"/>
      <c r="N183" s="2448"/>
      <c r="O183" s="2449"/>
      <c r="P183" s="2449"/>
      <c r="Q183" s="2449"/>
      <c r="R183" s="2449"/>
      <c r="S183" s="2449"/>
      <c r="T183" s="2449"/>
      <c r="U183" s="2444"/>
      <c r="V183" s="2444"/>
      <c r="W183" s="2444"/>
      <c r="X183" s="2444"/>
      <c r="Y183" s="2444"/>
      <c r="Z183" s="2444"/>
      <c r="AA183" s="2444"/>
      <c r="AB183" s="2444"/>
      <c r="AC183" s="2444"/>
      <c r="AD183" s="2444"/>
      <c r="AE183" s="2444"/>
      <c r="AF183" s="2444"/>
      <c r="AG183" s="2444"/>
      <c r="AH183" s="2444"/>
      <c r="AI183" s="2444"/>
      <c r="AJ183" s="2444"/>
      <c r="AK183" s="2444"/>
      <c r="AL183" s="2444"/>
      <c r="AM183" s="2444"/>
      <c r="AN183" s="2444"/>
      <c r="AO183" s="2444"/>
      <c r="AP183" s="2444"/>
      <c r="AQ183" s="2444"/>
      <c r="AR183" s="2444"/>
      <c r="AS183" s="2444"/>
      <c r="AT183" s="2444"/>
      <c r="AU183" s="2444"/>
      <c r="AV183" s="2444"/>
      <c r="AW183" s="2444"/>
      <c r="AX183" s="2444"/>
      <c r="AY183" s="2444"/>
      <c r="AZ183" s="2444"/>
    </row>
    <row r="184" spans="1:52" ht="18" customHeight="1">
      <c r="A184" s="2444"/>
      <c r="B184" s="2445"/>
      <c r="C184" s="2445"/>
      <c r="D184" s="2445"/>
      <c r="E184" s="2445"/>
      <c r="F184" s="2445"/>
      <c r="G184" s="2445"/>
      <c r="H184" s="2444"/>
      <c r="I184" s="2444"/>
      <c r="J184" s="2444"/>
      <c r="K184" s="2444"/>
      <c r="L184" s="2444"/>
      <c r="M184" s="2444"/>
      <c r="N184" s="2448"/>
      <c r="O184" s="2449"/>
      <c r="P184" s="2449"/>
      <c r="Q184" s="2449"/>
      <c r="R184" s="2449"/>
      <c r="S184" s="2449"/>
      <c r="T184" s="2449"/>
      <c r="U184" s="2444"/>
      <c r="V184" s="2444"/>
      <c r="W184" s="2444"/>
      <c r="X184" s="2444"/>
      <c r="Y184" s="2444"/>
      <c r="Z184" s="2444"/>
      <c r="AA184" s="2444"/>
      <c r="AB184" s="2444"/>
      <c r="AC184" s="2444"/>
      <c r="AD184" s="2444"/>
      <c r="AE184" s="2444"/>
      <c r="AF184" s="2444"/>
      <c r="AG184" s="2444"/>
      <c r="AH184" s="2444"/>
      <c r="AI184" s="2444"/>
      <c r="AJ184" s="2444"/>
      <c r="AK184" s="2444"/>
      <c r="AL184" s="2444"/>
      <c r="AM184" s="2444"/>
      <c r="AN184" s="2444"/>
      <c r="AO184" s="2444"/>
      <c r="AP184" s="2444"/>
      <c r="AQ184" s="2444"/>
      <c r="AR184" s="2444"/>
      <c r="AS184" s="2444"/>
      <c r="AT184" s="2444"/>
      <c r="AU184" s="2444"/>
      <c r="AV184" s="2444"/>
      <c r="AW184" s="2444"/>
      <c r="AX184" s="2444"/>
      <c r="AY184" s="2444"/>
      <c r="AZ184" s="2444"/>
    </row>
    <row r="185" spans="1:52" ht="18" customHeight="1">
      <c r="A185" s="2444"/>
      <c r="B185" s="2445"/>
      <c r="C185" s="2445"/>
      <c r="D185" s="2445"/>
      <c r="E185" s="2445"/>
      <c r="F185" s="2445"/>
      <c r="G185" s="2445"/>
      <c r="H185" s="2444"/>
      <c r="I185" s="2444"/>
      <c r="J185" s="2444"/>
      <c r="K185" s="2444"/>
      <c r="L185" s="2444"/>
      <c r="M185" s="2444"/>
      <c r="N185" s="2448"/>
      <c r="O185" s="2449"/>
      <c r="P185" s="2449"/>
      <c r="Q185" s="2449"/>
      <c r="R185" s="2449"/>
      <c r="S185" s="2449"/>
      <c r="T185" s="2449"/>
      <c r="U185" s="2444"/>
      <c r="V185" s="2444"/>
      <c r="W185" s="2444"/>
      <c r="X185" s="2444"/>
      <c r="Y185" s="2444"/>
      <c r="Z185" s="2444"/>
      <c r="AA185" s="2444"/>
      <c r="AB185" s="2444"/>
      <c r="AC185" s="2444"/>
      <c r="AD185" s="2444"/>
      <c r="AE185" s="2444"/>
      <c r="AF185" s="2444"/>
      <c r="AG185" s="2444"/>
      <c r="AH185" s="2444"/>
      <c r="AI185" s="2444"/>
      <c r="AJ185" s="2444"/>
      <c r="AK185" s="2444"/>
      <c r="AL185" s="2444"/>
      <c r="AM185" s="2444"/>
      <c r="AN185" s="2444"/>
      <c r="AO185" s="2444"/>
      <c r="AP185" s="2444"/>
      <c r="AQ185" s="2444"/>
      <c r="AR185" s="2444"/>
      <c r="AS185" s="2444"/>
      <c r="AT185" s="2444"/>
      <c r="AU185" s="2444"/>
      <c r="AV185" s="2444"/>
      <c r="AW185" s="2444"/>
      <c r="AX185" s="2444"/>
      <c r="AY185" s="2444"/>
      <c r="AZ185" s="2444"/>
    </row>
    <row r="186" spans="1:52" ht="18" customHeight="1">
      <c r="A186" s="2444"/>
      <c r="B186" s="2445"/>
      <c r="C186" s="2445"/>
      <c r="D186" s="2445"/>
      <c r="E186" s="2445"/>
      <c r="F186" s="2445"/>
      <c r="G186" s="2445"/>
      <c r="H186" s="2444"/>
      <c r="I186" s="2444"/>
      <c r="J186" s="2444"/>
      <c r="K186" s="2444"/>
      <c r="L186" s="2444"/>
      <c r="M186" s="2444"/>
      <c r="N186" s="2448"/>
      <c r="O186" s="2449"/>
      <c r="P186" s="2449"/>
      <c r="Q186" s="2449"/>
      <c r="R186" s="2449"/>
      <c r="S186" s="2449"/>
      <c r="T186" s="2449"/>
      <c r="U186" s="2444"/>
      <c r="V186" s="2444"/>
      <c r="W186" s="2444"/>
      <c r="X186" s="2444"/>
      <c r="Y186" s="2444"/>
      <c r="Z186" s="2444"/>
      <c r="AA186" s="2444"/>
      <c r="AB186" s="2444"/>
      <c r="AC186" s="2444"/>
      <c r="AD186" s="2444"/>
      <c r="AE186" s="2444"/>
      <c r="AF186" s="2444"/>
      <c r="AG186" s="2444"/>
      <c r="AH186" s="2444"/>
      <c r="AI186" s="2444"/>
      <c r="AJ186" s="2444"/>
      <c r="AK186" s="2444"/>
      <c r="AL186" s="2444"/>
      <c r="AM186" s="2444"/>
      <c r="AN186" s="2444"/>
      <c r="AO186" s="2444"/>
      <c r="AP186" s="2444"/>
      <c r="AQ186" s="2444"/>
      <c r="AR186" s="2444"/>
      <c r="AS186" s="2444"/>
      <c r="AT186" s="2444"/>
      <c r="AU186" s="2444"/>
      <c r="AV186" s="2444"/>
      <c r="AW186" s="2444"/>
      <c r="AX186" s="2444"/>
      <c r="AY186" s="2444"/>
      <c r="AZ186" s="2444"/>
    </row>
    <row r="187" spans="1:52" ht="18" customHeight="1">
      <c r="A187" s="2444"/>
      <c r="B187" s="2445"/>
      <c r="C187" s="2445"/>
      <c r="D187" s="2445"/>
      <c r="E187" s="2445"/>
      <c r="F187" s="2445"/>
      <c r="G187" s="2445"/>
      <c r="H187" s="2444"/>
      <c r="I187" s="2444"/>
      <c r="J187" s="2444"/>
      <c r="K187" s="2444"/>
      <c r="L187" s="2444"/>
      <c r="M187" s="2444"/>
      <c r="N187" s="2448"/>
      <c r="O187" s="2449"/>
      <c r="P187" s="2449"/>
      <c r="Q187" s="2449"/>
      <c r="R187" s="2449"/>
      <c r="S187" s="2449"/>
      <c r="T187" s="2449"/>
      <c r="U187" s="2444"/>
      <c r="V187" s="2444"/>
      <c r="W187" s="2444"/>
      <c r="X187" s="2444"/>
      <c r="Y187" s="2444"/>
      <c r="Z187" s="2444"/>
      <c r="AA187" s="2444"/>
      <c r="AB187" s="2444"/>
      <c r="AC187" s="2444"/>
      <c r="AD187" s="2444"/>
      <c r="AE187" s="2444"/>
      <c r="AF187" s="2444"/>
      <c r="AG187" s="2444"/>
      <c r="AH187" s="2444"/>
      <c r="AI187" s="2444"/>
      <c r="AJ187" s="2444"/>
      <c r="AK187" s="2444"/>
      <c r="AL187" s="2444"/>
      <c r="AM187" s="2444"/>
      <c r="AN187" s="2444"/>
      <c r="AO187" s="2444"/>
      <c r="AP187" s="2444"/>
      <c r="AQ187" s="2444"/>
      <c r="AR187" s="2444"/>
      <c r="AS187" s="2444"/>
      <c r="AT187" s="2444"/>
      <c r="AU187" s="2444"/>
      <c r="AV187" s="2444"/>
      <c r="AW187" s="2444"/>
      <c r="AX187" s="2444"/>
      <c r="AY187" s="2444"/>
      <c r="AZ187" s="2444"/>
    </row>
    <row r="188" spans="1:52" ht="18" customHeight="1">
      <c r="A188" s="2444"/>
      <c r="B188" s="2445"/>
      <c r="C188" s="2445"/>
      <c r="D188" s="2445"/>
      <c r="E188" s="2445"/>
      <c r="F188" s="2445"/>
      <c r="G188" s="2445"/>
      <c r="H188" s="2444"/>
      <c r="I188" s="2444"/>
      <c r="J188" s="2444"/>
      <c r="K188" s="2444"/>
      <c r="L188" s="2444"/>
      <c r="M188" s="2444"/>
      <c r="N188" s="2448"/>
      <c r="O188" s="2449"/>
      <c r="P188" s="2449"/>
      <c r="Q188" s="2449"/>
      <c r="R188" s="2449"/>
      <c r="S188" s="2449"/>
      <c r="T188" s="2449"/>
      <c r="U188" s="2444"/>
      <c r="V188" s="2444"/>
      <c r="W188" s="2444"/>
      <c r="X188" s="2444"/>
      <c r="Y188" s="2444"/>
      <c r="Z188" s="2444"/>
      <c r="AA188" s="2444"/>
      <c r="AB188" s="2444"/>
      <c r="AC188" s="2444"/>
      <c r="AD188" s="2444"/>
      <c r="AE188" s="2444"/>
      <c r="AF188" s="2444"/>
      <c r="AG188" s="2444"/>
      <c r="AH188" s="2444"/>
      <c r="AI188" s="2444"/>
      <c r="AJ188" s="2444"/>
      <c r="AK188" s="2444"/>
      <c r="AL188" s="2444"/>
      <c r="AM188" s="2444"/>
      <c r="AN188" s="2444"/>
      <c r="AO188" s="2444"/>
      <c r="AP188" s="2444"/>
      <c r="AQ188" s="2444"/>
      <c r="AR188" s="2444"/>
      <c r="AS188" s="2444"/>
      <c r="AT188" s="2444"/>
      <c r="AU188" s="2444"/>
      <c r="AV188" s="2444"/>
      <c r="AW188" s="2444"/>
      <c r="AX188" s="2444"/>
      <c r="AY188" s="2444"/>
      <c r="AZ188" s="2444"/>
    </row>
    <row r="189" spans="1:52" ht="18" customHeight="1">
      <c r="A189" s="2444"/>
      <c r="B189" s="2445"/>
      <c r="C189" s="2445"/>
      <c r="D189" s="2445"/>
      <c r="E189" s="2445"/>
      <c r="F189" s="2445"/>
      <c r="G189" s="2445"/>
      <c r="H189" s="2444"/>
      <c r="I189" s="2444"/>
      <c r="J189" s="2444"/>
      <c r="K189" s="2444"/>
      <c r="L189" s="2444"/>
      <c r="M189" s="2444"/>
      <c r="N189" s="2448"/>
      <c r="O189" s="2449"/>
      <c r="P189" s="2449"/>
      <c r="Q189" s="2449"/>
      <c r="R189" s="2449"/>
      <c r="S189" s="2449"/>
      <c r="T189" s="2449"/>
      <c r="U189" s="2444"/>
      <c r="V189" s="2444"/>
      <c r="W189" s="2444"/>
      <c r="X189" s="2444"/>
      <c r="Y189" s="2444"/>
      <c r="Z189" s="2444"/>
      <c r="AA189" s="2444"/>
      <c r="AB189" s="2444"/>
      <c r="AC189" s="2444"/>
      <c r="AD189" s="2444"/>
      <c r="AE189" s="2444"/>
      <c r="AF189" s="2444"/>
      <c r="AG189" s="2444"/>
      <c r="AH189" s="2444"/>
      <c r="AI189" s="2444"/>
      <c r="AJ189" s="2444"/>
      <c r="AK189" s="2444"/>
      <c r="AL189" s="2444"/>
      <c r="AM189" s="2444"/>
      <c r="AN189" s="2444"/>
      <c r="AO189" s="2444"/>
      <c r="AP189" s="2444"/>
      <c r="AQ189" s="2444"/>
      <c r="AR189" s="2444"/>
      <c r="AS189" s="2444"/>
      <c r="AT189" s="2444"/>
      <c r="AU189" s="2444"/>
      <c r="AV189" s="2444"/>
      <c r="AW189" s="2444"/>
      <c r="AX189" s="2444"/>
      <c r="AY189" s="2444"/>
      <c r="AZ189" s="2444"/>
    </row>
    <row r="190" spans="1:52" ht="18" customHeight="1">
      <c r="A190" s="2444"/>
      <c r="B190" s="2445"/>
      <c r="C190" s="2445"/>
      <c r="D190" s="2445"/>
      <c r="E190" s="2445"/>
      <c r="F190" s="2445"/>
      <c r="G190" s="2445"/>
      <c r="H190" s="2444"/>
      <c r="I190" s="2444"/>
      <c r="J190" s="2444"/>
      <c r="K190" s="2444"/>
      <c r="L190" s="2444"/>
      <c r="M190" s="2444"/>
      <c r="N190" s="2448"/>
      <c r="O190" s="2449"/>
      <c r="P190" s="2449"/>
      <c r="Q190" s="2449"/>
      <c r="R190" s="2449"/>
      <c r="S190" s="2449"/>
      <c r="T190" s="2449"/>
      <c r="U190" s="2444"/>
      <c r="V190" s="2444"/>
      <c r="W190" s="2444"/>
      <c r="X190" s="2444"/>
      <c r="Y190" s="2444"/>
      <c r="Z190" s="2444"/>
      <c r="AA190" s="2444"/>
      <c r="AB190" s="2444"/>
      <c r="AC190" s="2444"/>
      <c r="AD190" s="2444"/>
      <c r="AE190" s="2444"/>
      <c r="AF190" s="2444"/>
      <c r="AG190" s="2444"/>
      <c r="AH190" s="2444"/>
      <c r="AI190" s="2444"/>
      <c r="AJ190" s="2444"/>
      <c r="AK190" s="2444"/>
      <c r="AL190" s="2444"/>
      <c r="AM190" s="2444"/>
      <c r="AN190" s="2444"/>
      <c r="AO190" s="2444"/>
      <c r="AP190" s="2444"/>
      <c r="AQ190" s="2444"/>
      <c r="AR190" s="2444"/>
      <c r="AS190" s="2444"/>
      <c r="AT190" s="2444"/>
      <c r="AU190" s="2444"/>
      <c r="AV190" s="2444"/>
      <c r="AW190" s="2444"/>
      <c r="AX190" s="2444"/>
      <c r="AY190" s="2444"/>
      <c r="AZ190" s="2444"/>
    </row>
    <row r="191" spans="1:52" ht="18" customHeight="1">
      <c r="A191" s="2444"/>
      <c r="B191" s="2445"/>
      <c r="C191" s="2445"/>
      <c r="D191" s="2445"/>
      <c r="E191" s="2445"/>
      <c r="F191" s="2445"/>
      <c r="G191" s="2445"/>
      <c r="H191" s="2444"/>
      <c r="I191" s="2444"/>
      <c r="J191" s="2444"/>
      <c r="K191" s="2444"/>
      <c r="L191" s="2444"/>
      <c r="M191" s="2444"/>
      <c r="N191" s="2448"/>
      <c r="O191" s="2449"/>
      <c r="P191" s="2449"/>
      <c r="Q191" s="2449"/>
      <c r="R191" s="2449"/>
      <c r="S191" s="2449"/>
      <c r="T191" s="2449"/>
      <c r="U191" s="2444"/>
      <c r="V191" s="2444"/>
      <c r="W191" s="2444"/>
      <c r="X191" s="2444"/>
      <c r="Y191" s="2444"/>
      <c r="Z191" s="2444"/>
      <c r="AA191" s="2444"/>
      <c r="AB191" s="2444"/>
      <c r="AC191" s="2444"/>
      <c r="AD191" s="2444"/>
      <c r="AE191" s="2444"/>
      <c r="AF191" s="2444"/>
      <c r="AG191" s="2444"/>
      <c r="AH191" s="2444"/>
      <c r="AI191" s="2444"/>
      <c r="AJ191" s="2444"/>
      <c r="AK191" s="2444"/>
      <c r="AL191" s="2444"/>
      <c r="AM191" s="2444"/>
      <c r="AN191" s="2444"/>
      <c r="AO191" s="2444"/>
      <c r="AP191" s="2444"/>
      <c r="AQ191" s="2444"/>
      <c r="AR191" s="2444"/>
      <c r="AS191" s="2444"/>
      <c r="AT191" s="2444"/>
      <c r="AU191" s="2444"/>
      <c r="AV191" s="2444"/>
      <c r="AW191" s="2444"/>
      <c r="AX191" s="2444"/>
      <c r="AY191" s="2444"/>
      <c r="AZ191" s="2444"/>
    </row>
    <row r="192" spans="1:52" ht="18" customHeight="1">
      <c r="A192" s="2444"/>
      <c r="B192" s="2445"/>
      <c r="C192" s="2445"/>
      <c r="D192" s="2445"/>
      <c r="E192" s="2445"/>
      <c r="F192" s="2445"/>
      <c r="G192" s="2445"/>
      <c r="H192" s="2444"/>
      <c r="I192" s="2444"/>
      <c r="J192" s="2444"/>
      <c r="K192" s="2444"/>
      <c r="L192" s="2444"/>
      <c r="M192" s="2444"/>
      <c r="N192" s="2448"/>
      <c r="O192" s="2449"/>
      <c r="P192" s="2449"/>
      <c r="Q192" s="2449"/>
      <c r="R192" s="2449"/>
      <c r="S192" s="2449"/>
      <c r="T192" s="2449"/>
      <c r="U192" s="2444"/>
      <c r="V192" s="2444"/>
      <c r="W192" s="2444"/>
      <c r="X192" s="2444"/>
      <c r="Y192" s="2444"/>
      <c r="Z192" s="2444"/>
      <c r="AA192" s="2444"/>
      <c r="AB192" s="2444"/>
      <c r="AC192" s="2444"/>
      <c r="AD192" s="2444"/>
      <c r="AE192" s="2444"/>
      <c r="AF192" s="2444"/>
      <c r="AG192" s="2444"/>
      <c r="AH192" s="2444"/>
      <c r="AI192" s="2444"/>
      <c r="AJ192" s="2444"/>
      <c r="AK192" s="2444"/>
      <c r="AL192" s="2444"/>
      <c r="AM192" s="2444"/>
      <c r="AN192" s="2444"/>
      <c r="AO192" s="2444"/>
      <c r="AP192" s="2444"/>
      <c r="AQ192" s="2444"/>
      <c r="AR192" s="2444"/>
      <c r="AS192" s="2444"/>
      <c r="AT192" s="2444"/>
      <c r="AU192" s="2444"/>
      <c r="AV192" s="2444"/>
      <c r="AW192" s="2444"/>
      <c r="AX192" s="2444"/>
      <c r="AY192" s="2444"/>
      <c r="AZ192" s="2444"/>
    </row>
    <row r="193" spans="1:52" ht="18" customHeight="1">
      <c r="A193" s="2444"/>
      <c r="B193" s="2445"/>
      <c r="C193" s="2445"/>
      <c r="D193" s="2445"/>
      <c r="E193" s="2445"/>
      <c r="F193" s="2445"/>
      <c r="G193" s="2445"/>
      <c r="H193" s="2444"/>
      <c r="I193" s="2444"/>
      <c r="J193" s="2444"/>
      <c r="K193" s="2444"/>
      <c r="L193" s="2444"/>
      <c r="M193" s="2444"/>
      <c r="N193" s="2448"/>
      <c r="O193" s="2449"/>
      <c r="P193" s="2449"/>
      <c r="Q193" s="2449"/>
      <c r="R193" s="2449"/>
      <c r="S193" s="2449"/>
      <c r="T193" s="2449"/>
      <c r="U193" s="2444"/>
      <c r="V193" s="2444"/>
      <c r="W193" s="2444"/>
      <c r="X193" s="2444"/>
      <c r="Y193" s="2444"/>
      <c r="Z193" s="2444"/>
      <c r="AA193" s="2444"/>
      <c r="AB193" s="2444"/>
      <c r="AC193" s="2444"/>
      <c r="AD193" s="2444"/>
      <c r="AE193" s="2444"/>
      <c r="AF193" s="2444"/>
      <c r="AG193" s="2444"/>
      <c r="AH193" s="2444"/>
      <c r="AI193" s="2444"/>
      <c r="AJ193" s="2444"/>
      <c r="AK193" s="2444"/>
      <c r="AL193" s="2444"/>
      <c r="AM193" s="2444"/>
      <c r="AN193" s="2444"/>
      <c r="AO193" s="2444"/>
      <c r="AP193" s="2444"/>
      <c r="AQ193" s="2444"/>
      <c r="AR193" s="2444"/>
      <c r="AS193" s="2444"/>
      <c r="AT193" s="2444"/>
      <c r="AU193" s="2444"/>
      <c r="AV193" s="2444"/>
      <c r="AW193" s="2444"/>
      <c r="AX193" s="2444"/>
      <c r="AY193" s="2444"/>
      <c r="AZ193" s="2444"/>
    </row>
    <row r="194" spans="1:52" ht="18" customHeight="1">
      <c r="A194" s="2444"/>
      <c r="B194" s="2445"/>
      <c r="C194" s="2445"/>
      <c r="D194" s="2445"/>
      <c r="E194" s="2445"/>
      <c r="F194" s="2445"/>
      <c r="G194" s="2445"/>
      <c r="H194" s="2444"/>
      <c r="I194" s="2444"/>
      <c r="J194" s="2444"/>
      <c r="K194" s="2444"/>
      <c r="L194" s="2444"/>
      <c r="M194" s="2444"/>
      <c r="N194" s="2448"/>
      <c r="O194" s="2449"/>
      <c r="P194" s="2449"/>
      <c r="Q194" s="2449"/>
      <c r="R194" s="2449"/>
      <c r="S194" s="2449"/>
      <c r="T194" s="2449"/>
      <c r="U194" s="2444"/>
      <c r="V194" s="2444"/>
      <c r="W194" s="2444"/>
      <c r="X194" s="2444"/>
      <c r="Y194" s="2444"/>
      <c r="Z194" s="2444"/>
      <c r="AA194" s="2444"/>
      <c r="AB194" s="2444"/>
      <c r="AC194" s="2444"/>
      <c r="AD194" s="2444"/>
      <c r="AE194" s="2444"/>
      <c r="AF194" s="2444"/>
      <c r="AG194" s="2444"/>
      <c r="AH194" s="2444"/>
      <c r="AI194" s="2444"/>
      <c r="AJ194" s="2444"/>
      <c r="AK194" s="2444"/>
      <c r="AL194" s="2444"/>
      <c r="AM194" s="2444"/>
      <c r="AN194" s="2444"/>
      <c r="AO194" s="2444"/>
      <c r="AP194" s="2444"/>
      <c r="AQ194" s="2444"/>
      <c r="AR194" s="2444"/>
      <c r="AS194" s="2444"/>
      <c r="AT194" s="2444"/>
      <c r="AU194" s="2444"/>
      <c r="AV194" s="2444"/>
      <c r="AW194" s="2444"/>
      <c r="AX194" s="2444"/>
      <c r="AY194" s="2444"/>
      <c r="AZ194" s="2444"/>
    </row>
    <row r="195" spans="1:52" ht="18" customHeight="1">
      <c r="A195" s="2444"/>
      <c r="B195" s="2445"/>
      <c r="C195" s="2445"/>
      <c r="D195" s="2445"/>
      <c r="E195" s="2445"/>
      <c r="F195" s="2445"/>
      <c r="G195" s="2445"/>
      <c r="H195" s="2444"/>
      <c r="I195" s="2444"/>
      <c r="J195" s="2444"/>
      <c r="K195" s="2444"/>
      <c r="L195" s="2444"/>
      <c r="M195" s="2444"/>
      <c r="N195" s="2448"/>
      <c r="O195" s="2449"/>
      <c r="P195" s="2449"/>
      <c r="Q195" s="2449"/>
      <c r="R195" s="2449"/>
      <c r="S195" s="2449"/>
      <c r="T195" s="2449"/>
      <c r="U195" s="2444"/>
      <c r="V195" s="2444"/>
      <c r="W195" s="2444"/>
      <c r="X195" s="2444"/>
      <c r="Y195" s="2444"/>
      <c r="Z195" s="2444"/>
      <c r="AA195" s="2444"/>
      <c r="AB195" s="2444"/>
      <c r="AC195" s="2444"/>
      <c r="AD195" s="2444"/>
      <c r="AE195" s="2444"/>
      <c r="AF195" s="2444"/>
      <c r="AG195" s="2444"/>
      <c r="AH195" s="2444"/>
      <c r="AI195" s="2444"/>
      <c r="AJ195" s="2444"/>
      <c r="AK195" s="2444"/>
      <c r="AL195" s="2444"/>
      <c r="AM195" s="2444"/>
      <c r="AN195" s="2444"/>
      <c r="AO195" s="2444"/>
      <c r="AP195" s="2444"/>
      <c r="AQ195" s="2444"/>
      <c r="AR195" s="2444"/>
      <c r="AS195" s="2444"/>
      <c r="AT195" s="2444"/>
      <c r="AU195" s="2444"/>
      <c r="AV195" s="2444"/>
      <c r="AW195" s="2444"/>
      <c r="AX195" s="2444"/>
      <c r="AY195" s="2444"/>
      <c r="AZ195" s="2444"/>
    </row>
    <row r="196" spans="1:52" ht="18" customHeight="1">
      <c r="A196" s="2444"/>
      <c r="B196" s="2445"/>
      <c r="C196" s="2445"/>
      <c r="D196" s="2445"/>
      <c r="E196" s="2445"/>
      <c r="F196" s="2445"/>
      <c r="G196" s="2445"/>
      <c r="H196" s="2444"/>
      <c r="I196" s="2444"/>
      <c r="J196" s="2444"/>
      <c r="K196" s="2444"/>
      <c r="L196" s="2444"/>
      <c r="M196" s="2444"/>
      <c r="N196" s="2448"/>
      <c r="O196" s="2449"/>
      <c r="P196" s="2449"/>
      <c r="Q196" s="2449"/>
      <c r="R196" s="2449"/>
      <c r="S196" s="2449"/>
      <c r="T196" s="2449"/>
      <c r="U196" s="2444"/>
      <c r="V196" s="2444"/>
      <c r="W196" s="2444"/>
      <c r="X196" s="2444"/>
      <c r="Y196" s="2444"/>
      <c r="Z196" s="2444"/>
      <c r="AA196" s="2444"/>
      <c r="AB196" s="2444"/>
      <c r="AC196" s="2444"/>
      <c r="AD196" s="2444"/>
      <c r="AE196" s="2444"/>
      <c r="AF196" s="2444"/>
      <c r="AG196" s="2444"/>
      <c r="AH196" s="2444"/>
      <c r="AI196" s="2444"/>
      <c r="AJ196" s="2444"/>
      <c r="AK196" s="2444"/>
      <c r="AL196" s="2444"/>
      <c r="AM196" s="2444"/>
      <c r="AN196" s="2444"/>
      <c r="AO196" s="2444"/>
      <c r="AP196" s="2444"/>
      <c r="AQ196" s="2444"/>
      <c r="AR196" s="2444"/>
      <c r="AS196" s="2444"/>
      <c r="AT196" s="2444"/>
      <c r="AU196" s="2444"/>
      <c r="AV196" s="2444"/>
      <c r="AW196" s="2444"/>
      <c r="AX196" s="2444"/>
      <c r="AY196" s="2444"/>
      <c r="AZ196" s="2444"/>
    </row>
    <row r="197" spans="1:52" ht="18" customHeight="1">
      <c r="A197" s="2444"/>
      <c r="B197" s="2445"/>
      <c r="C197" s="2445"/>
      <c r="D197" s="2445"/>
      <c r="E197" s="2445"/>
      <c r="F197" s="2445"/>
      <c r="G197" s="2445"/>
      <c r="H197" s="2444"/>
      <c r="I197" s="2444"/>
      <c r="J197" s="2444"/>
      <c r="K197" s="2444"/>
      <c r="L197" s="2444"/>
      <c r="M197" s="2444"/>
      <c r="N197" s="2448"/>
      <c r="O197" s="2449"/>
      <c r="P197" s="2449"/>
      <c r="Q197" s="2449"/>
      <c r="R197" s="2449"/>
      <c r="S197" s="2449"/>
      <c r="T197" s="2449"/>
      <c r="U197" s="2444"/>
      <c r="V197" s="2444"/>
      <c r="W197" s="2444"/>
      <c r="X197" s="2444"/>
      <c r="Y197" s="2444"/>
      <c r="Z197" s="2444"/>
      <c r="AA197" s="2444"/>
      <c r="AB197" s="2444"/>
      <c r="AC197" s="2444"/>
      <c r="AD197" s="2444"/>
      <c r="AE197" s="2444"/>
      <c r="AF197" s="2444"/>
      <c r="AG197" s="2444"/>
      <c r="AH197" s="2444"/>
      <c r="AI197" s="2444"/>
      <c r="AJ197" s="2444"/>
      <c r="AK197" s="2444"/>
      <c r="AL197" s="2444"/>
      <c r="AM197" s="2444"/>
      <c r="AN197" s="2444"/>
      <c r="AO197" s="2444"/>
      <c r="AP197" s="2444"/>
      <c r="AQ197" s="2444"/>
      <c r="AR197" s="2444"/>
      <c r="AS197" s="2444"/>
      <c r="AT197" s="2444"/>
      <c r="AU197" s="2444"/>
      <c r="AV197" s="2444"/>
      <c r="AW197" s="2444"/>
      <c r="AX197" s="2444"/>
      <c r="AY197" s="2444"/>
      <c r="AZ197" s="2444"/>
    </row>
    <row r="198" spans="1:52" ht="18" customHeight="1">
      <c r="A198" s="2444"/>
      <c r="B198" s="2445"/>
      <c r="C198" s="2445"/>
      <c r="D198" s="2445"/>
      <c r="E198" s="2445"/>
      <c r="F198" s="2445"/>
      <c r="G198" s="2445"/>
      <c r="H198" s="2444"/>
      <c r="I198" s="2444"/>
      <c r="J198" s="2444"/>
      <c r="K198" s="2444"/>
      <c r="L198" s="2444"/>
      <c r="M198" s="2444"/>
      <c r="N198" s="2448"/>
      <c r="O198" s="2449"/>
      <c r="P198" s="2449"/>
      <c r="Q198" s="2449"/>
      <c r="R198" s="2449"/>
      <c r="S198" s="2449"/>
      <c r="T198" s="2449"/>
      <c r="U198" s="2444"/>
      <c r="V198" s="2444"/>
      <c r="W198" s="2444"/>
      <c r="X198" s="2444"/>
      <c r="Y198" s="2444"/>
      <c r="Z198" s="2444"/>
      <c r="AA198" s="2444"/>
      <c r="AB198" s="2444"/>
      <c r="AC198" s="2444"/>
      <c r="AD198" s="2444"/>
      <c r="AE198" s="2444"/>
      <c r="AF198" s="2444"/>
      <c r="AG198" s="2444"/>
      <c r="AH198" s="2444"/>
      <c r="AI198" s="2444"/>
      <c r="AJ198" s="2444"/>
      <c r="AK198" s="2444"/>
      <c r="AL198" s="2444"/>
      <c r="AM198" s="2444"/>
      <c r="AN198" s="2444"/>
      <c r="AO198" s="2444"/>
      <c r="AP198" s="2444"/>
      <c r="AQ198" s="2444"/>
      <c r="AR198" s="2444"/>
      <c r="AS198" s="2444"/>
      <c r="AT198" s="2444"/>
      <c r="AU198" s="2444"/>
      <c r="AV198" s="2444"/>
      <c r="AW198" s="2444"/>
      <c r="AX198" s="2444"/>
      <c r="AY198" s="2444"/>
      <c r="AZ198" s="2444"/>
    </row>
    <row r="199" spans="1:52" ht="18" customHeight="1">
      <c r="A199" s="2444"/>
      <c r="B199" s="2445"/>
      <c r="C199" s="2445"/>
      <c r="D199" s="2445"/>
      <c r="E199" s="2445"/>
      <c r="F199" s="2445"/>
      <c r="G199" s="2445"/>
      <c r="H199" s="2444"/>
      <c r="I199" s="2444"/>
      <c r="J199" s="2444"/>
      <c r="K199" s="2444"/>
      <c r="L199" s="2444"/>
      <c r="M199" s="2444"/>
      <c r="N199" s="2448"/>
      <c r="O199" s="2449"/>
      <c r="P199" s="2449"/>
      <c r="Q199" s="2449"/>
      <c r="R199" s="2449"/>
      <c r="S199" s="2449"/>
      <c r="T199" s="2449"/>
      <c r="U199" s="2444"/>
      <c r="V199" s="2444"/>
      <c r="W199" s="2444"/>
      <c r="X199" s="2444"/>
      <c r="Y199" s="2444"/>
      <c r="Z199" s="2444"/>
      <c r="AA199" s="2444"/>
      <c r="AB199" s="2444"/>
      <c r="AC199" s="2444"/>
      <c r="AD199" s="2444"/>
      <c r="AE199" s="2444"/>
      <c r="AF199" s="2444"/>
      <c r="AG199" s="2444"/>
      <c r="AH199" s="2444"/>
      <c r="AI199" s="2444"/>
      <c r="AJ199" s="2444"/>
      <c r="AK199" s="2444"/>
      <c r="AL199" s="2444"/>
      <c r="AM199" s="2444"/>
      <c r="AN199" s="2444"/>
      <c r="AO199" s="2444"/>
      <c r="AP199" s="2444"/>
      <c r="AQ199" s="2444"/>
      <c r="AR199" s="2444"/>
      <c r="AS199" s="2444"/>
      <c r="AT199" s="2444"/>
      <c r="AU199" s="2444"/>
      <c r="AV199" s="2444"/>
      <c r="AW199" s="2444"/>
      <c r="AX199" s="2444"/>
      <c r="AY199" s="2444"/>
      <c r="AZ199" s="2444"/>
    </row>
    <row r="200" spans="1:52" ht="18" customHeight="1">
      <c r="A200" s="2444"/>
      <c r="B200" s="2445"/>
      <c r="C200" s="2445"/>
      <c r="D200" s="2445"/>
      <c r="E200" s="2445"/>
      <c r="F200" s="2445"/>
      <c r="G200" s="2445"/>
      <c r="H200" s="2444"/>
      <c r="I200" s="2444"/>
      <c r="J200" s="2444"/>
      <c r="K200" s="2444"/>
      <c r="L200" s="2444"/>
      <c r="M200" s="2444"/>
      <c r="N200" s="2448"/>
      <c r="O200" s="2449"/>
      <c r="P200" s="2449"/>
      <c r="Q200" s="2449"/>
      <c r="R200" s="2449"/>
      <c r="S200" s="2449"/>
      <c r="T200" s="2449"/>
      <c r="U200" s="2444"/>
      <c r="V200" s="2444"/>
      <c r="W200" s="2444"/>
      <c r="X200" s="2444"/>
      <c r="Y200" s="2444"/>
      <c r="Z200" s="2444"/>
      <c r="AA200" s="2444"/>
      <c r="AB200" s="2444"/>
      <c r="AC200" s="2444"/>
      <c r="AD200" s="2444"/>
      <c r="AE200" s="2444"/>
      <c r="AF200" s="2444"/>
      <c r="AG200" s="2444"/>
      <c r="AH200" s="2444"/>
      <c r="AI200" s="2444"/>
      <c r="AJ200" s="2444"/>
      <c r="AK200" s="2444"/>
      <c r="AL200" s="2444"/>
      <c r="AM200" s="2444"/>
      <c r="AN200" s="2444"/>
      <c r="AO200" s="2444"/>
      <c r="AP200" s="2444"/>
      <c r="AQ200" s="2444"/>
      <c r="AR200" s="2444"/>
      <c r="AS200" s="2444"/>
      <c r="AT200" s="2444"/>
      <c r="AU200" s="2444"/>
      <c r="AV200" s="2444"/>
      <c r="AW200" s="2444"/>
      <c r="AX200" s="2444"/>
      <c r="AY200" s="2444"/>
      <c r="AZ200" s="2444"/>
    </row>
    <row r="201" spans="1:52" ht="18" customHeight="1">
      <c r="A201" s="2444"/>
      <c r="B201" s="2445"/>
      <c r="C201" s="2445"/>
      <c r="D201" s="2445"/>
      <c r="E201" s="2445"/>
      <c r="F201" s="2445"/>
      <c r="G201" s="2445"/>
      <c r="H201" s="2444"/>
      <c r="I201" s="2444"/>
      <c r="J201" s="2444"/>
      <c r="K201" s="2444"/>
      <c r="L201" s="2444"/>
      <c r="M201" s="2444"/>
      <c r="N201" s="2448"/>
      <c r="O201" s="2449"/>
      <c r="P201" s="2449"/>
      <c r="Q201" s="2449"/>
      <c r="R201" s="2449"/>
      <c r="S201" s="2449"/>
      <c r="T201" s="2449"/>
      <c r="U201" s="2444"/>
      <c r="V201" s="2444"/>
      <c r="W201" s="2444"/>
      <c r="X201" s="2444"/>
      <c r="Y201" s="2444"/>
      <c r="Z201" s="2444"/>
      <c r="AA201" s="2444"/>
      <c r="AB201" s="2444"/>
      <c r="AC201" s="2444"/>
      <c r="AD201" s="2444"/>
      <c r="AE201" s="2444"/>
      <c r="AF201" s="2444"/>
      <c r="AG201" s="2444"/>
      <c r="AH201" s="2444"/>
      <c r="AI201" s="2444"/>
      <c r="AJ201" s="2444"/>
      <c r="AK201" s="2444"/>
      <c r="AL201" s="2444"/>
      <c r="AM201" s="2444"/>
      <c r="AN201" s="2444"/>
      <c r="AO201" s="2444"/>
      <c r="AP201" s="2444"/>
      <c r="AQ201" s="2444"/>
      <c r="AR201" s="2444"/>
      <c r="AS201" s="2444"/>
      <c r="AT201" s="2444"/>
      <c r="AU201" s="2444"/>
      <c r="AV201" s="2444"/>
      <c r="AW201" s="2444"/>
      <c r="AX201" s="2444"/>
      <c r="AY201" s="2444"/>
      <c r="AZ201" s="2444"/>
    </row>
    <row r="202" spans="1:52" ht="18" customHeight="1">
      <c r="A202" s="2444"/>
      <c r="B202" s="2445"/>
      <c r="C202" s="2445"/>
      <c r="D202" s="2445"/>
      <c r="E202" s="2445"/>
      <c r="F202" s="2445"/>
      <c r="G202" s="2445"/>
      <c r="H202" s="2444"/>
      <c r="I202" s="2444"/>
      <c r="J202" s="2444"/>
      <c r="K202" s="2444"/>
      <c r="L202" s="2444"/>
      <c r="M202" s="2444"/>
      <c r="N202" s="2448"/>
      <c r="O202" s="2449"/>
      <c r="P202" s="2449"/>
      <c r="Q202" s="2449"/>
      <c r="R202" s="2449"/>
      <c r="S202" s="2449"/>
      <c r="T202" s="2449"/>
      <c r="U202" s="2444"/>
      <c r="V202" s="2444"/>
      <c r="W202" s="2444"/>
      <c r="X202" s="2444"/>
      <c r="Y202" s="2444"/>
      <c r="Z202" s="2444"/>
      <c r="AA202" s="2444"/>
      <c r="AB202" s="2444"/>
      <c r="AC202" s="2444"/>
      <c r="AD202" s="2444"/>
      <c r="AE202" s="2444"/>
      <c r="AF202" s="2444"/>
      <c r="AG202" s="2444"/>
      <c r="AH202" s="2444"/>
      <c r="AI202" s="2444"/>
      <c r="AJ202" s="2444"/>
      <c r="AK202" s="2444"/>
      <c r="AL202" s="2444"/>
      <c r="AM202" s="2444"/>
      <c r="AN202" s="2444"/>
      <c r="AO202" s="2444"/>
      <c r="AP202" s="2444"/>
      <c r="AQ202" s="2444"/>
      <c r="AR202" s="2444"/>
      <c r="AS202" s="2444"/>
      <c r="AT202" s="2444"/>
      <c r="AU202" s="2444"/>
      <c r="AV202" s="2444"/>
      <c r="AW202" s="2444"/>
      <c r="AX202" s="2444"/>
      <c r="AY202" s="2444"/>
      <c r="AZ202" s="2444"/>
    </row>
    <row r="203" spans="1:52" ht="18" customHeight="1">
      <c r="A203" s="2444"/>
      <c r="B203" s="2445"/>
      <c r="C203" s="2445"/>
      <c r="D203" s="2445"/>
      <c r="E203" s="2445"/>
      <c r="F203" s="2445"/>
      <c r="G203" s="2445"/>
      <c r="H203" s="2444"/>
      <c r="I203" s="2444"/>
      <c r="J203" s="2444"/>
      <c r="K203" s="2444"/>
      <c r="L203" s="2444"/>
      <c r="M203" s="2444"/>
      <c r="N203" s="2448"/>
      <c r="O203" s="2449"/>
      <c r="P203" s="2449"/>
      <c r="Q203" s="2449"/>
      <c r="R203" s="2449"/>
      <c r="S203" s="2449"/>
      <c r="T203" s="2449"/>
      <c r="U203" s="2444"/>
      <c r="V203" s="2444"/>
      <c r="W203" s="2444"/>
      <c r="X203" s="2444"/>
      <c r="Y203" s="2444"/>
      <c r="Z203" s="2444"/>
      <c r="AA203" s="2444"/>
      <c r="AB203" s="2444"/>
      <c r="AC203" s="2444"/>
      <c r="AD203" s="2444"/>
      <c r="AE203" s="2444"/>
      <c r="AF203" s="2444"/>
      <c r="AG203" s="2444"/>
      <c r="AH203" s="2444"/>
      <c r="AI203" s="2444"/>
      <c r="AJ203" s="2444"/>
      <c r="AK203" s="2444"/>
      <c r="AL203" s="2444"/>
      <c r="AM203" s="2444"/>
      <c r="AN203" s="2444"/>
      <c r="AO203" s="2444"/>
      <c r="AP203" s="2444"/>
      <c r="AQ203" s="2444"/>
      <c r="AR203" s="2444"/>
      <c r="AS203" s="2444"/>
      <c r="AT203" s="2444"/>
      <c r="AU203" s="2444"/>
      <c r="AV203" s="2444"/>
      <c r="AW203" s="2444"/>
      <c r="AX203" s="2444"/>
      <c r="AY203" s="2444"/>
      <c r="AZ203" s="2444"/>
    </row>
    <row r="204" spans="1:52" ht="18" customHeight="1">
      <c r="A204" s="2444"/>
      <c r="B204" s="2445"/>
      <c r="C204" s="2445"/>
      <c r="D204" s="2445"/>
      <c r="E204" s="2445"/>
      <c r="F204" s="2445"/>
      <c r="G204" s="2445"/>
      <c r="H204" s="2444"/>
      <c r="I204" s="2444"/>
      <c r="J204" s="2444"/>
      <c r="K204" s="2444"/>
      <c r="L204" s="2444"/>
      <c r="M204" s="2444"/>
      <c r="N204" s="2448"/>
      <c r="O204" s="2449"/>
      <c r="P204" s="2449"/>
      <c r="Q204" s="2449"/>
      <c r="R204" s="2449"/>
      <c r="S204" s="2449"/>
      <c r="T204" s="2449"/>
      <c r="U204" s="2444"/>
      <c r="V204" s="2444"/>
      <c r="W204" s="2444"/>
      <c r="X204" s="2444"/>
      <c r="Y204" s="2444"/>
      <c r="Z204" s="2444"/>
      <c r="AA204" s="2444"/>
      <c r="AB204" s="2444"/>
      <c r="AC204" s="2444"/>
      <c r="AD204" s="2444"/>
      <c r="AE204" s="2444"/>
      <c r="AF204" s="2444"/>
      <c r="AG204" s="2444"/>
      <c r="AH204" s="2444"/>
      <c r="AI204" s="2444"/>
      <c r="AJ204" s="2444"/>
      <c r="AK204" s="2444"/>
      <c r="AL204" s="2444"/>
      <c r="AM204" s="2444"/>
      <c r="AN204" s="2444"/>
      <c r="AO204" s="2444"/>
      <c r="AP204" s="2444"/>
      <c r="AQ204" s="2444"/>
      <c r="AR204" s="2444"/>
      <c r="AS204" s="2444"/>
      <c r="AT204" s="2444"/>
      <c r="AU204" s="2444"/>
      <c r="AV204" s="2444"/>
      <c r="AW204" s="2444"/>
      <c r="AX204" s="2444"/>
      <c r="AY204" s="2444"/>
      <c r="AZ204" s="2444"/>
    </row>
    <row r="205" spans="1:52" ht="18" customHeight="1">
      <c r="A205" s="2444"/>
      <c r="B205" s="2445"/>
      <c r="C205" s="2445"/>
      <c r="D205" s="2445"/>
      <c r="E205" s="2445"/>
      <c r="F205" s="2445"/>
      <c r="G205" s="2445"/>
      <c r="H205" s="2444"/>
      <c r="I205" s="2444"/>
      <c r="J205" s="2444"/>
      <c r="K205" s="2444"/>
      <c r="L205" s="2444"/>
      <c r="M205" s="2444"/>
      <c r="N205" s="2448"/>
      <c r="O205" s="2449"/>
      <c r="P205" s="2449"/>
      <c r="Q205" s="2449"/>
      <c r="R205" s="2449"/>
      <c r="S205" s="2449"/>
      <c r="T205" s="2449"/>
      <c r="U205" s="2444"/>
      <c r="V205" s="2444"/>
      <c r="W205" s="2444"/>
      <c r="X205" s="2444"/>
      <c r="Y205" s="2444"/>
      <c r="Z205" s="2444"/>
      <c r="AA205" s="2444"/>
      <c r="AB205" s="2444"/>
      <c r="AC205" s="2444"/>
      <c r="AD205" s="2444"/>
      <c r="AE205" s="2444"/>
      <c r="AF205" s="2444"/>
      <c r="AG205" s="2444"/>
      <c r="AH205" s="2444"/>
      <c r="AI205" s="2444"/>
      <c r="AJ205" s="2444"/>
      <c r="AK205" s="2444"/>
      <c r="AL205" s="2444"/>
      <c r="AM205" s="2444"/>
      <c r="AN205" s="2444"/>
      <c r="AO205" s="2444"/>
      <c r="AP205" s="2444"/>
      <c r="AQ205" s="2444"/>
      <c r="AR205" s="2444"/>
      <c r="AS205" s="2444"/>
      <c r="AT205" s="2444"/>
      <c r="AU205" s="2444"/>
      <c r="AV205" s="2444"/>
      <c r="AW205" s="2444"/>
      <c r="AX205" s="2444"/>
      <c r="AY205" s="2444"/>
      <c r="AZ205" s="2444"/>
    </row>
    <row r="206" spans="1:52" ht="18" customHeight="1">
      <c r="A206" s="2444"/>
      <c r="B206" s="2445"/>
      <c r="C206" s="2445"/>
      <c r="D206" s="2445"/>
      <c r="E206" s="2445"/>
      <c r="F206" s="2445"/>
      <c r="G206" s="2445"/>
      <c r="H206" s="2444"/>
      <c r="I206" s="2444"/>
      <c r="J206" s="2444"/>
      <c r="K206" s="2444"/>
      <c r="L206" s="2444"/>
      <c r="M206" s="2444"/>
      <c r="N206" s="2448"/>
      <c r="O206" s="2449"/>
      <c r="P206" s="2449"/>
      <c r="Q206" s="2449"/>
      <c r="R206" s="2449"/>
      <c r="S206" s="2449"/>
      <c r="T206" s="2449"/>
      <c r="U206" s="2444"/>
      <c r="V206" s="2444"/>
      <c r="W206" s="2444"/>
      <c r="X206" s="2444"/>
      <c r="Y206" s="2444"/>
      <c r="Z206" s="2444"/>
      <c r="AA206" s="2444"/>
      <c r="AB206" s="2444"/>
      <c r="AC206" s="2444"/>
      <c r="AD206" s="2444"/>
      <c r="AE206" s="2444"/>
      <c r="AF206" s="2444"/>
      <c r="AG206" s="2444"/>
      <c r="AH206" s="2444"/>
      <c r="AI206" s="2444"/>
      <c r="AJ206" s="2444"/>
      <c r="AK206" s="2444"/>
      <c r="AL206" s="2444"/>
      <c r="AM206" s="2444"/>
      <c r="AN206" s="2444"/>
      <c r="AO206" s="2444"/>
      <c r="AP206" s="2444"/>
      <c r="AQ206" s="2444"/>
      <c r="AR206" s="2444"/>
      <c r="AS206" s="2444"/>
      <c r="AT206" s="2444"/>
      <c r="AU206" s="2444"/>
      <c r="AV206" s="2444"/>
      <c r="AW206" s="2444"/>
      <c r="AX206" s="2444"/>
      <c r="AY206" s="2444"/>
      <c r="AZ206" s="2444"/>
    </row>
    <row r="207" spans="1:52" ht="18" customHeight="1">
      <c r="A207" s="2444"/>
      <c r="B207" s="2445"/>
      <c r="C207" s="2445"/>
      <c r="D207" s="2445"/>
      <c r="E207" s="2445"/>
      <c r="F207" s="2445"/>
      <c r="G207" s="2445"/>
      <c r="H207" s="2444"/>
      <c r="I207" s="2444"/>
      <c r="J207" s="2444"/>
      <c r="K207" s="2444"/>
      <c r="L207" s="2444"/>
      <c r="M207" s="2444"/>
      <c r="N207" s="2448"/>
      <c r="O207" s="2449"/>
      <c r="P207" s="2449"/>
      <c r="Q207" s="2449"/>
      <c r="R207" s="2449"/>
      <c r="S207" s="2449"/>
      <c r="T207" s="2449"/>
      <c r="U207" s="2444"/>
      <c r="V207" s="2444"/>
      <c r="W207" s="2444"/>
      <c r="X207" s="2444"/>
      <c r="Y207" s="2444"/>
      <c r="Z207" s="2444"/>
      <c r="AA207" s="2444"/>
      <c r="AB207" s="2444"/>
      <c r="AC207" s="2444"/>
      <c r="AD207" s="2444"/>
      <c r="AE207" s="2444"/>
      <c r="AF207" s="2444"/>
      <c r="AG207" s="2444"/>
      <c r="AH207" s="2444"/>
      <c r="AI207" s="2444"/>
      <c r="AJ207" s="2444"/>
      <c r="AK207" s="2444"/>
      <c r="AL207" s="2444"/>
      <c r="AM207" s="2444"/>
      <c r="AN207" s="2444"/>
      <c r="AO207" s="2444"/>
      <c r="AP207" s="2444"/>
      <c r="AQ207" s="2444"/>
      <c r="AR207" s="2444"/>
      <c r="AS207" s="2444"/>
      <c r="AT207" s="2444"/>
      <c r="AU207" s="2444"/>
      <c r="AV207" s="2444"/>
      <c r="AW207" s="2444"/>
      <c r="AX207" s="2444"/>
      <c r="AY207" s="2444"/>
      <c r="AZ207" s="2444"/>
    </row>
    <row r="208" spans="1:52" ht="18" customHeight="1">
      <c r="A208" s="2444"/>
      <c r="B208" s="2445"/>
      <c r="C208" s="2445"/>
      <c r="D208" s="2445"/>
      <c r="E208" s="2445"/>
      <c r="F208" s="2445"/>
      <c r="G208" s="2445"/>
      <c r="H208" s="2444"/>
      <c r="I208" s="2444"/>
      <c r="J208" s="2444"/>
      <c r="K208" s="2444"/>
      <c r="L208" s="2444"/>
      <c r="M208" s="2444"/>
      <c r="N208" s="2448"/>
      <c r="O208" s="2449"/>
      <c r="P208" s="2449"/>
      <c r="Q208" s="2449"/>
      <c r="R208" s="2449"/>
      <c r="S208" s="2449"/>
      <c r="T208" s="2449"/>
      <c r="U208" s="2444"/>
      <c r="V208" s="2444"/>
      <c r="W208" s="2444"/>
      <c r="X208" s="2444"/>
      <c r="Y208" s="2444"/>
      <c r="Z208" s="2444"/>
      <c r="AA208" s="2444"/>
      <c r="AB208" s="2444"/>
      <c r="AC208" s="2444"/>
      <c r="AD208" s="2444"/>
      <c r="AE208" s="2444"/>
      <c r="AF208" s="2444"/>
      <c r="AG208" s="2444"/>
      <c r="AH208" s="2444"/>
      <c r="AI208" s="2444"/>
      <c r="AJ208" s="2444"/>
      <c r="AK208" s="2444"/>
      <c r="AL208" s="2444"/>
      <c r="AM208" s="2444"/>
      <c r="AN208" s="2444"/>
      <c r="AO208" s="2444"/>
      <c r="AP208" s="2444"/>
      <c r="AQ208" s="2444"/>
      <c r="AR208" s="2444"/>
      <c r="AS208" s="2444"/>
      <c r="AT208" s="2444"/>
      <c r="AU208" s="2444"/>
      <c r="AV208" s="2444"/>
      <c r="AW208" s="2444"/>
      <c r="AX208" s="2444"/>
      <c r="AY208" s="2444"/>
      <c r="AZ208" s="2444"/>
    </row>
    <row r="209" spans="1:52" ht="18" customHeight="1">
      <c r="A209" s="2444"/>
      <c r="B209" s="2445"/>
      <c r="C209" s="2445"/>
      <c r="D209" s="2445"/>
      <c r="E209" s="2445"/>
      <c r="F209" s="2445"/>
      <c r="G209" s="2445"/>
      <c r="H209" s="2444"/>
      <c r="I209" s="2444"/>
      <c r="J209" s="2444"/>
      <c r="K209" s="2444"/>
      <c r="L209" s="2444"/>
      <c r="M209" s="2444"/>
      <c r="N209" s="2448"/>
      <c r="O209" s="2449"/>
      <c r="P209" s="2449"/>
      <c r="Q209" s="2449"/>
      <c r="R209" s="2449"/>
      <c r="S209" s="2449"/>
      <c r="T209" s="2449"/>
      <c r="U209" s="2444"/>
      <c r="V209" s="2444"/>
      <c r="W209" s="2444"/>
      <c r="X209" s="2444"/>
      <c r="Y209" s="2444"/>
      <c r="Z209" s="2444"/>
      <c r="AA209" s="2444"/>
      <c r="AB209" s="2444"/>
      <c r="AC209" s="2444"/>
      <c r="AD209" s="2444"/>
      <c r="AE209" s="2444"/>
      <c r="AF209" s="2444"/>
      <c r="AG209" s="2444"/>
      <c r="AH209" s="2444"/>
      <c r="AI209" s="2444"/>
      <c r="AJ209" s="2444"/>
      <c r="AK209" s="2444"/>
      <c r="AL209" s="2444"/>
      <c r="AM209" s="2444"/>
      <c r="AN209" s="2444"/>
      <c r="AO209" s="2444"/>
      <c r="AP209" s="2444"/>
      <c r="AQ209" s="2444"/>
      <c r="AR209" s="2444"/>
      <c r="AS209" s="2444"/>
      <c r="AT209" s="2444"/>
      <c r="AU209" s="2444"/>
      <c r="AV209" s="2444"/>
      <c r="AW209" s="2444"/>
      <c r="AX209" s="2444"/>
      <c r="AY209" s="2444"/>
      <c r="AZ209" s="2444"/>
    </row>
    <row r="210" spans="1:52" ht="18" customHeight="1">
      <c r="A210" s="2444"/>
      <c r="B210" s="2445"/>
      <c r="C210" s="2445"/>
      <c r="D210" s="2445"/>
      <c r="E210" s="2445"/>
      <c r="F210" s="2445"/>
      <c r="G210" s="2445"/>
      <c r="H210" s="2444"/>
      <c r="I210" s="2444"/>
      <c r="J210" s="2444"/>
      <c r="K210" s="2444"/>
      <c r="L210" s="2444"/>
      <c r="M210" s="2444"/>
      <c r="N210" s="2448"/>
      <c r="O210" s="2449"/>
      <c r="P210" s="2449"/>
      <c r="Q210" s="2449"/>
      <c r="R210" s="2449"/>
      <c r="S210" s="2449"/>
      <c r="T210" s="2449"/>
      <c r="U210" s="2444"/>
      <c r="V210" s="2444"/>
      <c r="W210" s="2444"/>
      <c r="X210" s="2444"/>
      <c r="Y210" s="2444"/>
      <c r="Z210" s="2444"/>
      <c r="AA210" s="2444"/>
      <c r="AB210" s="2444"/>
      <c r="AC210" s="2444"/>
      <c r="AD210" s="2444"/>
      <c r="AE210" s="2444"/>
      <c r="AF210" s="2444"/>
      <c r="AG210" s="2444"/>
      <c r="AH210" s="2444"/>
      <c r="AI210" s="2444"/>
      <c r="AJ210" s="2444"/>
      <c r="AK210" s="2444"/>
      <c r="AL210" s="2444"/>
      <c r="AM210" s="2444"/>
      <c r="AN210" s="2444"/>
      <c r="AO210" s="2444"/>
      <c r="AP210" s="2444"/>
      <c r="AQ210" s="2444"/>
      <c r="AR210" s="2444"/>
      <c r="AS210" s="2444"/>
      <c r="AT210" s="2444"/>
      <c r="AU210" s="2444"/>
      <c r="AV210" s="2444"/>
      <c r="AW210" s="2444"/>
      <c r="AX210" s="2444"/>
      <c r="AY210" s="2444"/>
      <c r="AZ210" s="2444"/>
    </row>
    <row r="211" spans="1:52" ht="18" customHeight="1">
      <c r="A211" s="2444"/>
      <c r="B211" s="2445"/>
      <c r="C211" s="2445"/>
      <c r="D211" s="2445"/>
      <c r="E211" s="2445"/>
      <c r="F211" s="2445"/>
      <c r="G211" s="2445"/>
      <c r="H211" s="2444"/>
      <c r="I211" s="2444"/>
      <c r="J211" s="2444"/>
      <c r="K211" s="2444"/>
      <c r="L211" s="2444"/>
      <c r="M211" s="2444"/>
      <c r="N211" s="2448"/>
      <c r="O211" s="2449"/>
      <c r="P211" s="2449"/>
      <c r="Q211" s="2449"/>
      <c r="R211" s="2449"/>
      <c r="S211" s="2449"/>
      <c r="T211" s="2449"/>
      <c r="U211" s="2444"/>
      <c r="V211" s="2444"/>
      <c r="W211" s="2444"/>
      <c r="X211" s="2444"/>
      <c r="Y211" s="2444"/>
      <c r="Z211" s="2444"/>
      <c r="AA211" s="2444"/>
      <c r="AB211" s="2444"/>
      <c r="AC211" s="2444"/>
      <c r="AD211" s="2444"/>
      <c r="AE211" s="2444"/>
      <c r="AF211" s="2444"/>
      <c r="AG211" s="2444"/>
      <c r="AH211" s="2444"/>
      <c r="AI211" s="2444"/>
      <c r="AJ211" s="2444"/>
      <c r="AK211" s="2444"/>
      <c r="AL211" s="2444"/>
      <c r="AM211" s="2444"/>
      <c r="AN211" s="2444"/>
      <c r="AO211" s="2444"/>
      <c r="AP211" s="2444"/>
      <c r="AQ211" s="2444"/>
      <c r="AR211" s="2444"/>
      <c r="AS211" s="2444"/>
      <c r="AT211" s="2444"/>
      <c r="AU211" s="2444"/>
      <c r="AV211" s="2444"/>
      <c r="AW211" s="2444"/>
      <c r="AX211" s="2444"/>
      <c r="AY211" s="2444"/>
      <c r="AZ211" s="2444"/>
    </row>
    <row r="212" spans="1:52" ht="18" customHeight="1">
      <c r="A212" s="2444"/>
      <c r="B212" s="2445"/>
      <c r="C212" s="2445"/>
      <c r="D212" s="2445"/>
      <c r="E212" s="2445"/>
      <c r="F212" s="2445"/>
      <c r="G212" s="2445"/>
      <c r="H212" s="2444"/>
      <c r="I212" s="2444"/>
      <c r="J212" s="2444"/>
      <c r="K212" s="2444"/>
      <c r="L212" s="2444"/>
      <c r="M212" s="2444"/>
      <c r="N212" s="2448"/>
      <c r="O212" s="2449"/>
      <c r="P212" s="2449"/>
      <c r="Q212" s="2449"/>
      <c r="R212" s="2449"/>
      <c r="S212" s="2449"/>
      <c r="T212" s="2449"/>
      <c r="U212" s="2444"/>
      <c r="V212" s="2444"/>
      <c r="W212" s="2444"/>
      <c r="X212" s="2444"/>
      <c r="Y212" s="2444"/>
      <c r="Z212" s="2444"/>
      <c r="AA212" s="2444"/>
      <c r="AB212" s="2444"/>
      <c r="AC212" s="2444"/>
      <c r="AD212" s="2444"/>
      <c r="AE212" s="2444"/>
      <c r="AF212" s="2444"/>
      <c r="AG212" s="2444"/>
      <c r="AH212" s="2444"/>
      <c r="AI212" s="2444"/>
      <c r="AJ212" s="2444"/>
      <c r="AK212" s="2444"/>
      <c r="AL212" s="2444"/>
      <c r="AM212" s="2444"/>
      <c r="AN212" s="2444"/>
      <c r="AO212" s="2444"/>
      <c r="AP212" s="2444"/>
      <c r="AQ212" s="2444"/>
      <c r="AR212" s="2444"/>
      <c r="AS212" s="2444"/>
      <c r="AT212" s="2444"/>
      <c r="AU212" s="2444"/>
      <c r="AV212" s="2444"/>
      <c r="AW212" s="2444"/>
      <c r="AX212" s="2444"/>
      <c r="AY212" s="2444"/>
      <c r="AZ212" s="2444"/>
    </row>
    <row r="213" spans="1:52" ht="18" customHeight="1">
      <c r="A213" s="2444"/>
      <c r="B213" s="2445"/>
      <c r="C213" s="2445"/>
      <c r="D213" s="2445"/>
      <c r="E213" s="2445"/>
      <c r="F213" s="2445"/>
      <c r="G213" s="2445"/>
      <c r="H213" s="2444"/>
      <c r="I213" s="2444"/>
      <c r="J213" s="2444"/>
      <c r="K213" s="2444"/>
      <c r="L213" s="2444"/>
      <c r="M213" s="2444"/>
      <c r="N213" s="2448"/>
      <c r="O213" s="2449"/>
      <c r="P213" s="2449"/>
      <c r="Q213" s="2449"/>
      <c r="R213" s="2449"/>
      <c r="S213" s="2449"/>
      <c r="T213" s="2449"/>
      <c r="U213" s="2444"/>
      <c r="V213" s="2444"/>
      <c r="W213" s="2444"/>
      <c r="X213" s="2444"/>
      <c r="Y213" s="2444"/>
      <c r="Z213" s="2444"/>
      <c r="AA213" s="2444"/>
      <c r="AB213" s="2444"/>
      <c r="AC213" s="2444"/>
      <c r="AD213" s="2444"/>
      <c r="AE213" s="2444"/>
      <c r="AF213" s="2444"/>
      <c r="AG213" s="2444"/>
      <c r="AH213" s="2444"/>
      <c r="AI213" s="2444"/>
      <c r="AJ213" s="2444"/>
      <c r="AK213" s="2444"/>
      <c r="AL213" s="2444"/>
      <c r="AM213" s="2444"/>
      <c r="AN213" s="2444"/>
      <c r="AO213" s="2444"/>
      <c r="AP213" s="2444"/>
      <c r="AQ213" s="2444"/>
      <c r="AR213" s="2444"/>
      <c r="AS213" s="2444"/>
      <c r="AT213" s="2444"/>
      <c r="AU213" s="2444"/>
      <c r="AV213" s="2444"/>
      <c r="AW213" s="2444"/>
      <c r="AX213" s="2444"/>
      <c r="AY213" s="2444"/>
      <c r="AZ213" s="2444"/>
    </row>
    <row r="214" spans="1:52" ht="18" customHeight="1">
      <c r="A214" s="2444"/>
      <c r="B214" s="2445"/>
      <c r="C214" s="2445"/>
      <c r="D214" s="2445"/>
      <c r="E214" s="2445"/>
      <c r="F214" s="2445"/>
      <c r="G214" s="2445"/>
      <c r="H214" s="2444"/>
      <c r="I214" s="2444"/>
      <c r="J214" s="2444"/>
      <c r="K214" s="2444"/>
      <c r="L214" s="2444"/>
      <c r="M214" s="2444"/>
      <c r="N214" s="2448"/>
      <c r="O214" s="2449"/>
      <c r="P214" s="2449"/>
      <c r="Q214" s="2449"/>
      <c r="R214" s="2449"/>
      <c r="S214" s="2449"/>
      <c r="T214" s="2449"/>
      <c r="U214" s="2444"/>
      <c r="V214" s="2444"/>
      <c r="W214" s="2444"/>
      <c r="X214" s="2444"/>
      <c r="Y214" s="2444"/>
      <c r="Z214" s="2444"/>
      <c r="AA214" s="2444"/>
      <c r="AB214" s="2444"/>
      <c r="AC214" s="2444"/>
      <c r="AD214" s="2444"/>
      <c r="AE214" s="2444"/>
      <c r="AF214" s="2444"/>
      <c r="AG214" s="2444"/>
      <c r="AH214" s="2444"/>
      <c r="AI214" s="2444"/>
      <c r="AJ214" s="2444"/>
      <c r="AK214" s="2444"/>
      <c r="AL214" s="2444"/>
      <c r="AM214" s="2444"/>
      <c r="AN214" s="2444"/>
      <c r="AO214" s="2444"/>
      <c r="AP214" s="2444"/>
      <c r="AQ214" s="2444"/>
      <c r="AR214" s="2444"/>
      <c r="AS214" s="2444"/>
      <c r="AT214" s="2444"/>
      <c r="AU214" s="2444"/>
      <c r="AV214" s="2444"/>
      <c r="AW214" s="2444"/>
      <c r="AX214" s="2444"/>
      <c r="AY214" s="2444"/>
      <c r="AZ214" s="2444"/>
    </row>
    <row r="215" spans="1:52" ht="18" customHeight="1">
      <c r="A215" s="2444"/>
      <c r="B215" s="2445"/>
      <c r="C215" s="2445"/>
      <c r="D215" s="2445"/>
      <c r="E215" s="2445"/>
      <c r="F215" s="2445"/>
      <c r="G215" s="2445"/>
      <c r="H215" s="2444"/>
      <c r="I215" s="2444"/>
      <c r="J215" s="2444"/>
      <c r="K215" s="2444"/>
      <c r="L215" s="2444"/>
      <c r="M215" s="2444"/>
      <c r="N215" s="2448"/>
      <c r="O215" s="2449"/>
      <c r="P215" s="2449"/>
      <c r="Q215" s="2449"/>
      <c r="R215" s="2449"/>
      <c r="S215" s="2449"/>
      <c r="T215" s="2449"/>
      <c r="U215" s="2444"/>
      <c r="V215" s="2444"/>
      <c r="W215" s="2444"/>
      <c r="X215" s="2444"/>
      <c r="Y215" s="2444"/>
      <c r="Z215" s="2444"/>
      <c r="AA215" s="2444"/>
      <c r="AB215" s="2444"/>
      <c r="AC215" s="2444"/>
      <c r="AD215" s="2444"/>
      <c r="AE215" s="2444"/>
      <c r="AF215" s="2444"/>
      <c r="AG215" s="2444"/>
      <c r="AH215" s="2444"/>
      <c r="AI215" s="2444"/>
      <c r="AJ215" s="2444"/>
      <c r="AK215" s="2444"/>
      <c r="AL215" s="2444"/>
      <c r="AM215" s="2444"/>
      <c r="AN215" s="2444"/>
      <c r="AO215" s="2444"/>
      <c r="AP215" s="2444"/>
      <c r="AQ215" s="2444"/>
      <c r="AR215" s="2444"/>
      <c r="AS215" s="2444"/>
      <c r="AT215" s="2444"/>
      <c r="AU215" s="2444"/>
      <c r="AV215" s="2444"/>
      <c r="AW215" s="2444"/>
      <c r="AX215" s="2444"/>
      <c r="AY215" s="2444"/>
      <c r="AZ215" s="2444"/>
    </row>
    <row r="216" spans="1:52" ht="18" customHeight="1">
      <c r="A216" s="2444"/>
      <c r="B216" s="2445"/>
      <c r="C216" s="2445"/>
      <c r="D216" s="2445"/>
      <c r="E216" s="2445"/>
      <c r="F216" s="2445"/>
      <c r="G216" s="2445"/>
      <c r="H216" s="2444"/>
      <c r="I216" s="2444"/>
      <c r="J216" s="2444"/>
      <c r="K216" s="2444"/>
      <c r="L216" s="2444"/>
      <c r="M216" s="2444"/>
      <c r="N216" s="2448"/>
      <c r="O216" s="2449"/>
      <c r="P216" s="2449"/>
      <c r="Q216" s="2449"/>
      <c r="R216" s="2449"/>
      <c r="S216" s="2449"/>
      <c r="T216" s="2449"/>
      <c r="U216" s="2444"/>
      <c r="V216" s="2444"/>
      <c r="W216" s="2444"/>
      <c r="X216" s="2444"/>
      <c r="Y216" s="2444"/>
      <c r="Z216" s="2444"/>
      <c r="AA216" s="2444"/>
      <c r="AB216" s="2444"/>
      <c r="AC216" s="2444"/>
      <c r="AD216" s="2444"/>
      <c r="AE216" s="2444"/>
      <c r="AF216" s="2444"/>
      <c r="AG216" s="2444"/>
      <c r="AH216" s="2444"/>
      <c r="AI216" s="2444"/>
      <c r="AJ216" s="2444"/>
      <c r="AK216" s="2444"/>
      <c r="AL216" s="2444"/>
      <c r="AM216" s="2444"/>
      <c r="AN216" s="2444"/>
      <c r="AO216" s="2444"/>
      <c r="AP216" s="2444"/>
      <c r="AQ216" s="2444"/>
      <c r="AR216" s="2444"/>
      <c r="AS216" s="2444"/>
      <c r="AT216" s="2444"/>
      <c r="AU216" s="2444"/>
      <c r="AV216" s="2444"/>
      <c r="AW216" s="2444"/>
      <c r="AX216" s="2444"/>
      <c r="AY216" s="2444"/>
      <c r="AZ216" s="2444"/>
    </row>
    <row r="217" spans="1:52" ht="18" customHeight="1">
      <c r="A217" s="2444"/>
      <c r="B217" s="2445"/>
      <c r="C217" s="2445"/>
      <c r="D217" s="2445"/>
      <c r="E217" s="2445"/>
      <c r="F217" s="2445"/>
      <c r="G217" s="2445"/>
      <c r="H217" s="2444"/>
      <c r="I217" s="2444"/>
      <c r="J217" s="2444"/>
      <c r="K217" s="2444"/>
      <c r="L217" s="2444"/>
      <c r="M217" s="2444"/>
      <c r="N217" s="2448"/>
      <c r="O217" s="2449"/>
      <c r="P217" s="2449"/>
      <c r="Q217" s="2449"/>
      <c r="R217" s="2449"/>
      <c r="S217" s="2449"/>
      <c r="T217" s="2449"/>
      <c r="U217" s="2444"/>
      <c r="V217" s="2444"/>
      <c r="W217" s="2444"/>
      <c r="X217" s="2444"/>
      <c r="Y217" s="2444"/>
      <c r="Z217" s="2444"/>
      <c r="AA217" s="2444"/>
      <c r="AB217" s="2444"/>
      <c r="AC217" s="2444"/>
      <c r="AD217" s="2444"/>
      <c r="AE217" s="2444"/>
      <c r="AF217" s="2444"/>
      <c r="AG217" s="2444"/>
      <c r="AH217" s="2444"/>
      <c r="AI217" s="2444"/>
      <c r="AJ217" s="2444"/>
      <c r="AK217" s="2444"/>
      <c r="AL217" s="2444"/>
      <c r="AM217" s="2444"/>
      <c r="AN217" s="2444"/>
      <c r="AO217" s="2444"/>
      <c r="AP217" s="2444"/>
      <c r="AQ217" s="2444"/>
      <c r="AR217" s="2444"/>
      <c r="AS217" s="2444"/>
      <c r="AT217" s="2444"/>
      <c r="AU217" s="2444"/>
      <c r="AV217" s="2444"/>
      <c r="AW217" s="2444"/>
      <c r="AX217" s="2444"/>
      <c r="AY217" s="2444"/>
      <c r="AZ217" s="2444"/>
    </row>
    <row r="218" spans="1:52" ht="18" customHeight="1">
      <c r="A218" s="2444"/>
      <c r="B218" s="2445"/>
      <c r="C218" s="2445"/>
      <c r="D218" s="2445"/>
      <c r="E218" s="2445"/>
      <c r="F218" s="2445"/>
      <c r="G218" s="2445"/>
      <c r="H218" s="2444"/>
      <c r="I218" s="2444"/>
      <c r="J218" s="2444"/>
      <c r="K218" s="2444"/>
      <c r="L218" s="2444"/>
      <c r="M218" s="2444"/>
      <c r="N218" s="2448"/>
      <c r="O218" s="2449"/>
      <c r="P218" s="2449"/>
      <c r="Q218" s="2449"/>
      <c r="R218" s="2449"/>
      <c r="S218" s="2449"/>
      <c r="T218" s="2449"/>
      <c r="U218" s="2444"/>
      <c r="V218" s="2444"/>
      <c r="W218" s="2444"/>
      <c r="X218" s="2444"/>
      <c r="Y218" s="2444"/>
      <c r="Z218" s="2444"/>
      <c r="AA218" s="2444"/>
      <c r="AB218" s="2444"/>
      <c r="AC218" s="2444"/>
      <c r="AD218" s="2444"/>
      <c r="AE218" s="2444"/>
      <c r="AF218" s="2444"/>
      <c r="AG218" s="2444"/>
      <c r="AH218" s="2444"/>
      <c r="AI218" s="2444"/>
      <c r="AJ218" s="2444"/>
      <c r="AK218" s="2444"/>
      <c r="AL218" s="2444"/>
      <c r="AM218" s="2444"/>
      <c r="AN218" s="2444"/>
      <c r="AO218" s="2444"/>
      <c r="AP218" s="2444"/>
      <c r="AQ218" s="2444"/>
      <c r="AR218" s="2444"/>
      <c r="AS218" s="2444"/>
      <c r="AT218" s="2444"/>
      <c r="AU218" s="2444"/>
      <c r="AV218" s="2444"/>
      <c r="AW218" s="2444"/>
      <c r="AX218" s="2444"/>
      <c r="AY218" s="2444"/>
      <c r="AZ218" s="2444"/>
    </row>
    <row r="219" spans="1:52" ht="18" customHeight="1">
      <c r="A219" s="2444"/>
      <c r="B219" s="2445"/>
      <c r="C219" s="2445"/>
      <c r="D219" s="2445"/>
      <c r="E219" s="2445"/>
      <c r="F219" s="2445"/>
      <c r="G219" s="2445"/>
      <c r="H219" s="2444"/>
      <c r="I219" s="2444"/>
      <c r="J219" s="2444"/>
      <c r="K219" s="2444"/>
      <c r="L219" s="2444"/>
      <c r="M219" s="2444"/>
      <c r="N219" s="2448"/>
      <c r="O219" s="2449"/>
      <c r="P219" s="2449"/>
      <c r="Q219" s="2449"/>
      <c r="R219" s="2449"/>
      <c r="S219" s="2449"/>
      <c r="T219" s="2449"/>
      <c r="U219" s="2444"/>
      <c r="V219" s="2444"/>
      <c r="W219" s="2444"/>
      <c r="X219" s="2444"/>
      <c r="Y219" s="2444"/>
      <c r="Z219" s="2444"/>
      <c r="AA219" s="2444"/>
      <c r="AB219" s="2444"/>
      <c r="AC219" s="2444"/>
      <c r="AD219" s="2444"/>
      <c r="AE219" s="2444"/>
      <c r="AF219" s="2444"/>
      <c r="AG219" s="2444"/>
      <c r="AH219" s="2444"/>
      <c r="AI219" s="2444"/>
      <c r="AJ219" s="2444"/>
      <c r="AK219" s="2444"/>
      <c r="AL219" s="2444"/>
      <c r="AM219" s="2444"/>
      <c r="AN219" s="2444"/>
      <c r="AO219" s="2444"/>
      <c r="AP219" s="2444"/>
      <c r="AQ219" s="2444"/>
      <c r="AR219" s="2444"/>
      <c r="AS219" s="2444"/>
      <c r="AT219" s="2444"/>
      <c r="AU219" s="2444"/>
      <c r="AV219" s="2444"/>
      <c r="AW219" s="2444"/>
      <c r="AX219" s="2444"/>
      <c r="AY219" s="2444"/>
      <c r="AZ219" s="2444"/>
    </row>
    <row r="220" spans="1:52" ht="18" customHeight="1">
      <c r="A220" s="2444"/>
      <c r="B220" s="2445"/>
      <c r="C220" s="2445"/>
      <c r="D220" s="2445"/>
      <c r="E220" s="2445"/>
      <c r="F220" s="2445"/>
      <c r="G220" s="2445"/>
      <c r="H220" s="2444"/>
      <c r="I220" s="2444"/>
      <c r="J220" s="2444"/>
      <c r="K220" s="2444"/>
      <c r="L220" s="2444"/>
      <c r="M220" s="2444"/>
      <c r="N220" s="2448"/>
      <c r="O220" s="2449"/>
      <c r="P220" s="2449"/>
      <c r="Q220" s="2449"/>
      <c r="R220" s="2449"/>
      <c r="S220" s="2449"/>
      <c r="T220" s="2449"/>
      <c r="U220" s="2444"/>
      <c r="V220" s="2444"/>
      <c r="W220" s="2444"/>
      <c r="X220" s="2444"/>
      <c r="Y220" s="2444"/>
      <c r="Z220" s="2444"/>
      <c r="AA220" s="2444"/>
      <c r="AB220" s="2444"/>
      <c r="AC220" s="2444"/>
      <c r="AD220" s="2444"/>
      <c r="AE220" s="2444"/>
      <c r="AF220" s="2444"/>
      <c r="AG220" s="2444"/>
      <c r="AH220" s="2444"/>
      <c r="AI220" s="2444"/>
      <c r="AJ220" s="2444"/>
      <c r="AK220" s="2444"/>
      <c r="AL220" s="2444"/>
      <c r="AM220" s="2444"/>
      <c r="AN220" s="2444"/>
      <c r="AO220" s="2444"/>
      <c r="AP220" s="2444"/>
      <c r="AQ220" s="2444"/>
      <c r="AR220" s="2444"/>
      <c r="AS220" s="2444"/>
      <c r="AT220" s="2444"/>
      <c r="AU220" s="2444"/>
      <c r="AV220" s="2444"/>
      <c r="AW220" s="2444"/>
      <c r="AX220" s="2444"/>
      <c r="AY220" s="2444"/>
      <c r="AZ220" s="2444"/>
    </row>
    <row r="221" spans="1:52" ht="18" customHeight="1">
      <c r="A221" s="2444"/>
      <c r="B221" s="2445"/>
      <c r="C221" s="2445"/>
      <c r="D221" s="2445"/>
      <c r="E221" s="2445"/>
      <c r="F221" s="2445"/>
      <c r="G221" s="2445"/>
      <c r="H221" s="2444"/>
      <c r="I221" s="2444"/>
      <c r="J221" s="2444"/>
      <c r="K221" s="2444"/>
      <c r="L221" s="2444"/>
      <c r="M221" s="2444"/>
      <c r="N221" s="2448"/>
      <c r="O221" s="2449"/>
      <c r="P221" s="2449"/>
      <c r="Q221" s="2449"/>
      <c r="R221" s="2449"/>
      <c r="S221" s="2449"/>
      <c r="T221" s="2449"/>
      <c r="U221" s="2444"/>
      <c r="V221" s="2444"/>
      <c r="W221" s="2444"/>
      <c r="X221" s="2444"/>
      <c r="Y221" s="2444"/>
      <c r="Z221" s="2444"/>
      <c r="AA221" s="2444"/>
      <c r="AB221" s="2444"/>
      <c r="AC221" s="2444"/>
      <c r="AD221" s="2444"/>
      <c r="AE221" s="2444"/>
      <c r="AF221" s="2444"/>
      <c r="AG221" s="2444"/>
      <c r="AH221" s="2444"/>
      <c r="AI221" s="2444"/>
      <c r="AJ221" s="2444"/>
      <c r="AK221" s="2444"/>
      <c r="AL221" s="2444"/>
      <c r="AM221" s="2444"/>
      <c r="AN221" s="2444"/>
      <c r="AO221" s="2444"/>
      <c r="AP221" s="2444"/>
      <c r="AQ221" s="2444"/>
      <c r="AR221" s="2444"/>
      <c r="AS221" s="2444"/>
      <c r="AT221" s="2444"/>
      <c r="AU221" s="2444"/>
      <c r="AV221" s="2444"/>
      <c r="AW221" s="2444"/>
      <c r="AX221" s="2444"/>
      <c r="AY221" s="2444"/>
      <c r="AZ221" s="2444"/>
    </row>
    <row r="222" spans="1:52" ht="18" customHeight="1">
      <c r="A222" s="2444"/>
      <c r="B222" s="2445"/>
      <c r="C222" s="2445"/>
      <c r="D222" s="2445"/>
      <c r="E222" s="2445"/>
      <c r="F222" s="2445"/>
      <c r="G222" s="2445"/>
      <c r="H222" s="2444"/>
      <c r="I222" s="2444"/>
      <c r="J222" s="2444"/>
      <c r="K222" s="2444"/>
      <c r="L222" s="2444"/>
      <c r="M222" s="2444"/>
      <c r="N222" s="2448"/>
      <c r="O222" s="2449"/>
      <c r="P222" s="2449"/>
      <c r="Q222" s="2449"/>
      <c r="R222" s="2449"/>
      <c r="S222" s="2449"/>
      <c r="T222" s="2449"/>
      <c r="U222" s="2444"/>
      <c r="V222" s="2444"/>
      <c r="W222" s="2444"/>
      <c r="X222" s="2444"/>
      <c r="Y222" s="2444"/>
      <c r="Z222" s="2444"/>
      <c r="AA222" s="2444"/>
      <c r="AB222" s="2444"/>
      <c r="AC222" s="2444"/>
      <c r="AD222" s="2444"/>
      <c r="AE222" s="2444"/>
      <c r="AF222" s="2444"/>
      <c r="AG222" s="2444"/>
      <c r="AH222" s="2444"/>
      <c r="AI222" s="2444"/>
      <c r="AJ222" s="2444"/>
      <c r="AK222" s="2444"/>
      <c r="AL222" s="2444"/>
      <c r="AM222" s="2444"/>
      <c r="AN222" s="2444"/>
      <c r="AO222" s="2444"/>
      <c r="AP222" s="2444"/>
      <c r="AQ222" s="2444"/>
      <c r="AR222" s="2444"/>
      <c r="AS222" s="2444"/>
      <c r="AT222" s="2444"/>
      <c r="AU222" s="2444"/>
      <c r="AV222" s="2444"/>
      <c r="AW222" s="2444"/>
      <c r="AX222" s="2444"/>
      <c r="AY222" s="2444"/>
      <c r="AZ222" s="2444"/>
    </row>
    <row r="223" spans="1:52" ht="18" customHeight="1">
      <c r="A223" s="2444"/>
      <c r="B223" s="2445"/>
      <c r="C223" s="2445"/>
      <c r="D223" s="2445"/>
      <c r="E223" s="2445"/>
      <c r="F223" s="2445"/>
      <c r="G223" s="2445"/>
      <c r="H223" s="2444"/>
      <c r="I223" s="2444"/>
      <c r="J223" s="2444"/>
      <c r="K223" s="2444"/>
      <c r="L223" s="2444"/>
      <c r="M223" s="2444"/>
      <c r="N223" s="2448"/>
      <c r="O223" s="2449"/>
      <c r="P223" s="2449"/>
      <c r="Q223" s="2449"/>
      <c r="R223" s="2449"/>
      <c r="S223" s="2449"/>
      <c r="T223" s="2449"/>
      <c r="U223" s="2444"/>
      <c r="V223" s="2444"/>
      <c r="W223" s="2444"/>
      <c r="X223" s="2444"/>
      <c r="Y223" s="2444"/>
      <c r="Z223" s="2444"/>
      <c r="AA223" s="2444"/>
      <c r="AB223" s="2444"/>
      <c r="AC223" s="2444"/>
      <c r="AD223" s="2444"/>
      <c r="AE223" s="2444"/>
      <c r="AF223" s="2444"/>
      <c r="AG223" s="2444"/>
      <c r="AH223" s="2444"/>
      <c r="AI223" s="2444"/>
      <c r="AJ223" s="2444"/>
      <c r="AK223" s="2444"/>
      <c r="AL223" s="2444"/>
      <c r="AM223" s="2444"/>
      <c r="AN223" s="2444"/>
      <c r="AO223" s="2444"/>
      <c r="AP223" s="2444"/>
      <c r="AQ223" s="2444"/>
      <c r="AR223" s="2444"/>
      <c r="AS223" s="2444"/>
      <c r="AT223" s="2444"/>
      <c r="AU223" s="2444"/>
      <c r="AV223" s="2444"/>
      <c r="AW223" s="2444"/>
      <c r="AX223" s="2444"/>
      <c r="AY223" s="2444"/>
      <c r="AZ223" s="2444"/>
    </row>
    <row r="224" spans="1:52" ht="18" customHeight="1">
      <c r="A224" s="2444"/>
      <c r="B224" s="2445"/>
      <c r="C224" s="2445"/>
      <c r="D224" s="2445"/>
      <c r="E224" s="2445"/>
      <c r="F224" s="2445"/>
      <c r="G224" s="2445"/>
      <c r="H224" s="2444"/>
      <c r="I224" s="2444"/>
      <c r="J224" s="2444"/>
      <c r="K224" s="2444"/>
      <c r="L224" s="2444"/>
      <c r="M224" s="2444"/>
      <c r="N224" s="2448"/>
      <c r="O224" s="2449"/>
      <c r="P224" s="2449"/>
      <c r="Q224" s="2449"/>
      <c r="R224" s="2449"/>
      <c r="S224" s="2449"/>
      <c r="T224" s="2449"/>
      <c r="U224" s="2444"/>
      <c r="V224" s="2444"/>
      <c r="W224" s="2444"/>
      <c r="X224" s="2444"/>
      <c r="Y224" s="2444"/>
      <c r="Z224" s="2444"/>
      <c r="AA224" s="2444"/>
      <c r="AB224" s="2444"/>
      <c r="AC224" s="2444"/>
      <c r="AD224" s="2444"/>
      <c r="AE224" s="2444"/>
      <c r="AF224" s="2444"/>
      <c r="AG224" s="2444"/>
      <c r="AH224" s="2444"/>
      <c r="AI224" s="2444"/>
      <c r="AJ224" s="2444"/>
      <c r="AK224" s="2444"/>
      <c r="AL224" s="2444"/>
      <c r="AM224" s="2444"/>
      <c r="AN224" s="2444"/>
      <c r="AO224" s="2444"/>
      <c r="AP224" s="2444"/>
      <c r="AQ224" s="2444"/>
      <c r="AR224" s="2444"/>
      <c r="AS224" s="2444"/>
      <c r="AT224" s="2444"/>
      <c r="AU224" s="2444"/>
      <c r="AV224" s="2444"/>
      <c r="AW224" s="2444"/>
      <c r="AX224" s="2444"/>
      <c r="AY224" s="2444"/>
      <c r="AZ224" s="2444"/>
    </row>
    <row r="225" spans="1:52" ht="18" customHeight="1">
      <c r="A225" s="2444"/>
      <c r="B225" s="2445"/>
      <c r="C225" s="2445"/>
      <c r="D225" s="2445"/>
      <c r="E225" s="2445"/>
      <c r="F225" s="2445"/>
      <c r="G225" s="2445"/>
      <c r="H225" s="2444"/>
      <c r="I225" s="2444"/>
      <c r="J225" s="2444"/>
      <c r="K225" s="2444"/>
      <c r="L225" s="2444"/>
      <c r="M225" s="2444"/>
      <c r="N225" s="2448"/>
      <c r="O225" s="2449"/>
      <c r="P225" s="2449"/>
      <c r="Q225" s="2449"/>
      <c r="R225" s="2449"/>
      <c r="S225" s="2449"/>
      <c r="T225" s="2449"/>
      <c r="U225" s="2444"/>
      <c r="V225" s="2444"/>
      <c r="W225" s="2444"/>
      <c r="X225" s="2444"/>
      <c r="Y225" s="2444"/>
      <c r="Z225" s="2444"/>
      <c r="AA225" s="2444"/>
      <c r="AB225" s="2444"/>
      <c r="AC225" s="2444"/>
      <c r="AD225" s="2444"/>
      <c r="AE225" s="2444"/>
      <c r="AF225" s="2444"/>
      <c r="AG225" s="2444"/>
      <c r="AH225" s="2444"/>
      <c r="AI225" s="2444"/>
      <c r="AJ225" s="2444"/>
      <c r="AK225" s="2444"/>
      <c r="AL225" s="2444"/>
      <c r="AM225" s="2444"/>
      <c r="AN225" s="2444"/>
      <c r="AO225" s="2444"/>
      <c r="AP225" s="2444"/>
      <c r="AQ225" s="2444"/>
      <c r="AR225" s="2444"/>
      <c r="AS225" s="2444"/>
      <c r="AT225" s="2444"/>
      <c r="AU225" s="2444"/>
      <c r="AV225" s="2444"/>
      <c r="AW225" s="2444"/>
      <c r="AX225" s="2444"/>
      <c r="AY225" s="2444"/>
      <c r="AZ225" s="2444"/>
    </row>
    <row r="226" spans="1:52" ht="18" customHeight="1">
      <c r="A226" s="2444"/>
      <c r="B226" s="2445"/>
      <c r="C226" s="2445"/>
      <c r="D226" s="2445"/>
      <c r="E226" s="2445"/>
      <c r="F226" s="2445"/>
      <c r="G226" s="2445"/>
      <c r="H226" s="2444"/>
      <c r="I226" s="2444"/>
      <c r="J226" s="2444"/>
      <c r="K226" s="2444"/>
      <c r="L226" s="2444"/>
      <c r="M226" s="2444"/>
      <c r="N226" s="2448"/>
      <c r="O226" s="2449"/>
      <c r="P226" s="2449"/>
      <c r="Q226" s="2449"/>
      <c r="R226" s="2449"/>
      <c r="S226" s="2449"/>
      <c r="T226" s="2449"/>
      <c r="U226" s="2444"/>
      <c r="V226" s="2444"/>
      <c r="W226" s="2444"/>
      <c r="X226" s="2444"/>
      <c r="Y226" s="2444"/>
      <c r="Z226" s="2444"/>
      <c r="AA226" s="2444"/>
      <c r="AB226" s="2444"/>
      <c r="AC226" s="2444"/>
      <c r="AD226" s="2444"/>
      <c r="AE226" s="2444"/>
      <c r="AF226" s="2444"/>
      <c r="AG226" s="2444"/>
      <c r="AH226" s="2444"/>
      <c r="AI226" s="2444"/>
      <c r="AJ226" s="2444"/>
      <c r="AK226" s="2444"/>
      <c r="AL226" s="2444"/>
      <c r="AM226" s="2444"/>
      <c r="AN226" s="2444"/>
      <c r="AO226" s="2444"/>
      <c r="AP226" s="2444"/>
      <c r="AQ226" s="2444"/>
      <c r="AR226" s="2444"/>
      <c r="AS226" s="2444"/>
      <c r="AT226" s="2444"/>
      <c r="AU226" s="2444"/>
      <c r="AV226" s="2444"/>
      <c r="AW226" s="2444"/>
      <c r="AX226" s="2444"/>
      <c r="AY226" s="2444"/>
      <c r="AZ226" s="2444"/>
    </row>
    <row r="227" spans="1:52" ht="18" customHeight="1">
      <c r="A227" s="2444"/>
      <c r="B227" s="2445"/>
      <c r="C227" s="2445"/>
      <c r="D227" s="2445"/>
      <c r="E227" s="2445"/>
      <c r="F227" s="2445"/>
      <c r="G227" s="2445"/>
      <c r="H227" s="2444"/>
      <c r="I227" s="2444"/>
      <c r="J227" s="2444"/>
      <c r="K227" s="2444"/>
      <c r="L227" s="2444"/>
      <c r="M227" s="2444"/>
      <c r="N227" s="2448"/>
      <c r="O227" s="2449"/>
      <c r="P227" s="2449"/>
      <c r="Q227" s="2449"/>
      <c r="R227" s="2449"/>
      <c r="S227" s="2449"/>
      <c r="T227" s="2449"/>
      <c r="U227" s="2444"/>
      <c r="V227" s="2444"/>
      <c r="W227" s="2444"/>
      <c r="X227" s="2444"/>
      <c r="Y227" s="2444"/>
      <c r="Z227" s="2444"/>
      <c r="AA227" s="2444"/>
      <c r="AB227" s="2444"/>
      <c r="AC227" s="2444"/>
      <c r="AD227" s="2444"/>
      <c r="AE227" s="2444"/>
      <c r="AF227" s="2444"/>
      <c r="AG227" s="2444"/>
      <c r="AH227" s="2444"/>
      <c r="AI227" s="2444"/>
      <c r="AJ227" s="2444"/>
      <c r="AK227" s="2444"/>
      <c r="AL227" s="2444"/>
      <c r="AM227" s="2444"/>
      <c r="AN227" s="2444"/>
      <c r="AO227" s="2444"/>
      <c r="AP227" s="2444"/>
      <c r="AQ227" s="2444"/>
      <c r="AR227" s="2444"/>
      <c r="AS227" s="2444"/>
      <c r="AT227" s="2444"/>
      <c r="AU227" s="2444"/>
      <c r="AV227" s="2444"/>
      <c r="AW227" s="2444"/>
      <c r="AX227" s="2444"/>
      <c r="AY227" s="2444"/>
      <c r="AZ227" s="2444"/>
    </row>
    <row r="228" spans="1:52" ht="18" customHeight="1">
      <c r="A228" s="2444"/>
      <c r="B228" s="2445"/>
      <c r="C228" s="2445"/>
      <c r="D228" s="2445"/>
      <c r="E228" s="2445"/>
      <c r="F228" s="2445"/>
      <c r="G228" s="2445"/>
      <c r="H228" s="2444"/>
      <c r="I228" s="2444"/>
      <c r="J228" s="2444"/>
      <c r="K228" s="2444"/>
      <c r="L228" s="2444"/>
      <c r="M228" s="2444"/>
      <c r="N228" s="2448"/>
      <c r="O228" s="2449"/>
      <c r="P228" s="2449"/>
      <c r="Q228" s="2449"/>
      <c r="R228" s="2449"/>
      <c r="S228" s="2449"/>
      <c r="T228" s="2449"/>
      <c r="U228" s="2444"/>
      <c r="V228" s="2444"/>
      <c r="W228" s="2444"/>
      <c r="X228" s="2444"/>
      <c r="Y228" s="2444"/>
      <c r="Z228" s="2444"/>
      <c r="AA228" s="2444"/>
      <c r="AB228" s="2444"/>
      <c r="AC228" s="2444"/>
      <c r="AD228" s="2444"/>
      <c r="AE228" s="2444"/>
      <c r="AF228" s="2444"/>
      <c r="AG228" s="2444"/>
      <c r="AH228" s="2444"/>
      <c r="AI228" s="2444"/>
      <c r="AJ228" s="2444"/>
      <c r="AK228" s="2444"/>
      <c r="AL228" s="2444"/>
      <c r="AM228" s="2444"/>
      <c r="AN228" s="2444"/>
      <c r="AO228" s="2444"/>
      <c r="AP228" s="2444"/>
      <c r="AQ228" s="2444"/>
      <c r="AR228" s="2444"/>
      <c r="AS228" s="2444"/>
      <c r="AT228" s="2444"/>
      <c r="AU228" s="2444"/>
      <c r="AV228" s="2444"/>
      <c r="AW228" s="2444"/>
      <c r="AX228" s="2444"/>
      <c r="AY228" s="2444"/>
      <c r="AZ228" s="2444"/>
    </row>
    <row r="229" spans="1:52" ht="18" customHeight="1">
      <c r="A229" s="2444"/>
      <c r="B229" s="2445"/>
      <c r="C229" s="2445"/>
      <c r="D229" s="2445"/>
      <c r="E229" s="2445"/>
      <c r="F229" s="2445"/>
      <c r="G229" s="2445"/>
      <c r="H229" s="2444"/>
      <c r="I229" s="2444"/>
      <c r="J229" s="2444"/>
      <c r="K229" s="2444"/>
      <c r="L229" s="2444"/>
      <c r="M229" s="2444"/>
      <c r="N229" s="2448"/>
      <c r="O229" s="2449"/>
      <c r="P229" s="2449"/>
      <c r="Q229" s="2449"/>
      <c r="R229" s="2449"/>
      <c r="S229" s="2449"/>
      <c r="T229" s="2449"/>
      <c r="U229" s="2444"/>
      <c r="V229" s="2444"/>
      <c r="W229" s="2444"/>
      <c r="X229" s="2444"/>
      <c r="Y229" s="2444"/>
      <c r="Z229" s="2444"/>
      <c r="AA229" s="2444"/>
      <c r="AB229" s="2444"/>
      <c r="AC229" s="2444"/>
      <c r="AD229" s="2444"/>
      <c r="AE229" s="2444"/>
      <c r="AF229" s="2444"/>
      <c r="AG229" s="2444"/>
      <c r="AH229" s="2444"/>
      <c r="AI229" s="2444"/>
      <c r="AJ229" s="2444"/>
      <c r="AK229" s="2444"/>
      <c r="AL229" s="2444"/>
      <c r="AM229" s="2444"/>
      <c r="AN229" s="2444"/>
      <c r="AO229" s="2444"/>
      <c r="AP229" s="2444"/>
      <c r="AQ229" s="2444"/>
      <c r="AR229" s="2444"/>
      <c r="AS229" s="2444"/>
      <c r="AT229" s="2444"/>
      <c r="AU229" s="2444"/>
      <c r="AV229" s="2444"/>
      <c r="AW229" s="2444"/>
      <c r="AX229" s="2444"/>
      <c r="AY229" s="2444"/>
      <c r="AZ229" s="2444"/>
    </row>
    <row r="230" spans="1:52" ht="18" customHeight="1">
      <c r="A230" s="2444"/>
      <c r="B230" s="2445"/>
      <c r="C230" s="2445"/>
      <c r="D230" s="2445"/>
      <c r="E230" s="2445"/>
      <c r="F230" s="2445"/>
      <c r="G230" s="2445"/>
      <c r="H230" s="2444"/>
      <c r="I230" s="2444"/>
      <c r="J230" s="2444"/>
      <c r="K230" s="2444"/>
      <c r="L230" s="2444"/>
      <c r="M230" s="2444"/>
      <c r="N230" s="2448"/>
      <c r="O230" s="2449"/>
      <c r="P230" s="2449"/>
      <c r="Q230" s="2449"/>
      <c r="R230" s="2449"/>
      <c r="S230" s="2449"/>
      <c r="T230" s="2449"/>
      <c r="U230" s="2444"/>
      <c r="V230" s="2444"/>
      <c r="W230" s="2444"/>
      <c r="X230" s="2444"/>
      <c r="Y230" s="2444"/>
      <c r="Z230" s="2444"/>
      <c r="AA230" s="2444"/>
      <c r="AB230" s="2444"/>
      <c r="AC230" s="2444"/>
      <c r="AD230" s="2444"/>
      <c r="AE230" s="2444"/>
      <c r="AF230" s="2444"/>
      <c r="AG230" s="2444"/>
      <c r="AH230" s="2444"/>
      <c r="AI230" s="2444"/>
      <c r="AJ230" s="2444"/>
      <c r="AK230" s="2444"/>
      <c r="AL230" s="2444"/>
      <c r="AM230" s="2444"/>
      <c r="AN230" s="2444"/>
      <c r="AO230" s="2444"/>
      <c r="AP230" s="2444"/>
      <c r="AQ230" s="2444"/>
      <c r="AR230" s="2444"/>
      <c r="AS230" s="2444"/>
      <c r="AT230" s="2444"/>
      <c r="AU230" s="2444"/>
      <c r="AV230" s="2444"/>
      <c r="AW230" s="2444"/>
      <c r="AX230" s="2444"/>
      <c r="AY230" s="2444"/>
      <c r="AZ230" s="2444"/>
    </row>
    <row r="231" spans="1:52" ht="18" customHeight="1">
      <c r="A231" s="2444"/>
      <c r="B231" s="2445"/>
      <c r="C231" s="2445"/>
      <c r="D231" s="2445"/>
      <c r="E231" s="2445"/>
      <c r="F231" s="2445"/>
      <c r="G231" s="2445"/>
      <c r="H231" s="2444"/>
      <c r="I231" s="2444"/>
      <c r="J231" s="2444"/>
      <c r="K231" s="2444"/>
      <c r="L231" s="2444"/>
      <c r="M231" s="2444"/>
      <c r="N231" s="2448"/>
      <c r="O231" s="2449"/>
      <c r="P231" s="2449"/>
      <c r="Q231" s="2449"/>
      <c r="R231" s="2449"/>
      <c r="S231" s="2449"/>
      <c r="T231" s="2449"/>
      <c r="U231" s="2444"/>
      <c r="V231" s="2444"/>
      <c r="W231" s="2444"/>
      <c r="X231" s="2444"/>
      <c r="Y231" s="2444"/>
      <c r="Z231" s="2444"/>
      <c r="AA231" s="2444"/>
      <c r="AB231" s="2444"/>
      <c r="AC231" s="2444"/>
      <c r="AD231" s="2444"/>
      <c r="AE231" s="2444"/>
      <c r="AF231" s="2444"/>
      <c r="AG231" s="2444"/>
      <c r="AH231" s="2444"/>
      <c r="AI231" s="2444"/>
      <c r="AJ231" s="2444"/>
      <c r="AK231" s="2444"/>
      <c r="AL231" s="2444"/>
      <c r="AM231" s="2444"/>
      <c r="AN231" s="2444"/>
      <c r="AO231" s="2444"/>
      <c r="AP231" s="2444"/>
      <c r="AQ231" s="2444"/>
      <c r="AR231" s="2444"/>
      <c r="AS231" s="2444"/>
      <c r="AT231" s="2444"/>
      <c r="AU231" s="2444"/>
      <c r="AV231" s="2444"/>
      <c r="AW231" s="2444"/>
      <c r="AX231" s="2444"/>
      <c r="AY231" s="2444"/>
      <c r="AZ231" s="2444"/>
    </row>
    <row r="232" spans="1:52" ht="18" customHeight="1">
      <c r="A232" s="2444"/>
      <c r="B232" s="2445"/>
      <c r="C232" s="2445"/>
      <c r="D232" s="2445"/>
      <c r="E232" s="2445"/>
      <c r="F232" s="2445"/>
      <c r="G232" s="2445"/>
      <c r="H232" s="2444"/>
      <c r="I232" s="2444"/>
      <c r="J232" s="2444"/>
      <c r="K232" s="2444"/>
      <c r="L232" s="2444"/>
      <c r="M232" s="2444"/>
      <c r="N232" s="2448"/>
      <c r="O232" s="2449"/>
      <c r="P232" s="2449"/>
      <c r="Q232" s="2449"/>
      <c r="R232" s="2449"/>
      <c r="S232" s="2449"/>
      <c r="T232" s="2449"/>
      <c r="U232" s="2444"/>
      <c r="V232" s="2444"/>
      <c r="W232" s="2444"/>
      <c r="X232" s="2444"/>
      <c r="Y232" s="2444"/>
      <c r="Z232" s="2444"/>
      <c r="AA232" s="2444"/>
      <c r="AB232" s="2444"/>
      <c r="AC232" s="2444"/>
      <c r="AD232" s="2444"/>
      <c r="AE232" s="2444"/>
      <c r="AF232" s="2444"/>
      <c r="AG232" s="2444"/>
      <c r="AH232" s="2444"/>
      <c r="AI232" s="2444"/>
      <c r="AJ232" s="2444"/>
      <c r="AK232" s="2444"/>
      <c r="AL232" s="2444"/>
      <c r="AM232" s="2444"/>
      <c r="AN232" s="2444"/>
      <c r="AO232" s="2444"/>
      <c r="AP232" s="2444"/>
      <c r="AQ232" s="2444"/>
      <c r="AR232" s="2444"/>
      <c r="AS232" s="2444"/>
      <c r="AT232" s="2444"/>
      <c r="AU232" s="2444"/>
      <c r="AV232" s="2444"/>
      <c r="AW232" s="2444"/>
      <c r="AX232" s="2444"/>
      <c r="AY232" s="2444"/>
      <c r="AZ232" s="2444"/>
    </row>
    <row r="233" spans="1:52" ht="18" customHeight="1">
      <c r="A233" s="2444"/>
      <c r="B233" s="2445"/>
      <c r="C233" s="2445"/>
      <c r="D233" s="2445"/>
      <c r="E233" s="2445"/>
      <c r="F233" s="2445"/>
      <c r="G233" s="2445"/>
      <c r="H233" s="2444"/>
      <c r="I233" s="2444"/>
      <c r="J233" s="2444"/>
      <c r="K233" s="2444"/>
      <c r="L233" s="2444"/>
      <c r="M233" s="2444"/>
      <c r="N233" s="2448"/>
      <c r="O233" s="2449"/>
      <c r="P233" s="2449"/>
      <c r="Q233" s="2449"/>
      <c r="R233" s="2449"/>
      <c r="S233" s="2449"/>
      <c r="T233" s="2449"/>
      <c r="U233" s="2444"/>
      <c r="V233" s="2444"/>
      <c r="W233" s="2444"/>
      <c r="X233" s="2444"/>
      <c r="Y233" s="2444"/>
      <c r="Z233" s="2444"/>
      <c r="AA233" s="2444"/>
      <c r="AB233" s="2444"/>
      <c r="AC233" s="2444"/>
      <c r="AD233" s="2444"/>
      <c r="AE233" s="2444"/>
      <c r="AF233" s="2444"/>
      <c r="AG233" s="2444"/>
      <c r="AH233" s="2444"/>
      <c r="AI233" s="2444"/>
      <c r="AJ233" s="2444"/>
      <c r="AK233" s="2444"/>
      <c r="AL233" s="2444"/>
      <c r="AM233" s="2444"/>
      <c r="AN233" s="2444"/>
      <c r="AO233" s="2444"/>
      <c r="AP233" s="2444"/>
      <c r="AQ233" s="2444"/>
      <c r="AR233" s="2444"/>
      <c r="AS233" s="2444"/>
      <c r="AT233" s="2444"/>
      <c r="AU233" s="2444"/>
      <c r="AV233" s="2444"/>
      <c r="AW233" s="2444"/>
      <c r="AX233" s="2444"/>
      <c r="AY233" s="2444"/>
      <c r="AZ233" s="2444"/>
    </row>
    <row r="234" spans="1:52" ht="18" customHeight="1">
      <c r="A234" s="2444"/>
      <c r="B234" s="2445"/>
      <c r="C234" s="2445"/>
      <c r="D234" s="2445"/>
      <c r="E234" s="2445"/>
      <c r="F234" s="2445"/>
      <c r="G234" s="2445"/>
      <c r="H234" s="2444"/>
      <c r="I234" s="2444"/>
      <c r="J234" s="2444"/>
      <c r="K234" s="2444"/>
      <c r="L234" s="2444"/>
      <c r="M234" s="2444"/>
      <c r="N234" s="2448"/>
      <c r="O234" s="2449"/>
      <c r="P234" s="2449"/>
      <c r="Q234" s="2449"/>
      <c r="R234" s="2449"/>
      <c r="S234" s="2449"/>
      <c r="T234" s="2449"/>
      <c r="U234" s="2444"/>
      <c r="V234" s="2444"/>
      <c r="W234" s="2444"/>
      <c r="X234" s="2444"/>
      <c r="Y234" s="2444"/>
      <c r="Z234" s="2444"/>
      <c r="AA234" s="2444"/>
      <c r="AB234" s="2444"/>
      <c r="AC234" s="2444"/>
      <c r="AD234" s="2444"/>
      <c r="AE234" s="2444"/>
      <c r="AF234" s="2444"/>
      <c r="AG234" s="2444"/>
      <c r="AH234" s="2444"/>
      <c r="AI234" s="2444"/>
      <c r="AJ234" s="2444"/>
      <c r="AK234" s="2444"/>
      <c r="AL234" s="2444"/>
      <c r="AM234" s="2444"/>
      <c r="AN234" s="2444"/>
      <c r="AO234" s="2444"/>
      <c r="AP234" s="2444"/>
      <c r="AQ234" s="2444"/>
      <c r="AR234" s="2444"/>
      <c r="AS234" s="2444"/>
      <c r="AT234" s="2444"/>
      <c r="AU234" s="2444"/>
      <c r="AV234" s="2444"/>
      <c r="AW234" s="2444"/>
      <c r="AX234" s="2444"/>
      <c r="AY234" s="2444"/>
      <c r="AZ234" s="2444"/>
    </row>
    <row r="235" spans="1:52" ht="18" customHeight="1">
      <c r="A235" s="2444"/>
      <c r="B235" s="2445"/>
      <c r="C235" s="2445"/>
      <c r="D235" s="2445"/>
      <c r="E235" s="2445"/>
      <c r="F235" s="2445"/>
      <c r="G235" s="2445"/>
      <c r="H235" s="2444"/>
      <c r="I235" s="2444"/>
      <c r="J235" s="2444"/>
      <c r="K235" s="2444"/>
      <c r="L235" s="2444"/>
      <c r="M235" s="2444"/>
      <c r="N235" s="2448"/>
      <c r="O235" s="2449"/>
      <c r="P235" s="2449"/>
      <c r="Q235" s="2449"/>
      <c r="R235" s="2449"/>
      <c r="S235" s="2449"/>
      <c r="T235" s="2449"/>
      <c r="U235" s="2444"/>
      <c r="V235" s="2444"/>
      <c r="W235" s="2444"/>
      <c r="X235" s="2444"/>
      <c r="Y235" s="2444"/>
      <c r="Z235" s="2444"/>
      <c r="AA235" s="2444"/>
      <c r="AB235" s="2444"/>
      <c r="AC235" s="2444"/>
      <c r="AD235" s="2444"/>
      <c r="AE235" s="2444"/>
      <c r="AF235" s="2444"/>
      <c r="AG235" s="2444"/>
      <c r="AH235" s="2444"/>
      <c r="AI235" s="2444"/>
      <c r="AJ235" s="2444"/>
      <c r="AK235" s="2444"/>
      <c r="AL235" s="2444"/>
      <c r="AM235" s="2444"/>
      <c r="AN235" s="2444"/>
      <c r="AO235" s="2444"/>
      <c r="AP235" s="2444"/>
      <c r="AQ235" s="2444"/>
      <c r="AR235" s="2444"/>
      <c r="AS235" s="2444"/>
      <c r="AT235" s="2444"/>
      <c r="AU235" s="2444"/>
      <c r="AV235" s="2444"/>
      <c r="AW235" s="2444"/>
      <c r="AX235" s="2444"/>
      <c r="AY235" s="2444"/>
      <c r="AZ235" s="2444"/>
    </row>
    <row r="236" spans="1:52" ht="18" customHeight="1">
      <c r="A236" s="2444"/>
      <c r="B236" s="2445"/>
      <c r="C236" s="2445"/>
      <c r="D236" s="2445"/>
      <c r="E236" s="2445"/>
      <c r="F236" s="2445"/>
      <c r="G236" s="2445"/>
      <c r="H236" s="2444"/>
      <c r="I236" s="2444"/>
      <c r="J236" s="2444"/>
      <c r="K236" s="2444"/>
      <c r="L236" s="2444"/>
      <c r="M236" s="2444"/>
      <c r="N236" s="2448"/>
      <c r="O236" s="2449"/>
      <c r="P236" s="2449"/>
      <c r="Q236" s="2449"/>
      <c r="R236" s="2449"/>
      <c r="S236" s="2449"/>
      <c r="T236" s="2449"/>
      <c r="U236" s="2444"/>
      <c r="V236" s="2444"/>
      <c r="W236" s="2444"/>
      <c r="X236" s="2444"/>
      <c r="Y236" s="2444"/>
      <c r="Z236" s="2444"/>
      <c r="AA236" s="2444"/>
      <c r="AB236" s="2444"/>
      <c r="AC236" s="2444"/>
      <c r="AD236" s="2444"/>
      <c r="AE236" s="2444"/>
      <c r="AF236" s="2444"/>
      <c r="AG236" s="2444"/>
      <c r="AH236" s="2444"/>
      <c r="AI236" s="2444"/>
      <c r="AJ236" s="2444"/>
      <c r="AK236" s="2444"/>
      <c r="AL236" s="2444"/>
      <c r="AM236" s="2444"/>
      <c r="AN236" s="2444"/>
      <c r="AO236" s="2444"/>
      <c r="AP236" s="2444"/>
      <c r="AQ236" s="2444"/>
      <c r="AR236" s="2444"/>
      <c r="AS236" s="2444"/>
      <c r="AT236" s="2444"/>
      <c r="AU236" s="2444"/>
      <c r="AV236" s="2444"/>
      <c r="AW236" s="2444"/>
      <c r="AX236" s="2444"/>
      <c r="AY236" s="2444"/>
      <c r="AZ236" s="2444"/>
    </row>
    <row r="237" spans="1:52" ht="18" customHeight="1">
      <c r="A237" s="2444"/>
      <c r="B237" s="2445"/>
      <c r="C237" s="2445"/>
      <c r="D237" s="2445"/>
      <c r="E237" s="2445"/>
      <c r="F237" s="2445"/>
      <c r="G237" s="2445"/>
      <c r="H237" s="2444"/>
      <c r="I237" s="2444"/>
      <c r="J237" s="2444"/>
      <c r="K237" s="2444"/>
      <c r="L237" s="2444"/>
      <c r="M237" s="2444"/>
      <c r="N237" s="2448"/>
      <c r="O237" s="2449"/>
      <c r="P237" s="2449"/>
      <c r="Q237" s="2449"/>
      <c r="R237" s="2449"/>
      <c r="S237" s="2449"/>
      <c r="T237" s="2449"/>
      <c r="U237" s="2444"/>
      <c r="V237" s="2444"/>
      <c r="W237" s="2444"/>
      <c r="X237" s="2444"/>
      <c r="Y237" s="2444"/>
      <c r="Z237" s="2444"/>
      <c r="AA237" s="2444"/>
      <c r="AB237" s="2444"/>
      <c r="AC237" s="2444"/>
      <c r="AD237" s="2444"/>
      <c r="AE237" s="2444"/>
      <c r="AF237" s="2444"/>
      <c r="AG237" s="2444"/>
      <c r="AH237" s="2444"/>
      <c r="AI237" s="2444"/>
      <c r="AJ237" s="2444"/>
      <c r="AK237" s="2444"/>
      <c r="AL237" s="2444"/>
      <c r="AM237" s="2444"/>
      <c r="AN237" s="2444"/>
      <c r="AO237" s="2444"/>
      <c r="AP237" s="2444"/>
      <c r="AQ237" s="2444"/>
      <c r="AR237" s="2444"/>
      <c r="AS237" s="2444"/>
      <c r="AT237" s="2444"/>
      <c r="AU237" s="2444"/>
      <c r="AV237" s="2444"/>
      <c r="AW237" s="2444"/>
      <c r="AX237" s="2444"/>
      <c r="AY237" s="2444"/>
      <c r="AZ237" s="2444"/>
    </row>
    <row r="238" spans="1:52" ht="18" customHeight="1">
      <c r="A238" s="2444"/>
      <c r="B238" s="2445"/>
      <c r="C238" s="2445"/>
      <c r="D238" s="2445"/>
      <c r="E238" s="2445"/>
      <c r="F238" s="2445"/>
      <c r="G238" s="2445"/>
      <c r="H238" s="2444"/>
      <c r="I238" s="2444"/>
      <c r="J238" s="2444"/>
      <c r="K238" s="2444"/>
      <c r="L238" s="2444"/>
      <c r="M238" s="2444"/>
      <c r="N238" s="2448"/>
      <c r="O238" s="2449"/>
      <c r="P238" s="2449"/>
      <c r="Q238" s="2449"/>
      <c r="R238" s="2449"/>
      <c r="S238" s="2449"/>
      <c r="T238" s="2449"/>
      <c r="U238" s="2444"/>
      <c r="V238" s="2444"/>
      <c r="W238" s="2444"/>
      <c r="X238" s="2444"/>
      <c r="Y238" s="2444"/>
      <c r="Z238" s="2444"/>
      <c r="AA238" s="2444"/>
      <c r="AB238" s="2444"/>
      <c r="AC238" s="2444"/>
      <c r="AD238" s="2444"/>
      <c r="AE238" s="2444"/>
      <c r="AF238" s="2444"/>
      <c r="AG238" s="2444"/>
      <c r="AH238" s="2444"/>
      <c r="AI238" s="2444"/>
      <c r="AJ238" s="2444"/>
      <c r="AK238" s="2444"/>
      <c r="AL238" s="2444"/>
      <c r="AM238" s="2444"/>
      <c r="AN238" s="2444"/>
      <c r="AO238" s="2444"/>
      <c r="AP238" s="2444"/>
      <c r="AQ238" s="2444"/>
      <c r="AR238" s="2444"/>
      <c r="AS238" s="2444"/>
      <c r="AT238" s="2444"/>
      <c r="AU238" s="2444"/>
      <c r="AV238" s="2444"/>
      <c r="AW238" s="2444"/>
      <c r="AX238" s="2444"/>
      <c r="AY238" s="2444"/>
      <c r="AZ238" s="2444"/>
    </row>
    <row r="239" spans="1:52" ht="18" customHeight="1">
      <c r="A239" s="2444"/>
      <c r="B239" s="2445"/>
      <c r="C239" s="2445"/>
      <c r="D239" s="2445"/>
      <c r="E239" s="2445"/>
      <c r="F239" s="2445"/>
      <c r="G239" s="2445"/>
      <c r="H239" s="2444"/>
      <c r="I239" s="2444"/>
      <c r="J239" s="2444"/>
      <c r="K239" s="2444"/>
      <c r="L239" s="2444"/>
      <c r="M239" s="2444"/>
      <c r="N239" s="2448"/>
      <c r="O239" s="2449"/>
      <c r="P239" s="2449"/>
      <c r="Q239" s="2449"/>
      <c r="R239" s="2449"/>
      <c r="S239" s="2449"/>
      <c r="T239" s="2449"/>
      <c r="U239" s="2444"/>
      <c r="V239" s="2444"/>
      <c r="W239" s="2444"/>
      <c r="X239" s="2444"/>
      <c r="Y239" s="2444"/>
      <c r="Z239" s="2444"/>
      <c r="AA239" s="2444"/>
      <c r="AB239" s="2444"/>
      <c r="AC239" s="2444"/>
      <c r="AD239" s="2444"/>
      <c r="AE239" s="2444"/>
      <c r="AF239" s="2444"/>
      <c r="AG239" s="2444"/>
      <c r="AH239" s="2444"/>
      <c r="AI239" s="2444"/>
      <c r="AJ239" s="2444"/>
      <c r="AK239" s="2444"/>
      <c r="AL239" s="2444"/>
      <c r="AM239" s="2444"/>
      <c r="AN239" s="2444"/>
      <c r="AO239" s="2444"/>
      <c r="AP239" s="2444"/>
      <c r="AQ239" s="2444"/>
      <c r="AR239" s="2444"/>
      <c r="AS239" s="2444"/>
      <c r="AT239" s="2444"/>
      <c r="AU239" s="2444"/>
      <c r="AV239" s="2444"/>
      <c r="AW239" s="2444"/>
      <c r="AX239" s="2444"/>
      <c r="AY239" s="2444"/>
      <c r="AZ239" s="2444"/>
    </row>
    <row r="240" spans="1:52" ht="18" customHeight="1">
      <c r="A240" s="2444"/>
      <c r="B240" s="2445"/>
      <c r="C240" s="2445"/>
      <c r="D240" s="2445"/>
      <c r="E240" s="2445"/>
      <c r="F240" s="2445"/>
      <c r="G240" s="2445"/>
      <c r="H240" s="2444"/>
      <c r="I240" s="2444"/>
      <c r="J240" s="2444"/>
      <c r="K240" s="2444"/>
      <c r="L240" s="2444"/>
      <c r="M240" s="2444"/>
      <c r="N240" s="2448"/>
      <c r="O240" s="2449"/>
      <c r="P240" s="2449"/>
      <c r="Q240" s="2449"/>
      <c r="R240" s="2449"/>
      <c r="S240" s="2449"/>
      <c r="T240" s="2449"/>
      <c r="U240" s="2444"/>
      <c r="V240" s="2444"/>
      <c r="W240" s="2444"/>
      <c r="X240" s="2444"/>
      <c r="Y240" s="2444"/>
      <c r="Z240" s="2444"/>
      <c r="AA240" s="2444"/>
      <c r="AB240" s="2444"/>
      <c r="AC240" s="2444"/>
      <c r="AD240" s="2444"/>
      <c r="AE240" s="2444"/>
      <c r="AF240" s="2444"/>
      <c r="AG240" s="2444"/>
      <c r="AH240" s="2444"/>
      <c r="AI240" s="2444"/>
      <c r="AJ240" s="2444"/>
      <c r="AK240" s="2444"/>
      <c r="AL240" s="2444"/>
      <c r="AM240" s="2444"/>
      <c r="AN240" s="2444"/>
      <c r="AO240" s="2444"/>
      <c r="AP240" s="2444"/>
      <c r="AQ240" s="2444"/>
      <c r="AR240" s="2444"/>
      <c r="AS240" s="2444"/>
      <c r="AT240" s="2444"/>
      <c r="AU240" s="2444"/>
      <c r="AV240" s="2444"/>
      <c r="AW240" s="2444"/>
      <c r="AX240" s="2444"/>
      <c r="AY240" s="2444"/>
      <c r="AZ240" s="2444"/>
    </row>
    <row r="241" spans="1:52" ht="18" customHeight="1">
      <c r="A241" s="2444"/>
      <c r="B241" s="2445"/>
      <c r="C241" s="2445"/>
      <c r="D241" s="2445"/>
      <c r="E241" s="2445"/>
      <c r="F241" s="2445"/>
      <c r="G241" s="2445"/>
      <c r="H241" s="2444"/>
      <c r="I241" s="2444"/>
      <c r="J241" s="2444"/>
      <c r="K241" s="2444"/>
      <c r="L241" s="2444"/>
      <c r="M241" s="2444"/>
      <c r="N241" s="2448"/>
      <c r="O241" s="2449"/>
      <c r="P241" s="2449"/>
      <c r="Q241" s="2449"/>
      <c r="R241" s="2449"/>
      <c r="S241" s="2449"/>
      <c r="T241" s="2449"/>
      <c r="U241" s="2444"/>
      <c r="V241" s="2444"/>
      <c r="W241" s="2444"/>
      <c r="X241" s="2444"/>
      <c r="Y241" s="2444"/>
      <c r="Z241" s="2444"/>
      <c r="AA241" s="2444"/>
      <c r="AB241" s="2444"/>
      <c r="AC241" s="2444"/>
      <c r="AD241" s="2444"/>
      <c r="AE241" s="2444"/>
      <c r="AF241" s="2444"/>
      <c r="AG241" s="2444"/>
      <c r="AH241" s="2444"/>
      <c r="AI241" s="2444"/>
      <c r="AJ241" s="2444"/>
      <c r="AK241" s="2444"/>
      <c r="AL241" s="2444"/>
      <c r="AM241" s="2444"/>
      <c r="AN241" s="2444"/>
      <c r="AO241" s="2444"/>
      <c r="AP241" s="2444"/>
      <c r="AQ241" s="2444"/>
      <c r="AR241" s="2444"/>
      <c r="AS241" s="2444"/>
      <c r="AT241" s="2444"/>
      <c r="AU241" s="2444"/>
      <c r="AV241" s="2444"/>
      <c r="AW241" s="2444"/>
      <c r="AX241" s="2444"/>
      <c r="AY241" s="2444"/>
      <c r="AZ241" s="2444"/>
    </row>
    <row r="242" spans="1:52" ht="18" customHeight="1">
      <c r="A242" s="2444"/>
      <c r="B242" s="2445"/>
      <c r="C242" s="2445"/>
      <c r="D242" s="2445"/>
      <c r="E242" s="2445"/>
      <c r="F242" s="2445"/>
      <c r="G242" s="2445"/>
      <c r="H242" s="2444"/>
      <c r="I242" s="2444"/>
      <c r="J242" s="2444"/>
      <c r="K242" s="2444"/>
      <c r="L242" s="2444"/>
      <c r="M242" s="2444"/>
      <c r="N242" s="2448"/>
      <c r="O242" s="2449"/>
      <c r="P242" s="2449"/>
      <c r="Q242" s="2449"/>
      <c r="R242" s="2449"/>
      <c r="S242" s="2449"/>
      <c r="T242" s="2449"/>
      <c r="U242" s="2444"/>
      <c r="V242" s="2444"/>
      <c r="W242" s="2444"/>
      <c r="X242" s="2444"/>
      <c r="Y242" s="2444"/>
      <c r="Z242" s="2444"/>
      <c r="AA242" s="2444"/>
      <c r="AB242" s="2444"/>
      <c r="AC242" s="2444"/>
      <c r="AD242" s="2444"/>
      <c r="AE242" s="2444"/>
      <c r="AF242" s="2444"/>
      <c r="AG242" s="2444"/>
      <c r="AH242" s="2444"/>
      <c r="AI242" s="2444"/>
      <c r="AJ242" s="2444"/>
      <c r="AK242" s="2444"/>
      <c r="AL242" s="2444"/>
      <c r="AM242" s="2444"/>
      <c r="AN242" s="2444"/>
      <c r="AO242" s="2444"/>
      <c r="AP242" s="2444"/>
      <c r="AQ242" s="2444"/>
      <c r="AR242" s="2444"/>
      <c r="AS242" s="2444"/>
      <c r="AT242" s="2444"/>
      <c r="AU242" s="2444"/>
      <c r="AV242" s="2444"/>
      <c r="AW242" s="2444"/>
      <c r="AX242" s="2444"/>
      <c r="AY242" s="2444"/>
      <c r="AZ242" s="2444"/>
    </row>
    <row r="243" spans="1:52" ht="18" customHeight="1">
      <c r="A243" s="2444"/>
      <c r="B243" s="2445"/>
      <c r="C243" s="2445"/>
      <c r="D243" s="2445"/>
      <c r="E243" s="2445"/>
      <c r="F243" s="2445"/>
      <c r="G243" s="2445"/>
      <c r="H243" s="2444"/>
      <c r="I243" s="2444"/>
      <c r="J243" s="2444"/>
      <c r="K243" s="2444"/>
      <c r="L243" s="2444"/>
      <c r="M243" s="2444"/>
      <c r="N243" s="2448"/>
      <c r="O243" s="2449"/>
      <c r="P243" s="2449"/>
      <c r="Q243" s="2449"/>
      <c r="R243" s="2449"/>
      <c r="S243" s="2449"/>
      <c r="T243" s="2449"/>
      <c r="U243" s="2444"/>
      <c r="V243" s="2444"/>
      <c r="W243" s="2444"/>
      <c r="X243" s="2444"/>
      <c r="Y243" s="2444"/>
      <c r="Z243" s="2444"/>
      <c r="AA243" s="2444"/>
      <c r="AB243" s="2444"/>
      <c r="AC243" s="2444"/>
      <c r="AD243" s="2444"/>
      <c r="AE243" s="2444"/>
      <c r="AF243" s="2444"/>
      <c r="AG243" s="2444"/>
      <c r="AH243" s="2444"/>
      <c r="AI243" s="2444"/>
      <c r="AJ243" s="2444"/>
      <c r="AK243" s="2444"/>
      <c r="AL243" s="2444"/>
      <c r="AM243" s="2444"/>
      <c r="AN243" s="2444"/>
      <c r="AO243" s="2444"/>
      <c r="AP243" s="2444"/>
      <c r="AQ243" s="2444"/>
      <c r="AR243" s="2444"/>
      <c r="AS243" s="2444"/>
      <c r="AT243" s="2444"/>
      <c r="AU243" s="2444"/>
      <c r="AV243" s="2444"/>
      <c r="AW243" s="2444"/>
      <c r="AX243" s="2444"/>
      <c r="AY243" s="2444"/>
      <c r="AZ243" s="2444"/>
    </row>
    <row r="244" spans="1:52" ht="18" customHeight="1">
      <c r="A244" s="2444"/>
      <c r="B244" s="2445"/>
      <c r="C244" s="2445"/>
      <c r="D244" s="2445"/>
      <c r="E244" s="2445"/>
      <c r="F244" s="2445"/>
      <c r="G244" s="2445"/>
      <c r="H244" s="2444"/>
      <c r="I244" s="2444"/>
      <c r="J244" s="2444"/>
      <c r="K244" s="2444"/>
      <c r="L244" s="2444"/>
      <c r="M244" s="2444"/>
      <c r="N244" s="2448"/>
      <c r="O244" s="2449"/>
      <c r="P244" s="2449"/>
      <c r="Q244" s="2449"/>
      <c r="R244" s="2449"/>
      <c r="S244" s="2449"/>
      <c r="T244" s="2449"/>
      <c r="U244" s="2444"/>
      <c r="V244" s="2444"/>
      <c r="W244" s="2444"/>
      <c r="X244" s="2444"/>
      <c r="Y244" s="2444"/>
      <c r="Z244" s="2444"/>
      <c r="AA244" s="2444"/>
      <c r="AB244" s="2444"/>
      <c r="AC244" s="2444"/>
      <c r="AD244" s="2444"/>
      <c r="AE244" s="2444"/>
      <c r="AF244" s="2444"/>
      <c r="AG244" s="2444"/>
      <c r="AH244" s="2444"/>
      <c r="AI244" s="2444"/>
      <c r="AJ244" s="2444"/>
      <c r="AK244" s="2444"/>
      <c r="AL244" s="2444"/>
      <c r="AM244" s="2444"/>
      <c r="AN244" s="2444"/>
      <c r="AO244" s="2444"/>
      <c r="AP244" s="2444"/>
      <c r="AQ244" s="2444"/>
      <c r="AR244" s="2444"/>
      <c r="AS244" s="2444"/>
      <c r="AT244" s="2444"/>
      <c r="AU244" s="2444"/>
      <c r="AV244" s="2444"/>
      <c r="AW244" s="2444"/>
      <c r="AX244" s="2444"/>
      <c r="AY244" s="2444"/>
      <c r="AZ244" s="2444"/>
    </row>
    <row r="245" spans="1:52" ht="18" customHeight="1">
      <c r="A245" s="2444"/>
      <c r="B245" s="2445"/>
      <c r="C245" s="2445"/>
      <c r="D245" s="2445"/>
      <c r="E245" s="2445"/>
      <c r="F245" s="2445"/>
      <c r="G245" s="2445"/>
      <c r="H245" s="2444"/>
      <c r="I245" s="2444"/>
      <c r="J245" s="2444"/>
      <c r="K245" s="2444"/>
      <c r="L245" s="2444"/>
      <c r="M245" s="2444"/>
      <c r="N245" s="2448"/>
      <c r="O245" s="2449"/>
      <c r="P245" s="2449"/>
      <c r="Q245" s="2449"/>
      <c r="R245" s="2449"/>
      <c r="S245" s="2449"/>
      <c r="T245" s="2449"/>
      <c r="U245" s="2444"/>
      <c r="V245" s="2444"/>
      <c r="W245" s="2444"/>
      <c r="X245" s="2444"/>
      <c r="Y245" s="2444"/>
      <c r="Z245" s="2444"/>
      <c r="AA245" s="2444"/>
      <c r="AB245" s="2444"/>
      <c r="AC245" s="2444"/>
      <c r="AD245" s="2444"/>
      <c r="AE245" s="2444"/>
      <c r="AF245" s="2444"/>
      <c r="AG245" s="2444"/>
      <c r="AH245" s="2444"/>
      <c r="AI245" s="2444"/>
      <c r="AJ245" s="2444"/>
      <c r="AK245" s="2444"/>
      <c r="AL245" s="2444"/>
      <c r="AM245" s="2444"/>
      <c r="AN245" s="2444"/>
      <c r="AO245" s="2444"/>
      <c r="AP245" s="2444"/>
      <c r="AQ245" s="2444"/>
      <c r="AR245" s="2444"/>
      <c r="AS245" s="2444"/>
      <c r="AT245" s="2444"/>
      <c r="AU245" s="2444"/>
      <c r="AV245" s="2444"/>
      <c r="AW245" s="2444"/>
      <c r="AX245" s="2444"/>
      <c r="AY245" s="2444"/>
      <c r="AZ245" s="2444"/>
    </row>
    <row r="246" spans="1:52" ht="18" customHeight="1">
      <c r="A246" s="2444"/>
      <c r="B246" s="2445"/>
      <c r="C246" s="2445"/>
      <c r="D246" s="2445"/>
      <c r="E246" s="2445"/>
      <c r="F246" s="2445"/>
      <c r="G246" s="2445"/>
      <c r="H246" s="2444"/>
      <c r="I246" s="2444"/>
      <c r="J246" s="2444"/>
      <c r="K246" s="2444"/>
      <c r="L246" s="2444"/>
      <c r="M246" s="2444"/>
      <c r="N246" s="2448"/>
      <c r="O246" s="2449"/>
      <c r="P246" s="2449"/>
      <c r="Q246" s="2449"/>
      <c r="R246" s="2449"/>
      <c r="S246" s="2449"/>
      <c r="T246" s="2449"/>
      <c r="U246" s="2444"/>
      <c r="V246" s="2444"/>
      <c r="W246" s="2444"/>
      <c r="X246" s="2444"/>
      <c r="Y246" s="2444"/>
      <c r="Z246" s="2444"/>
      <c r="AA246" s="2444"/>
      <c r="AB246" s="2444"/>
      <c r="AC246" s="2444"/>
      <c r="AD246" s="2444"/>
      <c r="AE246" s="2444"/>
      <c r="AF246" s="2444"/>
      <c r="AG246" s="2444"/>
      <c r="AH246" s="2444"/>
      <c r="AI246" s="2444"/>
      <c r="AJ246" s="2444"/>
      <c r="AK246" s="2444"/>
      <c r="AL246" s="2444"/>
      <c r="AM246" s="2444"/>
      <c r="AN246" s="2444"/>
      <c r="AO246" s="2444"/>
      <c r="AP246" s="2444"/>
      <c r="AQ246" s="2444"/>
      <c r="AR246" s="2444"/>
      <c r="AS246" s="2444"/>
      <c r="AT246" s="2444"/>
      <c r="AU246" s="2444"/>
      <c r="AV246" s="2444"/>
      <c r="AW246" s="2444"/>
      <c r="AX246" s="2444"/>
      <c r="AY246" s="2444"/>
      <c r="AZ246" s="2444"/>
    </row>
    <row r="247" spans="1:52" ht="18" customHeight="1">
      <c r="A247" s="2444"/>
      <c r="B247" s="2445"/>
      <c r="C247" s="2445"/>
      <c r="D247" s="2445"/>
      <c r="E247" s="2445"/>
      <c r="F247" s="2445"/>
      <c r="G247" s="2445"/>
      <c r="H247" s="2444"/>
      <c r="I247" s="2444"/>
      <c r="J247" s="2444"/>
      <c r="K247" s="2444"/>
      <c r="L247" s="2444"/>
      <c r="M247" s="2444"/>
      <c r="N247" s="2448"/>
      <c r="O247" s="2449"/>
      <c r="P247" s="2449"/>
      <c r="Q247" s="2449"/>
      <c r="R247" s="2449"/>
      <c r="S247" s="2449"/>
      <c r="T247" s="2449"/>
      <c r="U247" s="2444"/>
      <c r="V247" s="2444"/>
      <c r="W247" s="2444"/>
      <c r="X247" s="2444"/>
      <c r="Y247" s="2444"/>
      <c r="Z247" s="2444"/>
      <c r="AA247" s="2444"/>
      <c r="AB247" s="2444"/>
      <c r="AC247" s="2444"/>
      <c r="AD247" s="2444"/>
      <c r="AE247" s="2444"/>
      <c r="AF247" s="2444"/>
      <c r="AG247" s="2444"/>
      <c r="AH247" s="2444"/>
      <c r="AI247" s="2444"/>
      <c r="AJ247" s="2444"/>
      <c r="AK247" s="2444"/>
      <c r="AL247" s="2444"/>
      <c r="AM247" s="2444"/>
      <c r="AN247" s="2444"/>
      <c r="AO247" s="2444"/>
      <c r="AP247" s="2444"/>
      <c r="AQ247" s="2444"/>
      <c r="AR247" s="2444"/>
      <c r="AS247" s="2444"/>
      <c r="AT247" s="2444"/>
      <c r="AU247" s="2444"/>
      <c r="AV247" s="2444"/>
      <c r="AW247" s="2444"/>
      <c r="AX247" s="2444"/>
      <c r="AY247" s="2444"/>
      <c r="AZ247" s="2444"/>
    </row>
    <row r="248" spans="1:52" ht="18" customHeight="1">
      <c r="A248" s="2444"/>
      <c r="B248" s="2445"/>
      <c r="C248" s="2445"/>
      <c r="D248" s="2445"/>
      <c r="E248" s="2445"/>
      <c r="F248" s="2445"/>
      <c r="G248" s="2445"/>
      <c r="H248" s="2444"/>
      <c r="I248" s="2444"/>
      <c r="J248" s="2444"/>
      <c r="K248" s="2444"/>
      <c r="L248" s="2444"/>
      <c r="M248" s="2444"/>
      <c r="N248" s="2448"/>
      <c r="O248" s="2449"/>
      <c r="P248" s="2449"/>
      <c r="Q248" s="2449"/>
      <c r="R248" s="2449"/>
      <c r="S248" s="2449"/>
      <c r="T248" s="2449"/>
      <c r="U248" s="2444"/>
      <c r="V248" s="2444"/>
      <c r="W248" s="2444"/>
      <c r="X248" s="2444"/>
      <c r="Y248" s="2444"/>
      <c r="Z248" s="2444"/>
      <c r="AA248" s="2444"/>
      <c r="AB248" s="2444"/>
      <c r="AC248" s="2444"/>
      <c r="AD248" s="2444"/>
      <c r="AE248" s="2444"/>
      <c r="AF248" s="2444"/>
      <c r="AG248" s="2444"/>
      <c r="AH248" s="2444"/>
      <c r="AI248" s="2444"/>
      <c r="AJ248" s="2444"/>
      <c r="AK248" s="2444"/>
      <c r="AL248" s="2444"/>
      <c r="AM248" s="2444"/>
      <c r="AN248" s="2444"/>
      <c r="AO248" s="2444"/>
      <c r="AP248" s="2444"/>
      <c r="AQ248" s="2444"/>
      <c r="AR248" s="2444"/>
      <c r="AS248" s="2444"/>
      <c r="AT248" s="2444"/>
      <c r="AU248" s="2444"/>
      <c r="AV248" s="2444"/>
      <c r="AW248" s="2444"/>
      <c r="AX248" s="2444"/>
      <c r="AY248" s="2444"/>
      <c r="AZ248" s="2444"/>
    </row>
    <row r="249" spans="1:52" ht="18" customHeight="1">
      <c r="A249" s="2444"/>
      <c r="B249" s="2445"/>
      <c r="C249" s="2445"/>
      <c r="D249" s="2445"/>
      <c r="E249" s="2445"/>
      <c r="F249" s="2445"/>
      <c r="G249" s="2445"/>
      <c r="H249" s="2444"/>
      <c r="I249" s="2444"/>
      <c r="J249" s="2444"/>
      <c r="K249" s="2444"/>
      <c r="L249" s="2444"/>
      <c r="M249" s="2444"/>
      <c r="N249" s="2448"/>
      <c r="O249" s="2449"/>
      <c r="P249" s="2449"/>
      <c r="Q249" s="2449"/>
      <c r="R249" s="2449"/>
      <c r="S249" s="2449"/>
      <c r="T249" s="2449"/>
      <c r="U249" s="2444"/>
      <c r="V249" s="2444"/>
      <c r="W249" s="2444"/>
      <c r="X249" s="2444"/>
      <c r="Y249" s="2444"/>
      <c r="Z249" s="2444"/>
      <c r="AA249" s="2444"/>
      <c r="AB249" s="2444"/>
      <c r="AC249" s="2444"/>
      <c r="AD249" s="2444"/>
      <c r="AE249" s="2444"/>
      <c r="AF249" s="2444"/>
      <c r="AG249" s="2444"/>
      <c r="AH249" s="2444"/>
      <c r="AI249" s="2444"/>
      <c r="AJ249" s="2444"/>
      <c r="AK249" s="2444"/>
      <c r="AL249" s="2444"/>
      <c r="AM249" s="2444"/>
      <c r="AN249" s="2444"/>
      <c r="AO249" s="2444"/>
      <c r="AP249" s="2444"/>
      <c r="AQ249" s="2444"/>
      <c r="AR249" s="2444"/>
      <c r="AS249" s="2444"/>
      <c r="AT249" s="2444"/>
      <c r="AU249" s="2444"/>
      <c r="AV249" s="2444"/>
      <c r="AW249" s="2444"/>
      <c r="AX249" s="2444"/>
      <c r="AY249" s="2444"/>
      <c r="AZ249" s="2444"/>
    </row>
    <row r="250" spans="1:52" ht="18" customHeight="1">
      <c r="A250" s="2444"/>
      <c r="B250" s="2445"/>
      <c r="C250" s="2445"/>
      <c r="D250" s="2445"/>
      <c r="E250" s="2445"/>
      <c r="F250" s="2445"/>
      <c r="G250" s="2445"/>
      <c r="H250" s="2444"/>
      <c r="I250" s="2444"/>
      <c r="J250" s="2444"/>
      <c r="K250" s="2444"/>
      <c r="L250" s="2444"/>
      <c r="M250" s="2444"/>
      <c r="N250" s="2448"/>
      <c r="O250" s="2449"/>
      <c r="P250" s="2449"/>
      <c r="Q250" s="2449"/>
      <c r="R250" s="2449"/>
      <c r="S250" s="2449"/>
      <c r="T250" s="2449"/>
      <c r="U250" s="2444"/>
      <c r="V250" s="2444"/>
      <c r="W250" s="2444"/>
      <c r="X250" s="2444"/>
      <c r="Y250" s="2444"/>
      <c r="Z250" s="2444"/>
      <c r="AA250" s="2444"/>
      <c r="AB250" s="2444"/>
      <c r="AC250" s="2444"/>
      <c r="AD250" s="2444"/>
      <c r="AE250" s="2444"/>
      <c r="AF250" s="2444"/>
      <c r="AG250" s="2444"/>
      <c r="AH250" s="2444"/>
      <c r="AI250" s="2444"/>
      <c r="AJ250" s="2444"/>
      <c r="AK250" s="2444"/>
      <c r="AL250" s="2444"/>
      <c r="AM250" s="2444"/>
      <c r="AN250" s="2444"/>
      <c r="AO250" s="2444"/>
      <c r="AP250" s="2444"/>
      <c r="AQ250" s="2444"/>
      <c r="AR250" s="2444"/>
      <c r="AS250" s="2444"/>
      <c r="AT250" s="2444"/>
      <c r="AU250" s="2444"/>
      <c r="AV250" s="2444"/>
      <c r="AW250" s="2444"/>
      <c r="AX250" s="2444"/>
      <c r="AY250" s="2444"/>
      <c r="AZ250" s="2444"/>
    </row>
    <row r="251" spans="1:52" ht="18" customHeight="1">
      <c r="A251" s="2444"/>
      <c r="B251" s="2445"/>
      <c r="C251" s="2445"/>
      <c r="D251" s="2445"/>
      <c r="E251" s="2445"/>
      <c r="F251" s="2445"/>
      <c r="G251" s="2445"/>
      <c r="H251" s="2444"/>
      <c r="I251" s="2444"/>
      <c r="J251" s="2444"/>
      <c r="K251" s="2444"/>
      <c r="L251" s="2444"/>
      <c r="M251" s="2444"/>
      <c r="N251" s="2448"/>
      <c r="O251" s="2449"/>
      <c r="P251" s="2449"/>
      <c r="Q251" s="2449"/>
      <c r="R251" s="2449"/>
      <c r="S251" s="2449"/>
      <c r="T251" s="2449"/>
      <c r="U251" s="2444"/>
      <c r="V251" s="2444"/>
      <c r="W251" s="2444"/>
      <c r="X251" s="2444"/>
      <c r="Y251" s="2444"/>
      <c r="Z251" s="2444"/>
      <c r="AA251" s="2444"/>
      <c r="AB251" s="2444"/>
      <c r="AC251" s="2444"/>
      <c r="AD251" s="2444"/>
      <c r="AE251" s="2444"/>
      <c r="AF251" s="2444"/>
      <c r="AG251" s="2444"/>
      <c r="AH251" s="2444"/>
      <c r="AI251" s="2444"/>
      <c r="AJ251" s="2444"/>
      <c r="AK251" s="2444"/>
      <c r="AL251" s="2444"/>
      <c r="AM251" s="2444"/>
      <c r="AN251" s="2444"/>
      <c r="AO251" s="2444"/>
      <c r="AP251" s="2444"/>
      <c r="AQ251" s="2444"/>
      <c r="AR251" s="2444"/>
      <c r="AS251" s="2444"/>
      <c r="AT251" s="2444"/>
      <c r="AU251" s="2444"/>
      <c r="AV251" s="2444"/>
      <c r="AW251" s="2444"/>
      <c r="AX251" s="2444"/>
      <c r="AY251" s="2444"/>
      <c r="AZ251" s="2444"/>
    </row>
    <row r="252" spans="1:52" ht="18" customHeight="1">
      <c r="A252" s="2444"/>
      <c r="B252" s="2445"/>
      <c r="C252" s="2445"/>
      <c r="D252" s="2445"/>
      <c r="E252" s="2445"/>
      <c r="F252" s="2445"/>
      <c r="G252" s="2445"/>
      <c r="H252" s="2444"/>
      <c r="I252" s="2444"/>
      <c r="J252" s="2444"/>
      <c r="K252" s="2444"/>
      <c r="L252" s="2444"/>
      <c r="M252" s="2444"/>
      <c r="N252" s="2448"/>
      <c r="O252" s="2449"/>
      <c r="P252" s="2449"/>
      <c r="Q252" s="2449"/>
      <c r="R252" s="2449"/>
      <c r="S252" s="2449"/>
      <c r="T252" s="2449"/>
      <c r="U252" s="2444"/>
      <c r="V252" s="2444"/>
      <c r="W252" s="2444"/>
      <c r="X252" s="2444"/>
      <c r="Y252" s="2444"/>
      <c r="Z252" s="2444"/>
      <c r="AA252" s="2444"/>
      <c r="AB252" s="2444"/>
      <c r="AC252" s="2444"/>
      <c r="AD252" s="2444"/>
      <c r="AE252" s="2444"/>
      <c r="AF252" s="2444"/>
      <c r="AG252" s="2444"/>
      <c r="AH252" s="2444"/>
      <c r="AI252" s="2444"/>
      <c r="AJ252" s="2444"/>
      <c r="AK252" s="2444"/>
      <c r="AL252" s="2444"/>
      <c r="AM252" s="2444"/>
      <c r="AN252" s="2444"/>
      <c r="AO252" s="2444"/>
      <c r="AP252" s="2444"/>
      <c r="AQ252" s="2444"/>
      <c r="AR252" s="2444"/>
      <c r="AS252" s="2444"/>
      <c r="AT252" s="2444"/>
      <c r="AU252" s="2444"/>
      <c r="AV252" s="2444"/>
      <c r="AW252" s="2444"/>
      <c r="AX252" s="2444"/>
      <c r="AY252" s="2444"/>
      <c r="AZ252" s="2444"/>
    </row>
    <row r="253" spans="1:52" ht="18" customHeight="1">
      <c r="A253" s="2444"/>
      <c r="B253" s="2445"/>
      <c r="C253" s="2445"/>
      <c r="D253" s="2445"/>
      <c r="E253" s="2445"/>
      <c r="F253" s="2445"/>
      <c r="G253" s="2445"/>
      <c r="H253" s="2444"/>
      <c r="I253" s="2444"/>
      <c r="J253" s="2444"/>
      <c r="K253" s="2444"/>
      <c r="L253" s="2444"/>
      <c r="M253" s="2444"/>
      <c r="N253" s="2448"/>
      <c r="O253" s="2449"/>
      <c r="P253" s="2449"/>
      <c r="Q253" s="2449"/>
      <c r="R253" s="2449"/>
      <c r="S253" s="2449"/>
      <c r="T253" s="2449"/>
      <c r="U253" s="2444"/>
      <c r="V253" s="2444"/>
      <c r="W253" s="2444"/>
      <c r="X253" s="2444"/>
      <c r="Y253" s="2444"/>
      <c r="Z253" s="2444"/>
      <c r="AA253" s="2444"/>
      <c r="AB253" s="2444"/>
      <c r="AC253" s="2444"/>
      <c r="AD253" s="2444"/>
      <c r="AE253" s="2444"/>
      <c r="AF253" s="2444"/>
      <c r="AG253" s="2444"/>
      <c r="AH253" s="2444"/>
      <c r="AI253" s="2444"/>
      <c r="AJ253" s="2444"/>
      <c r="AK253" s="2444"/>
      <c r="AL253" s="2444"/>
      <c r="AM253" s="2444"/>
      <c r="AN253" s="2444"/>
      <c r="AO253" s="2444"/>
      <c r="AP253" s="2444"/>
      <c r="AQ253" s="2444"/>
      <c r="AR253" s="2444"/>
      <c r="AS253" s="2444"/>
      <c r="AT253" s="2444"/>
      <c r="AU253" s="2444"/>
      <c r="AV253" s="2444"/>
      <c r="AW253" s="2444"/>
      <c r="AX253" s="2444"/>
      <c r="AY253" s="2444"/>
      <c r="AZ253" s="2444"/>
    </row>
    <row r="254" spans="1:52" ht="18" customHeight="1">
      <c r="A254" s="2444"/>
      <c r="B254" s="2445"/>
      <c r="C254" s="2445"/>
      <c r="D254" s="2445"/>
      <c r="E254" s="2445"/>
      <c r="F254" s="2445"/>
      <c r="G254" s="2445"/>
      <c r="H254" s="2444"/>
      <c r="I254" s="2444"/>
      <c r="J254" s="2444"/>
      <c r="K254" s="2444"/>
      <c r="L254" s="2444"/>
      <c r="M254" s="2444"/>
      <c r="N254" s="2448"/>
      <c r="O254" s="2449"/>
      <c r="P254" s="2449"/>
      <c r="Q254" s="2449"/>
      <c r="R254" s="2449"/>
      <c r="S254" s="2449"/>
      <c r="T254" s="2449"/>
      <c r="U254" s="2444"/>
      <c r="V254" s="2444"/>
      <c r="W254" s="2444"/>
      <c r="X254" s="2444"/>
      <c r="Y254" s="2444"/>
      <c r="Z254" s="2444"/>
      <c r="AA254" s="2444"/>
      <c r="AB254" s="2444"/>
      <c r="AC254" s="2444"/>
      <c r="AD254" s="2444"/>
      <c r="AE254" s="2444"/>
      <c r="AF254" s="2444"/>
      <c r="AG254" s="2444"/>
      <c r="AH254" s="2444"/>
      <c r="AI254" s="2444"/>
      <c r="AJ254" s="2444"/>
      <c r="AK254" s="2444"/>
      <c r="AL254" s="2444"/>
      <c r="AM254" s="2444"/>
      <c r="AN254" s="2444"/>
      <c r="AO254" s="2444"/>
      <c r="AP254" s="2444"/>
      <c r="AQ254" s="2444"/>
      <c r="AR254" s="2444"/>
      <c r="AS254" s="2444"/>
      <c r="AT254" s="2444"/>
      <c r="AU254" s="2444"/>
      <c r="AV254" s="2444"/>
      <c r="AW254" s="2444"/>
      <c r="AX254" s="2444"/>
      <c r="AY254" s="2444"/>
      <c r="AZ254" s="2444"/>
    </row>
    <row r="255" spans="1:52" ht="18" customHeight="1">
      <c r="A255" s="2444"/>
      <c r="B255" s="2445"/>
      <c r="C255" s="2445"/>
      <c r="D255" s="2445"/>
      <c r="E255" s="2445"/>
      <c r="F255" s="2445"/>
      <c r="G255" s="2445"/>
      <c r="H255" s="2444"/>
      <c r="I255" s="2444"/>
      <c r="J255" s="2444"/>
      <c r="K255" s="2444"/>
      <c r="L255" s="2444"/>
      <c r="M255" s="2444"/>
      <c r="N255" s="2448"/>
      <c r="O255" s="2449"/>
      <c r="P255" s="2449"/>
      <c r="Q255" s="2449"/>
      <c r="R255" s="2449"/>
      <c r="S255" s="2449"/>
      <c r="T255" s="2449"/>
      <c r="U255" s="2444"/>
      <c r="V255" s="2444"/>
      <c r="W255" s="2444"/>
      <c r="X255" s="2444"/>
      <c r="Y255" s="2444"/>
      <c r="Z255" s="2444"/>
      <c r="AA255" s="2444"/>
      <c r="AB255" s="2444"/>
      <c r="AC255" s="2444"/>
      <c r="AD255" s="2444"/>
      <c r="AE255" s="2444"/>
      <c r="AF255" s="2444"/>
      <c r="AG255" s="2444"/>
      <c r="AH255" s="2444"/>
      <c r="AI255" s="2444"/>
      <c r="AJ255" s="2444"/>
      <c r="AK255" s="2444"/>
      <c r="AL255" s="2444"/>
      <c r="AM255" s="2444"/>
      <c r="AN255" s="2444"/>
      <c r="AO255" s="2444"/>
      <c r="AP255" s="2444"/>
      <c r="AQ255" s="2444"/>
      <c r="AR255" s="2444"/>
      <c r="AS255" s="2444"/>
      <c r="AT255" s="2444"/>
      <c r="AU255" s="2444"/>
      <c r="AV255" s="2444"/>
      <c r="AW255" s="2444"/>
      <c r="AX255" s="2444"/>
      <c r="AY255" s="2444"/>
      <c r="AZ255" s="2444"/>
    </row>
    <row r="256" spans="1:52" ht="18" customHeight="1">
      <c r="A256" s="2444"/>
      <c r="B256" s="2445"/>
      <c r="C256" s="2445"/>
      <c r="D256" s="2445"/>
      <c r="E256" s="2445"/>
      <c r="F256" s="2445"/>
      <c r="G256" s="2445"/>
      <c r="H256" s="2444"/>
      <c r="I256" s="2444"/>
      <c r="J256" s="2444"/>
      <c r="K256" s="2444"/>
      <c r="L256" s="2444"/>
      <c r="M256" s="2444"/>
      <c r="N256" s="2448"/>
      <c r="O256" s="2449"/>
      <c r="P256" s="2449"/>
      <c r="Q256" s="2449"/>
      <c r="R256" s="2449"/>
      <c r="S256" s="2449"/>
      <c r="T256" s="2449"/>
      <c r="U256" s="2444"/>
      <c r="V256" s="2444"/>
      <c r="W256" s="2444"/>
      <c r="X256" s="2444"/>
      <c r="Y256" s="2444"/>
      <c r="Z256" s="2444"/>
      <c r="AA256" s="2444"/>
      <c r="AB256" s="2444"/>
      <c r="AC256" s="2444"/>
      <c r="AD256" s="2444"/>
      <c r="AE256" s="2444"/>
      <c r="AF256" s="2444"/>
      <c r="AG256" s="2444"/>
      <c r="AH256" s="2444"/>
      <c r="AI256" s="2444"/>
      <c r="AJ256" s="2444"/>
      <c r="AK256" s="2444"/>
      <c r="AL256" s="2444"/>
      <c r="AM256" s="2444"/>
      <c r="AN256" s="2444"/>
      <c r="AO256" s="2444"/>
      <c r="AP256" s="2444"/>
      <c r="AQ256" s="2444"/>
      <c r="AR256" s="2444"/>
      <c r="AS256" s="2444"/>
      <c r="AT256" s="2444"/>
      <c r="AU256" s="2444"/>
      <c r="AV256" s="2444"/>
      <c r="AW256" s="2444"/>
      <c r="AX256" s="2444"/>
      <c r="AY256" s="2444"/>
      <c r="AZ256" s="2444"/>
    </row>
    <row r="257" spans="1:52" ht="18" customHeight="1">
      <c r="A257" s="2444"/>
      <c r="B257" s="2445"/>
      <c r="C257" s="2445"/>
      <c r="D257" s="2445"/>
      <c r="E257" s="2445"/>
      <c r="F257" s="2445"/>
      <c r="G257" s="2445"/>
      <c r="H257" s="2444"/>
      <c r="I257" s="2444"/>
      <c r="J257" s="2444"/>
      <c r="K257" s="2444"/>
      <c r="L257" s="2444"/>
      <c r="M257" s="2444"/>
      <c r="N257" s="2448"/>
      <c r="O257" s="2449"/>
      <c r="P257" s="2449"/>
      <c r="Q257" s="2449"/>
      <c r="R257" s="2449"/>
      <c r="S257" s="2449"/>
      <c r="T257" s="2449"/>
      <c r="U257" s="2444"/>
      <c r="V257" s="2444"/>
      <c r="W257" s="2444"/>
      <c r="X257" s="2444"/>
      <c r="Y257" s="2444"/>
      <c r="Z257" s="2444"/>
      <c r="AA257" s="2444"/>
      <c r="AB257" s="2444"/>
      <c r="AC257" s="2444"/>
      <c r="AD257" s="2444"/>
      <c r="AE257" s="2444"/>
      <c r="AF257" s="2444"/>
      <c r="AG257" s="2444"/>
      <c r="AH257" s="2444"/>
      <c r="AI257" s="2444"/>
      <c r="AJ257" s="2444"/>
      <c r="AK257" s="2444"/>
      <c r="AL257" s="2444"/>
      <c r="AM257" s="2444"/>
      <c r="AN257" s="2444"/>
      <c r="AO257" s="2444"/>
      <c r="AP257" s="2444"/>
      <c r="AQ257" s="2444"/>
      <c r="AR257" s="2444"/>
      <c r="AS257" s="2444"/>
      <c r="AT257" s="2444"/>
      <c r="AU257" s="2444"/>
      <c r="AV257" s="2444"/>
      <c r="AW257" s="2444"/>
      <c r="AX257" s="2444"/>
      <c r="AY257" s="2444"/>
      <c r="AZ257" s="2444"/>
    </row>
    <row r="258" spans="1:52" ht="18" customHeight="1">
      <c r="A258" s="2444"/>
      <c r="B258" s="2445"/>
      <c r="C258" s="2445"/>
      <c r="D258" s="2445"/>
      <c r="E258" s="2445"/>
      <c r="F258" s="2445"/>
      <c r="G258" s="2445"/>
      <c r="H258" s="2444"/>
      <c r="I258" s="2444"/>
      <c r="J258" s="2444"/>
      <c r="K258" s="2444"/>
      <c r="L258" s="2444"/>
      <c r="M258" s="2444"/>
      <c r="N258" s="2448"/>
      <c r="O258" s="2449"/>
      <c r="P258" s="2449"/>
      <c r="Q258" s="2449"/>
      <c r="R258" s="2449"/>
      <c r="S258" s="2449"/>
      <c r="T258" s="2449"/>
      <c r="U258" s="2444"/>
      <c r="V258" s="2444"/>
      <c r="W258" s="2444"/>
      <c r="X258" s="2444"/>
      <c r="Y258" s="2444"/>
      <c r="Z258" s="2444"/>
      <c r="AA258" s="2444"/>
      <c r="AB258" s="2444"/>
      <c r="AC258" s="2444"/>
      <c r="AD258" s="2444"/>
      <c r="AE258" s="2444"/>
      <c r="AF258" s="2444"/>
      <c r="AG258" s="2444"/>
      <c r="AH258" s="2444"/>
      <c r="AI258" s="2444"/>
      <c r="AJ258" s="2444"/>
      <c r="AK258" s="2444"/>
      <c r="AL258" s="2444"/>
      <c r="AM258" s="2444"/>
      <c r="AN258" s="2444"/>
      <c r="AO258" s="2444"/>
      <c r="AP258" s="2444"/>
      <c r="AQ258" s="2444"/>
      <c r="AR258" s="2444"/>
      <c r="AS258" s="2444"/>
      <c r="AT258" s="2444"/>
      <c r="AU258" s="2444"/>
      <c r="AV258" s="2444"/>
      <c r="AW258" s="2444"/>
      <c r="AX258" s="2444"/>
      <c r="AY258" s="2444"/>
      <c r="AZ258" s="2444"/>
    </row>
    <row r="259" spans="1:52" ht="18" customHeight="1">
      <c r="A259" s="2444"/>
      <c r="B259" s="2445"/>
      <c r="C259" s="2445"/>
      <c r="D259" s="2445"/>
      <c r="E259" s="2445"/>
      <c r="F259" s="2445"/>
      <c r="G259" s="2445"/>
      <c r="H259" s="2444"/>
      <c r="I259" s="2444"/>
      <c r="J259" s="2444"/>
      <c r="K259" s="2444"/>
      <c r="L259" s="2444"/>
      <c r="M259" s="2444"/>
      <c r="N259" s="2448"/>
      <c r="O259" s="2449"/>
      <c r="P259" s="2449"/>
      <c r="Q259" s="2449"/>
      <c r="R259" s="2449"/>
      <c r="S259" s="2449"/>
      <c r="T259" s="2449"/>
      <c r="U259" s="2444"/>
      <c r="V259" s="2444"/>
      <c r="W259" s="2444"/>
      <c r="X259" s="2444"/>
      <c r="Y259" s="2444"/>
      <c r="Z259" s="2444"/>
      <c r="AA259" s="2444"/>
      <c r="AB259" s="2444"/>
      <c r="AC259" s="2444"/>
      <c r="AD259" s="2444"/>
      <c r="AE259" s="2444"/>
      <c r="AF259" s="2444"/>
      <c r="AG259" s="2444"/>
      <c r="AH259" s="2444"/>
      <c r="AI259" s="2444"/>
      <c r="AJ259" s="2444"/>
      <c r="AK259" s="2444"/>
      <c r="AL259" s="2444"/>
      <c r="AM259" s="2444"/>
      <c r="AN259" s="2444"/>
      <c r="AO259" s="2444"/>
      <c r="AP259" s="2444"/>
      <c r="AQ259" s="2444"/>
      <c r="AR259" s="2444"/>
      <c r="AS259" s="2444"/>
      <c r="AT259" s="2444"/>
      <c r="AU259" s="2444"/>
      <c r="AV259" s="2444"/>
      <c r="AW259" s="2444"/>
      <c r="AX259" s="2444"/>
      <c r="AY259" s="2444"/>
      <c r="AZ259" s="2444"/>
    </row>
    <row r="260" spans="1:52" ht="18" customHeight="1">
      <c r="A260" s="2444"/>
      <c r="B260" s="2445"/>
      <c r="C260" s="2445"/>
      <c r="D260" s="2445"/>
      <c r="E260" s="2445"/>
      <c r="F260" s="2445"/>
      <c r="G260" s="2445"/>
      <c r="H260" s="2444"/>
      <c r="I260" s="2444"/>
      <c r="J260" s="2444"/>
      <c r="K260" s="2444"/>
      <c r="L260" s="2444"/>
      <c r="M260" s="2444"/>
      <c r="N260" s="2448"/>
      <c r="O260" s="2449"/>
      <c r="P260" s="2449"/>
      <c r="Q260" s="2449"/>
      <c r="R260" s="2449"/>
      <c r="S260" s="2449"/>
      <c r="T260" s="2449"/>
      <c r="U260" s="2444"/>
      <c r="V260" s="2444"/>
      <c r="W260" s="2444"/>
      <c r="X260" s="2444"/>
      <c r="Y260" s="2444"/>
      <c r="Z260" s="2444"/>
      <c r="AA260" s="2444"/>
      <c r="AB260" s="2444"/>
      <c r="AC260" s="2444"/>
      <c r="AD260" s="2444"/>
      <c r="AE260" s="2444"/>
      <c r="AF260" s="2444"/>
      <c r="AG260" s="2444"/>
      <c r="AH260" s="2444"/>
      <c r="AI260" s="2444"/>
      <c r="AJ260" s="2444"/>
      <c r="AK260" s="2444"/>
      <c r="AL260" s="2444"/>
      <c r="AM260" s="2444"/>
      <c r="AN260" s="2444"/>
      <c r="AO260" s="2444"/>
      <c r="AP260" s="2444"/>
      <c r="AQ260" s="2444"/>
      <c r="AR260" s="2444"/>
      <c r="AS260" s="2444"/>
      <c r="AT260" s="2444"/>
      <c r="AU260" s="2444"/>
      <c r="AV260" s="2444"/>
      <c r="AW260" s="2444"/>
      <c r="AX260" s="2444"/>
      <c r="AY260" s="2444"/>
      <c r="AZ260" s="2444"/>
    </row>
    <row r="261" spans="1:52" ht="18" customHeight="1">
      <c r="A261" s="2444"/>
      <c r="B261" s="2445"/>
      <c r="C261" s="2445"/>
      <c r="D261" s="2445"/>
      <c r="E261" s="2445"/>
      <c r="F261" s="2445"/>
      <c r="G261" s="2445"/>
      <c r="H261" s="2444"/>
      <c r="I261" s="2444"/>
      <c r="J261" s="2444"/>
      <c r="K261" s="2444"/>
      <c r="L261" s="2444"/>
      <c r="M261" s="2444"/>
      <c r="N261" s="2448"/>
      <c r="O261" s="2449"/>
      <c r="P261" s="2449"/>
      <c r="Q261" s="2449"/>
      <c r="R261" s="2449"/>
      <c r="S261" s="2449"/>
      <c r="T261" s="2449"/>
      <c r="U261" s="2444"/>
      <c r="V261" s="2444"/>
      <c r="W261" s="2444"/>
      <c r="X261" s="2444"/>
      <c r="Y261" s="2444"/>
      <c r="Z261" s="2444"/>
      <c r="AA261" s="2444"/>
      <c r="AB261" s="2444"/>
      <c r="AC261" s="2444"/>
      <c r="AD261" s="2444"/>
      <c r="AE261" s="2444"/>
      <c r="AF261" s="2444"/>
      <c r="AG261" s="2444"/>
      <c r="AH261" s="2444"/>
      <c r="AI261" s="2444"/>
      <c r="AJ261" s="2444"/>
      <c r="AK261" s="2444"/>
      <c r="AL261" s="2444"/>
      <c r="AM261" s="2444"/>
      <c r="AN261" s="2444"/>
      <c r="AO261" s="2444"/>
      <c r="AP261" s="2444"/>
      <c r="AQ261" s="2444"/>
      <c r="AR261" s="2444"/>
      <c r="AS261" s="2444"/>
      <c r="AT261" s="2444"/>
      <c r="AU261" s="2444"/>
      <c r="AV261" s="2444"/>
      <c r="AW261" s="2444"/>
      <c r="AX261" s="2444"/>
      <c r="AY261" s="2444"/>
      <c r="AZ261" s="2444"/>
    </row>
    <row r="262" spans="1:52" ht="18" customHeight="1">
      <c r="A262" s="2444"/>
      <c r="B262" s="2445"/>
      <c r="C262" s="2445"/>
      <c r="D262" s="2445"/>
      <c r="E262" s="2445"/>
      <c r="F262" s="2445"/>
      <c r="G262" s="2445"/>
      <c r="H262" s="2444"/>
      <c r="I262" s="2444"/>
      <c r="J262" s="2444"/>
      <c r="K262" s="2444"/>
      <c r="L262" s="2444"/>
      <c r="M262" s="2444"/>
      <c r="N262" s="2448"/>
      <c r="O262" s="2449"/>
      <c r="P262" s="2449"/>
      <c r="Q262" s="2449"/>
      <c r="R262" s="2449"/>
      <c r="S262" s="2449"/>
      <c r="T262" s="2449"/>
      <c r="U262" s="2444"/>
      <c r="V262" s="2444"/>
      <c r="W262" s="2444"/>
      <c r="X262" s="2444"/>
      <c r="Y262" s="2444"/>
      <c r="Z262" s="2444"/>
      <c r="AA262" s="2444"/>
      <c r="AB262" s="2444"/>
      <c r="AC262" s="2444"/>
      <c r="AD262" s="2444"/>
      <c r="AE262" s="2444"/>
      <c r="AF262" s="2444"/>
      <c r="AG262" s="2444"/>
      <c r="AH262" s="2444"/>
      <c r="AI262" s="2444"/>
      <c r="AJ262" s="2444"/>
      <c r="AK262" s="2444"/>
      <c r="AL262" s="2444"/>
      <c r="AM262" s="2444"/>
      <c r="AN262" s="2444"/>
      <c r="AO262" s="2444"/>
      <c r="AP262" s="2444"/>
      <c r="AQ262" s="2444"/>
      <c r="AR262" s="2444"/>
      <c r="AS262" s="2444"/>
      <c r="AT262" s="2444"/>
      <c r="AU262" s="2444"/>
      <c r="AV262" s="2444"/>
      <c r="AW262" s="2444"/>
      <c r="AX262" s="2444"/>
      <c r="AY262" s="2444"/>
      <c r="AZ262" s="2444"/>
    </row>
    <row r="263" spans="1:52" ht="18" customHeight="1">
      <c r="A263" s="2444"/>
      <c r="B263" s="2445"/>
      <c r="C263" s="2445"/>
      <c r="D263" s="2445"/>
      <c r="E263" s="2445"/>
      <c r="F263" s="2445"/>
      <c r="G263" s="2445"/>
      <c r="H263" s="2444"/>
      <c r="I263" s="2444"/>
      <c r="J263" s="2444"/>
      <c r="K263" s="2444"/>
      <c r="L263" s="2444"/>
      <c r="M263" s="2444"/>
      <c r="N263" s="2448"/>
      <c r="O263" s="2449"/>
      <c r="P263" s="2449"/>
      <c r="Q263" s="2449"/>
      <c r="R263" s="2449"/>
      <c r="S263" s="2449"/>
      <c r="T263" s="2449"/>
      <c r="U263" s="2444"/>
      <c r="V263" s="2444"/>
      <c r="W263" s="2444"/>
      <c r="X263" s="2444"/>
      <c r="Y263" s="2444"/>
      <c r="Z263" s="2444"/>
      <c r="AA263" s="2444"/>
      <c r="AB263" s="2444"/>
      <c r="AC263" s="2444"/>
      <c r="AD263" s="2444"/>
      <c r="AE263" s="2444"/>
      <c r="AF263" s="2444"/>
      <c r="AG263" s="2444"/>
      <c r="AH263" s="2444"/>
      <c r="AI263" s="2444"/>
      <c r="AJ263" s="2444"/>
      <c r="AK263" s="2444"/>
      <c r="AL263" s="2444"/>
      <c r="AM263" s="2444"/>
      <c r="AN263" s="2444"/>
      <c r="AO263" s="2444"/>
      <c r="AP263" s="2444"/>
      <c r="AQ263" s="2444"/>
      <c r="AR263" s="2444"/>
      <c r="AS263" s="2444"/>
      <c r="AT263" s="2444"/>
      <c r="AU263" s="2444"/>
      <c r="AV263" s="2444"/>
      <c r="AW263" s="2444"/>
      <c r="AX263" s="2444"/>
      <c r="AY263" s="2444"/>
      <c r="AZ263" s="2444"/>
    </row>
    <row r="264" spans="1:52" ht="18" customHeight="1">
      <c r="A264" s="2444"/>
      <c r="B264" s="2445"/>
      <c r="C264" s="2445"/>
      <c r="D264" s="2445"/>
      <c r="E264" s="2445"/>
      <c r="F264" s="2445"/>
      <c r="G264" s="2445"/>
      <c r="H264" s="2444"/>
      <c r="I264" s="2444"/>
      <c r="J264" s="2444"/>
      <c r="K264" s="2444"/>
      <c r="L264" s="2444"/>
      <c r="M264" s="2444"/>
      <c r="N264" s="2448"/>
      <c r="O264" s="2449"/>
      <c r="P264" s="2449"/>
      <c r="Q264" s="2449"/>
      <c r="R264" s="2449"/>
      <c r="S264" s="2449"/>
      <c r="T264" s="2449"/>
      <c r="U264" s="2444"/>
      <c r="V264" s="2444"/>
      <c r="W264" s="2444"/>
      <c r="X264" s="2444"/>
      <c r="Y264" s="2444"/>
      <c r="Z264" s="2444"/>
      <c r="AA264" s="2444"/>
      <c r="AB264" s="2444"/>
      <c r="AC264" s="2444"/>
      <c r="AD264" s="2444"/>
      <c r="AE264" s="2444"/>
      <c r="AF264" s="2444"/>
      <c r="AG264" s="2444"/>
      <c r="AH264" s="2444"/>
      <c r="AI264" s="2444"/>
      <c r="AJ264" s="2444"/>
      <c r="AK264" s="2444"/>
      <c r="AL264" s="2444"/>
      <c r="AM264" s="2444"/>
      <c r="AN264" s="2444"/>
      <c r="AO264" s="2444"/>
      <c r="AP264" s="2444"/>
      <c r="AQ264" s="2444"/>
      <c r="AR264" s="2444"/>
      <c r="AS264" s="2444"/>
      <c r="AT264" s="2444"/>
      <c r="AU264" s="2444"/>
      <c r="AV264" s="2444"/>
      <c r="AW264" s="2444"/>
      <c r="AX264" s="2444"/>
      <c r="AY264" s="2444"/>
      <c r="AZ264" s="2444"/>
    </row>
    <row r="265" spans="1:52" ht="18" customHeight="1">
      <c r="A265" s="2444"/>
      <c r="B265" s="2445"/>
      <c r="C265" s="2445"/>
      <c r="D265" s="2445"/>
      <c r="E265" s="2445"/>
      <c r="F265" s="2445"/>
      <c r="G265" s="2445"/>
      <c r="H265" s="2444"/>
      <c r="I265" s="2444"/>
      <c r="J265" s="2444"/>
      <c r="K265" s="2444"/>
      <c r="L265" s="2444"/>
      <c r="M265" s="2444"/>
      <c r="N265" s="2448"/>
      <c r="O265" s="2449"/>
      <c r="P265" s="2449"/>
      <c r="Q265" s="2449"/>
      <c r="R265" s="2449"/>
      <c r="S265" s="2449"/>
      <c r="T265" s="2449"/>
      <c r="U265" s="2444"/>
      <c r="V265" s="2444"/>
      <c r="W265" s="2444"/>
      <c r="X265" s="2444"/>
      <c r="Y265" s="2444"/>
      <c r="Z265" s="2444"/>
      <c r="AA265" s="2444"/>
      <c r="AB265" s="2444"/>
      <c r="AC265" s="2444"/>
      <c r="AD265" s="2444"/>
      <c r="AE265" s="2444"/>
      <c r="AF265" s="2444"/>
      <c r="AG265" s="2444"/>
      <c r="AH265" s="2444"/>
      <c r="AI265" s="2444"/>
      <c r="AJ265" s="2444"/>
      <c r="AK265" s="2444"/>
      <c r="AL265" s="2444"/>
      <c r="AM265" s="2444"/>
      <c r="AN265" s="2444"/>
      <c r="AO265" s="2444"/>
      <c r="AP265" s="2444"/>
      <c r="AQ265" s="2444"/>
      <c r="AR265" s="2444"/>
      <c r="AS265" s="2444"/>
      <c r="AT265" s="2444"/>
      <c r="AU265" s="2444"/>
      <c r="AV265" s="2444"/>
      <c r="AW265" s="2444"/>
      <c r="AX265" s="2444"/>
      <c r="AY265" s="2444"/>
      <c r="AZ265" s="2444"/>
    </row>
    <row r="266" spans="1:52" ht="18" customHeight="1">
      <c r="A266" s="2444"/>
      <c r="B266" s="2445"/>
      <c r="C266" s="2445"/>
      <c r="D266" s="2445"/>
      <c r="E266" s="2445"/>
      <c r="F266" s="2445"/>
      <c r="G266" s="2445"/>
      <c r="H266" s="2444"/>
      <c r="I266" s="2444"/>
      <c r="J266" s="2444"/>
      <c r="K266" s="2444"/>
      <c r="L266" s="2444"/>
      <c r="M266" s="2444"/>
      <c r="N266" s="2448"/>
      <c r="O266" s="2449"/>
      <c r="P266" s="2449"/>
      <c r="Q266" s="2449"/>
      <c r="R266" s="2449"/>
      <c r="S266" s="2449"/>
      <c r="T266" s="2449"/>
      <c r="U266" s="2444"/>
      <c r="V266" s="2444"/>
      <c r="W266" s="2444"/>
      <c r="X266" s="2444"/>
      <c r="Y266" s="2444"/>
      <c r="Z266" s="2444"/>
      <c r="AA266" s="2444"/>
      <c r="AB266" s="2444"/>
      <c r="AC266" s="2444"/>
      <c r="AD266" s="2444"/>
      <c r="AE266" s="2444"/>
      <c r="AF266" s="2444"/>
      <c r="AG266" s="2444"/>
      <c r="AH266" s="2444"/>
      <c r="AI266" s="2444"/>
      <c r="AJ266" s="2444"/>
      <c r="AK266" s="2444"/>
      <c r="AL266" s="2444"/>
      <c r="AM266" s="2444"/>
      <c r="AN266" s="2444"/>
      <c r="AO266" s="2444"/>
      <c r="AP266" s="2444"/>
      <c r="AQ266" s="2444"/>
      <c r="AR266" s="2444"/>
      <c r="AS266" s="2444"/>
      <c r="AT266" s="2444"/>
      <c r="AU266" s="2444"/>
      <c r="AV266" s="2444"/>
      <c r="AW266" s="2444"/>
      <c r="AX266" s="2444"/>
      <c r="AY266" s="2444"/>
      <c r="AZ266" s="2444"/>
    </row>
    <row r="267" spans="1:52" ht="18" customHeight="1">
      <c r="A267" s="2444"/>
      <c r="B267" s="2445"/>
      <c r="C267" s="2445"/>
      <c r="D267" s="2445"/>
      <c r="E267" s="2445"/>
      <c r="F267" s="2445"/>
      <c r="G267" s="2445"/>
      <c r="H267" s="2444"/>
      <c r="I267" s="2444"/>
      <c r="J267" s="2444"/>
      <c r="K267" s="2444"/>
      <c r="L267" s="2444"/>
      <c r="M267" s="2444"/>
      <c r="N267" s="2448"/>
      <c r="O267" s="2449"/>
      <c r="P267" s="2449"/>
      <c r="Q267" s="2449"/>
      <c r="R267" s="2449"/>
      <c r="S267" s="2449"/>
      <c r="T267" s="2449"/>
      <c r="U267" s="2444"/>
      <c r="V267" s="2444"/>
      <c r="W267" s="2444"/>
      <c r="X267" s="2444"/>
      <c r="Y267" s="2444"/>
      <c r="Z267" s="2444"/>
      <c r="AA267" s="2444"/>
      <c r="AB267" s="2444"/>
      <c r="AC267" s="2444"/>
      <c r="AD267" s="2444"/>
      <c r="AE267" s="2444"/>
      <c r="AF267" s="2444"/>
      <c r="AG267" s="2444"/>
      <c r="AH267" s="2444"/>
      <c r="AI267" s="2444"/>
      <c r="AJ267" s="2444"/>
      <c r="AK267" s="2444"/>
      <c r="AL267" s="2444"/>
      <c r="AM267" s="2444"/>
      <c r="AN267" s="2444"/>
      <c r="AO267" s="2444"/>
      <c r="AP267" s="2444"/>
      <c r="AQ267" s="2444"/>
      <c r="AR267" s="2444"/>
      <c r="AS267" s="2444"/>
      <c r="AT267" s="2444"/>
      <c r="AU267" s="2444"/>
      <c r="AV267" s="2444"/>
      <c r="AW267" s="2444"/>
      <c r="AX267" s="2444"/>
      <c r="AY267" s="2444"/>
      <c r="AZ267" s="2444"/>
    </row>
    <row r="268" spans="1:52" ht="18" customHeight="1">
      <c r="A268" s="2444"/>
      <c r="B268" s="2445"/>
      <c r="C268" s="2445"/>
      <c r="D268" s="2445"/>
      <c r="E268" s="2445"/>
      <c r="F268" s="2445"/>
      <c r="G268" s="2445"/>
      <c r="H268" s="2444"/>
      <c r="I268" s="2444"/>
      <c r="J268" s="2444"/>
      <c r="K268" s="2444"/>
      <c r="L268" s="2444"/>
      <c r="M268" s="2444"/>
      <c r="N268" s="2448"/>
      <c r="O268" s="2449"/>
      <c r="P268" s="2449"/>
      <c r="Q268" s="2449"/>
      <c r="R268" s="2449"/>
      <c r="S268" s="2449"/>
      <c r="T268" s="2449"/>
      <c r="U268" s="2444"/>
      <c r="V268" s="2444"/>
      <c r="W268" s="2444"/>
      <c r="X268" s="2444"/>
      <c r="Y268" s="2444"/>
      <c r="Z268" s="2444"/>
      <c r="AA268" s="2444"/>
      <c r="AB268" s="2444"/>
      <c r="AC268" s="2444"/>
      <c r="AD268" s="2444"/>
      <c r="AE268" s="2444"/>
      <c r="AF268" s="2444"/>
      <c r="AG268" s="2444"/>
      <c r="AH268" s="2444"/>
      <c r="AI268" s="2444"/>
      <c r="AJ268" s="2444"/>
      <c r="AK268" s="2444"/>
      <c r="AL268" s="2444"/>
      <c r="AM268" s="2444"/>
      <c r="AN268" s="2444"/>
      <c r="AO268" s="2444"/>
      <c r="AP268" s="2444"/>
      <c r="AQ268" s="2444"/>
      <c r="AR268" s="2444"/>
      <c r="AS268" s="2444"/>
      <c r="AT268" s="2444"/>
      <c r="AU268" s="2444"/>
      <c r="AV268" s="2444"/>
      <c r="AW268" s="2444"/>
      <c r="AX268" s="2444"/>
      <c r="AY268" s="2444"/>
      <c r="AZ268" s="2444"/>
    </row>
    <row r="269" spans="1:52" ht="18" customHeight="1">
      <c r="A269" s="2444"/>
      <c r="B269" s="2445"/>
      <c r="C269" s="2445"/>
      <c r="D269" s="2445"/>
      <c r="E269" s="2445"/>
      <c r="F269" s="2445"/>
      <c r="G269" s="2445"/>
      <c r="H269" s="2444"/>
      <c r="I269" s="2444"/>
      <c r="J269" s="2444"/>
      <c r="K269" s="2444"/>
      <c r="L269" s="2444"/>
      <c r="M269" s="2444"/>
      <c r="N269" s="2448"/>
      <c r="O269" s="2449"/>
      <c r="P269" s="2449"/>
      <c r="Q269" s="2449"/>
      <c r="R269" s="2449"/>
      <c r="S269" s="2449"/>
      <c r="T269" s="2449"/>
      <c r="U269" s="2444"/>
      <c r="V269" s="2444"/>
      <c r="W269" s="2444"/>
      <c r="X269" s="2444"/>
      <c r="Y269" s="2444"/>
      <c r="Z269" s="2444"/>
      <c r="AA269" s="2444"/>
      <c r="AB269" s="2444"/>
      <c r="AC269" s="2444"/>
      <c r="AD269" s="2444"/>
      <c r="AE269" s="2444"/>
      <c r="AF269" s="2444"/>
      <c r="AG269" s="2444"/>
      <c r="AH269" s="2444"/>
      <c r="AI269" s="2444"/>
      <c r="AJ269" s="2444"/>
      <c r="AK269" s="2444"/>
      <c r="AL269" s="2444"/>
      <c r="AM269" s="2444"/>
      <c r="AN269" s="2444"/>
      <c r="AO269" s="2444"/>
      <c r="AP269" s="2444"/>
      <c r="AQ269" s="2444"/>
      <c r="AR269" s="2444"/>
      <c r="AS269" s="2444"/>
      <c r="AT269" s="2444"/>
      <c r="AU269" s="2444"/>
      <c r="AV269" s="2444"/>
      <c r="AW269" s="2444"/>
      <c r="AX269" s="2444"/>
      <c r="AY269" s="2444"/>
      <c r="AZ269" s="2444"/>
    </row>
    <row r="270" spans="1:52" ht="18" customHeight="1">
      <c r="A270" s="2444"/>
      <c r="B270" s="2445"/>
      <c r="C270" s="2445"/>
      <c r="D270" s="2445"/>
      <c r="E270" s="2445"/>
      <c r="F270" s="2445"/>
      <c r="G270" s="2445"/>
      <c r="H270" s="2444"/>
      <c r="I270" s="2444"/>
      <c r="J270" s="2444"/>
      <c r="K270" s="2444"/>
      <c r="L270" s="2444"/>
      <c r="M270" s="2444"/>
      <c r="N270" s="2448"/>
      <c r="O270" s="2449"/>
      <c r="P270" s="2449"/>
      <c r="Q270" s="2449"/>
      <c r="R270" s="2449"/>
      <c r="S270" s="2449"/>
      <c r="T270" s="2449"/>
      <c r="U270" s="2444"/>
      <c r="V270" s="2444"/>
      <c r="W270" s="2444"/>
      <c r="X270" s="2444"/>
      <c r="Y270" s="2444"/>
      <c r="Z270" s="2444"/>
      <c r="AA270" s="2444"/>
      <c r="AB270" s="2444"/>
      <c r="AC270" s="2444"/>
      <c r="AD270" s="2444"/>
      <c r="AE270" s="2444"/>
      <c r="AF270" s="2444"/>
      <c r="AG270" s="2444"/>
      <c r="AH270" s="2444"/>
      <c r="AI270" s="2444"/>
      <c r="AJ270" s="2444"/>
      <c r="AK270" s="2444"/>
      <c r="AL270" s="2444"/>
      <c r="AM270" s="2444"/>
      <c r="AN270" s="2444"/>
      <c r="AO270" s="2444"/>
      <c r="AP270" s="2444"/>
      <c r="AQ270" s="2444"/>
      <c r="AR270" s="2444"/>
      <c r="AS270" s="2444"/>
      <c r="AT270" s="2444"/>
      <c r="AU270" s="2444"/>
      <c r="AV270" s="2444"/>
      <c r="AW270" s="2444"/>
      <c r="AX270" s="2444"/>
      <c r="AY270" s="2444"/>
      <c r="AZ270" s="2444"/>
    </row>
    <row r="271" spans="1:52" ht="18" customHeight="1">
      <c r="A271" s="2444"/>
      <c r="B271" s="2445"/>
      <c r="C271" s="2445"/>
      <c r="D271" s="2445"/>
      <c r="E271" s="2445"/>
      <c r="F271" s="2445"/>
      <c r="G271" s="2445"/>
      <c r="H271" s="2444"/>
      <c r="I271" s="2444"/>
      <c r="J271" s="2444"/>
      <c r="K271" s="2444"/>
      <c r="L271" s="2444"/>
      <c r="M271" s="2444"/>
      <c r="N271" s="2448"/>
      <c r="O271" s="2449"/>
      <c r="P271" s="2449"/>
      <c r="Q271" s="2449"/>
      <c r="R271" s="2449"/>
      <c r="S271" s="2449"/>
      <c r="T271" s="2449"/>
      <c r="U271" s="2444"/>
      <c r="V271" s="2444"/>
      <c r="W271" s="2444"/>
      <c r="X271" s="2444"/>
      <c r="Y271" s="2444"/>
      <c r="Z271" s="2444"/>
      <c r="AA271" s="2444"/>
      <c r="AB271" s="2444"/>
      <c r="AC271" s="2444"/>
      <c r="AD271" s="2444"/>
      <c r="AE271" s="2444"/>
      <c r="AF271" s="2444"/>
      <c r="AG271" s="2444"/>
      <c r="AH271" s="2444"/>
      <c r="AI271" s="2444"/>
      <c r="AJ271" s="2444"/>
      <c r="AK271" s="2444"/>
      <c r="AL271" s="2444"/>
      <c r="AM271" s="2444"/>
      <c r="AN271" s="2444"/>
      <c r="AO271" s="2444"/>
      <c r="AP271" s="2444"/>
      <c r="AQ271" s="2444"/>
      <c r="AR271" s="2444"/>
      <c r="AS271" s="2444"/>
      <c r="AT271" s="2444"/>
      <c r="AU271" s="2444"/>
      <c r="AV271" s="2444"/>
      <c r="AW271" s="2444"/>
      <c r="AX271" s="2444"/>
      <c r="AY271" s="2444"/>
      <c r="AZ271" s="2444"/>
    </row>
    <row r="272" spans="1:52" ht="18" customHeight="1">
      <c r="A272" s="2444"/>
      <c r="B272" s="2445"/>
      <c r="C272" s="2445"/>
      <c r="D272" s="2445"/>
      <c r="E272" s="2445"/>
      <c r="F272" s="2445"/>
      <c r="G272" s="2445"/>
      <c r="H272" s="2444"/>
      <c r="I272" s="2444"/>
      <c r="J272" s="2444"/>
      <c r="K272" s="2444"/>
      <c r="L272" s="2444"/>
      <c r="M272" s="2444"/>
      <c r="N272" s="2448"/>
      <c r="O272" s="2449"/>
      <c r="P272" s="2449"/>
      <c r="Q272" s="2449"/>
      <c r="R272" s="2449"/>
      <c r="S272" s="2449"/>
      <c r="T272" s="2449"/>
      <c r="U272" s="2444"/>
      <c r="V272" s="2444"/>
      <c r="W272" s="2444"/>
      <c r="X272" s="2444"/>
      <c r="Y272" s="2444"/>
      <c r="Z272" s="2444"/>
      <c r="AA272" s="2444"/>
      <c r="AB272" s="2444"/>
      <c r="AC272" s="2444"/>
      <c r="AD272" s="2444"/>
      <c r="AE272" s="2444"/>
      <c r="AF272" s="2444"/>
      <c r="AG272" s="2444"/>
      <c r="AH272" s="2444"/>
      <c r="AI272" s="2444"/>
      <c r="AJ272" s="2444"/>
      <c r="AK272" s="2444"/>
      <c r="AL272" s="2444"/>
      <c r="AM272" s="2444"/>
      <c r="AN272" s="2444"/>
      <c r="AO272" s="2444"/>
      <c r="AP272" s="2444"/>
      <c r="AQ272" s="2444"/>
      <c r="AR272" s="2444"/>
      <c r="AS272" s="2444"/>
      <c r="AT272" s="2444"/>
      <c r="AU272" s="2444"/>
      <c r="AV272" s="2444"/>
      <c r="AW272" s="2444"/>
      <c r="AX272" s="2444"/>
      <c r="AY272" s="2444"/>
      <c r="AZ272" s="2444"/>
    </row>
    <row r="273" spans="1:52" ht="18" customHeight="1">
      <c r="A273" s="2444"/>
      <c r="B273" s="2445"/>
      <c r="C273" s="2445"/>
      <c r="D273" s="2445"/>
      <c r="E273" s="2445"/>
      <c r="F273" s="2445"/>
      <c r="G273" s="2445"/>
      <c r="H273" s="2444"/>
      <c r="I273" s="2444"/>
      <c r="J273" s="2444"/>
      <c r="K273" s="2444"/>
      <c r="L273" s="2444"/>
      <c r="M273" s="2444"/>
      <c r="N273" s="2448"/>
      <c r="O273" s="2449"/>
      <c r="P273" s="2449"/>
      <c r="Q273" s="2449"/>
      <c r="R273" s="2449"/>
      <c r="S273" s="2449"/>
      <c r="T273" s="2449"/>
      <c r="U273" s="2444"/>
      <c r="V273" s="2444"/>
      <c r="W273" s="2444"/>
      <c r="X273" s="2444"/>
      <c r="Y273" s="2444"/>
      <c r="Z273" s="2444"/>
      <c r="AA273" s="2444"/>
      <c r="AB273" s="2444"/>
      <c r="AC273" s="2444"/>
      <c r="AD273" s="2444"/>
      <c r="AE273" s="2444"/>
      <c r="AF273" s="2444"/>
      <c r="AG273" s="2444"/>
      <c r="AH273" s="2444"/>
      <c r="AI273" s="2444"/>
      <c r="AJ273" s="2444"/>
      <c r="AK273" s="2444"/>
      <c r="AL273" s="2444"/>
      <c r="AM273" s="2444"/>
      <c r="AN273" s="2444"/>
      <c r="AO273" s="2444"/>
      <c r="AP273" s="2444"/>
      <c r="AQ273" s="2444"/>
      <c r="AR273" s="2444"/>
      <c r="AS273" s="2444"/>
      <c r="AT273" s="2444"/>
      <c r="AU273" s="2444"/>
      <c r="AV273" s="2444"/>
      <c r="AW273" s="2444"/>
      <c r="AX273" s="2444"/>
      <c r="AY273" s="2444"/>
      <c r="AZ273" s="2444"/>
    </row>
    <row r="274" spans="1:52" ht="18" customHeight="1">
      <c r="A274" s="2444"/>
      <c r="B274" s="2445"/>
      <c r="C274" s="2445"/>
      <c r="D274" s="2445"/>
      <c r="E274" s="2445"/>
      <c r="F274" s="2445"/>
      <c r="G274" s="2445"/>
      <c r="H274" s="2444"/>
      <c r="I274" s="2444"/>
      <c r="J274" s="2444"/>
      <c r="K274" s="2444"/>
      <c r="L274" s="2444"/>
      <c r="M274" s="2444"/>
      <c r="N274" s="2448"/>
      <c r="O274" s="2449"/>
      <c r="P274" s="2449"/>
      <c r="Q274" s="2449"/>
      <c r="R274" s="2449"/>
      <c r="S274" s="2449"/>
      <c r="T274" s="2449"/>
      <c r="U274" s="2444"/>
      <c r="V274" s="2444"/>
      <c r="W274" s="2444"/>
      <c r="X274" s="2444"/>
      <c r="Y274" s="2444"/>
      <c r="Z274" s="2444"/>
      <c r="AA274" s="2444"/>
      <c r="AB274" s="2444"/>
      <c r="AC274" s="2444"/>
      <c r="AD274" s="2444"/>
      <c r="AE274" s="2444"/>
      <c r="AF274" s="2444"/>
      <c r="AG274" s="2444"/>
      <c r="AH274" s="2444"/>
      <c r="AI274" s="2444"/>
      <c r="AJ274" s="2444"/>
      <c r="AK274" s="2444"/>
      <c r="AL274" s="2444"/>
      <c r="AM274" s="2444"/>
      <c r="AN274" s="2444"/>
      <c r="AO274" s="2444"/>
      <c r="AP274" s="2444"/>
      <c r="AQ274" s="2444"/>
      <c r="AR274" s="2444"/>
      <c r="AS274" s="2444"/>
      <c r="AT274" s="2444"/>
      <c r="AU274" s="2444"/>
      <c r="AV274" s="2444"/>
      <c r="AW274" s="2444"/>
      <c r="AX274" s="2444"/>
      <c r="AY274" s="2444"/>
      <c r="AZ274" s="2444"/>
    </row>
    <row r="275" spans="1:52" ht="18" customHeight="1">
      <c r="A275" s="2444"/>
      <c r="B275" s="2445"/>
      <c r="C275" s="2445"/>
      <c r="D275" s="2445"/>
      <c r="E275" s="2445"/>
      <c r="F275" s="2445"/>
      <c r="G275" s="2445"/>
      <c r="H275" s="2444"/>
      <c r="I275" s="2444"/>
      <c r="J275" s="2444"/>
      <c r="K275" s="2444"/>
      <c r="L275" s="2444"/>
      <c r="M275" s="2444"/>
      <c r="N275" s="2448"/>
      <c r="O275" s="2449"/>
      <c r="P275" s="2449"/>
      <c r="Q275" s="2449"/>
      <c r="R275" s="2449"/>
      <c r="S275" s="2449"/>
      <c r="T275" s="2449"/>
      <c r="U275" s="2444"/>
      <c r="V275" s="2444"/>
      <c r="W275" s="2444"/>
      <c r="X275" s="2444"/>
      <c r="Y275" s="2444"/>
      <c r="Z275" s="2444"/>
      <c r="AA275" s="2444"/>
      <c r="AB275" s="2444"/>
      <c r="AC275" s="2444"/>
      <c r="AD275" s="2444"/>
      <c r="AE275" s="2444"/>
      <c r="AF275" s="2444"/>
      <c r="AG275" s="2444"/>
      <c r="AH275" s="2444"/>
      <c r="AI275" s="2444"/>
      <c r="AJ275" s="2444"/>
      <c r="AK275" s="2444"/>
      <c r="AL275" s="2444"/>
      <c r="AM275" s="2444"/>
      <c r="AN275" s="2444"/>
      <c r="AO275" s="2444"/>
      <c r="AP275" s="2444"/>
      <c r="AQ275" s="2444"/>
      <c r="AR275" s="2444"/>
      <c r="AS275" s="2444"/>
      <c r="AT275" s="2444"/>
      <c r="AU275" s="2444"/>
      <c r="AV275" s="2444"/>
      <c r="AW275" s="2444"/>
      <c r="AX275" s="2444"/>
      <c r="AY275" s="2444"/>
      <c r="AZ275" s="2444"/>
    </row>
    <row r="276" spans="1:52" ht="18" customHeight="1">
      <c r="A276" s="2444"/>
      <c r="B276" s="2445"/>
      <c r="C276" s="2445"/>
      <c r="D276" s="2445"/>
      <c r="E276" s="2445"/>
      <c r="F276" s="2445"/>
      <c r="G276" s="2445"/>
      <c r="H276" s="2444"/>
      <c r="I276" s="2444"/>
      <c r="J276" s="2444"/>
      <c r="K276" s="2444"/>
      <c r="L276" s="2444"/>
      <c r="M276" s="2444"/>
      <c r="N276" s="2448"/>
      <c r="O276" s="2449"/>
      <c r="P276" s="2449"/>
      <c r="Q276" s="2449"/>
      <c r="R276" s="2449"/>
      <c r="S276" s="2449"/>
      <c r="T276" s="2449"/>
      <c r="U276" s="2444"/>
      <c r="V276" s="2444"/>
      <c r="W276" s="2444"/>
      <c r="X276" s="2444"/>
      <c r="Y276" s="2444"/>
      <c r="Z276" s="2444"/>
      <c r="AA276" s="2444"/>
      <c r="AB276" s="2444"/>
      <c r="AC276" s="2444"/>
      <c r="AD276" s="2444"/>
      <c r="AE276" s="2444"/>
      <c r="AF276" s="2444"/>
      <c r="AG276" s="2444"/>
      <c r="AH276" s="2444"/>
      <c r="AI276" s="2444"/>
      <c r="AJ276" s="2444"/>
      <c r="AK276" s="2444"/>
      <c r="AL276" s="2444"/>
      <c r="AM276" s="2444"/>
      <c r="AN276" s="2444"/>
      <c r="AO276" s="2444"/>
      <c r="AP276" s="2444"/>
      <c r="AQ276" s="2444"/>
      <c r="AR276" s="2444"/>
      <c r="AS276" s="2444"/>
      <c r="AT276" s="2444"/>
      <c r="AU276" s="2444"/>
      <c r="AV276" s="2444"/>
      <c r="AW276" s="2444"/>
      <c r="AX276" s="2444"/>
      <c r="AY276" s="2444"/>
      <c r="AZ276" s="2444"/>
    </row>
    <row r="277" spans="1:52" ht="18" customHeight="1">
      <c r="A277" s="2444"/>
      <c r="B277" s="2445"/>
      <c r="C277" s="2445"/>
      <c r="D277" s="2445"/>
      <c r="E277" s="2445"/>
      <c r="F277" s="2445"/>
      <c r="G277" s="2445"/>
      <c r="H277" s="2444"/>
      <c r="I277" s="2444"/>
      <c r="J277" s="2444"/>
      <c r="K277" s="2444"/>
      <c r="L277" s="2444"/>
      <c r="M277" s="2444"/>
      <c r="N277" s="2448"/>
      <c r="O277" s="2449"/>
      <c r="P277" s="2449"/>
      <c r="Q277" s="2449"/>
      <c r="R277" s="2449"/>
      <c r="S277" s="2449"/>
      <c r="T277" s="2449"/>
      <c r="U277" s="2444"/>
      <c r="V277" s="2444"/>
      <c r="W277" s="2444"/>
      <c r="X277" s="2444"/>
      <c r="Y277" s="2444"/>
      <c r="Z277" s="2444"/>
      <c r="AA277" s="2444"/>
      <c r="AB277" s="2444"/>
      <c r="AC277" s="2444"/>
      <c r="AD277" s="2444"/>
      <c r="AE277" s="2444"/>
      <c r="AF277" s="2444"/>
      <c r="AG277" s="2444"/>
      <c r="AH277" s="2444"/>
      <c r="AI277" s="2444"/>
      <c r="AJ277" s="2444"/>
      <c r="AK277" s="2444"/>
      <c r="AL277" s="2444"/>
      <c r="AM277" s="2444"/>
      <c r="AN277" s="2444"/>
      <c r="AO277" s="2444"/>
      <c r="AP277" s="2444"/>
      <c r="AQ277" s="2444"/>
      <c r="AR277" s="2444"/>
      <c r="AS277" s="2444"/>
      <c r="AT277" s="2444"/>
      <c r="AU277" s="2444"/>
      <c r="AV277" s="2444"/>
      <c r="AW277" s="2444"/>
      <c r="AX277" s="2444"/>
      <c r="AY277" s="2444"/>
      <c r="AZ277" s="2444"/>
    </row>
    <row r="278" spans="1:52" ht="18" customHeight="1">
      <c r="A278" s="2444"/>
      <c r="B278" s="2445"/>
      <c r="C278" s="2445"/>
      <c r="D278" s="2445"/>
      <c r="E278" s="2445"/>
      <c r="F278" s="2445"/>
      <c r="G278" s="2445"/>
      <c r="H278" s="2444"/>
      <c r="I278" s="2444"/>
      <c r="J278" s="2444"/>
      <c r="K278" s="2444"/>
      <c r="L278" s="2444"/>
      <c r="M278" s="2444"/>
      <c r="N278" s="2448"/>
      <c r="O278" s="2449"/>
      <c r="P278" s="2449"/>
      <c r="Q278" s="2449"/>
      <c r="R278" s="2449"/>
      <c r="S278" s="2449"/>
      <c r="T278" s="2449"/>
      <c r="U278" s="2444"/>
      <c r="V278" s="2444"/>
      <c r="W278" s="2444"/>
      <c r="X278" s="2444"/>
      <c r="Y278" s="2444"/>
      <c r="Z278" s="2444"/>
      <c r="AA278" s="2444"/>
      <c r="AB278" s="2444"/>
      <c r="AC278" s="2444"/>
      <c r="AD278" s="2444"/>
      <c r="AE278" s="2444"/>
      <c r="AF278" s="2444"/>
      <c r="AG278" s="2444"/>
      <c r="AH278" s="2444"/>
      <c r="AI278" s="2444"/>
      <c r="AJ278" s="2444"/>
      <c r="AK278" s="2444"/>
      <c r="AL278" s="2444"/>
      <c r="AM278" s="2444"/>
      <c r="AN278" s="2444"/>
      <c r="AO278" s="2444"/>
      <c r="AP278" s="2444"/>
      <c r="AQ278" s="2444"/>
      <c r="AR278" s="2444"/>
      <c r="AS278" s="2444"/>
      <c r="AT278" s="2444"/>
      <c r="AU278" s="2444"/>
      <c r="AV278" s="2444"/>
      <c r="AW278" s="2444"/>
      <c r="AX278" s="2444"/>
      <c r="AY278" s="2444"/>
      <c r="AZ278" s="2444"/>
    </row>
    <row r="279" spans="1:52" ht="18" customHeight="1">
      <c r="A279" s="2444"/>
      <c r="B279" s="2445"/>
      <c r="C279" s="2445"/>
      <c r="D279" s="2445"/>
      <c r="E279" s="2445"/>
      <c r="F279" s="2445"/>
      <c r="G279" s="2445"/>
      <c r="H279" s="2444"/>
      <c r="I279" s="2444"/>
      <c r="J279" s="2444"/>
      <c r="K279" s="2444"/>
      <c r="L279" s="2444"/>
      <c r="M279" s="2444"/>
      <c r="N279" s="2448"/>
      <c r="O279" s="2449"/>
      <c r="P279" s="2449"/>
      <c r="Q279" s="2449"/>
      <c r="R279" s="2449"/>
      <c r="S279" s="2449"/>
      <c r="T279" s="2449"/>
      <c r="U279" s="2444"/>
      <c r="V279" s="2444"/>
      <c r="W279" s="2444"/>
      <c r="X279" s="2444"/>
      <c r="Y279" s="2444"/>
      <c r="Z279" s="2444"/>
      <c r="AA279" s="2444"/>
      <c r="AB279" s="2444"/>
      <c r="AC279" s="2444"/>
      <c r="AD279" s="2444"/>
      <c r="AE279" s="2444"/>
      <c r="AF279" s="2444"/>
      <c r="AG279" s="2444"/>
      <c r="AH279" s="2444"/>
      <c r="AI279" s="2444"/>
      <c r="AJ279" s="2444"/>
      <c r="AK279" s="2444"/>
      <c r="AL279" s="2444"/>
      <c r="AM279" s="2444"/>
      <c r="AN279" s="2444"/>
      <c r="AO279" s="2444"/>
      <c r="AP279" s="2444"/>
      <c r="AQ279" s="2444"/>
      <c r="AR279" s="2444"/>
      <c r="AS279" s="2444"/>
      <c r="AT279" s="2444"/>
      <c r="AU279" s="2444"/>
      <c r="AV279" s="2444"/>
      <c r="AW279" s="2444"/>
      <c r="AX279" s="2444"/>
      <c r="AY279" s="2444"/>
      <c r="AZ279" s="2444"/>
    </row>
    <row r="280" spans="1:52" ht="18" customHeight="1">
      <c r="A280" s="2444"/>
      <c r="B280" s="2445"/>
      <c r="C280" s="2445"/>
      <c r="D280" s="2445"/>
      <c r="E280" s="2445"/>
      <c r="F280" s="2445"/>
      <c r="G280" s="2445"/>
      <c r="H280" s="2444"/>
      <c r="I280" s="2444"/>
      <c r="J280" s="2444"/>
      <c r="K280" s="2444"/>
      <c r="L280" s="2444"/>
      <c r="M280" s="2444"/>
      <c r="N280" s="2448"/>
      <c r="O280" s="2449"/>
      <c r="P280" s="2449"/>
      <c r="Q280" s="2449"/>
      <c r="R280" s="2449"/>
      <c r="S280" s="2449"/>
      <c r="T280" s="2449"/>
      <c r="U280" s="2444"/>
      <c r="V280" s="2444"/>
      <c r="W280" s="2444"/>
      <c r="X280" s="2444"/>
      <c r="Y280" s="2444"/>
      <c r="Z280" s="2444"/>
      <c r="AA280" s="2444"/>
      <c r="AB280" s="2444"/>
      <c r="AC280" s="2444"/>
      <c r="AD280" s="2444"/>
      <c r="AE280" s="2444"/>
      <c r="AF280" s="2444"/>
      <c r="AG280" s="2444"/>
      <c r="AH280" s="2444"/>
      <c r="AI280" s="2444"/>
      <c r="AJ280" s="2444"/>
      <c r="AK280" s="2444"/>
      <c r="AL280" s="2444"/>
      <c r="AM280" s="2444"/>
      <c r="AN280" s="2444"/>
      <c r="AO280" s="2444"/>
      <c r="AP280" s="2444"/>
      <c r="AQ280" s="2444"/>
      <c r="AR280" s="2444"/>
      <c r="AS280" s="2444"/>
      <c r="AT280" s="2444"/>
      <c r="AU280" s="2444"/>
      <c r="AV280" s="2444"/>
      <c r="AW280" s="2444"/>
      <c r="AX280" s="2444"/>
      <c r="AY280" s="2444"/>
      <c r="AZ280" s="2444"/>
    </row>
    <row r="281" spans="1:52" ht="18" customHeight="1">
      <c r="A281" s="2444"/>
      <c r="B281" s="2445"/>
      <c r="C281" s="2445"/>
      <c r="D281" s="2445"/>
      <c r="E281" s="2445"/>
      <c r="F281" s="2445"/>
      <c r="G281" s="2445"/>
      <c r="H281" s="2444"/>
      <c r="I281" s="2444"/>
      <c r="J281" s="2444"/>
      <c r="K281" s="2444"/>
      <c r="L281" s="2444"/>
      <c r="M281" s="2444"/>
      <c r="N281" s="2448"/>
      <c r="O281" s="2449"/>
      <c r="P281" s="2449"/>
      <c r="Q281" s="2449"/>
      <c r="R281" s="2449"/>
      <c r="S281" s="2449"/>
      <c r="T281" s="2449"/>
      <c r="U281" s="2444"/>
      <c r="V281" s="2444"/>
      <c r="W281" s="2444"/>
      <c r="X281" s="2444"/>
      <c r="Y281" s="2444"/>
      <c r="Z281" s="2444"/>
      <c r="AA281" s="2444"/>
      <c r="AB281" s="2444"/>
      <c r="AC281" s="2444"/>
      <c r="AD281" s="2444"/>
      <c r="AE281" s="2444"/>
      <c r="AF281" s="2444"/>
      <c r="AG281" s="2444"/>
      <c r="AH281" s="2444"/>
      <c r="AI281" s="2444"/>
      <c r="AJ281" s="2444"/>
      <c r="AK281" s="2444"/>
      <c r="AL281" s="2444"/>
      <c r="AM281" s="2444"/>
      <c r="AN281" s="2444"/>
      <c r="AO281" s="2444"/>
      <c r="AP281" s="2444"/>
      <c r="AQ281" s="2444"/>
      <c r="AR281" s="2444"/>
      <c r="AS281" s="2444"/>
      <c r="AT281" s="2444"/>
      <c r="AU281" s="2444"/>
      <c r="AV281" s="2444"/>
      <c r="AW281" s="2444"/>
      <c r="AX281" s="2444"/>
      <c r="AY281" s="2444"/>
      <c r="AZ281" s="2444"/>
    </row>
    <row r="282" spans="1:52" ht="18" customHeight="1">
      <c r="A282" s="2444"/>
      <c r="B282" s="2445"/>
      <c r="C282" s="2445"/>
      <c r="D282" s="2445"/>
      <c r="E282" s="2445"/>
      <c r="F282" s="2445"/>
      <c r="G282" s="2445"/>
      <c r="H282" s="2444"/>
      <c r="I282" s="2444"/>
      <c r="J282" s="2444"/>
      <c r="K282" s="2444"/>
      <c r="L282" s="2444"/>
      <c r="M282" s="2444"/>
      <c r="N282" s="2448"/>
      <c r="O282" s="2449"/>
      <c r="P282" s="2449"/>
      <c r="Q282" s="2449"/>
      <c r="R282" s="2449"/>
      <c r="S282" s="2449"/>
      <c r="T282" s="2449"/>
      <c r="U282" s="2444"/>
      <c r="V282" s="2444"/>
      <c r="W282" s="2444"/>
      <c r="X282" s="2444"/>
      <c r="Y282" s="2444"/>
      <c r="Z282" s="2444"/>
      <c r="AA282" s="2444"/>
      <c r="AB282" s="2444"/>
      <c r="AC282" s="2444"/>
      <c r="AD282" s="2444"/>
      <c r="AE282" s="2444"/>
      <c r="AF282" s="2444"/>
      <c r="AG282" s="2444"/>
      <c r="AH282" s="2444"/>
      <c r="AI282" s="2444"/>
      <c r="AJ282" s="2444"/>
      <c r="AK282" s="2444"/>
      <c r="AL282" s="2444"/>
      <c r="AM282" s="2444"/>
      <c r="AN282" s="2444"/>
      <c r="AO282" s="2444"/>
      <c r="AP282" s="2444"/>
      <c r="AQ282" s="2444"/>
      <c r="AR282" s="2444"/>
      <c r="AS282" s="2444"/>
      <c r="AT282" s="2444"/>
      <c r="AU282" s="2444"/>
      <c r="AV282" s="2444"/>
      <c r="AW282" s="2444"/>
      <c r="AX282" s="2444"/>
      <c r="AY282" s="2444"/>
      <c r="AZ282" s="2444"/>
    </row>
    <row r="283" spans="1:52" ht="18" customHeight="1">
      <c r="A283" s="2444"/>
      <c r="B283" s="2445"/>
      <c r="C283" s="2445"/>
      <c r="D283" s="2445"/>
      <c r="E283" s="2445"/>
      <c r="F283" s="2445"/>
      <c r="G283" s="2445"/>
      <c r="H283" s="2444"/>
      <c r="I283" s="2444"/>
      <c r="J283" s="2444"/>
      <c r="K283" s="2444"/>
      <c r="L283" s="2444"/>
      <c r="M283" s="2444"/>
      <c r="N283" s="2448"/>
      <c r="O283" s="2449"/>
      <c r="P283" s="2449"/>
      <c r="Q283" s="2449"/>
      <c r="R283" s="2449"/>
      <c r="S283" s="2449"/>
      <c r="T283" s="2449"/>
      <c r="U283" s="2444"/>
      <c r="V283" s="2444"/>
      <c r="W283" s="2444"/>
      <c r="X283" s="2444"/>
      <c r="Y283" s="2444"/>
      <c r="Z283" s="2444"/>
      <c r="AA283" s="2444"/>
      <c r="AB283" s="2444"/>
      <c r="AC283" s="2444"/>
      <c r="AD283" s="2444"/>
      <c r="AE283" s="2444"/>
      <c r="AF283" s="2444"/>
      <c r="AG283" s="2444"/>
      <c r="AH283" s="2444"/>
      <c r="AI283" s="2444"/>
      <c r="AJ283" s="2444"/>
      <c r="AK283" s="2444"/>
      <c r="AL283" s="2444"/>
      <c r="AM283" s="2444"/>
      <c r="AN283" s="2444"/>
      <c r="AO283" s="2444"/>
      <c r="AP283" s="2444"/>
      <c r="AQ283" s="2444"/>
      <c r="AR283" s="2444"/>
      <c r="AS283" s="2444"/>
      <c r="AT283" s="2444"/>
      <c r="AU283" s="2444"/>
      <c r="AV283" s="2444"/>
      <c r="AW283" s="2444"/>
      <c r="AX283" s="2444"/>
      <c r="AY283" s="2444"/>
      <c r="AZ283" s="2444"/>
    </row>
    <row r="284" spans="1:52" ht="18" customHeight="1">
      <c r="A284" s="2444"/>
      <c r="B284" s="2445"/>
      <c r="C284" s="2445"/>
      <c r="D284" s="2445"/>
      <c r="E284" s="2445"/>
      <c r="F284" s="2445"/>
      <c r="G284" s="2445"/>
      <c r="H284" s="2444"/>
      <c r="I284" s="2444"/>
      <c r="J284" s="2444"/>
      <c r="K284" s="2444"/>
      <c r="L284" s="2444"/>
      <c r="M284" s="2444"/>
      <c r="N284" s="2448"/>
      <c r="O284" s="2449"/>
      <c r="P284" s="2449"/>
      <c r="Q284" s="2449"/>
      <c r="R284" s="2449"/>
      <c r="S284" s="2449"/>
      <c r="T284" s="2449"/>
      <c r="U284" s="2444"/>
      <c r="V284" s="2444"/>
      <c r="W284" s="2444"/>
      <c r="X284" s="2444"/>
      <c r="Y284" s="2444"/>
      <c r="Z284" s="2444"/>
      <c r="AA284" s="2444"/>
      <c r="AB284" s="2444"/>
      <c r="AC284" s="2444"/>
      <c r="AD284" s="2444"/>
      <c r="AE284" s="2444"/>
      <c r="AF284" s="2444"/>
      <c r="AG284" s="2444"/>
      <c r="AH284" s="2444"/>
      <c r="AI284" s="2444"/>
      <c r="AJ284" s="2444"/>
      <c r="AK284" s="2444"/>
      <c r="AL284" s="2444"/>
      <c r="AM284" s="2444"/>
      <c r="AN284" s="2444"/>
      <c r="AO284" s="2444"/>
      <c r="AP284" s="2444"/>
      <c r="AQ284" s="2444"/>
      <c r="AR284" s="2444"/>
      <c r="AS284" s="2444"/>
      <c r="AT284" s="2444"/>
      <c r="AU284" s="2444"/>
      <c r="AV284" s="2444"/>
      <c r="AW284" s="2444"/>
      <c r="AX284" s="2444"/>
      <c r="AY284" s="2444"/>
      <c r="AZ284" s="2444"/>
    </row>
    <row r="285" spans="1:52" ht="18" customHeight="1">
      <c r="A285" s="2444"/>
      <c r="B285" s="2445"/>
      <c r="C285" s="2445"/>
      <c r="D285" s="2445"/>
      <c r="E285" s="2445"/>
      <c r="F285" s="2445"/>
      <c r="G285" s="2445"/>
      <c r="H285" s="2444"/>
      <c r="I285" s="2444"/>
      <c r="J285" s="2444"/>
      <c r="K285" s="2444"/>
      <c r="L285" s="2444"/>
      <c r="M285" s="2444"/>
      <c r="N285" s="2448"/>
      <c r="O285" s="2449"/>
      <c r="P285" s="2449"/>
      <c r="Q285" s="2449"/>
      <c r="R285" s="2449"/>
      <c r="S285" s="2449"/>
      <c r="T285" s="2449"/>
      <c r="U285" s="2444"/>
      <c r="V285" s="2444"/>
      <c r="W285" s="2444"/>
      <c r="X285" s="2444"/>
      <c r="Y285" s="2444"/>
      <c r="Z285" s="2444"/>
      <c r="AA285" s="2444"/>
      <c r="AB285" s="2444"/>
      <c r="AC285" s="2444"/>
      <c r="AD285" s="2444"/>
      <c r="AE285" s="2444"/>
      <c r="AF285" s="2444"/>
      <c r="AG285" s="2444"/>
      <c r="AH285" s="2444"/>
      <c r="AI285" s="2444"/>
      <c r="AJ285" s="2444"/>
      <c r="AK285" s="2444"/>
      <c r="AL285" s="2444"/>
      <c r="AM285" s="2444"/>
      <c r="AN285" s="2444"/>
      <c r="AO285" s="2444"/>
      <c r="AP285" s="2444"/>
      <c r="AQ285" s="2444"/>
      <c r="AR285" s="2444"/>
      <c r="AS285" s="2444"/>
      <c r="AT285" s="2444"/>
      <c r="AU285" s="2444"/>
      <c r="AV285" s="2444"/>
      <c r="AW285" s="2444"/>
      <c r="AX285" s="2444"/>
      <c r="AY285" s="2444"/>
      <c r="AZ285" s="2444"/>
    </row>
    <row r="286" spans="1:52" ht="18" customHeight="1">
      <c r="A286" s="2444"/>
      <c r="B286" s="2445"/>
      <c r="C286" s="2445"/>
      <c r="D286" s="2445"/>
      <c r="E286" s="2445"/>
      <c r="F286" s="2445"/>
      <c r="G286" s="2445"/>
      <c r="H286" s="2444"/>
      <c r="I286" s="2444"/>
      <c r="J286" s="2444"/>
      <c r="K286" s="2444"/>
      <c r="L286" s="2444"/>
      <c r="M286" s="2444"/>
      <c r="N286" s="2448"/>
      <c r="O286" s="2449"/>
      <c r="P286" s="2449"/>
      <c r="Q286" s="2449"/>
      <c r="R286" s="2449"/>
      <c r="S286" s="2449"/>
      <c r="T286" s="2449"/>
      <c r="U286" s="2444"/>
      <c r="V286" s="2444"/>
      <c r="W286" s="2444"/>
      <c r="X286" s="2444"/>
      <c r="Y286" s="2444"/>
      <c r="Z286" s="2444"/>
      <c r="AA286" s="2444"/>
      <c r="AB286" s="2444"/>
      <c r="AC286" s="2444"/>
      <c r="AD286" s="2444"/>
      <c r="AE286" s="2444"/>
      <c r="AF286" s="2444"/>
      <c r="AG286" s="2444"/>
      <c r="AH286" s="2444"/>
      <c r="AI286" s="2444"/>
      <c r="AJ286" s="2444"/>
      <c r="AK286" s="2444"/>
      <c r="AL286" s="2444"/>
      <c r="AM286" s="2444"/>
      <c r="AN286" s="2444"/>
      <c r="AO286" s="2444"/>
      <c r="AP286" s="2444"/>
      <c r="AQ286" s="2444"/>
      <c r="AR286" s="2444"/>
      <c r="AS286" s="2444"/>
      <c r="AT286" s="2444"/>
      <c r="AU286" s="2444"/>
      <c r="AV286" s="2444"/>
      <c r="AW286" s="2444"/>
      <c r="AX286" s="2444"/>
      <c r="AY286" s="2444"/>
      <c r="AZ286" s="2444"/>
    </row>
    <row r="287" spans="1:52" ht="18" customHeight="1">
      <c r="A287" s="2444"/>
      <c r="B287" s="2445"/>
      <c r="C287" s="2445"/>
      <c r="D287" s="2445"/>
      <c r="E287" s="2445"/>
      <c r="F287" s="2445"/>
      <c r="G287" s="2445"/>
      <c r="H287" s="2444"/>
      <c r="I287" s="2444"/>
      <c r="J287" s="2444"/>
      <c r="K287" s="2444"/>
      <c r="L287" s="2444"/>
      <c r="M287" s="2444"/>
      <c r="N287" s="2448"/>
      <c r="O287" s="2449"/>
      <c r="P287" s="2449"/>
      <c r="Q287" s="2449"/>
      <c r="R287" s="2449"/>
      <c r="S287" s="2449"/>
      <c r="T287" s="2449"/>
      <c r="U287" s="2444"/>
      <c r="V287" s="2444"/>
      <c r="W287" s="2444"/>
      <c r="X287" s="2444"/>
      <c r="Y287" s="2444"/>
      <c r="Z287" s="2444"/>
      <c r="AA287" s="2444"/>
      <c r="AB287" s="2444"/>
      <c r="AC287" s="2444"/>
      <c r="AD287" s="2444"/>
      <c r="AE287" s="2444"/>
      <c r="AF287" s="2444"/>
      <c r="AG287" s="2444"/>
      <c r="AH287" s="2444"/>
      <c r="AI287" s="2444"/>
      <c r="AJ287" s="2444"/>
      <c r="AK287" s="2444"/>
      <c r="AL287" s="2444"/>
      <c r="AM287" s="2444"/>
      <c r="AN287" s="2444"/>
      <c r="AO287" s="2444"/>
      <c r="AP287" s="2444"/>
      <c r="AQ287" s="2444"/>
      <c r="AR287" s="2444"/>
      <c r="AS287" s="2444"/>
      <c r="AT287" s="2444"/>
      <c r="AU287" s="2444"/>
      <c r="AV287" s="2444"/>
      <c r="AW287" s="2444"/>
      <c r="AX287" s="2444"/>
      <c r="AY287" s="2444"/>
      <c r="AZ287" s="2444"/>
    </row>
    <row r="288" spans="1:52" ht="18" customHeight="1">
      <c r="A288" s="2444"/>
      <c r="B288" s="2445"/>
      <c r="C288" s="2445"/>
      <c r="D288" s="2445"/>
      <c r="E288" s="2445"/>
      <c r="F288" s="2445"/>
      <c r="G288" s="2445"/>
      <c r="H288" s="2444"/>
      <c r="I288" s="2444"/>
      <c r="J288" s="2444"/>
      <c r="K288" s="2444"/>
      <c r="L288" s="2444"/>
      <c r="M288" s="2444"/>
      <c r="N288" s="2448"/>
      <c r="O288" s="2449"/>
      <c r="P288" s="2449"/>
      <c r="Q288" s="2449"/>
      <c r="R288" s="2449"/>
      <c r="S288" s="2449"/>
      <c r="T288" s="2449"/>
      <c r="U288" s="2444"/>
      <c r="V288" s="2444"/>
      <c r="W288" s="2444"/>
      <c r="X288" s="2444"/>
      <c r="Y288" s="2444"/>
      <c r="Z288" s="2444"/>
      <c r="AA288" s="2444"/>
      <c r="AB288" s="2444"/>
      <c r="AC288" s="2444"/>
      <c r="AD288" s="2444"/>
      <c r="AE288" s="2444"/>
      <c r="AF288" s="2444"/>
      <c r="AG288" s="2444"/>
      <c r="AH288" s="2444"/>
      <c r="AI288" s="2444"/>
      <c r="AJ288" s="2444"/>
      <c r="AK288" s="2444"/>
      <c r="AL288" s="2444"/>
      <c r="AM288" s="2444"/>
      <c r="AN288" s="2444"/>
      <c r="AO288" s="2444"/>
      <c r="AP288" s="2444"/>
      <c r="AQ288" s="2444"/>
      <c r="AR288" s="2444"/>
      <c r="AS288" s="2444"/>
      <c r="AT288" s="2444"/>
      <c r="AU288" s="2444"/>
      <c r="AV288" s="2444"/>
      <c r="AW288" s="2444"/>
      <c r="AX288" s="2444"/>
      <c r="AY288" s="2444"/>
      <c r="AZ288" s="2444"/>
    </row>
    <row r="289" spans="1:52" ht="18" customHeight="1">
      <c r="A289" s="2444"/>
      <c r="B289" s="2445"/>
      <c r="C289" s="2445"/>
      <c r="D289" s="2445"/>
      <c r="E289" s="2445"/>
      <c r="F289" s="2445"/>
      <c r="G289" s="2445"/>
      <c r="H289" s="2444"/>
      <c r="I289" s="2444"/>
      <c r="J289" s="2444"/>
      <c r="K289" s="2444"/>
      <c r="L289" s="2444"/>
      <c r="M289" s="2444"/>
      <c r="N289" s="2448"/>
      <c r="O289" s="2449"/>
      <c r="P289" s="2449"/>
      <c r="Q289" s="2449"/>
      <c r="R289" s="2449"/>
      <c r="S289" s="2449"/>
      <c r="T289" s="2449"/>
      <c r="U289" s="2444"/>
      <c r="V289" s="2444"/>
      <c r="W289" s="2444"/>
      <c r="X289" s="2444"/>
      <c r="Y289" s="2444"/>
      <c r="Z289" s="2444"/>
      <c r="AA289" s="2444"/>
      <c r="AB289" s="2444"/>
      <c r="AC289" s="2444"/>
      <c r="AD289" s="2444"/>
      <c r="AE289" s="2444"/>
      <c r="AF289" s="2444"/>
      <c r="AG289" s="2444"/>
      <c r="AH289" s="2444"/>
      <c r="AI289" s="2444"/>
      <c r="AJ289" s="2444"/>
      <c r="AK289" s="2444"/>
      <c r="AL289" s="2444"/>
      <c r="AM289" s="2444"/>
      <c r="AN289" s="2444"/>
      <c r="AO289" s="2444"/>
      <c r="AP289" s="2444"/>
      <c r="AQ289" s="2444"/>
      <c r="AR289" s="2444"/>
      <c r="AS289" s="2444"/>
      <c r="AT289" s="2444"/>
      <c r="AU289" s="2444"/>
      <c r="AV289" s="2444"/>
      <c r="AW289" s="2444"/>
      <c r="AX289" s="2444"/>
      <c r="AY289" s="2444"/>
      <c r="AZ289" s="2444"/>
    </row>
    <row r="290" spans="1:52" ht="18" customHeight="1">
      <c r="A290" s="2444"/>
      <c r="B290" s="2445"/>
      <c r="C290" s="2445"/>
      <c r="D290" s="2445"/>
      <c r="E290" s="2445"/>
      <c r="F290" s="2445"/>
      <c r="G290" s="2445"/>
      <c r="H290" s="2444"/>
      <c r="I290" s="2444"/>
      <c r="J290" s="2444"/>
      <c r="K290" s="2444"/>
      <c r="L290" s="2444"/>
      <c r="M290" s="2444"/>
      <c r="N290" s="2448"/>
      <c r="O290" s="2449"/>
      <c r="P290" s="2449"/>
      <c r="Q290" s="2449"/>
      <c r="R290" s="2449"/>
      <c r="S290" s="2449"/>
      <c r="T290" s="2449"/>
      <c r="U290" s="2444"/>
      <c r="V290" s="2444"/>
      <c r="W290" s="2444"/>
      <c r="X290" s="2444"/>
      <c r="Y290" s="2444"/>
      <c r="Z290" s="2444"/>
      <c r="AA290" s="2444"/>
      <c r="AB290" s="2444"/>
      <c r="AC290" s="2444"/>
      <c r="AD290" s="2444"/>
      <c r="AE290" s="2444"/>
      <c r="AF290" s="2444"/>
      <c r="AG290" s="2444"/>
      <c r="AH290" s="2444"/>
      <c r="AI290" s="2444"/>
      <c r="AJ290" s="2444"/>
      <c r="AK290" s="2444"/>
      <c r="AL290" s="2444"/>
      <c r="AM290" s="2444"/>
      <c r="AN290" s="2444"/>
      <c r="AO290" s="2444"/>
      <c r="AP290" s="2444"/>
      <c r="AQ290" s="2444"/>
      <c r="AR290" s="2444"/>
      <c r="AS290" s="2444"/>
      <c r="AT290" s="2444"/>
      <c r="AU290" s="2444"/>
      <c r="AV290" s="2444"/>
      <c r="AW290" s="2444"/>
      <c r="AX290" s="2444"/>
      <c r="AY290" s="2444"/>
      <c r="AZ290" s="2444"/>
    </row>
    <row r="291" spans="1:52" ht="18" customHeight="1">
      <c r="A291" s="2444"/>
      <c r="B291" s="2445"/>
      <c r="C291" s="2445"/>
      <c r="D291" s="2445"/>
      <c r="E291" s="2445"/>
      <c r="F291" s="2445"/>
      <c r="G291" s="2445"/>
      <c r="H291" s="2444"/>
      <c r="I291" s="2444"/>
      <c r="J291" s="2444"/>
      <c r="K291" s="2444"/>
      <c r="L291" s="2444"/>
      <c r="M291" s="2444"/>
      <c r="N291" s="2448"/>
      <c r="O291" s="2449"/>
      <c r="P291" s="2449"/>
      <c r="Q291" s="2449"/>
      <c r="R291" s="2449"/>
      <c r="S291" s="2449"/>
      <c r="T291" s="2449"/>
      <c r="U291" s="2444"/>
      <c r="V291" s="2444"/>
      <c r="W291" s="2444"/>
      <c r="X291" s="2444"/>
      <c r="Y291" s="2444"/>
      <c r="Z291" s="2444"/>
      <c r="AA291" s="2444"/>
      <c r="AB291" s="2444"/>
      <c r="AC291" s="2444"/>
      <c r="AD291" s="2444"/>
      <c r="AE291" s="2444"/>
      <c r="AF291" s="2444"/>
      <c r="AG291" s="2444"/>
      <c r="AH291" s="2444"/>
      <c r="AI291" s="2444"/>
      <c r="AJ291" s="2444"/>
      <c r="AK291" s="2444"/>
      <c r="AL291" s="2444"/>
      <c r="AM291" s="2444"/>
      <c r="AN291" s="2444"/>
      <c r="AO291" s="2444"/>
      <c r="AP291" s="2444"/>
      <c r="AQ291" s="2444"/>
      <c r="AR291" s="2444"/>
      <c r="AS291" s="2444"/>
      <c r="AT291" s="2444"/>
      <c r="AU291" s="2444"/>
      <c r="AV291" s="2444"/>
      <c r="AW291" s="2444"/>
      <c r="AX291" s="2444"/>
      <c r="AY291" s="2444"/>
      <c r="AZ291" s="2444"/>
    </row>
    <row r="292" spans="1:52" ht="18" customHeight="1">
      <c r="A292" s="2444"/>
      <c r="B292" s="2445"/>
      <c r="C292" s="2445"/>
      <c r="D292" s="2445"/>
      <c r="E292" s="2445"/>
      <c r="F292" s="2445"/>
      <c r="G292" s="2445"/>
      <c r="H292" s="2444"/>
      <c r="I292" s="2444"/>
      <c r="J292" s="2444"/>
      <c r="K292" s="2444"/>
      <c r="L292" s="2444"/>
      <c r="M292" s="2444"/>
      <c r="N292" s="2448"/>
      <c r="O292" s="2449"/>
      <c r="P292" s="2449"/>
      <c r="Q292" s="2449"/>
      <c r="R292" s="2449"/>
      <c r="S292" s="2449"/>
      <c r="T292" s="2449"/>
      <c r="U292" s="2444"/>
      <c r="V292" s="2444"/>
      <c r="W292" s="2444"/>
      <c r="X292" s="2444"/>
      <c r="Y292" s="2444"/>
      <c r="Z292" s="2444"/>
      <c r="AA292" s="2444"/>
      <c r="AB292" s="2444"/>
      <c r="AC292" s="2444"/>
      <c r="AD292" s="2444"/>
      <c r="AE292" s="2444"/>
      <c r="AF292" s="2444"/>
      <c r="AG292" s="2444"/>
      <c r="AH292" s="2444"/>
      <c r="AI292" s="2444"/>
      <c r="AJ292" s="2444"/>
      <c r="AK292" s="2444"/>
      <c r="AL292" s="2444"/>
      <c r="AM292" s="2444"/>
      <c r="AN292" s="2444"/>
      <c r="AO292" s="2444"/>
      <c r="AP292" s="2444"/>
      <c r="AQ292" s="2444"/>
      <c r="AR292" s="2444"/>
      <c r="AS292" s="2444"/>
      <c r="AT292" s="2444"/>
      <c r="AU292" s="2444"/>
      <c r="AV292" s="2444"/>
      <c r="AW292" s="2444"/>
      <c r="AX292" s="2444"/>
      <c r="AY292" s="2444"/>
      <c r="AZ292" s="2444"/>
    </row>
    <row r="293" spans="1:52" ht="18" customHeight="1">
      <c r="A293" s="2444"/>
      <c r="B293" s="2445"/>
      <c r="C293" s="2445"/>
      <c r="D293" s="2445"/>
      <c r="E293" s="2445"/>
      <c r="F293" s="2445"/>
      <c r="G293" s="2445"/>
      <c r="H293" s="2444"/>
      <c r="I293" s="2444"/>
      <c r="J293" s="2444"/>
      <c r="K293" s="2444"/>
      <c r="L293" s="2444"/>
      <c r="M293" s="2444"/>
      <c r="N293" s="2448"/>
      <c r="O293" s="2449"/>
      <c r="P293" s="2449"/>
      <c r="Q293" s="2449"/>
      <c r="R293" s="2449"/>
      <c r="S293" s="2449"/>
      <c r="T293" s="2449"/>
      <c r="U293" s="2444"/>
      <c r="V293" s="2444"/>
      <c r="W293" s="2444"/>
      <c r="X293" s="2444"/>
      <c r="Y293" s="2444"/>
      <c r="Z293" s="2444"/>
      <c r="AA293" s="2444"/>
      <c r="AB293" s="2444"/>
      <c r="AC293" s="2444"/>
      <c r="AD293" s="2444"/>
      <c r="AE293" s="2444"/>
      <c r="AF293" s="2444"/>
      <c r="AG293" s="2444"/>
      <c r="AH293" s="2444"/>
      <c r="AI293" s="2444"/>
      <c r="AJ293" s="2444"/>
      <c r="AK293" s="2444"/>
      <c r="AL293" s="2444"/>
      <c r="AM293" s="2444"/>
      <c r="AN293" s="2444"/>
      <c r="AO293" s="2444"/>
      <c r="AP293" s="2444"/>
      <c r="AQ293" s="2444"/>
      <c r="AR293" s="2444"/>
      <c r="AS293" s="2444"/>
      <c r="AT293" s="2444"/>
      <c r="AU293" s="2444"/>
      <c r="AV293" s="2444"/>
      <c r="AW293" s="2444"/>
      <c r="AX293" s="2444"/>
      <c r="AY293" s="2444"/>
      <c r="AZ293" s="2444"/>
    </row>
    <row r="294" spans="1:52" ht="18" customHeight="1">
      <c r="A294" s="2444"/>
      <c r="B294" s="2445"/>
      <c r="C294" s="2445"/>
      <c r="D294" s="2445"/>
      <c r="E294" s="2445"/>
      <c r="F294" s="2445"/>
      <c r="G294" s="2445"/>
      <c r="H294" s="2444"/>
      <c r="I294" s="2444"/>
      <c r="J294" s="2444"/>
      <c r="K294" s="2444"/>
      <c r="L294" s="2444"/>
      <c r="M294" s="2444"/>
      <c r="N294" s="2448"/>
      <c r="O294" s="2449"/>
      <c r="P294" s="2449"/>
      <c r="Q294" s="2449"/>
      <c r="R294" s="2449"/>
      <c r="S294" s="2449"/>
      <c r="T294" s="2449"/>
      <c r="U294" s="2444"/>
      <c r="V294" s="2444"/>
      <c r="W294" s="2444"/>
      <c r="X294" s="2444"/>
      <c r="Y294" s="2444"/>
      <c r="Z294" s="2444"/>
      <c r="AA294" s="2444"/>
      <c r="AB294" s="2444"/>
      <c r="AC294" s="2444"/>
      <c r="AD294" s="2444"/>
      <c r="AE294" s="2444"/>
      <c r="AF294" s="2444"/>
      <c r="AG294" s="2444"/>
      <c r="AH294" s="2444"/>
      <c r="AI294" s="2444"/>
      <c r="AJ294" s="2444"/>
      <c r="AK294" s="2444"/>
      <c r="AL294" s="2444"/>
      <c r="AM294" s="2444"/>
      <c r="AN294" s="2444"/>
      <c r="AO294" s="2444"/>
      <c r="AP294" s="2444"/>
      <c r="AQ294" s="2444"/>
      <c r="AR294" s="2444"/>
      <c r="AS294" s="2444"/>
      <c r="AT294" s="2444"/>
      <c r="AU294" s="2444"/>
      <c r="AV294" s="2444"/>
      <c r="AW294" s="2444"/>
      <c r="AX294" s="2444"/>
      <c r="AY294" s="2444"/>
      <c r="AZ294" s="2444"/>
    </row>
    <row r="295" spans="1:52" ht="18" customHeight="1">
      <c r="A295" s="2444"/>
      <c r="B295" s="2445"/>
      <c r="C295" s="2445"/>
      <c r="D295" s="2445"/>
      <c r="E295" s="2445"/>
      <c r="F295" s="2445"/>
      <c r="G295" s="2445"/>
      <c r="H295" s="2444"/>
      <c r="I295" s="2444"/>
      <c r="J295" s="2444"/>
      <c r="K295" s="2444"/>
      <c r="L295" s="2444"/>
      <c r="M295" s="2444"/>
      <c r="N295" s="2448"/>
      <c r="O295" s="2449"/>
      <c r="P295" s="2449"/>
      <c r="Q295" s="2449"/>
      <c r="R295" s="2449"/>
      <c r="S295" s="2449"/>
      <c r="T295" s="2449"/>
      <c r="U295" s="2444"/>
      <c r="V295" s="2444"/>
      <c r="W295" s="2444"/>
      <c r="X295" s="2444"/>
      <c r="Y295" s="2444"/>
      <c r="Z295" s="2444"/>
      <c r="AA295" s="2444"/>
      <c r="AB295" s="2444"/>
      <c r="AC295" s="2444"/>
      <c r="AD295" s="2444"/>
      <c r="AE295" s="2444"/>
      <c r="AF295" s="2444"/>
      <c r="AG295" s="2444"/>
      <c r="AH295" s="2444"/>
      <c r="AI295" s="2444"/>
      <c r="AJ295" s="2444"/>
      <c r="AK295" s="2444"/>
      <c r="AL295" s="2444"/>
      <c r="AM295" s="2444"/>
      <c r="AN295" s="2444"/>
      <c r="AO295" s="2444"/>
      <c r="AP295" s="2444"/>
      <c r="AQ295" s="2444"/>
      <c r="AR295" s="2444"/>
      <c r="AS295" s="2444"/>
      <c r="AT295" s="2444"/>
      <c r="AU295" s="2444"/>
      <c r="AV295" s="2444"/>
      <c r="AW295" s="2444"/>
      <c r="AX295" s="2444"/>
      <c r="AY295" s="2444"/>
      <c r="AZ295" s="2444"/>
    </row>
    <row r="296" spans="1:52" ht="18" customHeight="1">
      <c r="A296" s="2444"/>
      <c r="B296" s="2445"/>
      <c r="C296" s="2445"/>
      <c r="D296" s="2445"/>
      <c r="E296" s="2445"/>
      <c r="F296" s="2445"/>
      <c r="G296" s="2445"/>
      <c r="H296" s="2444"/>
      <c r="I296" s="2444"/>
      <c r="J296" s="2444"/>
      <c r="K296" s="2444"/>
      <c r="L296" s="2444"/>
      <c r="M296" s="2444"/>
      <c r="N296" s="2448"/>
      <c r="O296" s="2449"/>
      <c r="P296" s="2449"/>
      <c r="Q296" s="2449"/>
      <c r="R296" s="2449"/>
      <c r="S296" s="2449"/>
      <c r="T296" s="2449"/>
      <c r="U296" s="2444"/>
      <c r="V296" s="2444"/>
      <c r="W296" s="2444"/>
      <c r="X296" s="2444"/>
      <c r="Y296" s="2444"/>
      <c r="Z296" s="2444"/>
      <c r="AA296" s="2444"/>
      <c r="AB296" s="2444"/>
      <c r="AC296" s="2444"/>
      <c r="AD296" s="2444"/>
      <c r="AE296" s="2444"/>
      <c r="AF296" s="2444"/>
      <c r="AG296" s="2444"/>
      <c r="AH296" s="2444"/>
      <c r="AI296" s="2444"/>
      <c r="AJ296" s="2444"/>
      <c r="AK296" s="2444"/>
      <c r="AL296" s="2444"/>
      <c r="AM296" s="2444"/>
      <c r="AN296" s="2444"/>
      <c r="AO296" s="2444"/>
      <c r="AP296" s="2444"/>
      <c r="AQ296" s="2444"/>
      <c r="AR296" s="2444"/>
      <c r="AS296" s="2444"/>
      <c r="AT296" s="2444"/>
      <c r="AU296" s="2444"/>
      <c r="AV296" s="2444"/>
      <c r="AW296" s="2444"/>
      <c r="AX296" s="2444"/>
      <c r="AY296" s="2444"/>
      <c r="AZ296" s="2444"/>
    </row>
    <row r="297" spans="1:52" ht="18" customHeight="1">
      <c r="A297" s="2444"/>
      <c r="B297" s="2445"/>
      <c r="C297" s="2445"/>
      <c r="D297" s="2445"/>
      <c r="E297" s="2445"/>
      <c r="F297" s="2445"/>
      <c r="G297" s="2445"/>
      <c r="H297" s="2444"/>
      <c r="I297" s="2444"/>
      <c r="J297" s="2444"/>
      <c r="K297" s="2444"/>
      <c r="L297" s="2444"/>
      <c r="M297" s="2444"/>
      <c r="N297" s="2448"/>
      <c r="O297" s="2449"/>
      <c r="P297" s="2449"/>
      <c r="Q297" s="2449"/>
      <c r="R297" s="2449"/>
      <c r="S297" s="2449"/>
      <c r="T297" s="2449"/>
      <c r="U297" s="2444"/>
      <c r="V297" s="2444"/>
      <c r="W297" s="2444"/>
      <c r="X297" s="2444"/>
      <c r="Y297" s="2444"/>
      <c r="Z297" s="2444"/>
      <c r="AA297" s="2444"/>
      <c r="AB297" s="2444"/>
      <c r="AC297" s="2444"/>
      <c r="AD297" s="2444"/>
      <c r="AE297" s="2444"/>
      <c r="AF297" s="2444"/>
      <c r="AG297" s="2444"/>
      <c r="AH297" s="2444"/>
      <c r="AI297" s="2444"/>
      <c r="AJ297" s="2444"/>
      <c r="AK297" s="2444"/>
      <c r="AL297" s="2444"/>
      <c r="AM297" s="2444"/>
      <c r="AN297" s="2444"/>
      <c r="AO297" s="2444"/>
      <c r="AP297" s="2444"/>
      <c r="AQ297" s="2444"/>
      <c r="AR297" s="2444"/>
      <c r="AS297" s="2444"/>
      <c r="AT297" s="2444"/>
      <c r="AU297" s="2444"/>
      <c r="AV297" s="2444"/>
      <c r="AW297" s="2444"/>
      <c r="AX297" s="2444"/>
      <c r="AY297" s="2444"/>
      <c r="AZ297" s="2444"/>
    </row>
    <row r="298" spans="1:52" ht="18" customHeight="1">
      <c r="A298" s="2444"/>
      <c r="B298" s="2445"/>
      <c r="C298" s="2445"/>
      <c r="D298" s="2445"/>
      <c r="E298" s="2445"/>
      <c r="F298" s="2445"/>
      <c r="G298" s="2445"/>
      <c r="H298" s="2444"/>
      <c r="I298" s="2444"/>
      <c r="J298" s="2444"/>
      <c r="K298" s="2444"/>
      <c r="L298" s="2444"/>
      <c r="M298" s="2444"/>
      <c r="N298" s="2448"/>
      <c r="O298" s="2449"/>
      <c r="P298" s="2449"/>
      <c r="Q298" s="2449"/>
      <c r="R298" s="2449"/>
      <c r="S298" s="2449"/>
      <c r="T298" s="2449"/>
      <c r="U298" s="2444"/>
      <c r="V298" s="2444"/>
      <c r="W298" s="2444"/>
      <c r="X298" s="2444"/>
      <c r="Y298" s="2444"/>
      <c r="Z298" s="2444"/>
      <c r="AA298" s="2444"/>
      <c r="AB298" s="2444"/>
      <c r="AC298" s="2444"/>
      <c r="AD298" s="2444"/>
      <c r="AE298" s="2444"/>
      <c r="AF298" s="2444"/>
      <c r="AG298" s="2444"/>
      <c r="AH298" s="2444"/>
      <c r="AI298" s="2444"/>
      <c r="AJ298" s="2444"/>
      <c r="AK298" s="2444"/>
      <c r="AL298" s="2444"/>
      <c r="AM298" s="2444"/>
      <c r="AN298" s="2444"/>
      <c r="AO298" s="2444"/>
      <c r="AP298" s="2444"/>
      <c r="AQ298" s="2444"/>
      <c r="AR298" s="2444"/>
      <c r="AS298" s="2444"/>
      <c r="AT298" s="2444"/>
      <c r="AU298" s="2444"/>
      <c r="AV298" s="2444"/>
      <c r="AW298" s="2444"/>
      <c r="AX298" s="2444"/>
      <c r="AY298" s="2444"/>
      <c r="AZ298" s="2444"/>
    </row>
    <row r="299" spans="1:52" ht="18" customHeight="1">
      <c r="A299" s="2444"/>
      <c r="B299" s="2445"/>
      <c r="C299" s="2445"/>
      <c r="D299" s="2445"/>
      <c r="E299" s="2445"/>
      <c r="F299" s="2445"/>
      <c r="G299" s="2445"/>
      <c r="H299" s="2444"/>
      <c r="I299" s="2444"/>
      <c r="J299" s="2444"/>
      <c r="K299" s="2444"/>
      <c r="L299" s="2444"/>
      <c r="M299" s="2444"/>
      <c r="N299" s="2448"/>
      <c r="O299" s="2449"/>
      <c r="P299" s="2449"/>
      <c r="Q299" s="2449"/>
      <c r="R299" s="2449"/>
      <c r="S299" s="2449"/>
      <c r="T299" s="2449"/>
      <c r="U299" s="2444"/>
      <c r="V299" s="2444"/>
      <c r="W299" s="2444"/>
      <c r="X299" s="2444"/>
      <c r="Y299" s="2444"/>
      <c r="Z299" s="2444"/>
      <c r="AA299" s="2444"/>
      <c r="AB299" s="2444"/>
      <c r="AC299" s="2444"/>
      <c r="AD299" s="2444"/>
      <c r="AE299" s="2444"/>
      <c r="AF299" s="2444"/>
      <c r="AG299" s="2444"/>
      <c r="AH299" s="2444"/>
      <c r="AI299" s="2444"/>
      <c r="AJ299" s="2444"/>
      <c r="AK299" s="2444"/>
      <c r="AL299" s="2444"/>
      <c r="AM299" s="2444"/>
      <c r="AN299" s="2444"/>
      <c r="AO299" s="2444"/>
      <c r="AP299" s="2444"/>
      <c r="AQ299" s="2444"/>
      <c r="AR299" s="2444"/>
      <c r="AS299" s="2444"/>
      <c r="AT299" s="2444"/>
      <c r="AU299" s="2444"/>
      <c r="AV299" s="2444"/>
      <c r="AW299" s="2444"/>
      <c r="AX299" s="2444"/>
      <c r="AY299" s="2444"/>
      <c r="AZ299" s="2444"/>
    </row>
    <row r="300" spans="1:52" ht="18" customHeight="1">
      <c r="A300" s="2444"/>
      <c r="B300" s="2445"/>
      <c r="C300" s="2445"/>
      <c r="D300" s="2445"/>
      <c r="E300" s="2445"/>
      <c r="F300" s="2445"/>
      <c r="G300" s="2445"/>
      <c r="H300" s="2444"/>
      <c r="I300" s="2444"/>
      <c r="J300" s="2444"/>
      <c r="K300" s="2444"/>
      <c r="L300" s="2444"/>
      <c r="M300" s="2444"/>
      <c r="N300" s="2448"/>
      <c r="O300" s="2449"/>
      <c r="P300" s="2449"/>
      <c r="Q300" s="2449"/>
      <c r="R300" s="2449"/>
      <c r="S300" s="2449"/>
      <c r="T300" s="2449"/>
      <c r="U300" s="2444"/>
      <c r="V300" s="2444"/>
      <c r="W300" s="2444"/>
      <c r="X300" s="2444"/>
      <c r="Y300" s="2444"/>
      <c r="Z300" s="2444"/>
      <c r="AA300" s="2444"/>
      <c r="AB300" s="2444"/>
      <c r="AC300" s="2444"/>
      <c r="AD300" s="2444"/>
      <c r="AE300" s="2444"/>
      <c r="AF300" s="2444"/>
      <c r="AG300" s="2444"/>
      <c r="AH300" s="2444"/>
      <c r="AI300" s="2444"/>
      <c r="AJ300" s="2444"/>
      <c r="AK300" s="2444"/>
      <c r="AL300" s="2444"/>
      <c r="AM300" s="2444"/>
      <c r="AN300" s="2444"/>
      <c r="AO300" s="2444"/>
      <c r="AP300" s="2444"/>
      <c r="AQ300" s="2444"/>
      <c r="AR300" s="2444"/>
      <c r="AS300" s="2444"/>
      <c r="AT300" s="2444"/>
      <c r="AU300" s="2444"/>
      <c r="AV300" s="2444"/>
      <c r="AW300" s="2444"/>
      <c r="AX300" s="2444"/>
      <c r="AY300" s="2444"/>
      <c r="AZ300" s="2444"/>
    </row>
    <row r="301" spans="1:52" ht="18" customHeight="1">
      <c r="A301" s="2444"/>
      <c r="B301" s="2445"/>
      <c r="C301" s="2445"/>
      <c r="D301" s="2445"/>
      <c r="E301" s="2445"/>
      <c r="F301" s="2445"/>
      <c r="G301" s="2445"/>
      <c r="H301" s="2444"/>
      <c r="I301" s="2444"/>
      <c r="J301" s="2444"/>
      <c r="K301" s="2444"/>
      <c r="L301" s="2444"/>
      <c r="M301" s="2444"/>
      <c r="N301" s="2448"/>
      <c r="O301" s="2449"/>
      <c r="P301" s="2449"/>
      <c r="Q301" s="2449"/>
      <c r="R301" s="2449"/>
      <c r="S301" s="2449"/>
      <c r="T301" s="2449"/>
      <c r="U301" s="2444"/>
      <c r="V301" s="2444"/>
      <c r="W301" s="2444"/>
      <c r="X301" s="2444"/>
      <c r="Y301" s="2444"/>
      <c r="Z301" s="2444"/>
      <c r="AA301" s="2444"/>
      <c r="AB301" s="2444"/>
      <c r="AC301" s="2444"/>
      <c r="AD301" s="2444"/>
      <c r="AE301" s="2444"/>
      <c r="AF301" s="2444"/>
      <c r="AG301" s="2444"/>
      <c r="AH301" s="2444"/>
      <c r="AI301" s="2444"/>
      <c r="AJ301" s="2444"/>
      <c r="AK301" s="2444"/>
      <c r="AL301" s="2444"/>
      <c r="AM301" s="2444"/>
      <c r="AN301" s="2444"/>
      <c r="AO301" s="2444"/>
      <c r="AP301" s="2444"/>
      <c r="AQ301" s="2444"/>
      <c r="AR301" s="2444"/>
      <c r="AS301" s="2444"/>
      <c r="AT301" s="2444"/>
      <c r="AU301" s="2444"/>
      <c r="AV301" s="2444"/>
      <c r="AW301" s="2444"/>
      <c r="AX301" s="2444"/>
      <c r="AY301" s="2444"/>
      <c r="AZ301" s="2444"/>
    </row>
    <row r="302" spans="1:52" ht="18" customHeight="1">
      <c r="A302" s="2444"/>
      <c r="B302" s="2445"/>
      <c r="C302" s="2445"/>
      <c r="D302" s="2445"/>
      <c r="E302" s="2445"/>
      <c r="F302" s="2445"/>
      <c r="G302" s="2445"/>
      <c r="H302" s="2444"/>
      <c r="I302" s="2444"/>
      <c r="J302" s="2444"/>
      <c r="K302" s="2444"/>
      <c r="L302" s="2444"/>
      <c r="M302" s="2444"/>
      <c r="N302" s="2448"/>
      <c r="O302" s="2449"/>
      <c r="P302" s="2449"/>
      <c r="Q302" s="2449"/>
      <c r="R302" s="2449"/>
      <c r="S302" s="2449"/>
      <c r="T302" s="2449"/>
      <c r="U302" s="2444"/>
      <c r="V302" s="2444"/>
      <c r="W302" s="2444"/>
      <c r="X302" s="2444"/>
      <c r="Y302" s="2444"/>
      <c r="Z302" s="2444"/>
      <c r="AA302" s="2444"/>
      <c r="AB302" s="2444"/>
      <c r="AC302" s="2444"/>
      <c r="AD302" s="2444"/>
      <c r="AE302" s="2444"/>
      <c r="AF302" s="2444"/>
      <c r="AG302" s="2444"/>
      <c r="AH302" s="2444"/>
      <c r="AI302" s="2444"/>
      <c r="AJ302" s="2444"/>
      <c r="AK302" s="2444"/>
      <c r="AL302" s="2444"/>
      <c r="AM302" s="2444"/>
      <c r="AN302" s="2444"/>
      <c r="AO302" s="2444"/>
      <c r="AP302" s="2444"/>
      <c r="AQ302" s="2444"/>
      <c r="AR302" s="2444"/>
      <c r="AS302" s="2444"/>
      <c r="AT302" s="2444"/>
      <c r="AU302" s="2444"/>
      <c r="AV302" s="2444"/>
      <c r="AW302" s="2444"/>
      <c r="AX302" s="2444"/>
      <c r="AY302" s="2444"/>
      <c r="AZ302" s="2444"/>
    </row>
    <row r="303" spans="1:52" ht="18" customHeight="1">
      <c r="A303" s="2444"/>
      <c r="B303" s="2445"/>
      <c r="C303" s="2445"/>
      <c r="D303" s="2445"/>
      <c r="E303" s="2445"/>
      <c r="F303" s="2445"/>
      <c r="G303" s="2445"/>
      <c r="H303" s="2444"/>
      <c r="I303" s="2444"/>
      <c r="J303" s="2444"/>
      <c r="K303" s="2444"/>
      <c r="L303" s="2444"/>
      <c r="M303" s="2444"/>
      <c r="N303" s="2448"/>
      <c r="O303" s="2449"/>
      <c r="P303" s="2449"/>
      <c r="Q303" s="2449"/>
      <c r="R303" s="2449"/>
      <c r="S303" s="2449"/>
      <c r="T303" s="2449"/>
      <c r="U303" s="2444"/>
      <c r="V303" s="2444"/>
      <c r="W303" s="2444"/>
      <c r="X303" s="2444"/>
      <c r="Y303" s="2444"/>
      <c r="Z303" s="2444"/>
      <c r="AA303" s="2444"/>
      <c r="AB303" s="2444"/>
      <c r="AC303" s="2444"/>
      <c r="AD303" s="2444"/>
      <c r="AE303" s="2444"/>
      <c r="AF303" s="2444"/>
      <c r="AG303" s="2444"/>
      <c r="AH303" s="2444"/>
      <c r="AI303" s="2444"/>
      <c r="AJ303" s="2444"/>
      <c r="AK303" s="2444"/>
      <c r="AL303" s="2444"/>
      <c r="AM303" s="2444"/>
      <c r="AN303" s="2444"/>
      <c r="AO303" s="2444"/>
      <c r="AP303" s="2444"/>
      <c r="AQ303" s="2444"/>
      <c r="AR303" s="2444"/>
      <c r="AS303" s="2444"/>
      <c r="AT303" s="2444"/>
      <c r="AU303" s="2444"/>
      <c r="AV303" s="2444"/>
      <c r="AW303" s="2444"/>
      <c r="AX303" s="2444"/>
      <c r="AY303" s="2444"/>
      <c r="AZ303" s="2444"/>
    </row>
    <row r="304" spans="1:52" ht="18" customHeight="1">
      <c r="A304" s="2444"/>
      <c r="B304" s="2445"/>
      <c r="C304" s="2445"/>
      <c r="D304" s="2445"/>
      <c r="E304" s="2445"/>
      <c r="F304" s="2445"/>
      <c r="G304" s="2445"/>
      <c r="H304" s="2444"/>
      <c r="I304" s="2444"/>
      <c r="J304" s="2444"/>
      <c r="K304" s="2444"/>
      <c r="L304" s="2444"/>
      <c r="M304" s="2444"/>
      <c r="N304" s="2448"/>
      <c r="O304" s="2449"/>
      <c r="P304" s="2449"/>
      <c r="Q304" s="2449"/>
      <c r="R304" s="2449"/>
      <c r="S304" s="2449"/>
      <c r="T304" s="2449"/>
      <c r="U304" s="2444"/>
      <c r="V304" s="2444"/>
      <c r="W304" s="2444"/>
      <c r="X304" s="2444"/>
      <c r="Y304" s="2444"/>
      <c r="Z304" s="2444"/>
      <c r="AA304" s="2444"/>
      <c r="AB304" s="2444"/>
      <c r="AC304" s="2444"/>
      <c r="AD304" s="2444"/>
      <c r="AE304" s="2444"/>
      <c r="AF304" s="2444"/>
      <c r="AG304" s="2444"/>
      <c r="AH304" s="2444"/>
      <c r="AI304" s="2444"/>
      <c r="AJ304" s="2444"/>
      <c r="AK304" s="2444"/>
      <c r="AL304" s="2444"/>
      <c r="AM304" s="2444"/>
      <c r="AN304" s="2444"/>
      <c r="AO304" s="2444"/>
      <c r="AP304" s="2444"/>
      <c r="AQ304" s="2444"/>
      <c r="AR304" s="2444"/>
      <c r="AS304" s="2444"/>
      <c r="AT304" s="2444"/>
      <c r="AU304" s="2444"/>
      <c r="AV304" s="2444"/>
      <c r="AW304" s="2444"/>
      <c r="AX304" s="2444"/>
      <c r="AY304" s="2444"/>
      <c r="AZ304" s="2444"/>
    </row>
    <row r="305" spans="1:52" ht="18" customHeight="1">
      <c r="A305" s="2444"/>
      <c r="B305" s="2445"/>
      <c r="C305" s="2445"/>
      <c r="D305" s="2445"/>
      <c r="E305" s="2445"/>
      <c r="F305" s="2445"/>
      <c r="G305" s="2445"/>
      <c r="H305" s="2444"/>
      <c r="I305" s="2444"/>
      <c r="J305" s="2444"/>
      <c r="K305" s="2444"/>
      <c r="L305" s="2444"/>
      <c r="M305" s="2444"/>
      <c r="N305" s="2448"/>
      <c r="O305" s="2449"/>
      <c r="P305" s="2449"/>
      <c r="Q305" s="2449"/>
      <c r="R305" s="2449"/>
      <c r="S305" s="2449"/>
      <c r="T305" s="2449"/>
      <c r="U305" s="2444"/>
      <c r="V305" s="2444"/>
      <c r="W305" s="2444"/>
      <c r="X305" s="2444"/>
      <c r="Y305" s="2444"/>
      <c r="Z305" s="2444"/>
      <c r="AA305" s="2444"/>
      <c r="AB305" s="2444"/>
      <c r="AC305" s="2444"/>
      <c r="AD305" s="2444"/>
      <c r="AE305" s="2444"/>
      <c r="AF305" s="2444"/>
      <c r="AG305" s="2444"/>
      <c r="AH305" s="2444"/>
      <c r="AI305" s="2444"/>
      <c r="AJ305" s="2444"/>
      <c r="AK305" s="2444"/>
      <c r="AL305" s="2444"/>
      <c r="AM305" s="2444"/>
      <c r="AN305" s="2444"/>
      <c r="AO305" s="2444"/>
      <c r="AP305" s="2444"/>
      <c r="AQ305" s="2444"/>
      <c r="AR305" s="2444"/>
      <c r="AS305" s="2444"/>
      <c r="AT305" s="2444"/>
      <c r="AU305" s="2444"/>
      <c r="AV305" s="2444"/>
      <c r="AW305" s="2444"/>
      <c r="AX305" s="2444"/>
      <c r="AY305" s="2444"/>
      <c r="AZ305" s="2444"/>
    </row>
    <row r="306" spans="1:52" ht="18" customHeight="1">
      <c r="A306" s="2444"/>
      <c r="B306" s="2445"/>
      <c r="C306" s="2445"/>
      <c r="D306" s="2445"/>
      <c r="E306" s="2445"/>
      <c r="F306" s="2445"/>
      <c r="G306" s="2445"/>
      <c r="H306" s="2444"/>
      <c r="I306" s="2444"/>
      <c r="J306" s="2444"/>
      <c r="K306" s="2444"/>
      <c r="L306" s="2444"/>
      <c r="M306" s="2444"/>
      <c r="N306" s="2448"/>
      <c r="O306" s="2449"/>
      <c r="P306" s="2449"/>
      <c r="Q306" s="2449"/>
      <c r="R306" s="2449"/>
      <c r="S306" s="2449"/>
      <c r="T306" s="2449"/>
      <c r="U306" s="2444"/>
      <c r="V306" s="2444"/>
      <c r="W306" s="2444"/>
      <c r="X306" s="2444"/>
      <c r="Y306" s="2444"/>
      <c r="Z306" s="2444"/>
      <c r="AA306" s="2444"/>
      <c r="AB306" s="2444"/>
      <c r="AC306" s="2444"/>
      <c r="AD306" s="2444"/>
      <c r="AE306" s="2444"/>
      <c r="AF306" s="2444"/>
      <c r="AG306" s="2444"/>
      <c r="AH306" s="2444"/>
      <c r="AI306" s="2444"/>
      <c r="AJ306" s="2444"/>
      <c r="AK306" s="2444"/>
      <c r="AL306" s="2444"/>
      <c r="AM306" s="2444"/>
      <c r="AN306" s="2444"/>
      <c r="AO306" s="2444"/>
      <c r="AP306" s="2444"/>
      <c r="AQ306" s="2444"/>
      <c r="AR306" s="2444"/>
      <c r="AS306" s="2444"/>
      <c r="AT306" s="2444"/>
      <c r="AU306" s="2444"/>
      <c r="AV306" s="2444"/>
      <c r="AW306" s="2444"/>
      <c r="AX306" s="2444"/>
      <c r="AY306" s="2444"/>
      <c r="AZ306" s="2444"/>
    </row>
    <row r="307" spans="1:52" ht="18" customHeight="1">
      <c r="A307" s="2444"/>
      <c r="B307" s="2445"/>
      <c r="C307" s="2445"/>
      <c r="D307" s="2445"/>
      <c r="E307" s="2445"/>
      <c r="F307" s="2445"/>
      <c r="G307" s="2445"/>
      <c r="H307" s="2444"/>
      <c r="I307" s="2444"/>
      <c r="J307" s="2444"/>
      <c r="K307" s="2444"/>
      <c r="L307" s="2444"/>
      <c r="M307" s="2444"/>
      <c r="N307" s="2448"/>
      <c r="O307" s="2449"/>
      <c r="P307" s="2449"/>
      <c r="Q307" s="2449"/>
      <c r="R307" s="2449"/>
      <c r="S307" s="2449"/>
      <c r="T307" s="2449"/>
      <c r="U307" s="2444"/>
      <c r="V307" s="2444"/>
      <c r="W307" s="2444"/>
      <c r="X307" s="2444"/>
      <c r="Y307" s="2444"/>
      <c r="Z307" s="2444"/>
      <c r="AA307" s="2444"/>
      <c r="AB307" s="2444"/>
      <c r="AC307" s="2444"/>
      <c r="AD307" s="2444"/>
      <c r="AE307" s="2444"/>
      <c r="AF307" s="2444"/>
      <c r="AG307" s="2444"/>
      <c r="AH307" s="2444"/>
      <c r="AI307" s="2444"/>
      <c r="AJ307" s="2444"/>
      <c r="AK307" s="2444"/>
      <c r="AL307" s="2444"/>
      <c r="AM307" s="2444"/>
      <c r="AN307" s="2444"/>
      <c r="AO307" s="2444"/>
      <c r="AP307" s="2444"/>
      <c r="AQ307" s="2444"/>
      <c r="AR307" s="2444"/>
      <c r="AS307" s="2444"/>
      <c r="AT307" s="2444"/>
      <c r="AU307" s="2444"/>
      <c r="AV307" s="2444"/>
      <c r="AW307" s="2444"/>
      <c r="AX307" s="2444"/>
      <c r="AY307" s="2444"/>
      <c r="AZ307" s="2444"/>
    </row>
    <row r="308" spans="1:52" ht="18" customHeight="1">
      <c r="A308" s="2444"/>
      <c r="B308" s="2445"/>
      <c r="C308" s="2445"/>
      <c r="D308" s="2445"/>
      <c r="E308" s="2445"/>
      <c r="F308" s="2445"/>
      <c r="G308" s="2445"/>
      <c r="H308" s="2444"/>
      <c r="I308" s="2444"/>
      <c r="J308" s="2444"/>
      <c r="K308" s="2444"/>
      <c r="L308" s="2444"/>
      <c r="M308" s="2444"/>
      <c r="N308" s="2448"/>
      <c r="O308" s="2449"/>
      <c r="P308" s="2449"/>
      <c r="Q308" s="2449"/>
      <c r="R308" s="2449"/>
      <c r="S308" s="2449"/>
      <c r="T308" s="2449"/>
      <c r="U308" s="2444"/>
      <c r="V308" s="2444"/>
      <c r="W308" s="2444"/>
      <c r="X308" s="2444"/>
      <c r="Y308" s="2444"/>
      <c r="Z308" s="2444"/>
      <c r="AA308" s="2444"/>
      <c r="AB308" s="2444"/>
      <c r="AC308" s="2444"/>
      <c r="AD308" s="2444"/>
      <c r="AE308" s="2444"/>
      <c r="AF308" s="2444"/>
      <c r="AG308" s="2444"/>
      <c r="AH308" s="2444"/>
      <c r="AI308" s="2444"/>
      <c r="AJ308" s="2444"/>
      <c r="AK308" s="2444"/>
      <c r="AL308" s="2444"/>
      <c r="AM308" s="2444"/>
      <c r="AN308" s="2444"/>
      <c r="AO308" s="2444"/>
      <c r="AP308" s="2444"/>
      <c r="AQ308" s="2444"/>
      <c r="AR308" s="2444"/>
      <c r="AS308" s="2444"/>
      <c r="AT308" s="2444"/>
      <c r="AU308" s="2444"/>
      <c r="AV308" s="2444"/>
      <c r="AW308" s="2444"/>
      <c r="AX308" s="2444"/>
      <c r="AY308" s="2444"/>
      <c r="AZ308" s="2444"/>
    </row>
    <row r="309" spans="1:52" ht="18" customHeight="1">
      <c r="A309" s="2444"/>
      <c r="B309" s="2445"/>
      <c r="C309" s="2445"/>
      <c r="D309" s="2445"/>
      <c r="E309" s="2445"/>
      <c r="F309" s="2445"/>
      <c r="G309" s="2445"/>
      <c r="H309" s="2444"/>
      <c r="I309" s="2444"/>
      <c r="J309" s="2444"/>
      <c r="K309" s="2444"/>
      <c r="L309" s="2444"/>
      <c r="M309" s="2444"/>
      <c r="N309" s="2448"/>
      <c r="O309" s="2449"/>
      <c r="P309" s="2449"/>
      <c r="Q309" s="2449"/>
      <c r="R309" s="2449"/>
      <c r="S309" s="2449"/>
      <c r="T309" s="2449"/>
      <c r="U309" s="2444"/>
      <c r="V309" s="2444"/>
      <c r="W309" s="2444"/>
      <c r="X309" s="2444"/>
      <c r="Y309" s="2444"/>
      <c r="Z309" s="2444"/>
      <c r="AA309" s="2444"/>
      <c r="AB309" s="2444"/>
      <c r="AC309" s="2444"/>
      <c r="AD309" s="2444"/>
      <c r="AE309" s="2444"/>
      <c r="AF309" s="2444"/>
      <c r="AG309" s="2444"/>
      <c r="AH309" s="2444"/>
      <c r="AI309" s="2444"/>
      <c r="AJ309" s="2444"/>
      <c r="AK309" s="2444"/>
      <c r="AL309" s="2444"/>
      <c r="AM309" s="2444"/>
      <c r="AN309" s="2444"/>
      <c r="AO309" s="2444"/>
      <c r="AP309" s="2444"/>
      <c r="AQ309" s="2444"/>
      <c r="AR309" s="2444"/>
      <c r="AS309" s="2444"/>
      <c r="AT309" s="2444"/>
      <c r="AU309" s="2444"/>
      <c r="AV309" s="2444"/>
      <c r="AW309" s="2444"/>
      <c r="AX309" s="2444"/>
      <c r="AY309" s="2444"/>
      <c r="AZ309" s="2444"/>
    </row>
    <row r="310" spans="1:52" ht="18" customHeight="1">
      <c r="A310" s="2444"/>
      <c r="B310" s="2445"/>
      <c r="C310" s="2445"/>
      <c r="D310" s="2445"/>
      <c r="E310" s="2445"/>
      <c r="F310" s="2445"/>
      <c r="G310" s="2445"/>
      <c r="H310" s="2444"/>
      <c r="I310" s="2444"/>
      <c r="J310" s="2444"/>
      <c r="K310" s="2444"/>
      <c r="L310" s="2444"/>
      <c r="M310" s="2444"/>
      <c r="N310" s="2448"/>
      <c r="O310" s="2449"/>
      <c r="P310" s="2449"/>
      <c r="Q310" s="2449"/>
      <c r="R310" s="2449"/>
      <c r="S310" s="2449"/>
      <c r="T310" s="2449"/>
      <c r="U310" s="2444"/>
      <c r="V310" s="2444"/>
      <c r="W310" s="2444"/>
      <c r="X310" s="2444"/>
      <c r="Y310" s="2444"/>
      <c r="Z310" s="2444"/>
      <c r="AA310" s="2444"/>
      <c r="AB310" s="2444"/>
      <c r="AC310" s="2444"/>
      <c r="AD310" s="2444"/>
      <c r="AE310" s="2444"/>
      <c r="AF310" s="2444"/>
      <c r="AG310" s="2444"/>
      <c r="AH310" s="2444"/>
      <c r="AI310" s="2444"/>
      <c r="AJ310" s="2444"/>
      <c r="AK310" s="2444"/>
      <c r="AL310" s="2444"/>
      <c r="AM310" s="2444"/>
      <c r="AN310" s="2444"/>
      <c r="AO310" s="2444"/>
      <c r="AP310" s="2444"/>
      <c r="AQ310" s="2444"/>
      <c r="AR310" s="2444"/>
      <c r="AS310" s="2444"/>
      <c r="AT310" s="2444"/>
      <c r="AU310" s="2444"/>
      <c r="AV310" s="2444"/>
      <c r="AW310" s="2444"/>
      <c r="AX310" s="2444"/>
      <c r="AY310" s="2444"/>
      <c r="AZ310" s="2444"/>
    </row>
    <row r="311" spans="1:52" ht="18" customHeight="1">
      <c r="A311" s="2444"/>
      <c r="B311" s="2445"/>
      <c r="C311" s="2445"/>
      <c r="D311" s="2445"/>
      <c r="E311" s="2445"/>
      <c r="F311" s="2445"/>
      <c r="G311" s="2445"/>
      <c r="H311" s="2444"/>
      <c r="I311" s="2444"/>
      <c r="J311" s="2444"/>
      <c r="K311" s="2444"/>
      <c r="L311" s="2444"/>
      <c r="M311" s="2444"/>
      <c r="N311" s="2448"/>
      <c r="O311" s="2449"/>
      <c r="P311" s="2449"/>
      <c r="Q311" s="2449"/>
      <c r="R311" s="2449"/>
      <c r="S311" s="2449"/>
      <c r="T311" s="2449"/>
      <c r="U311" s="2444"/>
      <c r="V311" s="2444"/>
      <c r="W311" s="2444"/>
      <c r="X311" s="2444"/>
      <c r="Y311" s="2444"/>
      <c r="Z311" s="2444"/>
      <c r="AA311" s="2444"/>
      <c r="AB311" s="2444"/>
      <c r="AC311" s="2444"/>
      <c r="AD311" s="2444"/>
      <c r="AE311" s="2444"/>
      <c r="AF311" s="2444"/>
      <c r="AG311" s="2444"/>
      <c r="AH311" s="2444"/>
      <c r="AI311" s="2444"/>
      <c r="AJ311" s="2444"/>
      <c r="AK311" s="2444"/>
      <c r="AL311" s="2444"/>
      <c r="AM311" s="2444"/>
      <c r="AN311" s="2444"/>
      <c r="AO311" s="2444"/>
      <c r="AP311" s="2444"/>
      <c r="AQ311" s="2444"/>
      <c r="AR311" s="2444"/>
      <c r="AS311" s="2444"/>
      <c r="AT311" s="2444"/>
      <c r="AU311" s="2444"/>
      <c r="AV311" s="2444"/>
      <c r="AW311" s="2444"/>
      <c r="AX311" s="2444"/>
      <c r="AY311" s="2444"/>
      <c r="AZ311" s="2444"/>
    </row>
    <row r="312" spans="1:52" ht="18" customHeight="1">
      <c r="A312" s="2444"/>
      <c r="B312" s="2445"/>
      <c r="C312" s="2445"/>
      <c r="D312" s="2445"/>
      <c r="E312" s="2445"/>
      <c r="F312" s="2445"/>
      <c r="G312" s="2445"/>
      <c r="H312" s="2444"/>
      <c r="I312" s="2444"/>
      <c r="J312" s="2444"/>
      <c r="K312" s="2444"/>
      <c r="L312" s="2444"/>
      <c r="M312" s="2444"/>
      <c r="N312" s="2448"/>
      <c r="O312" s="2449"/>
      <c r="P312" s="2449"/>
      <c r="Q312" s="2449"/>
      <c r="R312" s="2449"/>
      <c r="S312" s="2449"/>
      <c r="T312" s="2449"/>
      <c r="U312" s="2444"/>
      <c r="V312" s="2444"/>
      <c r="W312" s="2444"/>
      <c r="X312" s="2444"/>
      <c r="Y312" s="2444"/>
      <c r="Z312" s="2444"/>
      <c r="AA312" s="2444"/>
      <c r="AB312" s="2444"/>
      <c r="AC312" s="2444"/>
      <c r="AD312" s="2444"/>
      <c r="AE312" s="2444"/>
      <c r="AF312" s="2444"/>
      <c r="AG312" s="2444"/>
      <c r="AH312" s="2444"/>
      <c r="AI312" s="2444"/>
      <c r="AJ312" s="2444"/>
      <c r="AK312" s="2444"/>
      <c r="AL312" s="2444"/>
      <c r="AM312" s="2444"/>
      <c r="AN312" s="2444"/>
      <c r="AO312" s="2444"/>
      <c r="AP312" s="2444"/>
      <c r="AQ312" s="2444"/>
      <c r="AR312" s="2444"/>
      <c r="AS312" s="2444"/>
      <c r="AT312" s="2444"/>
      <c r="AU312" s="2444"/>
      <c r="AV312" s="2444"/>
      <c r="AW312" s="2444"/>
      <c r="AX312" s="2444"/>
      <c r="AY312" s="2444"/>
      <c r="AZ312" s="2444"/>
    </row>
    <row r="313" spans="1:52" ht="18" customHeight="1">
      <c r="A313" s="2444"/>
      <c r="N313" s="2448"/>
      <c r="O313" s="2449"/>
      <c r="P313" s="2449"/>
      <c r="Q313" s="2449"/>
      <c r="R313" s="2449"/>
      <c r="S313" s="2449"/>
      <c r="T313" s="2449"/>
      <c r="U313" s="2444"/>
      <c r="V313" s="2444"/>
      <c r="W313" s="2444"/>
      <c r="X313" s="2444"/>
      <c r="Y313" s="2444"/>
      <c r="Z313" s="2444"/>
      <c r="AA313" s="2444"/>
      <c r="AB313" s="2444"/>
      <c r="AC313" s="2444"/>
      <c r="AD313" s="2444"/>
      <c r="AE313" s="2444"/>
      <c r="AF313" s="2444"/>
      <c r="AG313" s="2444"/>
      <c r="AH313" s="2444"/>
      <c r="AI313" s="2444"/>
      <c r="AJ313" s="2444"/>
      <c r="AK313" s="2444"/>
      <c r="AL313" s="2444"/>
      <c r="AM313" s="2444"/>
      <c r="AN313" s="2444"/>
      <c r="AO313" s="2444"/>
      <c r="AP313" s="2444"/>
      <c r="AQ313" s="2444"/>
      <c r="AR313" s="2444"/>
      <c r="AS313" s="2444"/>
      <c r="AT313" s="2444"/>
      <c r="AU313" s="2444"/>
      <c r="AV313" s="2444"/>
      <c r="AW313" s="2444"/>
      <c r="AX313" s="2444"/>
      <c r="AY313" s="2444"/>
      <c r="AZ313" s="2444"/>
    </row>
  </sheetData>
  <mergeCells count="8">
    <mergeCell ref="B96:G96"/>
    <mergeCell ref="B122:G122"/>
    <mergeCell ref="B4:G4"/>
    <mergeCell ref="B39:G39"/>
    <mergeCell ref="B42:G42"/>
    <mergeCell ref="B62:G62"/>
    <mergeCell ref="B66:G66"/>
    <mergeCell ref="B93:G93"/>
  </mergeCells>
  <phoneticPr fontId="21" type="noConversion"/>
  <pageMargins left="0.74791666666666667" right="0.47222222222222221" top="0.50972222222222219" bottom="0.59027777777777779" header="0.38958333333333334" footer="0.51111111111111107"/>
  <pageSetup paperSize="9" firstPageNumber="4294963191"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CCECFF"/>
  </sheetPr>
  <dimension ref="A1:AZ313"/>
  <sheetViews>
    <sheetView showGridLines="0" workbookViewId="0">
      <selection activeCell="I5" sqref="I5"/>
    </sheetView>
  </sheetViews>
  <sheetFormatPr defaultRowHeight="18" customHeight="1"/>
  <cols>
    <col min="1" max="1" width="2.375" style="569" customWidth="1"/>
    <col min="2" max="2" width="24.125" style="628" customWidth="1"/>
    <col min="3" max="7" width="10.125" style="628" customWidth="1"/>
    <col min="8" max="8" width="3.25" style="569" customWidth="1"/>
    <col min="9" max="9" width="10.75" style="569" customWidth="1"/>
    <col min="10" max="10" width="5" style="569" customWidth="1"/>
    <col min="11" max="11" width="5.25" style="569" customWidth="1"/>
    <col min="12" max="12" width="5.125" style="569" customWidth="1"/>
    <col min="13" max="13" width="4.625" style="569" customWidth="1"/>
    <col min="14" max="14" width="5" style="629" customWidth="1"/>
    <col min="15" max="20" width="9" style="630"/>
    <col min="21" max="16384" width="9" style="569"/>
  </cols>
  <sheetData>
    <row r="1" spans="1:52" s="562" customFormat="1" ht="12" customHeight="1">
      <c r="A1" s="560"/>
      <c r="B1" s="560"/>
      <c r="C1" s="560"/>
      <c r="D1" s="560"/>
      <c r="E1" s="560"/>
      <c r="F1" s="560"/>
      <c r="G1" s="560"/>
      <c r="H1" s="560"/>
      <c r="I1" s="560"/>
      <c r="J1" s="560"/>
      <c r="K1" s="560"/>
      <c r="L1" s="560"/>
      <c r="M1" s="560"/>
      <c r="N1" s="561"/>
      <c r="O1" s="561"/>
      <c r="P1" s="561"/>
      <c r="Q1" s="561"/>
      <c r="R1" s="561"/>
      <c r="S1" s="561"/>
      <c r="T1" s="561"/>
      <c r="U1" s="560"/>
      <c r="V1" s="560"/>
      <c r="W1" s="560"/>
      <c r="X1" s="560"/>
      <c r="Y1" s="560"/>
      <c r="Z1" s="560"/>
      <c r="AA1" s="560"/>
      <c r="AB1" s="560"/>
      <c r="AC1" s="560"/>
      <c r="AD1" s="560"/>
      <c r="AE1" s="560"/>
      <c r="AF1" s="560"/>
      <c r="AG1" s="560"/>
      <c r="AH1" s="560"/>
      <c r="AI1" s="560"/>
      <c r="AJ1" s="560"/>
      <c r="AK1" s="560"/>
      <c r="AL1" s="560"/>
      <c r="AM1" s="560"/>
      <c r="AN1" s="560"/>
      <c r="AO1" s="560"/>
      <c r="AP1" s="560"/>
      <c r="AQ1" s="560"/>
      <c r="AR1" s="560"/>
      <c r="AS1" s="560"/>
      <c r="AT1" s="560"/>
      <c r="AU1" s="560"/>
      <c r="AV1" s="560"/>
      <c r="AW1" s="560"/>
      <c r="AX1" s="560"/>
      <c r="AY1" s="560"/>
      <c r="AZ1" s="560"/>
    </row>
    <row r="2" spans="1:52" ht="18" customHeight="1">
      <c r="A2" s="563"/>
      <c r="B2" s="564"/>
      <c r="C2" s="564"/>
      <c r="D2" s="564"/>
      <c r="E2" s="565"/>
      <c r="F2" s="566" t="s">
        <v>87</v>
      </c>
      <c r="G2" s="564"/>
      <c r="H2" s="563"/>
      <c r="I2" s="563"/>
      <c r="J2" s="563"/>
      <c r="K2" s="563"/>
      <c r="L2" s="563"/>
      <c r="M2" s="563"/>
      <c r="N2" s="567"/>
      <c r="O2" s="568"/>
      <c r="P2" s="568"/>
      <c r="Q2" s="568"/>
      <c r="R2" s="568"/>
      <c r="S2" s="568"/>
      <c r="T2" s="568"/>
      <c r="U2" s="563"/>
      <c r="V2" s="563"/>
      <c r="W2" s="563"/>
      <c r="X2" s="563"/>
      <c r="Y2" s="563"/>
      <c r="Z2" s="563"/>
      <c r="AA2" s="563"/>
      <c r="AB2" s="563"/>
      <c r="AC2" s="563"/>
      <c r="AD2" s="563"/>
      <c r="AE2" s="563"/>
      <c r="AF2" s="563"/>
      <c r="AG2" s="563"/>
      <c r="AH2" s="563"/>
      <c r="AI2" s="563"/>
      <c r="AJ2" s="563"/>
      <c r="AK2" s="563"/>
      <c r="AL2" s="563"/>
      <c r="AM2" s="563"/>
      <c r="AN2" s="563"/>
      <c r="AO2" s="563"/>
      <c r="AP2" s="563"/>
      <c r="AQ2" s="563"/>
      <c r="AR2" s="563"/>
      <c r="AS2" s="563"/>
      <c r="AT2" s="563"/>
      <c r="AU2" s="563"/>
      <c r="AV2" s="563"/>
      <c r="AW2" s="563"/>
      <c r="AX2" s="563"/>
      <c r="AY2" s="563"/>
      <c r="AZ2" s="563"/>
    </row>
    <row r="3" spans="1:52" ht="18" customHeight="1">
      <c r="A3" s="563"/>
      <c r="B3" s="564"/>
      <c r="C3" s="564"/>
      <c r="D3" s="564"/>
      <c r="E3" s="570">
        <f>D67+1</f>
        <v>2020</v>
      </c>
      <c r="F3" s="570">
        <f>E3+1</f>
        <v>2021</v>
      </c>
      <c r="G3" s="570">
        <f>F3+1</f>
        <v>2022</v>
      </c>
      <c r="H3" s="563"/>
      <c r="I3" s="563"/>
      <c r="J3" s="563"/>
      <c r="K3" s="563"/>
      <c r="L3" s="563"/>
      <c r="M3" s="563"/>
      <c r="N3" s="571"/>
      <c r="O3" s="568"/>
      <c r="P3" s="568"/>
      <c r="Q3" s="568"/>
      <c r="R3" s="568"/>
      <c r="S3" s="568"/>
      <c r="T3" s="568"/>
      <c r="U3" s="563"/>
      <c r="V3" s="563"/>
      <c r="W3" s="563"/>
      <c r="X3" s="563"/>
      <c r="Y3" s="563"/>
      <c r="Z3" s="563"/>
      <c r="AA3" s="563"/>
      <c r="AB3" s="563"/>
      <c r="AC3" s="563"/>
      <c r="AD3" s="563"/>
      <c r="AE3" s="563"/>
      <c r="AF3" s="563"/>
      <c r="AG3" s="563"/>
      <c r="AH3" s="563"/>
      <c r="AI3" s="563"/>
      <c r="AJ3" s="563"/>
      <c r="AK3" s="563"/>
      <c r="AL3" s="563"/>
      <c r="AM3" s="563"/>
      <c r="AN3" s="563"/>
      <c r="AO3" s="563"/>
      <c r="AP3" s="563"/>
      <c r="AQ3" s="563"/>
      <c r="AR3" s="563"/>
      <c r="AS3" s="563"/>
      <c r="AT3" s="563"/>
      <c r="AU3" s="563"/>
      <c r="AV3" s="563"/>
      <c r="AW3" s="563"/>
      <c r="AX3" s="563"/>
      <c r="AY3" s="563"/>
      <c r="AZ3" s="563"/>
    </row>
    <row r="4" spans="1:52" ht="18" customHeight="1" thickBot="1">
      <c r="A4" s="563"/>
      <c r="B4" s="2539" t="s">
        <v>88</v>
      </c>
      <c r="C4" s="2539"/>
      <c r="D4" s="2539"/>
      <c r="E4" s="2539"/>
      <c r="F4" s="2539"/>
      <c r="G4" s="2539"/>
      <c r="H4" s="563"/>
      <c r="I4" s="571"/>
      <c r="J4" s="568"/>
      <c r="K4" s="568"/>
      <c r="L4" s="568"/>
      <c r="M4" s="568"/>
      <c r="N4" s="568"/>
      <c r="O4" s="568"/>
      <c r="P4" s="563"/>
      <c r="Q4" s="563"/>
      <c r="R4" s="563"/>
      <c r="S4" s="563"/>
      <c r="T4" s="563"/>
      <c r="U4" s="563"/>
      <c r="V4" s="563"/>
      <c r="W4" s="563"/>
      <c r="X4" s="563"/>
      <c r="Y4" s="563"/>
      <c r="Z4" s="563"/>
      <c r="AA4" s="563"/>
      <c r="AB4" s="563"/>
      <c r="AC4" s="563"/>
      <c r="AD4" s="563"/>
      <c r="AE4" s="563"/>
      <c r="AF4" s="563"/>
      <c r="AG4" s="563"/>
      <c r="AH4" s="563"/>
      <c r="AI4" s="563"/>
      <c r="AJ4" s="563"/>
      <c r="AK4" s="563"/>
      <c r="AL4" s="563"/>
      <c r="AM4" s="563"/>
      <c r="AN4" s="563"/>
      <c r="AO4" s="563"/>
      <c r="AP4" s="563"/>
      <c r="AQ4" s="563"/>
      <c r="AR4" s="563"/>
      <c r="AS4" s="563"/>
      <c r="AT4" s="563"/>
      <c r="AU4" s="563"/>
    </row>
    <row r="5" spans="1:52" ht="18" customHeight="1">
      <c r="A5" s="563"/>
      <c r="B5" s="572" t="s">
        <v>89</v>
      </c>
      <c r="C5" s="573">
        <f>利润表!L3</f>
        <v>2018</v>
      </c>
      <c r="D5" s="573">
        <f>利润表!M3</f>
        <v>2019</v>
      </c>
      <c r="E5" s="573" t="str">
        <f>利润表!N3</f>
        <v>2020E</v>
      </c>
      <c r="F5" s="573" t="str">
        <f>利润表!O3</f>
        <v>2021E</v>
      </c>
      <c r="G5" s="573" t="str">
        <f>利润表!P3</f>
        <v>2022E</v>
      </c>
      <c r="H5" s="563"/>
      <c r="N5" s="568"/>
      <c r="O5" s="568"/>
      <c r="P5" s="563"/>
      <c r="Q5" s="563"/>
      <c r="R5" s="563"/>
      <c r="S5" s="563"/>
      <c r="T5" s="563"/>
      <c r="U5" s="563"/>
      <c r="V5" s="563"/>
      <c r="W5" s="563"/>
      <c r="X5" s="563"/>
      <c r="Y5" s="563"/>
      <c r="Z5" s="563"/>
      <c r="AA5" s="563"/>
      <c r="AB5" s="563"/>
      <c r="AC5" s="563"/>
      <c r="AD5" s="563"/>
      <c r="AE5" s="563"/>
      <c r="AF5" s="563"/>
      <c r="AG5" s="563"/>
      <c r="AH5" s="563"/>
      <c r="AI5" s="563"/>
      <c r="AJ5" s="563"/>
      <c r="AK5" s="563"/>
      <c r="AL5" s="563"/>
      <c r="AM5" s="563"/>
      <c r="AN5" s="563"/>
      <c r="AO5" s="563"/>
      <c r="AP5" s="563"/>
      <c r="AQ5" s="563"/>
      <c r="AR5" s="563"/>
      <c r="AS5" s="563"/>
      <c r="AT5" s="563"/>
      <c r="AU5" s="563"/>
    </row>
    <row r="6" spans="1:52" ht="18" customHeight="1">
      <c r="A6" s="563"/>
      <c r="B6" s="2309" t="s">
        <v>1462</v>
      </c>
      <c r="C6" s="1923">
        <f>利润表!L4</f>
        <v>4809.73609786</v>
      </c>
      <c r="D6" s="1923">
        <f>利润表!M4</f>
        <v>6378.1513559200002</v>
      </c>
      <c r="E6" s="1923">
        <f>利润表!N4</f>
        <v>6378.1513559200002</v>
      </c>
      <c r="F6" s="1923">
        <f>利润表!O4</f>
        <v>6378.1513559200002</v>
      </c>
      <c r="G6" s="1923">
        <f>利润表!P4</f>
        <v>6378.1513559200002</v>
      </c>
      <c r="H6" s="563"/>
      <c r="I6" s="580" t="str">
        <f>D5&amp;"年收入结构"</f>
        <v>2019年收入结构</v>
      </c>
      <c r="J6" s="563"/>
      <c r="K6" s="563"/>
      <c r="L6" s="563"/>
      <c r="M6" s="563"/>
      <c r="N6" s="568"/>
      <c r="O6" s="568"/>
      <c r="P6" s="563"/>
      <c r="Q6" s="563"/>
      <c r="R6" s="563"/>
      <c r="S6" s="563"/>
      <c r="T6" s="563"/>
      <c r="U6" s="563"/>
      <c r="V6" s="563"/>
      <c r="W6" s="563"/>
      <c r="X6" s="563"/>
      <c r="Y6" s="563"/>
      <c r="Z6" s="563"/>
      <c r="AA6" s="563"/>
      <c r="AB6" s="563"/>
      <c r="AC6" s="563"/>
      <c r="AD6" s="563"/>
      <c r="AE6" s="563"/>
      <c r="AF6" s="563"/>
      <c r="AG6" s="563"/>
      <c r="AH6" s="563"/>
      <c r="AI6" s="563"/>
      <c r="AJ6" s="563"/>
      <c r="AK6" s="563"/>
      <c r="AL6" s="563"/>
      <c r="AM6" s="563"/>
      <c r="AN6" s="563"/>
      <c r="AO6" s="563"/>
      <c r="AP6" s="563"/>
      <c r="AQ6" s="563"/>
      <c r="AR6" s="563"/>
      <c r="AS6" s="563"/>
      <c r="AT6" s="563"/>
      <c r="AU6" s="563"/>
    </row>
    <row r="7" spans="1:52" ht="18" customHeight="1">
      <c r="A7" s="563"/>
      <c r="B7" s="2309" t="s">
        <v>1461</v>
      </c>
      <c r="C7" s="1923">
        <f>利润表!L5</f>
        <v>4809.73609786</v>
      </c>
      <c r="D7" s="1923">
        <f>利润表!M5</f>
        <v>6378.1513559200002</v>
      </c>
      <c r="E7" s="1923">
        <f>利润表!N5</f>
        <v>6378.1513559200002</v>
      </c>
      <c r="F7" s="1923">
        <f>利润表!O5</f>
        <v>6378.1513559200002</v>
      </c>
      <c r="G7" s="1923">
        <f>利润表!P5</f>
        <v>6378.1513559200002</v>
      </c>
      <c r="H7" s="563"/>
      <c r="I7" s="580"/>
      <c r="J7" s="563"/>
      <c r="K7" s="563"/>
      <c r="L7" s="563"/>
      <c r="M7" s="563"/>
      <c r="N7" s="568"/>
      <c r="O7" s="568"/>
      <c r="P7" s="563"/>
      <c r="Q7" s="563"/>
      <c r="R7" s="563"/>
      <c r="S7" s="563"/>
      <c r="T7" s="563"/>
      <c r="U7" s="563"/>
      <c r="V7" s="563"/>
      <c r="W7" s="563"/>
      <c r="X7" s="563"/>
      <c r="Y7" s="563"/>
      <c r="Z7" s="563"/>
      <c r="AA7" s="563"/>
      <c r="AB7" s="563"/>
      <c r="AC7" s="563"/>
      <c r="AD7" s="563"/>
      <c r="AE7" s="563"/>
      <c r="AF7" s="563"/>
      <c r="AG7" s="563"/>
      <c r="AH7" s="563"/>
      <c r="AI7" s="563"/>
      <c r="AJ7" s="563"/>
      <c r="AK7" s="563"/>
      <c r="AL7" s="563"/>
      <c r="AM7" s="563"/>
      <c r="AN7" s="563"/>
      <c r="AO7" s="563"/>
      <c r="AP7" s="563"/>
      <c r="AQ7" s="563"/>
      <c r="AR7" s="563"/>
      <c r="AS7" s="563"/>
      <c r="AT7" s="563"/>
      <c r="AU7" s="563"/>
    </row>
    <row r="8" spans="1:52" ht="18" customHeight="1">
      <c r="A8" s="563"/>
      <c r="B8" s="2310" t="s">
        <v>90</v>
      </c>
      <c r="C8" s="1924"/>
      <c r="D8" s="1924">
        <v>1</v>
      </c>
      <c r="E8" s="1924"/>
      <c r="F8" s="1924"/>
      <c r="G8" s="1924"/>
      <c r="H8" s="563"/>
      <c r="I8" s="563"/>
      <c r="J8" s="563"/>
      <c r="K8" s="563"/>
      <c r="L8" s="563"/>
      <c r="M8" s="563"/>
      <c r="N8" s="568"/>
      <c r="O8" s="568"/>
      <c r="P8" s="563"/>
      <c r="Q8" s="563"/>
      <c r="R8" s="563"/>
      <c r="S8" s="563"/>
      <c r="T8" s="563"/>
      <c r="U8" s="563"/>
      <c r="V8" s="563"/>
      <c r="W8" s="563"/>
      <c r="X8" s="563"/>
      <c r="Y8" s="563"/>
      <c r="Z8" s="563"/>
      <c r="AA8" s="563"/>
      <c r="AB8" s="563"/>
      <c r="AC8" s="563"/>
      <c r="AD8" s="563"/>
      <c r="AE8" s="563"/>
      <c r="AF8" s="563"/>
      <c r="AG8" s="563"/>
      <c r="AH8" s="563"/>
      <c r="AI8" s="563"/>
      <c r="AJ8" s="563"/>
      <c r="AK8" s="563"/>
      <c r="AL8" s="563"/>
      <c r="AM8" s="563"/>
      <c r="AN8" s="563"/>
      <c r="AO8" s="563"/>
      <c r="AP8" s="563"/>
      <c r="AQ8" s="563"/>
      <c r="AR8" s="563"/>
      <c r="AS8" s="563"/>
      <c r="AT8" s="563"/>
      <c r="AU8" s="563"/>
    </row>
    <row r="9" spans="1:52" ht="18" customHeight="1">
      <c r="A9" s="563"/>
      <c r="B9" s="2310" t="s">
        <v>91</v>
      </c>
      <c r="C9" s="1924"/>
      <c r="D9" s="1924">
        <v>1</v>
      </c>
      <c r="E9" s="1924"/>
      <c r="F9" s="1924"/>
      <c r="G9" s="1924"/>
      <c r="H9" s="563"/>
      <c r="I9" s="563"/>
      <c r="J9" s="563"/>
      <c r="K9" s="563"/>
      <c r="L9" s="563"/>
      <c r="M9" s="563"/>
      <c r="N9" s="568"/>
      <c r="O9" s="568"/>
      <c r="P9" s="563"/>
      <c r="Q9" s="563"/>
      <c r="R9" s="563"/>
      <c r="S9" s="563"/>
      <c r="T9" s="563"/>
      <c r="U9" s="563"/>
      <c r="V9" s="563"/>
      <c r="W9" s="563"/>
      <c r="X9" s="563"/>
      <c r="Y9" s="563"/>
      <c r="Z9" s="563"/>
      <c r="AA9" s="563"/>
      <c r="AB9" s="563"/>
      <c r="AC9" s="563"/>
      <c r="AD9" s="563"/>
      <c r="AE9" s="563"/>
      <c r="AF9" s="563"/>
      <c r="AG9" s="563"/>
      <c r="AH9" s="563"/>
      <c r="AI9" s="563"/>
      <c r="AJ9" s="563"/>
      <c r="AK9" s="563"/>
      <c r="AL9" s="563"/>
      <c r="AM9" s="563"/>
      <c r="AN9" s="563"/>
      <c r="AO9" s="563"/>
      <c r="AP9" s="563"/>
      <c r="AQ9" s="563"/>
      <c r="AR9" s="563"/>
      <c r="AS9" s="563"/>
      <c r="AT9" s="563"/>
      <c r="AU9" s="563"/>
    </row>
    <row r="10" spans="1:52" ht="18" customHeight="1">
      <c r="A10" s="563"/>
      <c r="B10" s="2310" t="s">
        <v>92</v>
      </c>
      <c r="C10" s="1924"/>
      <c r="D10" s="1924">
        <v>1</v>
      </c>
      <c r="E10" s="1924"/>
      <c r="F10" s="1924"/>
      <c r="G10" s="1924"/>
      <c r="H10" s="563"/>
      <c r="I10" s="563"/>
      <c r="J10" s="563"/>
      <c r="K10" s="563"/>
      <c r="L10" s="563"/>
      <c r="M10" s="563"/>
      <c r="N10" s="568"/>
      <c r="O10" s="568"/>
      <c r="P10" s="563"/>
      <c r="Q10" s="563"/>
      <c r="R10" s="563"/>
      <c r="S10" s="563"/>
      <c r="T10" s="563"/>
      <c r="U10" s="563"/>
      <c r="V10" s="563"/>
      <c r="W10" s="563"/>
      <c r="X10" s="563"/>
      <c r="Y10" s="563"/>
      <c r="Z10" s="563"/>
      <c r="AA10" s="563"/>
      <c r="AB10" s="563"/>
      <c r="AC10" s="563"/>
      <c r="AD10" s="563"/>
      <c r="AE10" s="563"/>
      <c r="AF10" s="563"/>
      <c r="AG10" s="563"/>
      <c r="AH10" s="563"/>
      <c r="AI10" s="563"/>
      <c r="AJ10" s="563"/>
      <c r="AK10" s="563"/>
      <c r="AL10" s="563"/>
      <c r="AM10" s="563"/>
      <c r="AN10" s="563"/>
      <c r="AO10" s="563"/>
      <c r="AP10" s="563"/>
      <c r="AQ10" s="563"/>
      <c r="AR10" s="563"/>
      <c r="AS10" s="563"/>
      <c r="AT10" s="563"/>
      <c r="AU10" s="563"/>
    </row>
    <row r="11" spans="1:52" ht="18" customHeight="1">
      <c r="A11" s="563"/>
      <c r="B11" s="2310" t="s">
        <v>93</v>
      </c>
      <c r="C11" s="1924"/>
      <c r="D11" s="1924">
        <v>1</v>
      </c>
      <c r="E11" s="1924"/>
      <c r="F11" s="1924"/>
      <c r="G11" s="1924"/>
      <c r="H11" s="563"/>
      <c r="I11" s="563"/>
      <c r="J11" s="563"/>
      <c r="K11" s="563"/>
      <c r="L11" s="563"/>
      <c r="M11" s="563"/>
      <c r="N11" s="568"/>
      <c r="O11" s="568"/>
      <c r="P11" s="563"/>
      <c r="Q11" s="563"/>
      <c r="R11" s="563"/>
      <c r="S11" s="563"/>
      <c r="T11" s="563"/>
      <c r="U11" s="563"/>
      <c r="V11" s="563"/>
      <c r="W11" s="563"/>
      <c r="X11" s="563"/>
      <c r="Y11" s="563"/>
      <c r="Z11" s="563"/>
      <c r="AA11" s="563"/>
      <c r="AB11" s="563"/>
      <c r="AC11" s="563"/>
      <c r="AD11" s="563"/>
      <c r="AE11" s="563"/>
      <c r="AF11" s="563"/>
      <c r="AG11" s="563"/>
      <c r="AH11" s="563"/>
      <c r="AI11" s="563"/>
      <c r="AJ11" s="563"/>
      <c r="AK11" s="563"/>
      <c r="AL11" s="563"/>
      <c r="AM11" s="563"/>
      <c r="AN11" s="563"/>
      <c r="AO11" s="563"/>
      <c r="AP11" s="563"/>
      <c r="AQ11" s="563"/>
      <c r="AR11" s="563"/>
      <c r="AS11" s="563"/>
      <c r="AT11" s="563"/>
      <c r="AU11" s="563"/>
    </row>
    <row r="12" spans="1:52" ht="18" customHeight="1">
      <c r="A12" s="563"/>
      <c r="B12" s="2310" t="s">
        <v>1477</v>
      </c>
      <c r="C12" s="1924"/>
      <c r="D12" s="1924">
        <v>1</v>
      </c>
      <c r="E12" s="1924"/>
      <c r="F12" s="1924"/>
      <c r="G12" s="1924"/>
      <c r="H12" s="563"/>
      <c r="I12" s="563"/>
      <c r="J12" s="563"/>
      <c r="K12" s="563"/>
      <c r="L12" s="563"/>
      <c r="M12" s="563"/>
      <c r="N12" s="568"/>
      <c r="O12" s="568"/>
      <c r="P12" s="563"/>
      <c r="Q12" s="563"/>
      <c r="R12" s="563"/>
      <c r="S12" s="563"/>
      <c r="T12" s="563"/>
      <c r="U12" s="563"/>
      <c r="V12" s="563"/>
      <c r="W12" s="563"/>
      <c r="X12" s="563"/>
      <c r="Y12" s="563"/>
      <c r="Z12" s="563"/>
      <c r="AA12" s="563"/>
      <c r="AB12" s="563"/>
      <c r="AC12" s="563"/>
      <c r="AD12" s="563"/>
      <c r="AE12" s="563"/>
      <c r="AF12" s="563"/>
      <c r="AG12" s="563"/>
      <c r="AH12" s="563"/>
      <c r="AI12" s="563"/>
      <c r="AJ12" s="563"/>
      <c r="AK12" s="563"/>
      <c r="AL12" s="563"/>
      <c r="AM12" s="563"/>
      <c r="AN12" s="563"/>
      <c r="AO12" s="563"/>
      <c r="AP12" s="563"/>
      <c r="AQ12" s="563"/>
      <c r="AR12" s="563"/>
      <c r="AS12" s="563"/>
      <c r="AT12" s="563"/>
      <c r="AU12" s="563"/>
    </row>
    <row r="13" spans="1:52" ht="18" customHeight="1">
      <c r="A13" s="563"/>
      <c r="B13" s="2309" t="s">
        <v>94</v>
      </c>
      <c r="C13" s="1923">
        <f>利润表!L7</f>
        <v>4331.7590222899998</v>
      </c>
      <c r="D13" s="1923">
        <f>利润表!M7</f>
        <v>5514.07059192</v>
      </c>
      <c r="E13" s="1923">
        <f ca="1">利润表!N7</f>
        <v>7884.1366412316775</v>
      </c>
      <c r="F13" s="1923">
        <f ca="1">利润表!O7</f>
        <v>8143.9739502080538</v>
      </c>
      <c r="G13" s="1923">
        <f ca="1">利润表!P7</f>
        <v>8134.435336486551</v>
      </c>
      <c r="H13" s="563"/>
      <c r="I13" s="563"/>
      <c r="J13" s="563"/>
      <c r="K13" s="563"/>
      <c r="L13" s="563"/>
      <c r="M13" s="563"/>
      <c r="N13" s="578"/>
      <c r="O13" s="568"/>
      <c r="P13" s="563"/>
      <c r="Q13" s="563"/>
      <c r="R13" s="563"/>
      <c r="S13" s="563"/>
      <c r="T13" s="563"/>
      <c r="U13" s="563"/>
      <c r="V13" s="563"/>
      <c r="W13" s="563"/>
      <c r="X13" s="563"/>
      <c r="Y13" s="563"/>
      <c r="Z13" s="563"/>
      <c r="AA13" s="563"/>
      <c r="AB13" s="563"/>
      <c r="AC13" s="563"/>
      <c r="AD13" s="563"/>
      <c r="AE13" s="563"/>
      <c r="AF13" s="563"/>
      <c r="AG13" s="563"/>
      <c r="AH13" s="563"/>
      <c r="AI13" s="563"/>
      <c r="AJ13" s="563"/>
      <c r="AK13" s="563"/>
      <c r="AL13" s="563"/>
      <c r="AM13" s="563"/>
      <c r="AN13" s="563"/>
      <c r="AO13" s="563"/>
      <c r="AP13" s="563"/>
      <c r="AQ13" s="563"/>
      <c r="AR13" s="563"/>
      <c r="AS13" s="563"/>
      <c r="AT13" s="563"/>
      <c r="AU13" s="563"/>
    </row>
    <row r="14" spans="1:52" ht="18" customHeight="1">
      <c r="A14" s="563"/>
      <c r="B14" s="2309" t="s">
        <v>95</v>
      </c>
      <c r="C14" s="1924">
        <f>利润表!L8</f>
        <v>3863.78724121</v>
      </c>
      <c r="D14" s="1924">
        <f>利润表!M8</f>
        <v>5079.2705365800002</v>
      </c>
      <c r="E14" s="1924">
        <f>利润表!N8</f>
        <v>5082.3547035464026</v>
      </c>
      <c r="F14" s="1924">
        <f>利润表!O8</f>
        <v>5095.1205406454546</v>
      </c>
      <c r="G14" s="1924">
        <f>利润表!P8</f>
        <v>5085.5819269239528</v>
      </c>
      <c r="H14" s="563"/>
      <c r="I14" s="563"/>
      <c r="J14" s="563"/>
      <c r="K14" s="563"/>
      <c r="L14" s="563"/>
      <c r="M14" s="563"/>
      <c r="N14" s="579"/>
      <c r="O14" s="568"/>
      <c r="P14" s="563"/>
      <c r="Q14" s="563"/>
      <c r="R14" s="563"/>
      <c r="S14" s="563"/>
      <c r="T14" s="563"/>
      <c r="U14" s="563"/>
      <c r="V14" s="563"/>
      <c r="W14" s="563"/>
      <c r="X14" s="563"/>
      <c r="Y14" s="563"/>
      <c r="Z14" s="563"/>
      <c r="AA14" s="563"/>
      <c r="AB14" s="563"/>
      <c r="AC14" s="563"/>
      <c r="AD14" s="563"/>
      <c r="AE14" s="563"/>
      <c r="AF14" s="563"/>
      <c r="AG14" s="563"/>
      <c r="AH14" s="563"/>
      <c r="AI14" s="563"/>
      <c r="AJ14" s="563"/>
      <c r="AK14" s="563"/>
      <c r="AL14" s="563"/>
      <c r="AM14" s="563"/>
      <c r="AN14" s="563"/>
      <c r="AO14" s="563"/>
      <c r="AP14" s="563"/>
      <c r="AQ14" s="563"/>
      <c r="AR14" s="563"/>
      <c r="AS14" s="563"/>
      <c r="AT14" s="563"/>
      <c r="AU14" s="563"/>
    </row>
    <row r="15" spans="1:52" ht="18" customHeight="1">
      <c r="A15" s="563"/>
      <c r="B15" s="2310" t="s">
        <v>90</v>
      </c>
      <c r="C15" s="1924"/>
      <c r="D15" s="1924">
        <v>1</v>
      </c>
      <c r="E15" s="1924"/>
      <c r="F15" s="1924"/>
      <c r="G15" s="1924"/>
      <c r="H15" s="563"/>
      <c r="I15" s="563"/>
      <c r="J15" s="563"/>
      <c r="K15" s="563"/>
      <c r="L15" s="563"/>
      <c r="M15" s="563"/>
      <c r="N15" s="579"/>
      <c r="O15" s="568"/>
      <c r="P15" s="563"/>
      <c r="Q15" s="563"/>
      <c r="R15" s="563"/>
      <c r="S15" s="563"/>
      <c r="T15" s="563"/>
      <c r="U15" s="563"/>
      <c r="V15" s="563"/>
      <c r="W15" s="563"/>
      <c r="X15" s="563"/>
      <c r="Y15" s="563"/>
      <c r="Z15" s="563"/>
      <c r="AA15" s="563"/>
      <c r="AB15" s="563"/>
      <c r="AC15" s="563"/>
      <c r="AD15" s="563"/>
      <c r="AE15" s="563"/>
      <c r="AF15" s="563"/>
      <c r="AG15" s="563"/>
      <c r="AH15" s="563"/>
      <c r="AI15" s="563"/>
      <c r="AJ15" s="563"/>
      <c r="AK15" s="563"/>
      <c r="AL15" s="563"/>
      <c r="AM15" s="563"/>
      <c r="AN15" s="563"/>
      <c r="AO15" s="563"/>
      <c r="AP15" s="563"/>
      <c r="AQ15" s="563"/>
      <c r="AR15" s="563"/>
      <c r="AS15" s="563"/>
      <c r="AT15" s="563"/>
      <c r="AU15" s="563"/>
    </row>
    <row r="16" spans="1:52" ht="18" customHeight="1">
      <c r="A16" s="563"/>
      <c r="B16" s="2310" t="s">
        <v>91</v>
      </c>
      <c r="C16" s="1924"/>
      <c r="D16" s="1924">
        <v>1</v>
      </c>
      <c r="E16" s="1924"/>
      <c r="F16" s="1924"/>
      <c r="G16" s="1924"/>
      <c r="H16" s="563"/>
      <c r="I16" s="563"/>
      <c r="J16" s="563"/>
      <c r="K16" s="563"/>
      <c r="L16" s="563"/>
      <c r="M16" s="563"/>
      <c r="N16" s="571"/>
      <c r="O16" s="568"/>
      <c r="P16" s="579"/>
      <c r="Q16" s="579"/>
      <c r="R16" s="579"/>
      <c r="S16" s="579"/>
      <c r="T16" s="568"/>
      <c r="U16" s="563"/>
      <c r="V16" s="563"/>
      <c r="W16" s="563"/>
      <c r="X16" s="563"/>
      <c r="Y16" s="563"/>
      <c r="Z16" s="563"/>
      <c r="AA16" s="563"/>
      <c r="AB16" s="563"/>
      <c r="AC16" s="563"/>
      <c r="AD16" s="563"/>
      <c r="AE16" s="563"/>
      <c r="AF16" s="563"/>
      <c r="AG16" s="563"/>
      <c r="AH16" s="563"/>
      <c r="AI16" s="563"/>
      <c r="AJ16" s="563"/>
      <c r="AK16" s="563"/>
      <c r="AL16" s="563"/>
      <c r="AM16" s="563"/>
      <c r="AN16" s="563"/>
      <c r="AO16" s="563"/>
      <c r="AP16" s="563"/>
      <c r="AQ16" s="563"/>
      <c r="AR16" s="563"/>
      <c r="AS16" s="563"/>
      <c r="AT16" s="563"/>
      <c r="AU16" s="563"/>
      <c r="AV16" s="563"/>
      <c r="AW16" s="563"/>
      <c r="AX16" s="563"/>
      <c r="AY16" s="563"/>
      <c r="AZ16" s="563"/>
    </row>
    <row r="17" spans="1:52" ht="18" customHeight="1">
      <c r="A17" s="563"/>
      <c r="B17" s="2310" t="s">
        <v>92</v>
      </c>
      <c r="C17" s="1924"/>
      <c r="D17" s="1924">
        <v>1</v>
      </c>
      <c r="E17" s="1924"/>
      <c r="F17" s="1924"/>
      <c r="G17" s="1924"/>
      <c r="H17" s="563"/>
      <c r="I17" s="563"/>
      <c r="J17" s="563"/>
      <c r="K17" s="563"/>
      <c r="L17" s="563"/>
      <c r="M17" s="563"/>
      <c r="N17" s="571"/>
      <c r="O17" s="568"/>
      <c r="P17" s="579"/>
      <c r="Q17" s="579"/>
      <c r="R17" s="579"/>
      <c r="S17" s="579"/>
      <c r="T17" s="568"/>
      <c r="U17" s="563"/>
      <c r="V17" s="563"/>
      <c r="W17" s="563"/>
      <c r="X17" s="563"/>
      <c r="Y17" s="563"/>
      <c r="Z17" s="563"/>
      <c r="AA17" s="563"/>
      <c r="AB17" s="563"/>
      <c r="AC17" s="563"/>
      <c r="AD17" s="563"/>
      <c r="AE17" s="563"/>
      <c r="AF17" s="563"/>
      <c r="AG17" s="563"/>
      <c r="AH17" s="563"/>
      <c r="AI17" s="563"/>
      <c r="AJ17" s="563"/>
      <c r="AK17" s="563"/>
      <c r="AL17" s="563"/>
      <c r="AM17" s="563"/>
      <c r="AN17" s="563"/>
      <c r="AO17" s="563"/>
      <c r="AP17" s="563"/>
      <c r="AQ17" s="563"/>
      <c r="AR17" s="563"/>
      <c r="AS17" s="563"/>
      <c r="AT17" s="563"/>
      <c r="AU17" s="563"/>
      <c r="AV17" s="563"/>
      <c r="AW17" s="563"/>
      <c r="AX17" s="563"/>
      <c r="AY17" s="563"/>
      <c r="AZ17" s="563"/>
    </row>
    <row r="18" spans="1:52" ht="18" customHeight="1">
      <c r="A18" s="563"/>
      <c r="B18" s="2310" t="s">
        <v>93</v>
      </c>
      <c r="C18" s="1924"/>
      <c r="D18" s="1924">
        <v>1</v>
      </c>
      <c r="E18" s="1924"/>
      <c r="F18" s="1924"/>
      <c r="G18" s="1924"/>
      <c r="H18" s="563"/>
      <c r="I18" s="563"/>
      <c r="J18" s="563"/>
      <c r="K18" s="563"/>
      <c r="L18" s="563"/>
      <c r="M18" s="563"/>
      <c r="N18" s="571"/>
      <c r="O18" s="568"/>
      <c r="P18" s="568"/>
      <c r="Q18" s="568"/>
      <c r="R18" s="568"/>
      <c r="S18" s="568"/>
      <c r="T18" s="568"/>
      <c r="U18" s="563"/>
      <c r="V18" s="563"/>
      <c r="W18" s="563"/>
      <c r="X18" s="563"/>
      <c r="Y18" s="563"/>
      <c r="Z18" s="563"/>
      <c r="AA18" s="563"/>
      <c r="AB18" s="563"/>
      <c r="AC18" s="563"/>
      <c r="AD18" s="563"/>
      <c r="AE18" s="563"/>
      <c r="AF18" s="563"/>
      <c r="AG18" s="563"/>
      <c r="AH18" s="563"/>
      <c r="AI18" s="563"/>
      <c r="AJ18" s="563"/>
      <c r="AK18" s="563"/>
      <c r="AL18" s="563"/>
      <c r="AM18" s="563"/>
      <c r="AN18" s="563"/>
      <c r="AO18" s="563"/>
      <c r="AP18" s="563"/>
      <c r="AQ18" s="563"/>
      <c r="AR18" s="563"/>
      <c r="AS18" s="563"/>
      <c r="AT18" s="563"/>
      <c r="AU18" s="563"/>
      <c r="AV18" s="563"/>
      <c r="AW18" s="563"/>
      <c r="AX18" s="563"/>
      <c r="AY18" s="563"/>
      <c r="AZ18" s="563"/>
    </row>
    <row r="19" spans="1:52" ht="18" customHeight="1">
      <c r="A19" s="563"/>
      <c r="B19" s="2310" t="s">
        <v>1478</v>
      </c>
      <c r="C19" s="1924"/>
      <c r="D19" s="1924">
        <v>1</v>
      </c>
      <c r="E19" s="1924"/>
      <c r="F19" s="1924"/>
      <c r="G19" s="1924"/>
      <c r="H19" s="563"/>
      <c r="I19" s="563"/>
      <c r="J19" s="563"/>
      <c r="K19" s="563"/>
      <c r="L19" s="563"/>
      <c r="M19" s="563"/>
      <c r="N19" s="571"/>
      <c r="O19" s="568"/>
      <c r="P19" s="568"/>
      <c r="Q19" s="568"/>
      <c r="R19" s="568"/>
      <c r="S19" s="568"/>
      <c r="T19" s="568"/>
      <c r="U19" s="563"/>
      <c r="V19" s="563"/>
      <c r="W19" s="563"/>
      <c r="X19" s="563"/>
      <c r="Y19" s="563"/>
      <c r="Z19" s="563"/>
      <c r="AA19" s="563"/>
      <c r="AB19" s="563"/>
      <c r="AC19" s="563"/>
      <c r="AD19" s="563"/>
      <c r="AE19" s="563"/>
      <c r="AF19" s="563"/>
      <c r="AG19" s="563"/>
      <c r="AH19" s="563"/>
      <c r="AI19" s="563"/>
      <c r="AJ19" s="563"/>
      <c r="AK19" s="563"/>
      <c r="AL19" s="563"/>
      <c r="AM19" s="563"/>
      <c r="AN19" s="563"/>
      <c r="AO19" s="563"/>
      <c r="AP19" s="563"/>
      <c r="AQ19" s="563"/>
      <c r="AR19" s="563"/>
      <c r="AS19" s="563"/>
      <c r="AT19" s="563"/>
      <c r="AU19" s="563"/>
      <c r="AV19" s="563"/>
      <c r="AW19" s="563"/>
      <c r="AX19" s="563"/>
      <c r="AY19" s="563"/>
      <c r="AZ19" s="563"/>
    </row>
    <row r="20" spans="1:52" ht="18" customHeight="1">
      <c r="A20" s="563"/>
      <c r="B20" s="2309" t="s">
        <v>1463</v>
      </c>
      <c r="C20" s="1923">
        <f>利润表!L10</f>
        <v>19.415506629999999</v>
      </c>
      <c r="D20" s="1923">
        <f>利润表!M10</f>
        <v>21.80349241</v>
      </c>
      <c r="E20" s="1923">
        <f>利润表!N10</f>
        <v>21.80349241</v>
      </c>
      <c r="F20" s="1923">
        <f>利润表!O10</f>
        <v>21.80349241</v>
      </c>
      <c r="G20" s="1923">
        <f>利润表!P10</f>
        <v>21.80349241</v>
      </c>
      <c r="H20" s="563"/>
      <c r="I20" s="563"/>
      <c r="J20" s="563"/>
      <c r="K20" s="563"/>
      <c r="L20" s="563"/>
      <c r="M20" s="563"/>
      <c r="N20" s="571"/>
      <c r="O20" s="568"/>
      <c r="P20" s="579"/>
      <c r="Q20" s="579"/>
      <c r="R20" s="579"/>
      <c r="S20" s="579"/>
      <c r="T20" s="568"/>
      <c r="U20" s="563"/>
      <c r="V20" s="563"/>
      <c r="W20" s="563"/>
      <c r="X20" s="563"/>
      <c r="Y20" s="563"/>
      <c r="Z20" s="563"/>
      <c r="AA20" s="563"/>
      <c r="AB20" s="563"/>
      <c r="AC20" s="563"/>
      <c r="AD20" s="563"/>
      <c r="AE20" s="563"/>
      <c r="AF20" s="563"/>
      <c r="AG20" s="563"/>
      <c r="AH20" s="563"/>
      <c r="AI20" s="563"/>
      <c r="AJ20" s="563"/>
      <c r="AK20" s="563"/>
      <c r="AL20" s="563"/>
      <c r="AM20" s="563"/>
      <c r="AN20" s="563"/>
      <c r="AO20" s="563"/>
      <c r="AP20" s="563"/>
      <c r="AQ20" s="563"/>
      <c r="AR20" s="563"/>
      <c r="AS20" s="563"/>
      <c r="AT20" s="563"/>
      <c r="AU20" s="563"/>
      <c r="AV20" s="563"/>
      <c r="AW20" s="563"/>
      <c r="AX20" s="563"/>
      <c r="AY20" s="563"/>
      <c r="AZ20" s="563"/>
    </row>
    <row r="21" spans="1:52" ht="18" customHeight="1">
      <c r="A21" s="563"/>
      <c r="B21" s="2309" t="s">
        <v>96</v>
      </c>
      <c r="C21" s="1923">
        <f>利润表!L11</f>
        <v>86.986311489999991</v>
      </c>
      <c r="D21" s="1923">
        <f>利润表!M11</f>
        <v>112.84909105</v>
      </c>
      <c r="E21" s="1923">
        <f>利润表!N11</f>
        <v>112.84909104999998</v>
      </c>
      <c r="F21" s="1923">
        <f>利润表!O11</f>
        <v>112.84909104999998</v>
      </c>
      <c r="G21" s="1923">
        <f>利润表!P11</f>
        <v>112.84909104999998</v>
      </c>
      <c r="H21" s="563"/>
      <c r="I21" s="563"/>
      <c r="J21" s="563"/>
      <c r="K21" s="563"/>
      <c r="L21" s="563"/>
      <c r="M21" s="563"/>
      <c r="N21" s="571"/>
      <c r="O21" s="568"/>
      <c r="P21" s="579"/>
      <c r="Q21" s="579"/>
      <c r="R21" s="579"/>
      <c r="S21" s="579"/>
      <c r="T21" s="568"/>
      <c r="U21" s="563"/>
      <c r="V21" s="563"/>
      <c r="W21" s="563"/>
      <c r="X21" s="563"/>
      <c r="Y21" s="563"/>
      <c r="Z21" s="563"/>
      <c r="AA21" s="563"/>
      <c r="AB21" s="563"/>
      <c r="AC21" s="563"/>
      <c r="AD21" s="563"/>
      <c r="AE21" s="563"/>
      <c r="AF21" s="563"/>
      <c r="AG21" s="563"/>
      <c r="AH21" s="563"/>
      <c r="AI21" s="563"/>
      <c r="AJ21" s="563"/>
      <c r="AK21" s="563"/>
      <c r="AL21" s="563"/>
      <c r="AM21" s="563"/>
      <c r="AN21" s="563"/>
      <c r="AO21" s="563"/>
      <c r="AP21" s="563"/>
      <c r="AQ21" s="563"/>
      <c r="AR21" s="563"/>
      <c r="AS21" s="563"/>
      <c r="AT21" s="563"/>
      <c r="AU21" s="563"/>
      <c r="AV21" s="563"/>
      <c r="AW21" s="563"/>
      <c r="AX21" s="563"/>
      <c r="AY21" s="563"/>
      <c r="AZ21" s="563"/>
    </row>
    <row r="22" spans="1:52" ht="18" customHeight="1">
      <c r="A22" s="563"/>
      <c r="B22" s="2309" t="s">
        <v>97</v>
      </c>
      <c r="C22" s="1923">
        <f>利润表!L12</f>
        <v>84.266100010000002</v>
      </c>
      <c r="D22" s="1923">
        <f>利润表!M12</f>
        <v>97.549293969999994</v>
      </c>
      <c r="E22" s="1923">
        <f>利润表!N12</f>
        <v>97.549293969999994</v>
      </c>
      <c r="F22" s="1923">
        <f>利润表!O12</f>
        <v>97.549293969999994</v>
      </c>
      <c r="G22" s="1923">
        <f>利润表!P12</f>
        <v>97.549293969999994</v>
      </c>
      <c r="H22" s="563"/>
      <c r="I22" s="563"/>
      <c r="J22" s="582"/>
      <c r="K22" s="582"/>
      <c r="L22" s="582"/>
      <c r="M22" s="582"/>
      <c r="N22" s="571"/>
      <c r="O22" s="568"/>
      <c r="P22" s="579"/>
      <c r="Q22" s="579"/>
      <c r="R22" s="579"/>
      <c r="S22" s="579"/>
      <c r="T22" s="568"/>
      <c r="U22" s="563"/>
      <c r="V22" s="563"/>
      <c r="W22" s="563"/>
      <c r="X22" s="563"/>
      <c r="Y22" s="563"/>
      <c r="Z22" s="563"/>
      <c r="AA22" s="563"/>
      <c r="AB22" s="563"/>
      <c r="AC22" s="563"/>
      <c r="AD22" s="563"/>
      <c r="AE22" s="563"/>
      <c r="AF22" s="563"/>
      <c r="AG22" s="563"/>
      <c r="AH22" s="563"/>
      <c r="AI22" s="563"/>
      <c r="AJ22" s="563"/>
      <c r="AK22" s="563"/>
      <c r="AL22" s="563"/>
      <c r="AM22" s="563"/>
      <c r="AN22" s="563"/>
      <c r="AO22" s="563"/>
      <c r="AP22" s="563"/>
      <c r="AQ22" s="563"/>
      <c r="AR22" s="563"/>
      <c r="AS22" s="563"/>
      <c r="AT22" s="563"/>
      <c r="AU22" s="563"/>
      <c r="AV22" s="563"/>
      <c r="AW22" s="563"/>
      <c r="AX22" s="563"/>
      <c r="AY22" s="563"/>
      <c r="AZ22" s="563"/>
    </row>
    <row r="23" spans="1:52" ht="18" customHeight="1">
      <c r="A23" s="563"/>
      <c r="B23" s="2309" t="s">
        <v>1464</v>
      </c>
      <c r="C23" s="1923">
        <f>利润表!L13</f>
        <v>179.47818361</v>
      </c>
      <c r="D23" s="1923">
        <f>利润表!M13</f>
        <v>202.87571151</v>
      </c>
      <c r="E23" s="1923">
        <f>利润表!N13</f>
        <v>202.87571151</v>
      </c>
      <c r="F23" s="1923">
        <f>利润表!O13</f>
        <v>202.87571151</v>
      </c>
      <c r="G23" s="1923">
        <f>利润表!P13</f>
        <v>202.87571151</v>
      </c>
      <c r="H23" s="563"/>
      <c r="I23" s="563"/>
      <c r="J23" s="582"/>
      <c r="K23" s="582"/>
      <c r="L23" s="582"/>
      <c r="M23" s="582"/>
      <c r="N23" s="571"/>
      <c r="O23" s="568"/>
      <c r="P23" s="579"/>
      <c r="Q23" s="579"/>
      <c r="R23" s="579"/>
      <c r="S23" s="579"/>
      <c r="T23" s="568"/>
      <c r="U23" s="563"/>
      <c r="V23" s="563"/>
      <c r="W23" s="563"/>
      <c r="X23" s="563"/>
      <c r="Y23" s="563"/>
      <c r="Z23" s="563"/>
      <c r="AA23" s="563"/>
      <c r="AB23" s="563"/>
      <c r="AC23" s="563"/>
      <c r="AD23" s="563"/>
      <c r="AE23" s="563"/>
      <c r="AF23" s="563"/>
      <c r="AG23" s="563"/>
      <c r="AH23" s="563"/>
      <c r="AI23" s="563"/>
      <c r="AJ23" s="563"/>
      <c r="AK23" s="563"/>
      <c r="AL23" s="563"/>
      <c r="AM23" s="563"/>
      <c r="AN23" s="563"/>
      <c r="AO23" s="563"/>
      <c r="AP23" s="563"/>
      <c r="AQ23" s="563"/>
      <c r="AR23" s="563"/>
      <c r="AS23" s="563"/>
      <c r="AT23" s="563"/>
      <c r="AU23" s="563"/>
      <c r="AV23" s="563"/>
      <c r="AW23" s="563"/>
      <c r="AX23" s="563"/>
      <c r="AY23" s="563"/>
      <c r="AZ23" s="563"/>
    </row>
    <row r="24" spans="1:52" ht="18" customHeight="1">
      <c r="A24" s="563"/>
      <c r="B24" s="2309" t="s">
        <v>98</v>
      </c>
      <c r="C24" s="1923">
        <f>利润表!L14</f>
        <v>-5.4848195300000002</v>
      </c>
      <c r="D24" s="1923">
        <f>利润表!M14</f>
        <v>-0.27753359999999999</v>
      </c>
      <c r="E24" s="1923">
        <f ca="1">利润表!N14</f>
        <v>2366.7043487452747</v>
      </c>
      <c r="F24" s="1923">
        <f ca="1">利润表!O14</f>
        <v>2613.7758206225985</v>
      </c>
      <c r="G24" s="1923">
        <f ca="1">利润表!P14</f>
        <v>2613.7758206225985</v>
      </c>
      <c r="H24" s="563"/>
      <c r="I24" s="580" t="str">
        <f>D5&amp;"年成本结构"</f>
        <v>2019年成本结构</v>
      </c>
      <c r="J24" s="563"/>
      <c r="K24" s="563"/>
      <c r="L24" s="563"/>
      <c r="M24" s="563"/>
      <c r="N24" s="567"/>
      <c r="O24" s="568"/>
      <c r="P24" s="579"/>
      <c r="Q24" s="579"/>
      <c r="R24" s="579"/>
      <c r="S24" s="579"/>
      <c r="T24" s="568"/>
      <c r="U24" s="563"/>
      <c r="V24" s="563"/>
      <c r="W24" s="563"/>
      <c r="X24" s="563"/>
      <c r="Y24" s="563"/>
      <c r="Z24" s="563"/>
      <c r="AA24" s="563"/>
      <c r="AB24" s="563"/>
      <c r="AC24" s="563"/>
      <c r="AD24" s="563"/>
      <c r="AE24" s="563"/>
      <c r="AF24" s="563"/>
      <c r="AG24" s="563"/>
      <c r="AH24" s="563"/>
      <c r="AI24" s="563"/>
      <c r="AJ24" s="563"/>
      <c r="AK24" s="563"/>
      <c r="AL24" s="563"/>
      <c r="AM24" s="563"/>
      <c r="AN24" s="563"/>
      <c r="AO24" s="563"/>
      <c r="AP24" s="563"/>
      <c r="AQ24" s="563"/>
      <c r="AR24" s="563"/>
      <c r="AS24" s="563"/>
      <c r="AT24" s="563"/>
      <c r="AU24" s="563"/>
      <c r="AV24" s="563"/>
      <c r="AW24" s="563"/>
      <c r="AX24" s="563"/>
      <c r="AY24" s="563"/>
      <c r="AZ24" s="563"/>
    </row>
    <row r="25" spans="1:52" ht="18" customHeight="1">
      <c r="A25" s="563"/>
      <c r="B25" s="2309" t="s">
        <v>1295</v>
      </c>
      <c r="C25" s="1923">
        <f>利润表!L15</f>
        <v>319.01791910000003</v>
      </c>
      <c r="D25" s="1923">
        <f>利润表!M15</f>
        <v>30.198438449999998</v>
      </c>
      <c r="E25" s="1923">
        <f>利润表!N15</f>
        <v>30.198438449999998</v>
      </c>
      <c r="F25" s="1923">
        <f>利润表!O15</f>
        <v>30.198438449999998</v>
      </c>
      <c r="G25" s="1923">
        <f>利润表!P15</f>
        <v>30.198438449999998</v>
      </c>
      <c r="H25" s="563"/>
      <c r="I25" s="563"/>
      <c r="J25" s="563"/>
      <c r="K25" s="563"/>
      <c r="L25" s="563"/>
      <c r="M25" s="563"/>
      <c r="N25" s="567"/>
      <c r="O25" s="568"/>
      <c r="P25" s="568"/>
      <c r="Q25" s="568"/>
      <c r="R25" s="568"/>
      <c r="S25" s="568"/>
      <c r="T25" s="568"/>
      <c r="U25" s="563"/>
      <c r="V25" s="563"/>
      <c r="W25" s="563"/>
      <c r="X25" s="563"/>
      <c r="Y25" s="563"/>
      <c r="Z25" s="563"/>
      <c r="AA25" s="563"/>
      <c r="AB25" s="563"/>
      <c r="AC25" s="563"/>
      <c r="AD25" s="563"/>
      <c r="AE25" s="563"/>
      <c r="AF25" s="563"/>
      <c r="AG25" s="563"/>
      <c r="AH25" s="563"/>
      <c r="AI25" s="563"/>
      <c r="AJ25" s="563"/>
      <c r="AK25" s="563"/>
      <c r="AL25" s="563"/>
      <c r="AM25" s="563"/>
      <c r="AN25" s="563"/>
      <c r="AO25" s="563"/>
      <c r="AP25" s="563"/>
      <c r="AQ25" s="563"/>
      <c r="AR25" s="563"/>
      <c r="AS25" s="563"/>
      <c r="AT25" s="563"/>
      <c r="AU25" s="563"/>
      <c r="AV25" s="563"/>
      <c r="AW25" s="563"/>
      <c r="AX25" s="563"/>
      <c r="AY25" s="563"/>
      <c r="AZ25" s="563"/>
    </row>
    <row r="26" spans="1:52" ht="18" customHeight="1">
      <c r="A26" s="563"/>
      <c r="B26" s="2309" t="s">
        <v>100</v>
      </c>
      <c r="C26" s="1923">
        <f>利润表!L16</f>
        <v>61.685950349999999</v>
      </c>
      <c r="D26" s="1923">
        <f>利润表!M16</f>
        <v>26.918021679999999</v>
      </c>
      <c r="E26" s="1923">
        <f>利润表!N16</f>
        <v>26.918021679999999</v>
      </c>
      <c r="F26" s="1923">
        <f>利润表!O16</f>
        <v>26.918021679999999</v>
      </c>
      <c r="G26" s="1923">
        <f>利润表!P16</f>
        <v>26.918021679999999</v>
      </c>
      <c r="H26" s="563"/>
      <c r="I26" s="563"/>
      <c r="J26" s="563"/>
      <c r="K26" s="563"/>
      <c r="L26" s="563"/>
      <c r="M26" s="563"/>
      <c r="N26" s="567"/>
      <c r="O26" s="568"/>
      <c r="P26" s="568"/>
      <c r="Q26" s="568"/>
      <c r="R26" s="568"/>
      <c r="S26" s="568"/>
      <c r="T26" s="568"/>
      <c r="U26" s="563"/>
      <c r="V26" s="563"/>
      <c r="W26" s="563"/>
      <c r="X26" s="563"/>
      <c r="Y26" s="563"/>
      <c r="Z26" s="563"/>
      <c r="AA26" s="563"/>
      <c r="AB26" s="563"/>
      <c r="AC26" s="563"/>
      <c r="AD26" s="563"/>
      <c r="AE26" s="563"/>
      <c r="AF26" s="563"/>
      <c r="AG26" s="563"/>
      <c r="AH26" s="563"/>
      <c r="AI26" s="563"/>
      <c r="AJ26" s="563"/>
      <c r="AK26" s="563"/>
      <c r="AL26" s="563"/>
      <c r="AM26" s="563"/>
      <c r="AN26" s="563"/>
      <c r="AO26" s="563"/>
      <c r="AP26" s="563"/>
      <c r="AQ26" s="563"/>
      <c r="AR26" s="563"/>
      <c r="AS26" s="563"/>
      <c r="AT26" s="563"/>
      <c r="AU26" s="563"/>
      <c r="AV26" s="563"/>
      <c r="AW26" s="563"/>
      <c r="AX26" s="563"/>
      <c r="AY26" s="563"/>
      <c r="AZ26" s="563"/>
    </row>
    <row r="27" spans="1:52" ht="18" customHeight="1">
      <c r="A27" s="563"/>
      <c r="B27" s="2309" t="s">
        <v>1457</v>
      </c>
      <c r="C27" s="1923">
        <f>利润表!L17</f>
        <v>0</v>
      </c>
      <c r="D27" s="1923">
        <f>利润表!M17</f>
        <v>0</v>
      </c>
      <c r="E27" s="1923">
        <f>利润表!N17</f>
        <v>0</v>
      </c>
      <c r="F27" s="1923">
        <f>利润表!O17</f>
        <v>0</v>
      </c>
      <c r="G27" s="1923">
        <f>利润表!P17</f>
        <v>0</v>
      </c>
      <c r="H27" s="563"/>
      <c r="I27" s="563"/>
      <c r="J27" s="563"/>
      <c r="K27" s="563"/>
      <c r="L27" s="563"/>
      <c r="M27" s="563"/>
      <c r="N27" s="567"/>
      <c r="O27" s="568"/>
      <c r="P27" s="568"/>
      <c r="Q27" s="568"/>
      <c r="R27" s="568"/>
      <c r="S27" s="568"/>
      <c r="T27" s="568"/>
      <c r="U27" s="563"/>
      <c r="V27" s="563"/>
      <c r="W27" s="563"/>
      <c r="X27" s="563"/>
      <c r="Y27" s="563"/>
      <c r="Z27" s="563"/>
      <c r="AA27" s="563"/>
      <c r="AB27" s="563"/>
      <c r="AC27" s="563"/>
      <c r="AD27" s="563"/>
      <c r="AE27" s="563"/>
      <c r="AF27" s="563"/>
      <c r="AG27" s="563"/>
      <c r="AH27" s="563"/>
      <c r="AI27" s="563"/>
      <c r="AJ27" s="563"/>
      <c r="AK27" s="563"/>
      <c r="AL27" s="563"/>
      <c r="AM27" s="563"/>
      <c r="AN27" s="563"/>
      <c r="AO27" s="563"/>
      <c r="AP27" s="563"/>
      <c r="AQ27" s="563"/>
      <c r="AR27" s="563"/>
      <c r="AS27" s="563"/>
      <c r="AT27" s="563"/>
      <c r="AU27" s="563"/>
      <c r="AV27" s="563"/>
      <c r="AW27" s="563"/>
      <c r="AX27" s="563"/>
      <c r="AY27" s="563"/>
      <c r="AZ27" s="563"/>
    </row>
    <row r="28" spans="1:52" ht="18" customHeight="1">
      <c r="A28" s="563"/>
      <c r="B28" s="2309" t="s">
        <v>1479</v>
      </c>
      <c r="C28" s="1923">
        <f>利润表!L18</f>
        <v>-0.26352584000000001</v>
      </c>
      <c r="D28" s="1923">
        <f>利润表!M18</f>
        <v>-0.30307613999999999</v>
      </c>
      <c r="E28" s="1923">
        <f>利润表!N18</f>
        <v>0</v>
      </c>
      <c r="F28" s="1923">
        <f>利润表!O18</f>
        <v>0</v>
      </c>
      <c r="G28" s="1923">
        <f>利润表!P18</f>
        <v>0</v>
      </c>
      <c r="H28" s="563"/>
      <c r="I28" s="563"/>
      <c r="J28" s="563"/>
      <c r="K28" s="563"/>
      <c r="L28" s="563"/>
      <c r="M28" s="563"/>
      <c r="N28" s="567"/>
      <c r="O28" s="568"/>
      <c r="P28" s="568"/>
      <c r="Q28" s="568"/>
      <c r="R28" s="568"/>
      <c r="S28" s="568"/>
      <c r="T28" s="568"/>
      <c r="U28" s="563"/>
      <c r="V28" s="563"/>
      <c r="W28" s="563"/>
      <c r="X28" s="563"/>
      <c r="Y28" s="563"/>
      <c r="Z28" s="563"/>
      <c r="AA28" s="563"/>
      <c r="AB28" s="563"/>
      <c r="AC28" s="563"/>
      <c r="AD28" s="563"/>
      <c r="AE28" s="563"/>
      <c r="AF28" s="563"/>
      <c r="AG28" s="563"/>
      <c r="AH28" s="563"/>
      <c r="AI28" s="563"/>
      <c r="AJ28" s="563"/>
      <c r="AK28" s="563"/>
      <c r="AL28" s="563"/>
      <c r="AM28" s="563"/>
      <c r="AN28" s="563"/>
      <c r="AO28" s="563"/>
      <c r="AP28" s="563"/>
      <c r="AQ28" s="563"/>
      <c r="AR28" s="563"/>
      <c r="AS28" s="563"/>
      <c r="AT28" s="563"/>
      <c r="AU28" s="563"/>
      <c r="AV28" s="563"/>
      <c r="AW28" s="563"/>
      <c r="AX28" s="563"/>
      <c r="AY28" s="563"/>
      <c r="AZ28" s="563"/>
    </row>
    <row r="29" spans="1:52" ht="18" customHeight="1">
      <c r="A29" s="563"/>
      <c r="B29" s="2309" t="s">
        <v>1456</v>
      </c>
      <c r="C29" s="1923">
        <f>利润表!L19</f>
        <v>0</v>
      </c>
      <c r="D29" s="1923">
        <f>利润表!M19</f>
        <v>111.36973515000001</v>
      </c>
      <c r="E29" s="1923">
        <f>利润表!N19</f>
        <v>0</v>
      </c>
      <c r="F29" s="1923">
        <f>利润表!O19</f>
        <v>0</v>
      </c>
      <c r="G29" s="1923">
        <f>利润表!P19</f>
        <v>0</v>
      </c>
      <c r="H29" s="563"/>
      <c r="I29" s="563"/>
      <c r="J29" s="563"/>
      <c r="K29" s="563"/>
      <c r="L29" s="563"/>
      <c r="M29" s="563"/>
      <c r="N29" s="567"/>
      <c r="O29" s="568"/>
      <c r="P29" s="568"/>
      <c r="Q29" s="568"/>
      <c r="R29" s="568"/>
      <c r="S29" s="568"/>
      <c r="T29" s="568"/>
      <c r="U29" s="563"/>
      <c r="V29" s="563"/>
      <c r="W29" s="563"/>
      <c r="X29" s="563"/>
      <c r="Y29" s="563"/>
      <c r="Z29" s="563"/>
      <c r="AA29" s="563"/>
      <c r="AB29" s="563"/>
      <c r="AC29" s="563"/>
      <c r="AD29" s="563"/>
      <c r="AE29" s="563"/>
      <c r="AF29" s="563"/>
      <c r="AG29" s="563"/>
      <c r="AH29" s="563"/>
      <c r="AI29" s="563"/>
      <c r="AJ29" s="563"/>
      <c r="AK29" s="563"/>
      <c r="AL29" s="563"/>
      <c r="AM29" s="563"/>
      <c r="AN29" s="563"/>
      <c r="AO29" s="563"/>
      <c r="AP29" s="563"/>
      <c r="AQ29" s="563"/>
      <c r="AR29" s="563"/>
      <c r="AS29" s="563"/>
      <c r="AT29" s="563"/>
      <c r="AU29" s="563"/>
      <c r="AV29" s="563"/>
      <c r="AW29" s="563"/>
      <c r="AX29" s="563"/>
      <c r="AY29" s="563"/>
      <c r="AZ29" s="563"/>
    </row>
    <row r="30" spans="1:52" ht="18" customHeight="1">
      <c r="A30" s="563"/>
      <c r="B30" s="2309" t="s">
        <v>99</v>
      </c>
      <c r="C30" s="1923">
        <f>利润表!L20</f>
        <v>-103.31049887</v>
      </c>
      <c r="D30" s="1923">
        <f>利润表!M20</f>
        <v>-4.6279200500000002</v>
      </c>
      <c r="E30" s="1923">
        <f>利润表!N20</f>
        <v>0</v>
      </c>
      <c r="F30" s="1923">
        <f>利润表!O20</f>
        <v>0</v>
      </c>
      <c r="G30" s="1923">
        <f>利润表!P20</f>
        <v>0</v>
      </c>
      <c r="H30" s="563"/>
      <c r="I30" s="563"/>
      <c r="J30" s="563"/>
      <c r="K30" s="563"/>
      <c r="L30" s="563"/>
      <c r="M30" s="563"/>
      <c r="N30" s="567"/>
      <c r="O30" s="568"/>
      <c r="P30" s="568"/>
      <c r="Q30" s="568"/>
      <c r="R30" s="568"/>
      <c r="S30" s="568"/>
      <c r="T30" s="568"/>
      <c r="U30" s="563"/>
      <c r="V30" s="563"/>
      <c r="W30" s="563"/>
      <c r="X30" s="563"/>
      <c r="Y30" s="563"/>
      <c r="Z30" s="563"/>
      <c r="AA30" s="563"/>
      <c r="AB30" s="563"/>
      <c r="AC30" s="563"/>
      <c r="AD30" s="563"/>
      <c r="AE30" s="563"/>
      <c r="AF30" s="563"/>
      <c r="AG30" s="563"/>
      <c r="AH30" s="563"/>
      <c r="AI30" s="563"/>
      <c r="AJ30" s="563"/>
      <c r="AK30" s="563"/>
      <c r="AL30" s="563"/>
      <c r="AM30" s="563"/>
      <c r="AN30" s="563"/>
      <c r="AO30" s="563"/>
      <c r="AP30" s="563"/>
      <c r="AQ30" s="563"/>
      <c r="AR30" s="563"/>
      <c r="AS30" s="563"/>
      <c r="AT30" s="563"/>
      <c r="AU30" s="563"/>
      <c r="AV30" s="563"/>
      <c r="AW30" s="563"/>
      <c r="AX30" s="563"/>
      <c r="AY30" s="563"/>
      <c r="AZ30" s="563"/>
    </row>
    <row r="31" spans="1:52" ht="18" customHeight="1">
      <c r="A31" s="563"/>
      <c r="B31" s="2309" t="s">
        <v>1202</v>
      </c>
      <c r="C31" s="1923">
        <f>利润表!L21</f>
        <v>-4.7505499999999999E-2</v>
      </c>
      <c r="D31" s="1923">
        <f>利润表!M21</f>
        <v>66.626262619999991</v>
      </c>
      <c r="E31" s="1923">
        <f>利润表!N21</f>
        <v>66.626262619999991</v>
      </c>
      <c r="F31" s="1923">
        <f>利润表!O21</f>
        <v>66.626262619999991</v>
      </c>
      <c r="G31" s="1923">
        <f>利润表!P21</f>
        <v>66.626262619999991</v>
      </c>
      <c r="H31" s="563"/>
      <c r="I31" s="563"/>
      <c r="J31" s="563"/>
      <c r="K31" s="563"/>
      <c r="L31" s="563"/>
      <c r="M31" s="563"/>
      <c r="N31" s="567"/>
      <c r="O31" s="568"/>
      <c r="P31" s="568"/>
      <c r="Q31" s="568"/>
      <c r="R31" s="568"/>
      <c r="S31" s="568"/>
      <c r="T31" s="568"/>
      <c r="U31" s="563"/>
      <c r="V31" s="563"/>
      <c r="W31" s="563"/>
      <c r="X31" s="563"/>
      <c r="Y31" s="563"/>
      <c r="Z31" s="563"/>
      <c r="AA31" s="563"/>
      <c r="AB31" s="563"/>
      <c r="AC31" s="563"/>
      <c r="AD31" s="563"/>
      <c r="AE31" s="563"/>
      <c r="AF31" s="563"/>
      <c r="AG31" s="563"/>
      <c r="AH31" s="563"/>
      <c r="AI31" s="563"/>
      <c r="AJ31" s="563"/>
      <c r="AK31" s="563"/>
      <c r="AL31" s="563"/>
      <c r="AM31" s="563"/>
      <c r="AN31" s="563"/>
      <c r="AO31" s="563"/>
      <c r="AP31" s="563"/>
      <c r="AQ31" s="563"/>
      <c r="AR31" s="563"/>
      <c r="AS31" s="563"/>
      <c r="AT31" s="563"/>
      <c r="AU31" s="563"/>
      <c r="AV31" s="563"/>
      <c r="AW31" s="563"/>
      <c r="AX31" s="563"/>
      <c r="AY31" s="563"/>
      <c r="AZ31" s="563"/>
    </row>
    <row r="32" spans="1:52" ht="18" customHeight="1">
      <c r="A32" s="563"/>
      <c r="B32" s="2309" t="s">
        <v>101</v>
      </c>
      <c r="C32" s="1923">
        <f>利润表!L23</f>
        <v>858.36991367999997</v>
      </c>
      <c r="D32" s="1923">
        <f>利润表!M23</f>
        <v>1094.2622257099999</v>
      </c>
      <c r="E32" s="1923">
        <f ca="1">利润表!N23</f>
        <v>-1382.242562561677</v>
      </c>
      <c r="F32" s="1923">
        <f ca="1">利润表!O23</f>
        <v>-1642.0798715380527</v>
      </c>
      <c r="G32" s="1923">
        <f ca="1">利润表!P23</f>
        <v>-1632.541257816551</v>
      </c>
      <c r="H32" s="563"/>
      <c r="I32" s="563"/>
      <c r="J32" s="563"/>
      <c r="K32" s="563"/>
      <c r="L32" s="563"/>
      <c r="M32" s="563"/>
      <c r="N32" s="567"/>
      <c r="O32" s="568"/>
      <c r="P32" s="568"/>
      <c r="Q32" s="568"/>
      <c r="R32" s="568"/>
      <c r="S32" s="568"/>
      <c r="T32" s="568"/>
      <c r="U32" s="563"/>
      <c r="V32" s="563"/>
      <c r="W32" s="563"/>
      <c r="X32" s="563"/>
      <c r="Y32" s="563"/>
      <c r="Z32" s="563"/>
      <c r="AA32" s="563"/>
      <c r="AB32" s="563"/>
      <c r="AC32" s="563"/>
      <c r="AD32" s="563"/>
      <c r="AE32" s="563"/>
      <c r="AF32" s="563"/>
      <c r="AG32" s="563"/>
      <c r="AH32" s="563"/>
      <c r="AI32" s="563"/>
      <c r="AJ32" s="563"/>
      <c r="AK32" s="563"/>
      <c r="AL32" s="563"/>
      <c r="AM32" s="563"/>
      <c r="AN32" s="563"/>
      <c r="AO32" s="563"/>
      <c r="AP32" s="563"/>
      <c r="AQ32" s="563"/>
      <c r="AR32" s="563"/>
      <c r="AS32" s="563"/>
      <c r="AT32" s="563"/>
      <c r="AU32" s="563"/>
      <c r="AV32" s="563"/>
      <c r="AW32" s="563"/>
      <c r="AX32" s="563"/>
      <c r="AY32" s="563"/>
      <c r="AZ32" s="563"/>
    </row>
    <row r="33" spans="1:52" ht="18" customHeight="1">
      <c r="A33" s="563"/>
      <c r="B33" s="2309" t="s">
        <v>102</v>
      </c>
      <c r="C33" s="1923">
        <f>利润表!L24-利润表!L25</f>
        <v>-2.6096688399999999</v>
      </c>
      <c r="D33" s="1923">
        <f>利润表!M24-利润表!M25</f>
        <v>-1.9688750099999996</v>
      </c>
      <c r="E33" s="1923">
        <f>利润表!N24-利润表!N25</f>
        <v>0</v>
      </c>
      <c r="F33" s="1923">
        <f>利润表!O24-利润表!O25</f>
        <v>0</v>
      </c>
      <c r="G33" s="1923">
        <f>利润表!P24-利润表!P25</f>
        <v>0</v>
      </c>
      <c r="H33" s="563"/>
      <c r="I33" s="582"/>
      <c r="J33" s="582"/>
      <c r="K33" s="582"/>
      <c r="L33" s="582"/>
      <c r="M33" s="582"/>
      <c r="N33" s="571"/>
      <c r="O33" s="568"/>
      <c r="P33" s="568"/>
      <c r="Q33" s="568"/>
      <c r="R33" s="568"/>
      <c r="S33" s="568"/>
      <c r="T33" s="568"/>
      <c r="U33" s="563"/>
      <c r="V33" s="563"/>
      <c r="W33" s="563"/>
      <c r="X33" s="563"/>
      <c r="Y33" s="563"/>
      <c r="Z33" s="563"/>
      <c r="AA33" s="563"/>
      <c r="AB33" s="563"/>
      <c r="AC33" s="563"/>
      <c r="AD33" s="563"/>
      <c r="AE33" s="563"/>
      <c r="AF33" s="563"/>
      <c r="AG33" s="563"/>
      <c r="AH33" s="563"/>
      <c r="AI33" s="563"/>
      <c r="AJ33" s="563"/>
      <c r="AK33" s="563"/>
      <c r="AL33" s="563"/>
      <c r="AM33" s="563"/>
      <c r="AN33" s="563"/>
      <c r="AO33" s="563"/>
      <c r="AP33" s="563"/>
      <c r="AQ33" s="563"/>
      <c r="AR33" s="563"/>
      <c r="AS33" s="563"/>
      <c r="AT33" s="563"/>
      <c r="AU33" s="563"/>
      <c r="AV33" s="563"/>
      <c r="AW33" s="563"/>
      <c r="AX33" s="563"/>
      <c r="AY33" s="563"/>
      <c r="AZ33" s="563"/>
    </row>
    <row r="34" spans="1:52" ht="18" customHeight="1">
      <c r="A34" s="563"/>
      <c r="B34" s="2309" t="s">
        <v>103</v>
      </c>
      <c r="C34" s="1923">
        <f>利润表!L26</f>
        <v>855.76024484000004</v>
      </c>
      <c r="D34" s="1923">
        <f>利润表!M26</f>
        <v>1092.2933507</v>
      </c>
      <c r="E34" s="1923">
        <f ca="1">利润表!N26</f>
        <v>-1382.242562561677</v>
      </c>
      <c r="F34" s="1923">
        <f ca="1">利润表!O26</f>
        <v>-1642.0798715380527</v>
      </c>
      <c r="G34" s="1923">
        <f ca="1">利润表!P26</f>
        <v>-1632.541257816551</v>
      </c>
      <c r="H34" s="563"/>
      <c r="I34" s="589"/>
      <c r="J34" s="590"/>
      <c r="K34" s="590"/>
      <c r="L34" s="590"/>
      <c r="M34" s="590"/>
      <c r="N34" s="571"/>
      <c r="O34" s="568"/>
      <c r="P34" s="568"/>
      <c r="Q34" s="568"/>
      <c r="R34" s="568"/>
      <c r="S34" s="568"/>
      <c r="T34" s="568"/>
      <c r="U34" s="563"/>
      <c r="V34" s="563"/>
      <c r="W34" s="563"/>
      <c r="X34" s="563"/>
      <c r="Y34" s="563"/>
      <c r="Z34" s="563"/>
      <c r="AA34" s="563"/>
      <c r="AB34" s="563"/>
      <c r="AC34" s="563"/>
      <c r="AD34" s="563"/>
      <c r="AE34" s="563"/>
      <c r="AF34" s="563"/>
      <c r="AG34" s="563"/>
      <c r="AH34" s="563"/>
      <c r="AI34" s="563"/>
      <c r="AJ34" s="563"/>
      <c r="AK34" s="563"/>
      <c r="AL34" s="563"/>
      <c r="AM34" s="563"/>
      <c r="AN34" s="563"/>
      <c r="AO34" s="563"/>
      <c r="AP34" s="563"/>
      <c r="AQ34" s="563"/>
      <c r="AR34" s="563"/>
      <c r="AS34" s="563"/>
      <c r="AT34" s="563"/>
      <c r="AU34" s="563"/>
      <c r="AV34" s="563"/>
      <c r="AW34" s="563"/>
      <c r="AX34" s="563"/>
      <c r="AY34" s="563"/>
      <c r="AZ34" s="563"/>
    </row>
    <row r="35" spans="1:52" ht="18" customHeight="1">
      <c r="A35" s="563"/>
      <c r="B35" s="2309" t="s">
        <v>104</v>
      </c>
      <c r="C35" s="1923">
        <f>利润表!L27</f>
        <v>105.70510836</v>
      </c>
      <c r="D35" s="1923">
        <f>利润表!M27</f>
        <v>137.25753891999997</v>
      </c>
      <c r="E35" s="1923">
        <f ca="1">利润表!N27</f>
        <v>0</v>
      </c>
      <c r="F35" s="1923">
        <f ca="1">利润表!O27</f>
        <v>0</v>
      </c>
      <c r="G35" s="1923">
        <f ca="1">利润表!P27</f>
        <v>0</v>
      </c>
      <c r="H35" s="563"/>
      <c r="I35" s="563"/>
      <c r="J35" s="563"/>
      <c r="K35" s="590"/>
      <c r="L35" s="590"/>
      <c r="M35" s="590"/>
      <c r="N35" s="571"/>
      <c r="O35" s="568"/>
      <c r="P35" s="568"/>
      <c r="Q35" s="568"/>
      <c r="R35" s="568"/>
      <c r="S35" s="568"/>
      <c r="T35" s="568"/>
      <c r="U35" s="563"/>
      <c r="V35" s="563"/>
      <c r="W35" s="563"/>
      <c r="X35" s="563"/>
      <c r="Y35" s="563"/>
      <c r="Z35" s="563"/>
      <c r="AA35" s="563"/>
      <c r="AB35" s="563"/>
      <c r="AC35" s="563"/>
      <c r="AD35" s="563"/>
      <c r="AE35" s="563"/>
      <c r="AF35" s="563"/>
      <c r="AG35" s="563"/>
      <c r="AH35" s="563"/>
      <c r="AI35" s="563"/>
      <c r="AJ35" s="563"/>
      <c r="AK35" s="563"/>
      <c r="AL35" s="563"/>
      <c r="AM35" s="563"/>
      <c r="AN35" s="563"/>
      <c r="AO35" s="563"/>
      <c r="AP35" s="563"/>
      <c r="AQ35" s="563"/>
      <c r="AR35" s="563"/>
      <c r="AS35" s="563"/>
      <c r="AT35" s="563"/>
      <c r="AU35" s="563"/>
      <c r="AV35" s="563"/>
      <c r="AW35" s="563"/>
      <c r="AX35" s="563"/>
      <c r="AY35" s="563"/>
      <c r="AZ35" s="563"/>
    </row>
    <row r="36" spans="1:52" ht="18" customHeight="1">
      <c r="A36" s="563"/>
      <c r="B36" s="2309" t="s">
        <v>105</v>
      </c>
      <c r="C36" s="1923">
        <f>利润表!L28</f>
        <v>750.05513647999999</v>
      </c>
      <c r="D36" s="1923">
        <f>利润表!M28</f>
        <v>955.03581178000002</v>
      </c>
      <c r="E36" s="1923">
        <f ca="1">利润表!N28</f>
        <v>-1382.242562561677</v>
      </c>
      <c r="F36" s="1923">
        <f ca="1">利润表!O28</f>
        <v>-1642.0798715380527</v>
      </c>
      <c r="G36" s="1923">
        <f ca="1">利润表!P28</f>
        <v>-1632.541257816551</v>
      </c>
      <c r="H36" s="563"/>
      <c r="I36" s="563"/>
      <c r="J36" s="563"/>
      <c r="K36" s="590"/>
      <c r="L36" s="590"/>
      <c r="M36" s="590"/>
      <c r="N36" s="571"/>
      <c r="O36" s="568"/>
      <c r="P36" s="568"/>
      <c r="Q36" s="568"/>
      <c r="R36" s="568"/>
      <c r="S36" s="568"/>
      <c r="T36" s="568"/>
      <c r="U36" s="563"/>
      <c r="V36" s="563"/>
      <c r="W36" s="563"/>
      <c r="X36" s="563"/>
      <c r="Y36" s="563"/>
      <c r="Z36" s="563"/>
      <c r="AA36" s="563"/>
      <c r="AB36" s="563"/>
      <c r="AC36" s="563"/>
      <c r="AD36" s="563"/>
      <c r="AE36" s="563"/>
      <c r="AF36" s="563"/>
      <c r="AG36" s="563"/>
      <c r="AH36" s="563"/>
      <c r="AI36" s="563"/>
      <c r="AJ36" s="563"/>
      <c r="AK36" s="563"/>
      <c r="AL36" s="563"/>
      <c r="AM36" s="563"/>
      <c r="AN36" s="563"/>
      <c r="AO36" s="563"/>
      <c r="AP36" s="563"/>
      <c r="AQ36" s="563"/>
      <c r="AR36" s="563"/>
      <c r="AS36" s="563"/>
      <c r="AT36" s="563"/>
      <c r="AU36" s="563"/>
      <c r="AV36" s="563"/>
      <c r="AW36" s="563"/>
      <c r="AX36" s="563"/>
      <c r="AY36" s="563"/>
      <c r="AZ36" s="563"/>
    </row>
    <row r="37" spans="1:52" ht="18" customHeight="1">
      <c r="A37" s="563"/>
      <c r="B37" s="2309" t="s">
        <v>1465</v>
      </c>
      <c r="C37" s="1923">
        <f>利润表!L31</f>
        <v>-1.20235479</v>
      </c>
      <c r="D37" s="1923">
        <f>利润表!M31</f>
        <v>-2.0269835299999999</v>
      </c>
      <c r="E37" s="1923">
        <f ca="1">利润表!N31</f>
        <v>2.9336940816444761</v>
      </c>
      <c r="F37" s="1923">
        <f ca="1">利润表!O31</f>
        <v>3.4851770095914341</v>
      </c>
      <c r="G37" s="1923">
        <f ca="1">利润表!P31</f>
        <v>3.4649321007890301</v>
      </c>
      <c r="H37" s="563"/>
      <c r="I37" s="563"/>
      <c r="J37" s="563"/>
      <c r="K37" s="590"/>
      <c r="L37" s="590"/>
      <c r="M37" s="590"/>
      <c r="N37" s="571"/>
      <c r="O37" s="583"/>
      <c r="P37" s="578"/>
      <c r="Q37" s="578"/>
      <c r="R37" s="578"/>
      <c r="S37" s="578"/>
      <c r="T37" s="578"/>
      <c r="U37" s="563"/>
      <c r="V37" s="563"/>
      <c r="W37" s="563"/>
      <c r="X37" s="563"/>
      <c r="Y37" s="563"/>
      <c r="Z37" s="563"/>
      <c r="AA37" s="563"/>
      <c r="AB37" s="563"/>
      <c r="AC37" s="563"/>
      <c r="AD37" s="563"/>
      <c r="AE37" s="563"/>
      <c r="AF37" s="563"/>
      <c r="AG37" s="563"/>
      <c r="AH37" s="563"/>
      <c r="AI37" s="563"/>
      <c r="AJ37" s="563"/>
      <c r="AK37" s="563"/>
      <c r="AL37" s="563"/>
      <c r="AM37" s="563"/>
      <c r="AN37" s="563"/>
      <c r="AO37" s="563"/>
      <c r="AP37" s="563"/>
      <c r="AQ37" s="563"/>
      <c r="AR37" s="563"/>
      <c r="AS37" s="563"/>
      <c r="AT37" s="563"/>
      <c r="AU37" s="563"/>
      <c r="AV37" s="563"/>
      <c r="AW37" s="563"/>
      <c r="AX37" s="563"/>
      <c r="AY37" s="563"/>
      <c r="AZ37" s="563"/>
    </row>
    <row r="38" spans="1:52" ht="18" customHeight="1" thickBot="1">
      <c r="A38" s="563"/>
      <c r="B38" s="2309" t="s">
        <v>106</v>
      </c>
      <c r="C38" s="1925">
        <f>利润表!L32</f>
        <v>751.25749126999995</v>
      </c>
      <c r="D38" s="1925">
        <f>利润表!M32</f>
        <v>957.06279530999996</v>
      </c>
      <c r="E38" s="1925">
        <f ca="1">利润表!N32</f>
        <v>-1385.1762566433215</v>
      </c>
      <c r="F38" s="1925">
        <f ca="1">利润表!O32</f>
        <v>-1645.565048547644</v>
      </c>
      <c r="G38" s="1925">
        <f ca="1">利润表!P32</f>
        <v>-1636.00618991734</v>
      </c>
      <c r="H38" s="563"/>
      <c r="I38" s="563"/>
      <c r="J38" s="563"/>
      <c r="K38" s="590"/>
      <c r="L38" s="590"/>
      <c r="M38" s="590"/>
      <c r="N38" s="571"/>
      <c r="O38" s="577"/>
      <c r="P38" s="578"/>
      <c r="Q38" s="578"/>
      <c r="R38" s="578"/>
      <c r="S38" s="578"/>
      <c r="T38" s="578"/>
      <c r="U38" s="563"/>
      <c r="V38" s="563"/>
      <c r="W38" s="563"/>
      <c r="X38" s="563"/>
      <c r="Y38" s="563"/>
      <c r="Z38" s="563"/>
      <c r="AA38" s="563"/>
      <c r="AB38" s="563"/>
      <c r="AC38" s="563"/>
      <c r="AD38" s="563"/>
      <c r="AE38" s="563"/>
      <c r="AF38" s="563"/>
      <c r="AG38" s="563"/>
      <c r="AH38" s="563"/>
      <c r="AI38" s="563"/>
      <c r="AJ38" s="563"/>
      <c r="AK38" s="563"/>
      <c r="AL38" s="563"/>
      <c r="AM38" s="563"/>
      <c r="AN38" s="563"/>
      <c r="AO38" s="563"/>
      <c r="AP38" s="563"/>
      <c r="AQ38" s="563"/>
      <c r="AR38" s="563"/>
      <c r="AS38" s="563"/>
      <c r="AT38" s="563"/>
      <c r="AU38" s="563"/>
      <c r="AV38" s="563"/>
      <c r="AW38" s="563"/>
      <c r="AX38" s="563"/>
      <c r="AY38" s="563"/>
      <c r="AZ38" s="563"/>
    </row>
    <row r="39" spans="1:52" ht="18" customHeight="1">
      <c r="A39" s="563"/>
      <c r="B39" s="2540" t="s">
        <v>1460</v>
      </c>
      <c r="C39" s="2541"/>
      <c r="D39" s="2541"/>
      <c r="E39" s="2541"/>
      <c r="F39" s="2541"/>
      <c r="G39" s="2541"/>
      <c r="H39" s="563"/>
      <c r="N39" s="571"/>
      <c r="O39" s="577"/>
      <c r="P39" s="578"/>
      <c r="Q39" s="578"/>
      <c r="R39" s="578"/>
      <c r="S39" s="578"/>
      <c r="T39" s="578"/>
      <c r="U39" s="563"/>
      <c r="V39" s="563"/>
      <c r="W39" s="563"/>
      <c r="X39" s="563"/>
      <c r="Y39" s="563"/>
      <c r="Z39" s="563"/>
      <c r="AA39" s="563"/>
      <c r="AB39" s="563"/>
      <c r="AC39" s="563"/>
      <c r="AD39" s="563"/>
      <c r="AE39" s="563"/>
      <c r="AF39" s="563"/>
      <c r="AG39" s="563"/>
      <c r="AH39" s="563"/>
      <c r="AI39" s="563"/>
      <c r="AJ39" s="563"/>
      <c r="AK39" s="563"/>
      <c r="AL39" s="563"/>
      <c r="AM39" s="563"/>
      <c r="AN39" s="563"/>
      <c r="AO39" s="563"/>
      <c r="AP39" s="563"/>
      <c r="AQ39" s="563"/>
      <c r="AR39" s="563"/>
      <c r="AS39" s="563"/>
      <c r="AT39" s="563"/>
      <c r="AU39" s="563"/>
      <c r="AV39" s="563"/>
      <c r="AW39" s="563"/>
      <c r="AX39" s="563"/>
      <c r="AY39" s="563"/>
      <c r="AZ39" s="563"/>
    </row>
    <row r="40" spans="1:52" ht="18" customHeight="1">
      <c r="A40" s="563"/>
      <c r="B40" s="585"/>
      <c r="C40" s="586"/>
      <c r="D40" s="586"/>
      <c r="E40" s="586"/>
      <c r="F40" s="586"/>
      <c r="G40" s="586"/>
      <c r="H40" s="563"/>
      <c r="N40" s="571"/>
      <c r="O40" s="577"/>
      <c r="P40" s="578"/>
      <c r="Q40" s="578"/>
      <c r="R40" s="578"/>
      <c r="S40" s="578"/>
      <c r="T40" s="578"/>
      <c r="U40" s="563"/>
      <c r="V40" s="563"/>
      <c r="W40" s="563"/>
      <c r="X40" s="563"/>
      <c r="Y40" s="563"/>
      <c r="Z40" s="563"/>
      <c r="AA40" s="563"/>
      <c r="AB40" s="563"/>
      <c r="AC40" s="563"/>
      <c r="AD40" s="563"/>
      <c r="AE40" s="563"/>
      <c r="AF40" s="563"/>
      <c r="AG40" s="563"/>
      <c r="AH40" s="563"/>
      <c r="AI40" s="563"/>
      <c r="AJ40" s="563"/>
      <c r="AK40" s="563"/>
      <c r="AL40" s="563"/>
      <c r="AM40" s="563"/>
      <c r="AN40" s="563"/>
      <c r="AO40" s="563"/>
      <c r="AP40" s="563"/>
      <c r="AQ40" s="563"/>
      <c r="AR40" s="563"/>
      <c r="AS40" s="563"/>
      <c r="AT40" s="563"/>
      <c r="AU40" s="563"/>
      <c r="AV40" s="563"/>
      <c r="AW40" s="563"/>
      <c r="AX40" s="563"/>
      <c r="AY40" s="563"/>
      <c r="AZ40" s="563"/>
    </row>
    <row r="41" spans="1:52" ht="18" customHeight="1">
      <c r="A41" s="563"/>
      <c r="B41" s="585"/>
      <c r="C41" s="585"/>
      <c r="D41" s="585"/>
      <c r="E41" s="585"/>
      <c r="F41" s="585"/>
      <c r="G41" s="585"/>
      <c r="H41" s="563"/>
      <c r="N41" s="571"/>
      <c r="O41" s="568"/>
      <c r="P41" s="568"/>
      <c r="Q41" s="568"/>
      <c r="R41" s="568"/>
      <c r="S41" s="568"/>
      <c r="T41" s="568"/>
      <c r="U41" s="563"/>
      <c r="V41" s="563"/>
      <c r="W41" s="563"/>
      <c r="X41" s="563"/>
      <c r="Y41" s="563"/>
      <c r="Z41" s="563"/>
      <c r="AA41" s="563"/>
      <c r="AB41" s="563"/>
      <c r="AC41" s="563"/>
      <c r="AD41" s="563"/>
      <c r="AE41" s="563"/>
      <c r="AF41" s="563"/>
      <c r="AG41" s="563"/>
      <c r="AH41" s="563"/>
      <c r="AI41" s="563"/>
      <c r="AJ41" s="563"/>
      <c r="AK41" s="563"/>
      <c r="AL41" s="563"/>
      <c r="AM41" s="563"/>
      <c r="AN41" s="563"/>
      <c r="AO41" s="563"/>
      <c r="AP41" s="563"/>
      <c r="AQ41" s="563"/>
      <c r="AR41" s="563"/>
      <c r="AS41" s="563"/>
      <c r="AT41" s="563"/>
      <c r="AU41" s="563"/>
      <c r="AV41" s="563"/>
      <c r="AW41" s="563"/>
      <c r="AX41" s="563"/>
      <c r="AY41" s="563"/>
      <c r="AZ41" s="563"/>
    </row>
    <row r="42" spans="1:52" ht="18" customHeight="1" thickBot="1">
      <c r="A42" s="563"/>
      <c r="B42" s="2536" t="s">
        <v>107</v>
      </c>
      <c r="C42" s="2536"/>
      <c r="D42" s="2536"/>
      <c r="E42" s="2536"/>
      <c r="F42" s="2536"/>
      <c r="G42" s="2536"/>
      <c r="H42" s="563"/>
      <c r="N42" s="587"/>
      <c r="O42" s="568"/>
      <c r="P42" s="568"/>
      <c r="Q42" s="568"/>
      <c r="R42" s="568"/>
      <c r="S42" s="568"/>
      <c r="T42" s="568"/>
      <c r="U42" s="563"/>
      <c r="V42" s="563"/>
      <c r="W42" s="563"/>
      <c r="X42" s="563"/>
      <c r="Y42" s="563"/>
      <c r="Z42" s="563"/>
      <c r="AA42" s="563"/>
      <c r="AB42" s="563"/>
      <c r="AC42" s="563"/>
      <c r="AD42" s="563"/>
      <c r="AE42" s="563"/>
      <c r="AF42" s="563"/>
      <c r="AG42" s="563"/>
      <c r="AH42" s="563"/>
      <c r="AI42" s="563"/>
      <c r="AJ42" s="563"/>
      <c r="AK42" s="563"/>
      <c r="AL42" s="563"/>
      <c r="AM42" s="563"/>
      <c r="AN42" s="563"/>
      <c r="AO42" s="563"/>
      <c r="AP42" s="563"/>
      <c r="AQ42" s="563"/>
      <c r="AR42" s="563"/>
      <c r="AS42" s="563"/>
      <c r="AT42" s="563"/>
      <c r="AU42" s="563"/>
      <c r="AV42" s="563"/>
      <c r="AW42" s="563"/>
      <c r="AX42" s="563"/>
      <c r="AY42" s="563"/>
      <c r="AZ42" s="563"/>
    </row>
    <row r="43" spans="1:52" ht="18" customHeight="1">
      <c r="A43" s="563"/>
      <c r="B43" s="572" t="s">
        <v>89</v>
      </c>
      <c r="C43" s="573">
        <f>C5</f>
        <v>2018</v>
      </c>
      <c r="D43" s="573">
        <f>D5</f>
        <v>2019</v>
      </c>
      <c r="E43" s="573" t="str">
        <f>E5</f>
        <v>2020E</v>
      </c>
      <c r="F43" s="573" t="str">
        <f>F5</f>
        <v>2021E</v>
      </c>
      <c r="G43" s="573" t="str">
        <f>G5</f>
        <v>2022E</v>
      </c>
      <c r="H43" s="563"/>
      <c r="N43" s="587"/>
      <c r="O43" s="568"/>
      <c r="P43" s="568"/>
      <c r="Q43" s="568"/>
      <c r="R43" s="568"/>
      <c r="S43" s="568"/>
      <c r="T43" s="568"/>
      <c r="U43" s="563"/>
      <c r="V43" s="563"/>
      <c r="W43" s="563"/>
      <c r="X43" s="563"/>
      <c r="Y43" s="563"/>
      <c r="Z43" s="563"/>
      <c r="AA43" s="563"/>
      <c r="AB43" s="563"/>
      <c r="AC43" s="563"/>
      <c r="AD43" s="563"/>
      <c r="AE43" s="563"/>
      <c r="AF43" s="563"/>
      <c r="AG43" s="563"/>
      <c r="AH43" s="563"/>
      <c r="AI43" s="563"/>
      <c r="AJ43" s="563"/>
      <c r="AK43" s="563"/>
      <c r="AL43" s="563"/>
      <c r="AM43" s="563"/>
      <c r="AN43" s="563"/>
      <c r="AO43" s="563"/>
      <c r="AP43" s="563"/>
      <c r="AQ43" s="563"/>
      <c r="AR43" s="563"/>
      <c r="AS43" s="563"/>
      <c r="AT43" s="563"/>
      <c r="AU43" s="563"/>
      <c r="AV43" s="563"/>
      <c r="AW43" s="563"/>
      <c r="AX43" s="563"/>
      <c r="AY43" s="563"/>
      <c r="AZ43" s="563"/>
    </row>
    <row r="44" spans="1:52" ht="18" customHeight="1">
      <c r="A44" s="564"/>
      <c r="B44" s="2311" t="s">
        <v>105</v>
      </c>
      <c r="C44" s="1923">
        <f>C36</f>
        <v>750.05513647999999</v>
      </c>
      <c r="D44" s="1923">
        <f>D36</f>
        <v>955.03581178000002</v>
      </c>
      <c r="E44" s="1923">
        <f ca="1">E36</f>
        <v>-1382.242562561677</v>
      </c>
      <c r="F44" s="1923">
        <f ca="1">F36</f>
        <v>-1642.0798715380527</v>
      </c>
      <c r="G44" s="1923">
        <f ca="1">G36</f>
        <v>-1632.541257816551</v>
      </c>
      <c r="H44" s="563"/>
      <c r="I44" s="580" t="s">
        <v>113</v>
      </c>
      <c r="J44" s="563"/>
      <c r="K44" s="563"/>
      <c r="L44" s="563"/>
      <c r="M44" s="563"/>
      <c r="N44" s="587"/>
      <c r="O44" s="568"/>
      <c r="P44" s="568"/>
      <c r="Q44" s="568"/>
      <c r="R44" s="568"/>
      <c r="S44" s="568"/>
      <c r="T44" s="568"/>
      <c r="U44" s="563"/>
      <c r="V44" s="563"/>
      <c r="W44" s="563"/>
      <c r="X44" s="563"/>
      <c r="Y44" s="563"/>
      <c r="Z44" s="563"/>
      <c r="AA44" s="563"/>
      <c r="AB44" s="563"/>
      <c r="AC44" s="563"/>
      <c r="AD44" s="563"/>
      <c r="AE44" s="563"/>
      <c r="AF44" s="563"/>
      <c r="AG44" s="563"/>
      <c r="AH44" s="563"/>
      <c r="AI44" s="563"/>
      <c r="AJ44" s="563"/>
      <c r="AK44" s="563"/>
      <c r="AL44" s="563"/>
      <c r="AM44" s="563"/>
      <c r="AN44" s="563"/>
      <c r="AO44" s="563"/>
      <c r="AP44" s="563"/>
      <c r="AQ44" s="563"/>
      <c r="AR44" s="563"/>
      <c r="AS44" s="563"/>
      <c r="AT44" s="563"/>
      <c r="AU44" s="563"/>
      <c r="AV44" s="563"/>
      <c r="AW44" s="563"/>
      <c r="AX44" s="563"/>
      <c r="AY44" s="563"/>
      <c r="AZ44" s="563"/>
    </row>
    <row r="45" spans="1:52" ht="18" customHeight="1">
      <c r="A45" s="563"/>
      <c r="B45" s="1690" t="s">
        <v>1466</v>
      </c>
      <c r="C45" s="1923">
        <f>现金流量!L5+现金流量!L6+现金流量!L7+现金流量!L8</f>
        <v>195.63594863000003</v>
      </c>
      <c r="D45" s="1923">
        <f>现金流量!M5+现金流量!M6+现金流量!M7+现金流量!M8</f>
        <v>4.8718644299999978</v>
      </c>
      <c r="E45" s="1923">
        <f>现金流量!N5+现金流量!N6+现金流量!N7+现金流量!N8</f>
        <v>72.224709549333326</v>
      </c>
      <c r="F45" s="1923">
        <f>现金流量!O5+现金流量!O6+现金流量!O7+现金流量!O8</f>
        <v>72.224709549333326</v>
      </c>
      <c r="G45" s="1923">
        <f>现金流量!P5+现金流量!P6+现金流量!P7+现金流量!P8</f>
        <v>72.224709549333326</v>
      </c>
      <c r="H45" s="563"/>
      <c r="I45" s="563"/>
      <c r="J45" s="563"/>
      <c r="K45" s="563"/>
      <c r="L45" s="563"/>
      <c r="M45" s="563"/>
      <c r="N45" s="587"/>
      <c r="O45" s="568"/>
      <c r="P45" s="568"/>
      <c r="Q45" s="568"/>
      <c r="R45" s="568"/>
      <c r="S45" s="568"/>
      <c r="T45" s="568"/>
      <c r="U45" s="563"/>
      <c r="V45" s="563"/>
      <c r="W45" s="563"/>
      <c r="X45" s="563"/>
      <c r="Y45" s="563"/>
      <c r="Z45" s="563"/>
      <c r="AA45" s="563"/>
      <c r="AB45" s="563"/>
      <c r="AC45" s="563"/>
      <c r="AD45" s="563"/>
      <c r="AE45" s="563"/>
      <c r="AF45" s="563"/>
      <c r="AG45" s="563"/>
      <c r="AH45" s="563"/>
      <c r="AI45" s="563"/>
      <c r="AJ45" s="563"/>
      <c r="AK45" s="563"/>
      <c r="AL45" s="563"/>
      <c r="AM45" s="563"/>
      <c r="AN45" s="563"/>
      <c r="AO45" s="563"/>
      <c r="AP45" s="563"/>
      <c r="AQ45" s="563"/>
      <c r="AR45" s="563"/>
      <c r="AS45" s="563"/>
      <c r="AT45" s="563"/>
      <c r="AU45" s="563"/>
      <c r="AV45" s="563"/>
      <c r="AW45" s="563"/>
      <c r="AX45" s="563"/>
      <c r="AY45" s="563"/>
      <c r="AZ45" s="563"/>
    </row>
    <row r="46" spans="1:52" ht="18" customHeight="1">
      <c r="A46" s="563"/>
      <c r="B46" s="2312" t="s">
        <v>108</v>
      </c>
      <c r="C46" s="1923">
        <f>现金流量!L11</f>
        <v>-9.429398990000001</v>
      </c>
      <c r="D46" s="1923">
        <f>现金流量!M11</f>
        <v>4.8983030799999998</v>
      </c>
      <c r="E46" s="1923">
        <f ca="1">现金流量!N11</f>
        <v>2366.7043487452747</v>
      </c>
      <c r="F46" s="1923">
        <f ca="1">现金流量!O11</f>
        <v>2613.7758206225985</v>
      </c>
      <c r="G46" s="1923">
        <f ca="1">现金流量!P11</f>
        <v>2613.7758206225985</v>
      </c>
      <c r="H46" s="563"/>
      <c r="I46" s="563"/>
      <c r="J46" s="563"/>
      <c r="K46" s="563"/>
      <c r="L46" s="563"/>
      <c r="M46" s="563"/>
      <c r="N46" s="587"/>
      <c r="O46" s="568"/>
      <c r="P46" s="568"/>
      <c r="Q46" s="568"/>
      <c r="R46" s="568"/>
      <c r="S46" s="568"/>
      <c r="T46" s="568"/>
      <c r="U46" s="563"/>
      <c r="V46" s="563"/>
      <c r="W46" s="563"/>
      <c r="X46" s="563"/>
      <c r="Y46" s="563"/>
      <c r="Z46" s="563"/>
      <c r="AA46" s="563"/>
      <c r="AB46" s="563"/>
      <c r="AC46" s="563"/>
      <c r="AD46" s="563"/>
      <c r="AE46" s="563"/>
      <c r="AF46" s="563"/>
      <c r="AG46" s="563"/>
      <c r="AH46" s="563"/>
      <c r="AI46" s="563"/>
      <c r="AJ46" s="563"/>
      <c r="AK46" s="563"/>
      <c r="AL46" s="563"/>
      <c r="AM46" s="563"/>
      <c r="AN46" s="563"/>
      <c r="AO46" s="563"/>
      <c r="AP46" s="563"/>
      <c r="AQ46" s="563"/>
      <c r="AR46" s="563"/>
      <c r="AS46" s="563"/>
      <c r="AT46" s="563"/>
      <c r="AU46" s="563"/>
      <c r="AV46" s="563"/>
      <c r="AW46" s="563"/>
      <c r="AX46" s="563"/>
      <c r="AY46" s="563"/>
      <c r="AZ46" s="563"/>
    </row>
    <row r="47" spans="1:52" ht="18" customHeight="1">
      <c r="A47" s="563"/>
      <c r="B47" s="2312" t="s">
        <v>109</v>
      </c>
      <c r="C47" s="1923">
        <f>现金流量!L9+现金流量!L10+现金流量!L12+现金流量!L13+现金流量!L14</f>
        <v>-73.792891900000001</v>
      </c>
      <c r="D47" s="1923">
        <f>现金流量!M9+现金流量!M10+现金流量!M12+现金流量!M13+现金流量!M14</f>
        <v>-76.582822409999977</v>
      </c>
      <c r="E47" s="1923">
        <f>现金流量!N9+现金流量!N10+现金流量!N12+现金流量!N13+现金流量!N14</f>
        <v>-93.544284299999987</v>
      </c>
      <c r="F47" s="1923">
        <f>现金流量!O9+现金流量!O10+现金流量!O12+现金流量!O13+现金流量!O14</f>
        <v>-93.544284299999987</v>
      </c>
      <c r="G47" s="1923">
        <f>现金流量!P9+现金流量!P10+现金流量!P12+现金流量!P13+现金流量!P14</f>
        <v>-93.544284299999987</v>
      </c>
      <c r="H47" s="563"/>
      <c r="I47" s="563"/>
      <c r="J47" s="563"/>
      <c r="K47" s="563"/>
      <c r="L47" s="563"/>
      <c r="M47" s="563"/>
      <c r="N47" s="571"/>
      <c r="O47" s="568"/>
      <c r="P47" s="568"/>
      <c r="Q47" s="568"/>
      <c r="R47" s="568"/>
      <c r="S47" s="568"/>
      <c r="T47" s="568"/>
      <c r="U47" s="563"/>
      <c r="V47" s="563"/>
      <c r="W47" s="563"/>
      <c r="X47" s="563"/>
      <c r="Y47" s="563"/>
      <c r="Z47" s="563"/>
      <c r="AA47" s="563"/>
      <c r="AB47" s="563"/>
      <c r="AC47" s="563"/>
      <c r="AD47" s="563"/>
      <c r="AE47" s="563"/>
      <c r="AF47" s="563"/>
      <c r="AG47" s="563"/>
      <c r="AH47" s="563"/>
      <c r="AI47" s="563"/>
      <c r="AJ47" s="563"/>
      <c r="AK47" s="563"/>
      <c r="AL47" s="563"/>
      <c r="AM47" s="563"/>
      <c r="AN47" s="563"/>
      <c r="AO47" s="563"/>
      <c r="AP47" s="563"/>
      <c r="AQ47" s="563"/>
      <c r="AR47" s="563"/>
      <c r="AS47" s="563"/>
      <c r="AT47" s="563"/>
      <c r="AU47" s="563"/>
      <c r="AV47" s="563"/>
      <c r="AW47" s="563"/>
      <c r="AX47" s="563"/>
      <c r="AY47" s="563"/>
      <c r="AZ47" s="563"/>
    </row>
    <row r="48" spans="1:52" ht="18" customHeight="1">
      <c r="A48" s="563"/>
      <c r="B48" s="2312" t="s">
        <v>110</v>
      </c>
      <c r="C48" s="1923">
        <f>现金流量!L15+现金流量!L16+现金流量!L17</f>
        <v>-692.93374212999993</v>
      </c>
      <c r="D48" s="1923">
        <f>现金流量!M15+现金流量!M16+现金流量!M17</f>
        <v>-453.82337796000002</v>
      </c>
      <c r="E48" s="1923">
        <f>现金流量!N15+现金流量!N16+现金流量!N17</f>
        <v>340.11846025772661</v>
      </c>
      <c r="F48" s="1923">
        <f>现金流量!O15+现金流量!O16+现金流量!O17</f>
        <v>-140.50885467250396</v>
      </c>
      <c r="G48" s="1923">
        <f>现金流量!P15+现金流量!P16+现金流量!P17</f>
        <v>-17.141999020479375</v>
      </c>
      <c r="H48" s="563"/>
      <c r="I48" s="563"/>
      <c r="J48" s="563"/>
      <c r="K48" s="563"/>
      <c r="L48" s="563"/>
      <c r="M48" s="563"/>
      <c r="N48" s="571"/>
      <c r="O48" s="568"/>
      <c r="P48" s="568"/>
      <c r="Q48" s="568"/>
      <c r="R48" s="568"/>
      <c r="S48" s="568"/>
      <c r="T48" s="568"/>
      <c r="U48" s="563"/>
      <c r="V48" s="563"/>
      <c r="W48" s="563"/>
      <c r="X48" s="563"/>
      <c r="Y48" s="563"/>
      <c r="Z48" s="563"/>
      <c r="AA48" s="563"/>
      <c r="AB48" s="563"/>
      <c r="AC48" s="563"/>
      <c r="AD48" s="563"/>
      <c r="AE48" s="563"/>
      <c r="AF48" s="563"/>
      <c r="AG48" s="563"/>
      <c r="AH48" s="563"/>
      <c r="AI48" s="563"/>
      <c r="AJ48" s="563"/>
      <c r="AK48" s="563"/>
      <c r="AL48" s="563"/>
      <c r="AM48" s="563"/>
      <c r="AN48" s="563"/>
      <c r="AO48" s="563"/>
      <c r="AP48" s="563"/>
      <c r="AQ48" s="563"/>
      <c r="AR48" s="563"/>
      <c r="AS48" s="563"/>
      <c r="AT48" s="563"/>
      <c r="AU48" s="563"/>
      <c r="AV48" s="563"/>
      <c r="AW48" s="563"/>
      <c r="AX48" s="563"/>
      <c r="AY48" s="563"/>
      <c r="AZ48" s="563"/>
    </row>
    <row r="49" spans="1:52" ht="18" customHeight="1">
      <c r="A49" s="563"/>
      <c r="B49" s="2312" t="s">
        <v>111</v>
      </c>
      <c r="C49" s="1923">
        <f>现金流量!L18</f>
        <v>3.8988289999792869E-2</v>
      </c>
      <c r="D49" s="1923">
        <f>现金流量!M18</f>
        <v>0.54187207000012449</v>
      </c>
      <c r="E49" s="1923">
        <f>现金流量!N18</f>
        <v>0</v>
      </c>
      <c r="F49" s="1923">
        <f>现金流量!O18</f>
        <v>0</v>
      </c>
      <c r="G49" s="1923">
        <f>现金流量!P18</f>
        <v>0</v>
      </c>
      <c r="H49" s="563"/>
      <c r="I49" s="563"/>
      <c r="J49" s="563"/>
      <c r="K49" s="563"/>
      <c r="L49" s="563"/>
      <c r="M49" s="563"/>
      <c r="N49" s="571"/>
      <c r="O49" s="591"/>
      <c r="P49" s="568"/>
      <c r="Q49" s="591"/>
      <c r="R49" s="591"/>
      <c r="S49" s="591"/>
      <c r="T49" s="591"/>
      <c r="U49" s="591"/>
      <c r="V49" s="563"/>
      <c r="W49" s="563"/>
      <c r="X49" s="563"/>
      <c r="Y49" s="563"/>
      <c r="Z49" s="563"/>
      <c r="AA49" s="563"/>
      <c r="AB49" s="563"/>
      <c r="AC49" s="563"/>
      <c r="AD49" s="563"/>
      <c r="AE49" s="563"/>
      <c r="AF49" s="563"/>
      <c r="AG49" s="563"/>
      <c r="AH49" s="563"/>
      <c r="AI49" s="563"/>
      <c r="AJ49" s="563"/>
      <c r="AK49" s="563"/>
      <c r="AL49" s="563"/>
      <c r="AM49" s="563"/>
      <c r="AN49" s="563"/>
      <c r="AO49" s="563"/>
      <c r="AP49" s="563"/>
      <c r="AQ49" s="563"/>
      <c r="AR49" s="563"/>
      <c r="AS49" s="563"/>
      <c r="AT49" s="563"/>
      <c r="AU49" s="563"/>
      <c r="AV49" s="563"/>
      <c r="AW49" s="563"/>
      <c r="AX49" s="563"/>
      <c r="AY49" s="563"/>
      <c r="AZ49" s="563"/>
    </row>
    <row r="50" spans="1:52" ht="18" customHeight="1">
      <c r="A50" s="563"/>
      <c r="B50" s="2313" t="s">
        <v>112</v>
      </c>
      <c r="C50" s="1923">
        <f>现金流量!L19</f>
        <v>169.57404037999999</v>
      </c>
      <c r="D50" s="1923">
        <f>现金流量!M19</f>
        <v>434.94165099000003</v>
      </c>
      <c r="E50" s="1923">
        <f ca="1">现金流量!N19</f>
        <v>1303.2606716906575</v>
      </c>
      <c r="F50" s="1923">
        <f ca="1">现金流量!O19</f>
        <v>809.86751966137558</v>
      </c>
      <c r="G50" s="1923">
        <f ca="1">现金流量!P19</f>
        <v>942.77298903490146</v>
      </c>
      <c r="H50" s="563"/>
      <c r="I50" s="563"/>
      <c r="J50" s="563"/>
      <c r="K50" s="563"/>
      <c r="L50" s="563"/>
      <c r="M50" s="563"/>
      <c r="N50" s="571"/>
      <c r="O50" s="593"/>
      <c r="P50" s="591"/>
      <c r="Q50" s="591"/>
      <c r="R50" s="591"/>
      <c r="S50" s="591"/>
      <c r="T50" s="591"/>
      <c r="U50" s="563"/>
      <c r="V50" s="563"/>
      <c r="W50" s="563"/>
      <c r="X50" s="563"/>
      <c r="Y50" s="563"/>
      <c r="Z50" s="563"/>
      <c r="AA50" s="563"/>
      <c r="AB50" s="563"/>
      <c r="AC50" s="563"/>
      <c r="AD50" s="563"/>
      <c r="AE50" s="563"/>
      <c r="AF50" s="563"/>
      <c r="AG50" s="563"/>
      <c r="AH50" s="563"/>
      <c r="AI50" s="563"/>
      <c r="AJ50" s="563"/>
      <c r="AK50" s="563"/>
      <c r="AL50" s="563"/>
      <c r="AM50" s="563"/>
      <c r="AN50" s="563"/>
      <c r="AO50" s="563"/>
      <c r="AP50" s="563"/>
      <c r="AQ50" s="563"/>
      <c r="AR50" s="563"/>
      <c r="AS50" s="563"/>
      <c r="AT50" s="563"/>
      <c r="AU50" s="563"/>
      <c r="AV50" s="563"/>
      <c r="AW50" s="563"/>
      <c r="AX50" s="563"/>
      <c r="AY50" s="563"/>
      <c r="AZ50" s="563"/>
    </row>
    <row r="51" spans="1:52" ht="18" customHeight="1">
      <c r="A51" s="563"/>
      <c r="B51" s="1690" t="s">
        <v>114</v>
      </c>
      <c r="C51" s="1923">
        <f>现金流量!L27-现金流量!L23</f>
        <v>195.18588192000001</v>
      </c>
      <c r="D51" s="1923">
        <f>现金流量!M27-现金流量!M23</f>
        <v>47.023880430000006</v>
      </c>
      <c r="E51" s="1923">
        <f>现金流量!N27-现金流量!N23</f>
        <v>-66.626262619999991</v>
      </c>
      <c r="F51" s="1923">
        <f>现金流量!O27-现金流量!O23</f>
        <v>-66.626262619999991</v>
      </c>
      <c r="G51" s="1923">
        <f>现金流量!P27-现金流量!P23</f>
        <v>-66.626262619999991</v>
      </c>
      <c r="H51" s="563"/>
      <c r="I51" s="563"/>
      <c r="J51" s="563"/>
      <c r="K51" s="563"/>
      <c r="L51" s="563"/>
      <c r="M51" s="563"/>
      <c r="N51" s="571"/>
      <c r="O51" s="568"/>
      <c r="P51" s="568"/>
      <c r="Q51" s="568"/>
      <c r="R51" s="568"/>
      <c r="S51" s="568"/>
      <c r="T51" s="568"/>
      <c r="U51" s="563"/>
      <c r="V51" s="563"/>
      <c r="W51" s="563"/>
      <c r="X51" s="563"/>
      <c r="Y51" s="563"/>
      <c r="Z51" s="563"/>
      <c r="AA51" s="563"/>
      <c r="AB51" s="563"/>
      <c r="AC51" s="563"/>
      <c r="AD51" s="563"/>
      <c r="AE51" s="563"/>
      <c r="AF51" s="563"/>
      <c r="AG51" s="563"/>
      <c r="AH51" s="563"/>
      <c r="AI51" s="563"/>
      <c r="AJ51" s="563"/>
      <c r="AK51" s="563"/>
      <c r="AL51" s="563"/>
      <c r="AM51" s="563"/>
      <c r="AN51" s="563"/>
      <c r="AO51" s="563"/>
      <c r="AP51" s="563"/>
      <c r="AQ51" s="563"/>
      <c r="AR51" s="563"/>
      <c r="AS51" s="563"/>
      <c r="AT51" s="563"/>
      <c r="AU51" s="563"/>
      <c r="AV51" s="563"/>
      <c r="AW51" s="563"/>
      <c r="AX51" s="563"/>
      <c r="AY51" s="563"/>
      <c r="AZ51" s="563"/>
    </row>
    <row r="52" spans="1:52" ht="18" customHeight="1">
      <c r="A52" s="563"/>
      <c r="B52" s="1690" t="s">
        <v>115</v>
      </c>
      <c r="C52" s="1923">
        <f>现金流量!L21+现金流量!L22+现金流量!L24+现金流量!L25-现金流量!L28-现金流量!L29-现金流量!L30</f>
        <v>346.17313041000034</v>
      </c>
      <c r="D52" s="1923">
        <f>现金流量!M21+现金流量!M22+现金流量!M24+现金流量!M25-现金流量!M28-现金流量!M29-现金流量!M30</f>
        <v>27.40104109000049</v>
      </c>
      <c r="E52" s="1923">
        <f>现金流量!N21+现金流量!N22+现金流量!N24+现金流量!N25-现金流量!N28-现金流量!N29-现金流量!N30</f>
        <v>-648.79384704999995</v>
      </c>
      <c r="F52" s="1923">
        <f>现金流量!O21+现金流量!O22+现金流量!O24+现金流量!O25-现金流量!O28-现金流量!O29-现金流量!O30</f>
        <v>-648.79384704999995</v>
      </c>
      <c r="G52" s="1923">
        <f>现金流量!P21+现金流量!P22+现金流量!P24+现金流量!P25-现金流量!P28-现金流量!P29-现金流量!P30</f>
        <v>-648.79384704999995</v>
      </c>
      <c r="H52" s="563"/>
      <c r="I52" s="563"/>
      <c r="J52" s="563"/>
      <c r="K52" s="563"/>
      <c r="L52" s="563"/>
      <c r="M52" s="563"/>
      <c r="N52" s="571"/>
      <c r="O52" s="568"/>
      <c r="P52" s="568"/>
      <c r="Q52" s="568"/>
      <c r="R52" s="568"/>
      <c r="S52" s="568"/>
      <c r="T52" s="568"/>
      <c r="U52" s="563"/>
      <c r="V52" s="563"/>
      <c r="W52" s="563"/>
      <c r="X52" s="563"/>
      <c r="Y52" s="563"/>
      <c r="Z52" s="563"/>
      <c r="AA52" s="563"/>
      <c r="AB52" s="563"/>
      <c r="AC52" s="563"/>
      <c r="AD52" s="563"/>
      <c r="AE52" s="563"/>
      <c r="AF52" s="563"/>
      <c r="AG52" s="563"/>
      <c r="AH52" s="563"/>
      <c r="AI52" s="563"/>
      <c r="AJ52" s="563"/>
      <c r="AK52" s="563"/>
      <c r="AL52" s="563"/>
      <c r="AM52" s="563"/>
      <c r="AN52" s="563"/>
      <c r="AO52" s="563"/>
      <c r="AP52" s="563"/>
      <c r="AQ52" s="563"/>
      <c r="AR52" s="563"/>
      <c r="AS52" s="563"/>
      <c r="AT52" s="563"/>
      <c r="AU52" s="563"/>
      <c r="AV52" s="563"/>
      <c r="AW52" s="563"/>
      <c r="AX52" s="563"/>
      <c r="AY52" s="563"/>
      <c r="AZ52" s="563"/>
    </row>
    <row r="53" spans="1:52" ht="18" customHeight="1">
      <c r="A53" s="563"/>
      <c r="B53" s="2313" t="s">
        <v>116</v>
      </c>
      <c r="C53" s="1923">
        <f>现金流量!L32</f>
        <v>150.98724849000001</v>
      </c>
      <c r="D53" s="1923">
        <f>现金流量!M32</f>
        <v>-19.622839339999999</v>
      </c>
      <c r="E53" s="1923">
        <f>现金流量!N32</f>
        <v>-582.16758443000003</v>
      </c>
      <c r="F53" s="1923">
        <f>现金流量!O32</f>
        <v>-582.16758443000003</v>
      </c>
      <c r="G53" s="1923">
        <f>现金流量!P32</f>
        <v>-582.16758443000003</v>
      </c>
      <c r="H53" s="568"/>
      <c r="I53" s="568"/>
      <c r="J53" s="568"/>
      <c r="K53" s="568"/>
      <c r="L53" s="568"/>
      <c r="M53" s="568"/>
      <c r="N53" s="563"/>
      <c r="O53" s="563"/>
      <c r="P53" s="563"/>
      <c r="Q53" s="563"/>
      <c r="R53" s="563"/>
      <c r="S53" s="563"/>
      <c r="T53" s="563"/>
      <c r="U53" s="563"/>
      <c r="V53" s="563"/>
      <c r="W53" s="563"/>
      <c r="X53" s="563"/>
      <c r="Y53" s="563"/>
      <c r="Z53" s="563"/>
      <c r="AA53" s="563"/>
      <c r="AB53" s="563"/>
      <c r="AC53" s="563"/>
      <c r="AD53" s="563"/>
      <c r="AE53" s="563"/>
      <c r="AF53" s="563"/>
      <c r="AG53" s="563"/>
      <c r="AH53" s="563"/>
      <c r="AI53" s="563"/>
      <c r="AJ53" s="563"/>
      <c r="AK53" s="563"/>
      <c r="AL53" s="563"/>
      <c r="AM53" s="563"/>
      <c r="AN53" s="563"/>
      <c r="AO53" s="563"/>
      <c r="AP53" s="563"/>
      <c r="AQ53" s="563"/>
      <c r="AR53" s="563"/>
      <c r="AS53" s="563"/>
    </row>
    <row r="54" spans="1:52" ht="18" customHeight="1">
      <c r="A54" s="563"/>
      <c r="B54" s="1690" t="s">
        <v>117</v>
      </c>
      <c r="C54" s="1923">
        <f>现金流量!L34</f>
        <v>0</v>
      </c>
      <c r="D54" s="1923">
        <f>现金流量!M34</f>
        <v>211.27692361999999</v>
      </c>
      <c r="E54" s="1923">
        <f>现金流量!N34</f>
        <v>0</v>
      </c>
      <c r="F54" s="1923">
        <f>现金流量!O34</f>
        <v>0</v>
      </c>
      <c r="G54" s="1923">
        <f>现金流量!P34</f>
        <v>0</v>
      </c>
      <c r="H54" s="568"/>
      <c r="I54" s="568"/>
      <c r="J54" s="568"/>
      <c r="K54" s="568"/>
      <c r="L54" s="568"/>
      <c r="M54" s="568"/>
      <c r="N54" s="563"/>
      <c r="O54" s="563"/>
      <c r="P54" s="563"/>
      <c r="Q54" s="563"/>
      <c r="R54" s="563"/>
      <c r="S54" s="563"/>
      <c r="T54" s="563"/>
      <c r="U54" s="563"/>
      <c r="V54" s="563"/>
      <c r="W54" s="563"/>
      <c r="X54" s="563"/>
      <c r="Y54" s="563"/>
      <c r="Z54" s="563"/>
      <c r="AA54" s="563"/>
      <c r="AB54" s="563"/>
      <c r="AC54" s="563"/>
      <c r="AD54" s="563"/>
      <c r="AE54" s="563"/>
      <c r="AF54" s="563"/>
      <c r="AG54" s="563"/>
      <c r="AH54" s="563"/>
      <c r="AI54" s="563"/>
      <c r="AJ54" s="563"/>
      <c r="AK54" s="563"/>
      <c r="AL54" s="563"/>
      <c r="AM54" s="563"/>
      <c r="AN54" s="563"/>
      <c r="AO54" s="563"/>
      <c r="AP54" s="563"/>
      <c r="AQ54" s="563"/>
      <c r="AR54" s="563"/>
      <c r="AS54" s="563"/>
    </row>
    <row r="55" spans="1:52" ht="18" customHeight="1">
      <c r="A55" s="563"/>
      <c r="B55" s="1690" t="s">
        <v>118</v>
      </c>
      <c r="C55" s="1923">
        <f>现金流量!L35-现金流量!L40</f>
        <v>15.408259220000001</v>
      </c>
      <c r="D55" s="1923">
        <f>现金流量!M35-现金流量!M40</f>
        <v>890.41590421000001</v>
      </c>
      <c r="E55" s="1923">
        <f ca="1">现金流量!N35-现金流量!N40</f>
        <v>386.16672381461706</v>
      </c>
      <c r="F55" s="1923">
        <f ca="1">现金流量!O35-现金流量!O40</f>
        <v>2386.075885391223</v>
      </c>
      <c r="G55" s="1923">
        <f ca="1">现金流量!P35-现金流量!P40</f>
        <v>2253.1704160176973</v>
      </c>
      <c r="H55" s="568"/>
      <c r="I55" s="568"/>
      <c r="J55" s="568"/>
      <c r="K55" s="568"/>
      <c r="L55" s="568"/>
      <c r="M55" s="568"/>
      <c r="N55" s="563"/>
      <c r="O55" s="563"/>
      <c r="P55" s="563"/>
      <c r="Q55" s="563"/>
      <c r="R55" s="563"/>
      <c r="S55" s="563"/>
      <c r="T55" s="563"/>
      <c r="U55" s="563"/>
      <c r="V55" s="563"/>
      <c r="W55" s="563"/>
      <c r="X55" s="563"/>
      <c r="Y55" s="563"/>
      <c r="Z55" s="563"/>
      <c r="AA55" s="563"/>
      <c r="AB55" s="563"/>
      <c r="AC55" s="563"/>
      <c r="AD55" s="563"/>
      <c r="AE55" s="563"/>
      <c r="AF55" s="563"/>
      <c r="AG55" s="563"/>
      <c r="AH55" s="563"/>
      <c r="AI55" s="563"/>
      <c r="AJ55" s="563"/>
      <c r="AK55" s="563"/>
      <c r="AL55" s="563"/>
      <c r="AM55" s="563"/>
      <c r="AN55" s="563"/>
      <c r="AO55" s="563"/>
      <c r="AP55" s="563"/>
      <c r="AQ55" s="563"/>
      <c r="AR55" s="563"/>
      <c r="AS55" s="563"/>
    </row>
    <row r="56" spans="1:52" ht="18" customHeight="1">
      <c r="A56" s="563"/>
      <c r="B56" s="1690" t="s">
        <v>119</v>
      </c>
      <c r="C56" s="1923">
        <f>现金流量!L41</f>
        <v>241.72258099999999</v>
      </c>
      <c r="D56" s="1923">
        <f>现金流量!M41</f>
        <v>235.17</v>
      </c>
      <c r="E56" s="1923">
        <f ca="1">现金流量!N41</f>
        <v>2366.7043487452747</v>
      </c>
      <c r="F56" s="1923">
        <f ca="1">现金流量!O41</f>
        <v>2613.7758206225985</v>
      </c>
      <c r="G56" s="1923">
        <f ca="1">现金流量!P41</f>
        <v>2613.7758206225985</v>
      </c>
      <c r="H56" s="568"/>
      <c r="I56" s="568"/>
      <c r="J56" s="568"/>
      <c r="K56" s="568"/>
      <c r="L56" s="568"/>
      <c r="M56" s="568"/>
      <c r="N56" s="563"/>
      <c r="O56" s="563"/>
      <c r="P56" s="563"/>
      <c r="Q56" s="563"/>
      <c r="R56" s="563"/>
      <c r="S56" s="563"/>
      <c r="T56" s="563"/>
      <c r="U56" s="563"/>
      <c r="V56" s="563"/>
      <c r="W56" s="563"/>
      <c r="X56" s="563"/>
      <c r="Y56" s="563"/>
      <c r="Z56" s="563"/>
      <c r="AA56" s="563"/>
      <c r="AB56" s="563"/>
      <c r="AC56" s="563"/>
      <c r="AD56" s="563"/>
      <c r="AE56" s="563"/>
      <c r="AF56" s="563"/>
      <c r="AG56" s="563"/>
      <c r="AH56" s="563"/>
      <c r="AI56" s="563"/>
      <c r="AJ56" s="563"/>
      <c r="AK56" s="563"/>
      <c r="AL56" s="563"/>
      <c r="AM56" s="563"/>
      <c r="AN56" s="563"/>
      <c r="AO56" s="563"/>
      <c r="AP56" s="563"/>
      <c r="AQ56" s="563"/>
      <c r="AR56" s="563"/>
      <c r="AS56" s="563"/>
    </row>
    <row r="57" spans="1:52" ht="18" customHeight="1">
      <c r="A57" s="563"/>
      <c r="B57" s="1690" t="s">
        <v>120</v>
      </c>
      <c r="C57" s="1923">
        <f>现金流量!L36+现金流量!L37-现金流量!L42</f>
        <v>0</v>
      </c>
      <c r="D57" s="1923">
        <f>现金流量!M36+现金流量!M37-现金流量!M42</f>
        <v>-2.4925849100000002</v>
      </c>
      <c r="E57" s="1923">
        <f>现金流量!N36+现金流量!N37-现金流量!N42</f>
        <v>-207.44708469999998</v>
      </c>
      <c r="F57" s="1923">
        <f>现金流量!O36+现金流量!O37-现金流量!O42</f>
        <v>0</v>
      </c>
      <c r="G57" s="1923">
        <f>现金流量!P36+现金流量!P37-现金流量!P42</f>
        <v>0</v>
      </c>
      <c r="H57" s="563"/>
      <c r="N57" s="571"/>
      <c r="O57" s="568"/>
      <c r="P57" s="568"/>
      <c r="Q57" s="568"/>
      <c r="R57" s="568"/>
      <c r="S57" s="568"/>
      <c r="T57" s="568"/>
      <c r="U57" s="563"/>
      <c r="V57" s="563"/>
      <c r="W57" s="563"/>
      <c r="X57" s="563"/>
      <c r="Y57" s="563"/>
      <c r="Z57" s="563"/>
      <c r="AA57" s="563"/>
      <c r="AB57" s="563"/>
      <c r="AC57" s="563"/>
      <c r="AD57" s="563"/>
      <c r="AE57" s="563"/>
      <c r="AF57" s="563"/>
      <c r="AG57" s="563"/>
      <c r="AH57" s="563"/>
      <c r="AI57" s="563"/>
      <c r="AJ57" s="563"/>
      <c r="AK57" s="563"/>
      <c r="AL57" s="563"/>
      <c r="AM57" s="563"/>
      <c r="AN57" s="563"/>
      <c r="AO57" s="563"/>
      <c r="AP57" s="563"/>
      <c r="AQ57" s="563"/>
      <c r="AR57" s="563"/>
      <c r="AS57" s="563"/>
      <c r="AT57" s="563"/>
      <c r="AU57" s="563"/>
      <c r="AV57" s="563"/>
      <c r="AW57" s="563"/>
      <c r="AX57" s="563"/>
      <c r="AY57" s="563"/>
      <c r="AZ57" s="563"/>
    </row>
    <row r="58" spans="1:52" ht="18" customHeight="1">
      <c r="A58" s="563"/>
      <c r="B58" s="2314" t="s">
        <v>121</v>
      </c>
      <c r="C58" s="1923">
        <f>现金流量!L45</f>
        <v>-226.31432178</v>
      </c>
      <c r="D58" s="1923">
        <f>现金流量!M45</f>
        <v>864.03024291999998</v>
      </c>
      <c r="E58" s="1923">
        <f ca="1">现金流量!N45</f>
        <v>-2187.9847096306576</v>
      </c>
      <c r="F58" s="1923">
        <f ca="1">现金流量!O45</f>
        <v>-227.69993523137555</v>
      </c>
      <c r="G58" s="1923">
        <f ca="1">现金流量!P45</f>
        <v>-360.6054046049012</v>
      </c>
      <c r="H58" s="563"/>
      <c r="N58" s="571"/>
      <c r="O58" s="568"/>
      <c r="P58" s="568"/>
      <c r="Q58" s="568"/>
      <c r="R58" s="568"/>
      <c r="S58" s="568"/>
      <c r="T58" s="568"/>
      <c r="U58" s="563"/>
      <c r="V58" s="563"/>
      <c r="W58" s="563"/>
      <c r="X58" s="563"/>
      <c r="Y58" s="563"/>
      <c r="Z58" s="563"/>
      <c r="AA58" s="563"/>
      <c r="AB58" s="563"/>
      <c r="AC58" s="563"/>
      <c r="AD58" s="563"/>
      <c r="AE58" s="563"/>
      <c r="AF58" s="563"/>
      <c r="AG58" s="563"/>
      <c r="AH58" s="563"/>
      <c r="AI58" s="563"/>
      <c r="AJ58" s="563"/>
      <c r="AK58" s="563"/>
      <c r="AL58" s="563"/>
      <c r="AM58" s="563"/>
      <c r="AN58" s="563"/>
      <c r="AO58" s="563"/>
      <c r="AP58" s="563"/>
      <c r="AQ58" s="563"/>
      <c r="AR58" s="563"/>
      <c r="AS58" s="563"/>
      <c r="AT58" s="563"/>
      <c r="AU58" s="563"/>
      <c r="AV58" s="563"/>
      <c r="AW58" s="563"/>
      <c r="AX58" s="563"/>
      <c r="AY58" s="563"/>
      <c r="AZ58" s="563"/>
    </row>
    <row r="59" spans="1:52" ht="18" customHeight="1" thickBot="1">
      <c r="A59" s="563"/>
      <c r="B59" s="2313" t="s">
        <v>122</v>
      </c>
      <c r="C59" s="1923">
        <f>现金流量!L47</f>
        <v>109.70910626999999</v>
      </c>
      <c r="D59" s="1923">
        <f>现金流量!M47</f>
        <v>1311.11239746</v>
      </c>
      <c r="E59" s="1923">
        <f ca="1">现金流量!N47</f>
        <v>-1466.8916223699998</v>
      </c>
      <c r="F59" s="1923">
        <f ca="1">现金流量!O47</f>
        <v>0</v>
      </c>
      <c r="G59" s="1923">
        <f ca="1">现金流量!P47</f>
        <v>0</v>
      </c>
      <c r="H59" s="563"/>
      <c r="N59" s="571"/>
      <c r="O59" s="568"/>
      <c r="P59" s="568"/>
      <c r="Q59" s="568"/>
      <c r="R59" s="568"/>
      <c r="S59" s="568"/>
      <c r="T59" s="568"/>
      <c r="U59" s="563"/>
      <c r="V59" s="563"/>
      <c r="W59" s="563"/>
      <c r="X59" s="563"/>
      <c r="Y59" s="563"/>
      <c r="Z59" s="563"/>
      <c r="AA59" s="563"/>
      <c r="AB59" s="563"/>
      <c r="AC59" s="563"/>
      <c r="AD59" s="563"/>
      <c r="AE59" s="563"/>
      <c r="AF59" s="563"/>
      <c r="AG59" s="563"/>
      <c r="AH59" s="563"/>
      <c r="AI59" s="563"/>
      <c r="AJ59" s="563"/>
      <c r="AK59" s="563"/>
      <c r="AL59" s="563"/>
      <c r="AM59" s="563"/>
      <c r="AN59" s="563"/>
      <c r="AO59" s="563"/>
      <c r="AP59" s="563"/>
      <c r="AQ59" s="563"/>
      <c r="AR59" s="563"/>
      <c r="AS59" s="563"/>
      <c r="AT59" s="563"/>
      <c r="AU59" s="563"/>
      <c r="AV59" s="563"/>
      <c r="AW59" s="563"/>
      <c r="AX59" s="563"/>
      <c r="AY59" s="563"/>
      <c r="AZ59" s="563"/>
    </row>
    <row r="60" spans="1:52" s="600" customFormat="1" ht="18" hidden="1" customHeight="1">
      <c r="A60" s="595"/>
      <c r="B60" s="596"/>
      <c r="C60" s="597"/>
      <c r="D60" s="597"/>
      <c r="E60" s="597"/>
      <c r="F60" s="597"/>
      <c r="G60" s="597"/>
      <c r="H60" s="595"/>
      <c r="N60" s="598"/>
      <c r="O60" s="599"/>
      <c r="P60" s="599"/>
      <c r="Q60" s="599"/>
      <c r="R60" s="599"/>
      <c r="S60" s="599"/>
      <c r="T60" s="599"/>
      <c r="U60" s="595"/>
      <c r="V60" s="595"/>
      <c r="W60" s="595"/>
      <c r="X60" s="595"/>
      <c r="Y60" s="595"/>
      <c r="Z60" s="595"/>
      <c r="AA60" s="595"/>
      <c r="AB60" s="595"/>
      <c r="AC60" s="595"/>
      <c r="AD60" s="595"/>
      <c r="AE60" s="595"/>
      <c r="AF60" s="595"/>
      <c r="AG60" s="595"/>
      <c r="AH60" s="595"/>
      <c r="AI60" s="595"/>
      <c r="AJ60" s="595"/>
      <c r="AK60" s="595"/>
      <c r="AL60" s="595"/>
      <c r="AM60" s="595"/>
      <c r="AN60" s="595"/>
      <c r="AO60" s="595"/>
      <c r="AP60" s="595"/>
      <c r="AQ60" s="595"/>
      <c r="AR60" s="595"/>
      <c r="AS60" s="595"/>
      <c r="AT60" s="595"/>
      <c r="AU60" s="595"/>
      <c r="AV60" s="595"/>
      <c r="AW60" s="595"/>
      <c r="AX60" s="595"/>
      <c r="AY60" s="595"/>
      <c r="AZ60" s="595"/>
    </row>
    <row r="61" spans="1:52" s="600" customFormat="1" ht="18" hidden="1" customHeight="1">
      <c r="A61" s="595"/>
      <c r="B61" s="601"/>
      <c r="C61" s="602"/>
      <c r="D61" s="602"/>
      <c r="E61" s="602"/>
      <c r="F61" s="602"/>
      <c r="G61" s="602"/>
      <c r="H61" s="595"/>
      <c r="N61" s="598"/>
      <c r="O61" s="599"/>
      <c r="P61" s="599"/>
      <c r="Q61" s="599"/>
      <c r="R61" s="599"/>
      <c r="S61" s="599"/>
      <c r="T61" s="599"/>
      <c r="U61" s="595"/>
      <c r="V61" s="595"/>
      <c r="W61" s="595"/>
      <c r="X61" s="595"/>
      <c r="Y61" s="595"/>
      <c r="Z61" s="595"/>
      <c r="AA61" s="595"/>
      <c r="AB61" s="595"/>
      <c r="AC61" s="595"/>
      <c r="AD61" s="595"/>
      <c r="AE61" s="595"/>
      <c r="AF61" s="595"/>
      <c r="AG61" s="595"/>
      <c r="AH61" s="595"/>
      <c r="AI61" s="595"/>
      <c r="AJ61" s="595"/>
      <c r="AK61" s="595"/>
      <c r="AL61" s="595"/>
      <c r="AM61" s="595"/>
      <c r="AN61" s="595"/>
      <c r="AO61" s="595"/>
      <c r="AP61" s="595"/>
      <c r="AQ61" s="595"/>
      <c r="AR61" s="595"/>
      <c r="AS61" s="595"/>
      <c r="AT61" s="595"/>
      <c r="AU61" s="595"/>
      <c r="AV61" s="595"/>
      <c r="AW61" s="595"/>
      <c r="AX61" s="595"/>
      <c r="AY61" s="595"/>
      <c r="AZ61" s="595"/>
    </row>
    <row r="62" spans="1:52" ht="18" customHeight="1">
      <c r="A62" s="563"/>
      <c r="B62" s="2542" t="s">
        <v>1460</v>
      </c>
      <c r="C62" s="2543"/>
      <c r="D62" s="2543"/>
      <c r="E62" s="2543"/>
      <c r="F62" s="2543"/>
      <c r="G62" s="2543"/>
      <c r="H62" s="563"/>
      <c r="N62" s="571"/>
      <c r="O62" s="568"/>
      <c r="P62" s="568"/>
      <c r="Q62" s="568"/>
      <c r="R62" s="568"/>
      <c r="S62" s="568"/>
      <c r="T62" s="568"/>
      <c r="U62" s="563"/>
      <c r="V62" s="563"/>
      <c r="W62" s="563"/>
      <c r="X62" s="563"/>
      <c r="Y62" s="563"/>
      <c r="Z62" s="563"/>
      <c r="AA62" s="563"/>
      <c r="AB62" s="563"/>
      <c r="AC62" s="563"/>
      <c r="AD62" s="563"/>
      <c r="AE62" s="563"/>
      <c r="AF62" s="563"/>
      <c r="AG62" s="563"/>
      <c r="AH62" s="563"/>
      <c r="AI62" s="563"/>
      <c r="AJ62" s="563"/>
      <c r="AK62" s="563"/>
      <c r="AL62" s="563"/>
      <c r="AM62" s="563"/>
      <c r="AN62" s="563"/>
      <c r="AO62" s="563"/>
      <c r="AP62" s="563"/>
      <c r="AQ62" s="563"/>
      <c r="AR62" s="563"/>
      <c r="AS62" s="563"/>
      <c r="AT62" s="563"/>
      <c r="AU62" s="563"/>
      <c r="AV62" s="563"/>
      <c r="AW62" s="563"/>
      <c r="AX62" s="563"/>
      <c r="AY62" s="563"/>
      <c r="AZ62" s="563"/>
    </row>
    <row r="63" spans="1:52" ht="18" customHeight="1">
      <c r="A63" s="563"/>
      <c r="B63" s="603"/>
      <c r="C63" s="603"/>
      <c r="D63" s="603"/>
      <c r="E63" s="603"/>
      <c r="F63" s="603"/>
      <c r="G63" s="603"/>
      <c r="H63" s="563"/>
      <c r="I63" s="563"/>
      <c r="J63" s="563"/>
      <c r="K63" s="563"/>
      <c r="L63" s="563"/>
      <c r="M63" s="563"/>
      <c r="N63" s="571"/>
      <c r="O63" s="568"/>
      <c r="P63" s="568"/>
      <c r="Q63" s="568"/>
      <c r="R63" s="568"/>
      <c r="S63" s="568"/>
      <c r="T63" s="568"/>
      <c r="U63" s="563"/>
      <c r="V63" s="563"/>
      <c r="W63" s="563"/>
      <c r="X63" s="563"/>
      <c r="Y63" s="563"/>
      <c r="Z63" s="563"/>
      <c r="AA63" s="563"/>
      <c r="AB63" s="563"/>
      <c r="AC63" s="563"/>
      <c r="AD63" s="563"/>
      <c r="AE63" s="563"/>
      <c r="AF63" s="563"/>
      <c r="AG63" s="563"/>
      <c r="AH63" s="563"/>
      <c r="AI63" s="563"/>
      <c r="AJ63" s="563"/>
      <c r="AK63" s="563"/>
      <c r="AL63" s="563"/>
      <c r="AM63" s="563"/>
      <c r="AN63" s="563"/>
      <c r="AO63" s="563"/>
      <c r="AP63" s="563"/>
      <c r="AQ63" s="563"/>
      <c r="AR63" s="563"/>
      <c r="AS63" s="563"/>
      <c r="AT63" s="563"/>
      <c r="AU63" s="563"/>
      <c r="AV63" s="563"/>
      <c r="AW63" s="563"/>
      <c r="AX63" s="563"/>
      <c r="AY63" s="563"/>
      <c r="AZ63" s="563"/>
    </row>
    <row r="64" spans="1:52" ht="18" customHeight="1" thickBot="1">
      <c r="A64" s="563"/>
      <c r="B64" s="604" t="s">
        <v>124</v>
      </c>
      <c r="C64" s="605"/>
      <c r="D64" s="605"/>
      <c r="E64" s="605"/>
      <c r="F64" s="605"/>
      <c r="G64" s="605"/>
      <c r="H64" s="606"/>
      <c r="I64" s="606"/>
      <c r="J64" s="606"/>
      <c r="K64" s="606"/>
      <c r="L64" s="606"/>
      <c r="M64" s="606"/>
      <c r="N64" s="571"/>
      <c r="O64" s="568"/>
      <c r="P64" s="568"/>
      <c r="Q64" s="568"/>
      <c r="R64" s="568"/>
      <c r="S64" s="568"/>
      <c r="T64" s="568"/>
      <c r="U64" s="563"/>
      <c r="V64" s="563"/>
      <c r="W64" s="563"/>
      <c r="X64" s="563"/>
      <c r="Y64" s="563"/>
      <c r="Z64" s="563"/>
      <c r="AA64" s="563"/>
      <c r="AB64" s="563"/>
      <c r="AC64" s="563"/>
      <c r="AD64" s="563"/>
      <c r="AE64" s="563"/>
      <c r="AF64" s="563"/>
      <c r="AG64" s="563"/>
      <c r="AH64" s="563"/>
      <c r="AI64" s="563"/>
      <c r="AJ64" s="563"/>
      <c r="AK64" s="563"/>
      <c r="AL64" s="563"/>
      <c r="AM64" s="563"/>
      <c r="AN64" s="563"/>
      <c r="AO64" s="563"/>
      <c r="AP64" s="563"/>
      <c r="AQ64" s="563"/>
      <c r="AR64" s="563"/>
      <c r="AS64" s="563"/>
      <c r="AT64" s="563"/>
      <c r="AU64" s="563"/>
      <c r="AV64" s="563"/>
      <c r="AW64" s="563"/>
      <c r="AX64" s="563"/>
      <c r="AY64" s="563"/>
      <c r="AZ64" s="563"/>
    </row>
    <row r="65" spans="1:52" ht="18" customHeight="1" thickTop="1">
      <c r="A65" s="563"/>
      <c r="B65" s="576"/>
      <c r="C65" s="576"/>
      <c r="D65" s="576"/>
      <c r="E65" s="576"/>
      <c r="F65" s="576"/>
      <c r="G65" s="576"/>
      <c r="H65" s="607"/>
      <c r="I65" s="607"/>
      <c r="J65" s="607"/>
      <c r="K65" s="607"/>
      <c r="L65" s="607"/>
      <c r="M65" s="607"/>
      <c r="N65" s="571"/>
      <c r="O65" s="568"/>
      <c r="P65" s="568"/>
      <c r="Q65" s="568"/>
      <c r="R65" s="568"/>
      <c r="S65" s="568"/>
      <c r="T65" s="568"/>
      <c r="U65" s="563"/>
      <c r="V65" s="563"/>
      <c r="W65" s="563"/>
      <c r="X65" s="563"/>
      <c r="Y65" s="563"/>
      <c r="Z65" s="563"/>
      <c r="AA65" s="563"/>
      <c r="AB65" s="563"/>
      <c r="AC65" s="563"/>
      <c r="AD65" s="563"/>
      <c r="AE65" s="563"/>
      <c r="AF65" s="563"/>
      <c r="AG65" s="563"/>
      <c r="AH65" s="563"/>
      <c r="AI65" s="563"/>
      <c r="AJ65" s="563"/>
      <c r="AK65" s="563"/>
      <c r="AL65" s="563"/>
      <c r="AM65" s="563"/>
      <c r="AN65" s="563"/>
      <c r="AO65" s="563"/>
      <c r="AP65" s="563"/>
      <c r="AQ65" s="563"/>
      <c r="AR65" s="563"/>
      <c r="AS65" s="563"/>
      <c r="AT65" s="563"/>
      <c r="AU65" s="563"/>
      <c r="AV65" s="563"/>
      <c r="AW65" s="563"/>
      <c r="AX65" s="563"/>
      <c r="AY65" s="563"/>
      <c r="AZ65" s="563"/>
    </row>
    <row r="66" spans="1:52" ht="18" customHeight="1" thickBot="1">
      <c r="A66" s="563"/>
      <c r="B66" s="2536" t="s">
        <v>125</v>
      </c>
      <c r="C66" s="2536"/>
      <c r="D66" s="2536"/>
      <c r="E66" s="2536"/>
      <c r="F66" s="2536"/>
      <c r="G66" s="2536"/>
      <c r="H66" s="563"/>
      <c r="I66" s="563"/>
      <c r="J66" s="563"/>
      <c r="K66" s="563"/>
      <c r="L66" s="563"/>
      <c r="M66" s="563"/>
      <c r="N66" s="571"/>
      <c r="O66" s="568"/>
      <c r="P66" s="568"/>
      <c r="Q66" s="568"/>
      <c r="R66" s="568"/>
      <c r="S66" s="568"/>
      <c r="T66" s="568"/>
      <c r="U66" s="563"/>
      <c r="V66" s="563"/>
      <c r="W66" s="563"/>
      <c r="X66" s="563"/>
      <c r="Y66" s="563"/>
      <c r="Z66" s="563"/>
      <c r="AA66" s="563"/>
      <c r="AB66" s="563"/>
      <c r="AC66" s="563"/>
      <c r="AD66" s="563"/>
      <c r="AE66" s="563"/>
      <c r="AF66" s="563"/>
      <c r="AG66" s="563"/>
      <c r="AH66" s="563"/>
      <c r="AI66" s="563"/>
      <c r="AJ66" s="563"/>
      <c r="AK66" s="563"/>
      <c r="AL66" s="563"/>
      <c r="AM66" s="563"/>
      <c r="AN66" s="563"/>
      <c r="AO66" s="563"/>
      <c r="AP66" s="563"/>
      <c r="AQ66" s="563"/>
      <c r="AR66" s="563"/>
      <c r="AS66" s="563"/>
      <c r="AT66" s="563"/>
      <c r="AU66" s="563"/>
      <c r="AV66" s="563"/>
      <c r="AW66" s="563"/>
      <c r="AX66" s="563"/>
      <c r="AY66" s="563"/>
      <c r="AZ66" s="563"/>
    </row>
    <row r="67" spans="1:52" ht="18" customHeight="1">
      <c r="A67" s="563"/>
      <c r="B67" s="572" t="s">
        <v>89</v>
      </c>
      <c r="C67" s="573">
        <f>C5</f>
        <v>2018</v>
      </c>
      <c r="D67" s="573">
        <f>D5</f>
        <v>2019</v>
      </c>
      <c r="E67" s="573" t="str">
        <f>E5</f>
        <v>2020E</v>
      </c>
      <c r="F67" s="573" t="str">
        <f>F5</f>
        <v>2021E</v>
      </c>
      <c r="G67" s="573" t="str">
        <f>G5</f>
        <v>2022E</v>
      </c>
      <c r="H67" s="563"/>
      <c r="I67" s="580" t="s">
        <v>126</v>
      </c>
      <c r="J67" s="563"/>
      <c r="K67" s="563"/>
      <c r="L67" s="563"/>
      <c r="M67" s="563"/>
      <c r="N67" s="608"/>
      <c r="O67" s="568"/>
      <c r="P67" s="568"/>
      <c r="Q67" s="568"/>
      <c r="R67" s="568"/>
      <c r="S67" s="568"/>
      <c r="T67" s="568"/>
      <c r="U67" s="563"/>
      <c r="V67" s="563"/>
      <c r="W67" s="563"/>
      <c r="X67" s="563"/>
      <c r="Y67" s="563"/>
      <c r="Z67" s="563"/>
      <c r="AA67" s="563"/>
      <c r="AB67" s="563"/>
      <c r="AC67" s="563"/>
      <c r="AD67" s="563"/>
      <c r="AE67" s="563"/>
      <c r="AF67" s="563"/>
      <c r="AG67" s="563"/>
      <c r="AH67" s="563"/>
      <c r="AI67" s="563"/>
      <c r="AJ67" s="563"/>
      <c r="AK67" s="563"/>
      <c r="AL67" s="563"/>
      <c r="AM67" s="563"/>
      <c r="AN67" s="563"/>
      <c r="AO67" s="563"/>
      <c r="AP67" s="563"/>
      <c r="AQ67" s="563"/>
      <c r="AR67" s="563"/>
      <c r="AS67" s="563"/>
      <c r="AT67" s="563"/>
      <c r="AU67" s="563"/>
      <c r="AV67" s="563"/>
      <c r="AW67" s="563"/>
      <c r="AX67" s="563"/>
      <c r="AY67" s="563"/>
      <c r="AZ67" s="563"/>
    </row>
    <row r="68" spans="1:52" ht="18" customHeight="1">
      <c r="A68" s="563"/>
      <c r="B68" s="2315" t="s">
        <v>127</v>
      </c>
      <c r="C68" s="1926">
        <f>资产负债!L17</f>
        <v>5013.9663203</v>
      </c>
      <c r="D68" s="1926">
        <f>资产负债!M17</f>
        <v>6744.6232986699997</v>
      </c>
      <c r="E68" s="1926">
        <f ca="1">资产负债!N17</f>
        <v>5613.3250847722729</v>
      </c>
      <c r="F68" s="1926">
        <f ca="1">资产负债!O17</f>
        <v>6429.5458081747774</v>
      </c>
      <c r="G68" s="1926">
        <f ca="1">资产负债!P17</f>
        <v>7122.3996759252559</v>
      </c>
      <c r="H68" s="563"/>
      <c r="I68" s="563"/>
      <c r="J68" s="563"/>
      <c r="K68" s="563"/>
      <c r="L68" s="563"/>
      <c r="M68" s="563"/>
      <c r="N68" s="608"/>
      <c r="O68" s="568"/>
      <c r="P68" s="568"/>
      <c r="Q68" s="568"/>
      <c r="R68" s="568"/>
      <c r="S68" s="568"/>
      <c r="T68" s="568"/>
      <c r="U68" s="563"/>
      <c r="V68" s="563"/>
      <c r="W68" s="563"/>
      <c r="X68" s="563"/>
      <c r="Y68" s="563"/>
      <c r="Z68" s="563"/>
      <c r="AA68" s="563"/>
      <c r="AB68" s="563"/>
      <c r="AC68" s="563"/>
      <c r="AD68" s="563"/>
      <c r="AE68" s="563"/>
      <c r="AF68" s="563"/>
      <c r="AG68" s="563"/>
      <c r="AH68" s="563"/>
      <c r="AI68" s="563"/>
      <c r="AJ68" s="563"/>
      <c r="AK68" s="563"/>
      <c r="AL68" s="563"/>
      <c r="AM68" s="563"/>
      <c r="AN68" s="563"/>
      <c r="AO68" s="563"/>
      <c r="AP68" s="563"/>
      <c r="AQ68" s="563"/>
      <c r="AR68" s="563"/>
      <c r="AS68" s="563"/>
      <c r="AT68" s="563"/>
      <c r="AU68" s="563"/>
      <c r="AV68" s="563"/>
      <c r="AW68" s="563"/>
      <c r="AX68" s="563"/>
      <c r="AY68" s="563"/>
      <c r="AZ68" s="563"/>
    </row>
    <row r="69" spans="1:52" ht="18" customHeight="1">
      <c r="A69" s="563"/>
      <c r="B69" s="1690" t="s">
        <v>128</v>
      </c>
      <c r="C69" s="1926">
        <f>资产负债!L4+资产负债!L5+资产负债!L6</f>
        <v>494.74922277000002</v>
      </c>
      <c r="D69" s="1926">
        <f>资产负债!M4+资产负债!M5+资产负债!M6</f>
        <v>2558.1059912199999</v>
      </c>
      <c r="E69" s="1926">
        <f ca="1">资产负债!N4+资产负债!N5+资产负债!N6</f>
        <v>1766.9262375799999</v>
      </c>
      <c r="F69" s="1926">
        <f ca="1">资产负债!O4+资产负债!O5+资产负债!O6</f>
        <v>2442.6381063099998</v>
      </c>
      <c r="G69" s="1926">
        <f ca="1">资产负债!P4+资产负债!P5+资产负债!P6</f>
        <v>3118.3499750399997</v>
      </c>
      <c r="H69" s="563"/>
      <c r="I69" s="563"/>
      <c r="J69" s="563"/>
      <c r="K69" s="563"/>
      <c r="L69" s="563"/>
      <c r="M69" s="563"/>
      <c r="N69" s="567"/>
      <c r="O69" s="568"/>
      <c r="P69" s="568"/>
      <c r="Q69" s="568"/>
      <c r="R69" s="568"/>
      <c r="S69" s="568"/>
      <c r="T69" s="568"/>
      <c r="U69" s="563"/>
      <c r="V69" s="563"/>
      <c r="W69" s="563"/>
      <c r="X69" s="563"/>
      <c r="Y69" s="563"/>
      <c r="Z69" s="563"/>
      <c r="AA69" s="563"/>
      <c r="AB69" s="563"/>
      <c r="AC69" s="563"/>
      <c r="AD69" s="563"/>
      <c r="AE69" s="563"/>
      <c r="AF69" s="563"/>
      <c r="AG69" s="563"/>
      <c r="AH69" s="563"/>
      <c r="AI69" s="563"/>
      <c r="AJ69" s="563"/>
      <c r="AK69" s="563"/>
      <c r="AL69" s="563"/>
      <c r="AM69" s="563"/>
      <c r="AN69" s="563"/>
      <c r="AO69" s="563"/>
      <c r="AP69" s="563"/>
      <c r="AQ69" s="563"/>
      <c r="AR69" s="563"/>
      <c r="AS69" s="563"/>
      <c r="AT69" s="563"/>
      <c r="AU69" s="563"/>
      <c r="AV69" s="563"/>
      <c r="AW69" s="563"/>
      <c r="AX69" s="563"/>
      <c r="AY69" s="563"/>
      <c r="AZ69" s="563"/>
    </row>
    <row r="70" spans="1:52" ht="18" customHeight="1">
      <c r="A70" s="563"/>
      <c r="B70" s="2316" t="s">
        <v>129</v>
      </c>
      <c r="C70" s="1926">
        <f>资产负债!L7</f>
        <v>2808.4926688400001</v>
      </c>
      <c r="D70" s="1926">
        <f>资产负债!M7</f>
        <v>3134.4389875899997</v>
      </c>
      <c r="E70" s="1926">
        <f>资产负债!N7</f>
        <v>2980.7602065722731</v>
      </c>
      <c r="F70" s="1926">
        <f>资产负债!O7</f>
        <v>3039.9996469481107</v>
      </c>
      <c r="G70" s="1926">
        <f>资产负债!P7</f>
        <v>3049.1746957530345</v>
      </c>
      <c r="H70" s="563"/>
      <c r="I70" s="563"/>
      <c r="J70" s="563"/>
      <c r="K70" s="563"/>
      <c r="L70" s="563"/>
      <c r="M70" s="563"/>
      <c r="N70" s="567"/>
      <c r="O70" s="563"/>
      <c r="P70" s="563"/>
      <c r="Q70" s="563"/>
      <c r="R70" s="563"/>
      <c r="S70" s="563"/>
      <c r="T70" s="563"/>
      <c r="U70" s="563"/>
      <c r="V70" s="563"/>
      <c r="W70" s="563"/>
      <c r="X70" s="563"/>
      <c r="Y70" s="563"/>
      <c r="Z70" s="563"/>
      <c r="AA70" s="563"/>
      <c r="AB70" s="563"/>
      <c r="AC70" s="563"/>
      <c r="AD70" s="563"/>
      <c r="AE70" s="563"/>
      <c r="AF70" s="563"/>
      <c r="AG70" s="563"/>
      <c r="AH70" s="563"/>
      <c r="AI70" s="563"/>
      <c r="AJ70" s="563"/>
      <c r="AK70" s="563"/>
      <c r="AL70" s="563"/>
      <c r="AM70" s="563"/>
      <c r="AN70" s="563"/>
      <c r="AO70" s="563"/>
      <c r="AP70" s="563"/>
      <c r="AQ70" s="563"/>
      <c r="AR70" s="563"/>
      <c r="AS70" s="563"/>
      <c r="AT70" s="563"/>
      <c r="AU70" s="563"/>
      <c r="AV70" s="563"/>
      <c r="AW70" s="563"/>
      <c r="AX70" s="563"/>
      <c r="AY70" s="563"/>
      <c r="AZ70" s="563"/>
    </row>
    <row r="71" spans="1:52" ht="18" customHeight="1">
      <c r="A71" s="563"/>
      <c r="B71" s="1690" t="s">
        <v>130</v>
      </c>
      <c r="C71" s="1926">
        <f>资产负债!L13</f>
        <v>780.10735330999989</v>
      </c>
      <c r="D71" s="1926">
        <f>资产负债!M13</f>
        <v>909.17846889999998</v>
      </c>
      <c r="E71" s="1926">
        <f>资产负债!N13</f>
        <v>722.73878965999995</v>
      </c>
      <c r="F71" s="1926">
        <f>资产负债!O13</f>
        <v>804.00820395666653</v>
      </c>
      <c r="G71" s="1926">
        <f>资产负债!P13</f>
        <v>811.97515417222212</v>
      </c>
      <c r="H71" s="563"/>
      <c r="I71" s="563"/>
      <c r="J71" s="563"/>
      <c r="K71" s="563"/>
      <c r="L71" s="563"/>
      <c r="M71" s="563"/>
      <c r="N71" s="567"/>
      <c r="O71" s="563"/>
      <c r="P71" s="563"/>
      <c r="Q71" s="563"/>
      <c r="R71" s="563"/>
      <c r="S71" s="563"/>
      <c r="T71" s="563"/>
      <c r="U71" s="563"/>
      <c r="V71" s="563"/>
      <c r="W71" s="563"/>
      <c r="X71" s="563"/>
      <c r="Y71" s="563"/>
      <c r="Z71" s="563"/>
      <c r="AA71" s="563"/>
      <c r="AB71" s="563"/>
      <c r="AC71" s="563"/>
      <c r="AD71" s="563"/>
      <c r="AE71" s="563"/>
      <c r="AF71" s="563"/>
      <c r="AG71" s="563"/>
      <c r="AH71" s="563"/>
      <c r="AI71" s="563"/>
      <c r="AJ71" s="563"/>
      <c r="AK71" s="563"/>
      <c r="AL71" s="563"/>
      <c r="AM71" s="563"/>
      <c r="AN71" s="563"/>
      <c r="AO71" s="563"/>
      <c r="AP71" s="563"/>
      <c r="AQ71" s="563"/>
      <c r="AR71" s="563"/>
      <c r="AS71" s="563"/>
      <c r="AT71" s="563"/>
      <c r="AU71" s="563"/>
      <c r="AV71" s="563"/>
      <c r="AW71" s="563"/>
      <c r="AX71" s="563"/>
      <c r="AY71" s="563"/>
      <c r="AZ71" s="563"/>
    </row>
    <row r="72" spans="1:52" ht="18" customHeight="1">
      <c r="A72" s="563"/>
      <c r="B72" s="1690" t="s">
        <v>1458</v>
      </c>
      <c r="C72" s="1926">
        <f>资产负债!L14</f>
        <v>0</v>
      </c>
      <c r="D72" s="1926">
        <f>资产负债!M14</f>
        <v>0</v>
      </c>
      <c r="E72" s="1926">
        <f>资产负债!N14</f>
        <v>0</v>
      </c>
      <c r="F72" s="1926">
        <f>资产负债!O14</f>
        <v>0</v>
      </c>
      <c r="G72" s="1926">
        <f>资产负债!P14</f>
        <v>0</v>
      </c>
      <c r="H72" s="563"/>
      <c r="I72" s="563"/>
      <c r="J72" s="563"/>
      <c r="K72" s="563"/>
      <c r="L72" s="563"/>
      <c r="M72" s="563"/>
      <c r="N72" s="567"/>
      <c r="O72" s="563"/>
      <c r="P72" s="563"/>
      <c r="Q72" s="563"/>
      <c r="R72" s="563"/>
      <c r="S72" s="563"/>
      <c r="T72" s="563"/>
      <c r="U72" s="563"/>
      <c r="V72" s="563"/>
      <c r="W72" s="563"/>
      <c r="X72" s="563"/>
      <c r="Y72" s="563"/>
      <c r="Z72" s="563"/>
      <c r="AA72" s="563"/>
      <c r="AB72" s="563"/>
      <c r="AC72" s="563"/>
      <c r="AD72" s="563"/>
      <c r="AE72" s="563"/>
      <c r="AF72" s="563"/>
      <c r="AG72" s="563"/>
      <c r="AH72" s="563"/>
      <c r="AI72" s="563"/>
      <c r="AJ72" s="563"/>
      <c r="AK72" s="563"/>
      <c r="AL72" s="563"/>
      <c r="AM72" s="563"/>
      <c r="AN72" s="563"/>
      <c r="AO72" s="563"/>
      <c r="AP72" s="563"/>
      <c r="AQ72" s="563"/>
      <c r="AR72" s="563"/>
      <c r="AS72" s="563"/>
      <c r="AT72" s="563"/>
      <c r="AU72" s="563"/>
      <c r="AV72" s="563"/>
      <c r="AW72" s="563"/>
      <c r="AX72" s="563"/>
      <c r="AY72" s="563"/>
      <c r="AZ72" s="563"/>
    </row>
    <row r="73" spans="1:52" ht="18" customHeight="1">
      <c r="A73" s="563"/>
      <c r="B73" s="2316" t="s">
        <v>131</v>
      </c>
      <c r="C73" s="1926">
        <f>资产负债!L15+资产负债!L16</f>
        <v>930.61707538000007</v>
      </c>
      <c r="D73" s="1926">
        <f>资产负债!M15+资产负债!M16</f>
        <v>142.89985096000001</v>
      </c>
      <c r="E73" s="1926">
        <f>资产负债!N15+资产负债!N16</f>
        <v>142.89985096000001</v>
      </c>
      <c r="F73" s="1926">
        <f>资产负债!O15+资产负债!O16</f>
        <v>142.89985096000001</v>
      </c>
      <c r="G73" s="1926">
        <f>资产负债!P15+资产负债!P16</f>
        <v>142.89985096000001</v>
      </c>
      <c r="H73" s="563"/>
      <c r="I73" s="563"/>
      <c r="J73" s="563"/>
      <c r="K73" s="563"/>
      <c r="L73" s="563"/>
      <c r="M73" s="563"/>
      <c r="N73" s="609"/>
      <c r="O73" s="563"/>
      <c r="P73" s="563"/>
      <c r="Q73" s="563"/>
      <c r="R73" s="563"/>
      <c r="S73" s="563"/>
      <c r="T73" s="563"/>
      <c r="U73" s="563"/>
      <c r="V73" s="563"/>
      <c r="W73" s="563"/>
      <c r="X73" s="563"/>
      <c r="Y73" s="563"/>
      <c r="Z73" s="563"/>
      <c r="AA73" s="563"/>
      <c r="AB73" s="563"/>
      <c r="AC73" s="563"/>
      <c r="AD73" s="563"/>
      <c r="AE73" s="563"/>
      <c r="AF73" s="563"/>
      <c r="AG73" s="563"/>
      <c r="AH73" s="563"/>
      <c r="AI73" s="563"/>
      <c r="AJ73" s="563"/>
      <c r="AK73" s="563"/>
      <c r="AL73" s="563"/>
      <c r="AM73" s="563"/>
      <c r="AN73" s="563"/>
      <c r="AO73" s="563"/>
      <c r="AP73" s="563"/>
      <c r="AQ73" s="563"/>
      <c r="AR73" s="563"/>
      <c r="AS73" s="563"/>
      <c r="AT73" s="563"/>
      <c r="AU73" s="563"/>
      <c r="AV73" s="563"/>
      <c r="AW73" s="563"/>
      <c r="AX73" s="563"/>
      <c r="AY73" s="563"/>
      <c r="AZ73" s="563"/>
    </row>
    <row r="74" spans="1:52" ht="18" customHeight="1">
      <c r="A74" s="563"/>
      <c r="B74" s="2313" t="s">
        <v>132</v>
      </c>
      <c r="C74" s="1926">
        <f>资产负债!L19+资产负债!L20+资产负债!L21+资产负债!L22+资产负债!L24+资产负债!L25+资产负债!L26</f>
        <v>13.930983509999999</v>
      </c>
      <c r="D74" s="1926">
        <f>资产负债!M19+资产负债!M20+资产负债!M21+资产负债!M22+资产负债!M24+资产负债!M25+资产负债!M26</f>
        <v>0</v>
      </c>
      <c r="E74" s="1926">
        <f>资产负债!N19+资产负债!N20+资产负债!N21+资产负债!N22+资产负债!N24+资产负债!N25+资产负债!N26</f>
        <v>0</v>
      </c>
      <c r="F74" s="1926">
        <f>资产负债!O19+资产负债!O20+资产负债!O21+资产负债!O22+资产负债!O24+资产负债!O25+资产负债!O26</f>
        <v>0</v>
      </c>
      <c r="G74" s="1926">
        <f>资产负债!P19+资产负债!P20+资产负债!P21+资产负债!P22+资产负债!P24+资产负债!P25+资产负债!P26</f>
        <v>0</v>
      </c>
      <c r="H74" s="563"/>
      <c r="I74" s="563"/>
      <c r="J74" s="563"/>
      <c r="K74" s="563"/>
      <c r="L74" s="563"/>
      <c r="M74" s="563"/>
      <c r="N74" s="571"/>
      <c r="O74" s="563"/>
      <c r="P74" s="563"/>
      <c r="Q74" s="563"/>
      <c r="R74" s="563"/>
      <c r="S74" s="563"/>
      <c r="T74" s="563"/>
      <c r="U74" s="563"/>
      <c r="V74" s="563"/>
      <c r="W74" s="563"/>
      <c r="X74" s="563"/>
      <c r="Y74" s="563"/>
      <c r="Z74" s="563"/>
      <c r="AA74" s="563"/>
      <c r="AB74" s="563"/>
      <c r="AC74" s="563"/>
      <c r="AD74" s="563"/>
      <c r="AE74" s="563"/>
      <c r="AF74" s="563"/>
      <c r="AG74" s="563"/>
      <c r="AH74" s="563"/>
      <c r="AI74" s="563"/>
      <c r="AJ74" s="563"/>
      <c r="AK74" s="563"/>
      <c r="AL74" s="563"/>
      <c r="AM74" s="563"/>
      <c r="AN74" s="563"/>
      <c r="AO74" s="563"/>
      <c r="AP74" s="563"/>
      <c r="AQ74" s="563"/>
      <c r="AR74" s="563"/>
      <c r="AS74" s="563"/>
      <c r="AT74" s="563"/>
      <c r="AU74" s="563"/>
      <c r="AV74" s="563"/>
      <c r="AW74" s="563"/>
      <c r="AX74" s="563"/>
      <c r="AY74" s="563"/>
      <c r="AZ74" s="563"/>
    </row>
    <row r="75" spans="1:52" ht="18" customHeight="1">
      <c r="A75" s="563"/>
      <c r="B75" s="2313" t="s">
        <v>133</v>
      </c>
      <c r="C75" s="1926">
        <f>资产负债!L28+资产负债!L29</f>
        <v>1166.5797820700002</v>
      </c>
      <c r="D75" s="1926">
        <f>资产负债!M28+资产负债!M29</f>
        <v>1290.26557084</v>
      </c>
      <c r="E75" s="1926">
        <f>资产负债!N28+资产负债!N29</f>
        <v>1218.0408612906667</v>
      </c>
      <c r="F75" s="1926">
        <f>资产负债!O28+资产负债!O29</f>
        <v>1145.8161517413332</v>
      </c>
      <c r="G75" s="1926">
        <f>资产负债!P28+资产负债!P29</f>
        <v>1073.5914421919999</v>
      </c>
      <c r="H75" s="563"/>
      <c r="I75" s="563"/>
      <c r="J75" s="563"/>
      <c r="K75" s="563"/>
      <c r="L75" s="563"/>
      <c r="M75" s="563"/>
      <c r="N75" s="571"/>
      <c r="O75" s="568"/>
      <c r="P75" s="568"/>
      <c r="Q75" s="568"/>
      <c r="R75" s="568"/>
      <c r="S75" s="568"/>
      <c r="T75" s="568"/>
      <c r="U75" s="563"/>
      <c r="V75" s="563"/>
      <c r="W75" s="563"/>
      <c r="X75" s="563"/>
      <c r="Y75" s="563"/>
      <c r="Z75" s="563"/>
      <c r="AA75" s="563"/>
      <c r="AB75" s="563"/>
      <c r="AC75" s="563"/>
      <c r="AD75" s="563"/>
      <c r="AE75" s="563"/>
      <c r="AF75" s="563"/>
      <c r="AG75" s="563"/>
      <c r="AH75" s="563"/>
      <c r="AI75" s="563"/>
      <c r="AJ75" s="563"/>
      <c r="AK75" s="563"/>
      <c r="AL75" s="563"/>
      <c r="AM75" s="563"/>
      <c r="AN75" s="563"/>
      <c r="AO75" s="563"/>
      <c r="AP75" s="563"/>
      <c r="AQ75" s="563"/>
      <c r="AR75" s="563"/>
      <c r="AS75" s="563"/>
      <c r="AT75" s="563"/>
      <c r="AU75" s="563"/>
      <c r="AV75" s="563"/>
      <c r="AW75" s="563"/>
      <c r="AX75" s="563"/>
      <c r="AY75" s="563"/>
      <c r="AZ75" s="563"/>
    </row>
    <row r="76" spans="1:52" ht="18" customHeight="1">
      <c r="A76" s="563"/>
      <c r="B76" s="2313" t="s">
        <v>134</v>
      </c>
      <c r="C76" s="1926">
        <f>资产负债!L23+资产负债!L27+资产负债!L30+资产负债!L34+资产负债!L35+资产负债!L36+资产负债!L37</f>
        <v>261.44071078000002</v>
      </c>
      <c r="D76" s="1926">
        <f>资产负债!M23+资产负债!M27+资产负债!M30+资产负债!M34+资产负债!M35+资产负债!M36+资产负债!M37</f>
        <v>270.21807210999998</v>
      </c>
      <c r="E76" s="1926">
        <f>资产负债!N23+资产负债!N27+资产负债!N30+资产负债!N34+资产负债!N35+资产负债!N36+资产负债!N37</f>
        <v>270.21807210999998</v>
      </c>
      <c r="F76" s="1926">
        <f>资产负债!O23+资产负债!O27+资产负债!O30+资产负债!O34+资产负债!O35+资产负债!O36+资产负债!O37</f>
        <v>270.21807210999998</v>
      </c>
      <c r="G76" s="1926">
        <f>资产负债!P23+资产负债!P27+资产负债!P30+资产负债!P34+资产负债!P35+资产负债!P36+资产负债!P37</f>
        <v>270.21807210999998</v>
      </c>
      <c r="H76" s="563"/>
      <c r="I76" s="563"/>
      <c r="J76" s="563"/>
      <c r="K76" s="563"/>
      <c r="L76" s="563"/>
      <c r="M76" s="563"/>
      <c r="N76" s="571"/>
      <c r="O76" s="568"/>
      <c r="P76" s="568"/>
      <c r="Q76" s="568"/>
      <c r="R76" s="568"/>
      <c r="S76" s="568"/>
      <c r="T76" s="568"/>
      <c r="U76" s="563"/>
      <c r="V76" s="563"/>
      <c r="W76" s="563"/>
      <c r="X76" s="563"/>
      <c r="Y76" s="563"/>
      <c r="Z76" s="563"/>
      <c r="AA76" s="563"/>
      <c r="AB76" s="563"/>
      <c r="AC76" s="563"/>
      <c r="AD76" s="563"/>
      <c r="AE76" s="563"/>
      <c r="AF76" s="563"/>
      <c r="AG76" s="563"/>
      <c r="AH76" s="563"/>
      <c r="AI76" s="563"/>
      <c r="AJ76" s="563"/>
      <c r="AK76" s="563"/>
      <c r="AL76" s="563"/>
      <c r="AM76" s="563"/>
      <c r="AN76" s="563"/>
      <c r="AO76" s="563"/>
      <c r="AP76" s="563"/>
      <c r="AQ76" s="563"/>
      <c r="AR76" s="563"/>
      <c r="AS76" s="563"/>
      <c r="AT76" s="563"/>
      <c r="AU76" s="563"/>
      <c r="AV76" s="563"/>
      <c r="AW76" s="563"/>
      <c r="AX76" s="563"/>
      <c r="AY76" s="563"/>
      <c r="AZ76" s="563"/>
    </row>
    <row r="77" spans="1:52" ht="18" customHeight="1">
      <c r="A77" s="563"/>
      <c r="B77" s="2314" t="s">
        <v>135</v>
      </c>
      <c r="C77" s="1926">
        <f>资产负债!L39</f>
        <v>6455.91779666</v>
      </c>
      <c r="D77" s="1926">
        <f>资产负债!M39</f>
        <v>8305.1069416200007</v>
      </c>
      <c r="E77" s="1926">
        <f ca="1">资产负债!N39</f>
        <v>7101.58401817294</v>
      </c>
      <c r="F77" s="1926">
        <f ca="1">资产负债!O39</f>
        <v>7845.5800320261105</v>
      </c>
      <c r="G77" s="1926">
        <f ca="1">资产负债!P39</f>
        <v>8466.209190227255</v>
      </c>
      <c r="H77" s="563"/>
      <c r="I77" s="563"/>
      <c r="J77" s="563"/>
      <c r="K77" s="563"/>
      <c r="L77" s="563"/>
      <c r="M77" s="563"/>
      <c r="N77" s="609"/>
      <c r="O77" s="568"/>
      <c r="P77" s="568"/>
      <c r="Q77" s="568"/>
      <c r="R77" s="568"/>
      <c r="S77" s="568"/>
      <c r="T77" s="568"/>
      <c r="U77" s="563"/>
      <c r="V77" s="563"/>
      <c r="W77" s="563"/>
      <c r="X77" s="563"/>
      <c r="Y77" s="563"/>
      <c r="Z77" s="563"/>
      <c r="AA77" s="563"/>
      <c r="AB77" s="563"/>
      <c r="AC77" s="563"/>
      <c r="AD77" s="563"/>
      <c r="AE77" s="563"/>
      <c r="AF77" s="563"/>
      <c r="AG77" s="563"/>
      <c r="AH77" s="563"/>
      <c r="AI77" s="563"/>
      <c r="AJ77" s="563"/>
      <c r="AK77" s="563"/>
      <c r="AL77" s="563"/>
      <c r="AM77" s="563"/>
      <c r="AN77" s="563"/>
      <c r="AO77" s="563"/>
      <c r="AP77" s="563"/>
      <c r="AQ77" s="563"/>
      <c r="AR77" s="563"/>
      <c r="AS77" s="563"/>
      <c r="AT77" s="563"/>
      <c r="AU77" s="563"/>
      <c r="AV77" s="563"/>
      <c r="AW77" s="563"/>
      <c r="AX77" s="563"/>
      <c r="AY77" s="563"/>
      <c r="AZ77" s="563"/>
    </row>
    <row r="78" spans="1:52" ht="18" customHeight="1">
      <c r="A78" s="563"/>
      <c r="B78" s="2314" t="s">
        <v>136</v>
      </c>
      <c r="C78" s="1926">
        <f>资产负债!L54</f>
        <v>885.14241292999998</v>
      </c>
      <c r="D78" s="1926">
        <f>资产负债!M54</f>
        <v>861.53260914999998</v>
      </c>
      <c r="E78" s="1926">
        <f ca="1">资产负债!N54</f>
        <v>1247.699332964617</v>
      </c>
      <c r="F78" s="1926">
        <f ca="1">资产负债!O54</f>
        <v>3633.77521835584</v>
      </c>
      <c r="G78" s="1926">
        <f ca="1">资产负债!P54</f>
        <v>5886.9456343735374</v>
      </c>
      <c r="H78" s="563"/>
      <c r="I78" s="563"/>
      <c r="J78" s="563"/>
      <c r="K78" s="563"/>
      <c r="L78" s="563"/>
      <c r="M78" s="563"/>
      <c r="N78" s="609"/>
      <c r="O78" s="568"/>
      <c r="P78" s="568"/>
      <c r="Q78" s="568"/>
      <c r="R78" s="568"/>
      <c r="S78" s="568"/>
      <c r="T78" s="568"/>
      <c r="U78" s="563"/>
      <c r="V78" s="563"/>
      <c r="W78" s="563"/>
      <c r="X78" s="563"/>
      <c r="Y78" s="563"/>
      <c r="Z78" s="563"/>
      <c r="AA78" s="563"/>
      <c r="AB78" s="563"/>
      <c r="AC78" s="563"/>
      <c r="AD78" s="563"/>
      <c r="AE78" s="563"/>
      <c r="AF78" s="563"/>
      <c r="AG78" s="563"/>
      <c r="AH78" s="563"/>
      <c r="AI78" s="563"/>
      <c r="AJ78" s="563"/>
      <c r="AK78" s="563"/>
      <c r="AL78" s="563"/>
      <c r="AM78" s="563"/>
      <c r="AN78" s="563"/>
      <c r="AO78" s="563"/>
      <c r="AP78" s="563"/>
      <c r="AQ78" s="563"/>
      <c r="AR78" s="563"/>
      <c r="AS78" s="563"/>
      <c r="AT78" s="563"/>
      <c r="AU78" s="563"/>
      <c r="AV78" s="563"/>
      <c r="AW78" s="563"/>
      <c r="AX78" s="563"/>
      <c r="AY78" s="563"/>
      <c r="AZ78" s="563"/>
    </row>
    <row r="79" spans="1:52" ht="18" customHeight="1">
      <c r="A79" s="563"/>
      <c r="B79" s="1690" t="s">
        <v>137</v>
      </c>
      <c r="C79" s="1926">
        <f>资产负债!L41</f>
        <v>15.408259220000001</v>
      </c>
      <c r="D79" s="1926">
        <f>资产负债!M41</f>
        <v>19.904745179999999</v>
      </c>
      <c r="E79" s="1926">
        <f ca="1">资产负债!N41</f>
        <v>406.07146899461708</v>
      </c>
      <c r="F79" s="1926">
        <f ca="1">资产负债!O41</f>
        <v>2792.1473543858401</v>
      </c>
      <c r="G79" s="1926">
        <f ca="1">资产负债!P41</f>
        <v>5045.317770403537</v>
      </c>
      <c r="H79" s="563"/>
      <c r="I79" s="580"/>
      <c r="J79" s="563"/>
      <c r="K79" s="563"/>
      <c r="L79" s="563"/>
      <c r="M79" s="563"/>
      <c r="N79" s="609"/>
      <c r="O79" s="568"/>
      <c r="P79" s="568"/>
      <c r="Q79" s="568"/>
      <c r="R79" s="568"/>
      <c r="S79" s="568"/>
      <c r="T79" s="568"/>
      <c r="U79" s="563"/>
      <c r="V79" s="563"/>
      <c r="W79" s="563"/>
      <c r="X79" s="563"/>
      <c r="Y79" s="563"/>
      <c r="Z79" s="563"/>
      <c r="AA79" s="563"/>
      <c r="AB79" s="563"/>
      <c r="AC79" s="563"/>
      <c r="AD79" s="563"/>
      <c r="AE79" s="563"/>
      <c r="AF79" s="563"/>
      <c r="AG79" s="563"/>
      <c r="AH79" s="563"/>
      <c r="AI79" s="563"/>
      <c r="AJ79" s="563"/>
      <c r="AK79" s="563"/>
      <c r="AL79" s="563"/>
      <c r="AM79" s="563"/>
      <c r="AN79" s="563"/>
      <c r="AO79" s="563"/>
      <c r="AP79" s="563"/>
      <c r="AQ79" s="563"/>
      <c r="AR79" s="563"/>
      <c r="AS79" s="563"/>
      <c r="AT79" s="563"/>
      <c r="AU79" s="563"/>
      <c r="AV79" s="563"/>
      <c r="AW79" s="563"/>
      <c r="AX79" s="563"/>
      <c r="AY79" s="563"/>
      <c r="AZ79" s="563"/>
    </row>
    <row r="80" spans="1:52" ht="18" customHeight="1">
      <c r="A80" s="563"/>
      <c r="B80" s="1690" t="s">
        <v>138</v>
      </c>
      <c r="C80" s="1926">
        <f>资产负债!L45</f>
        <v>795.23880104999989</v>
      </c>
      <c r="D80" s="1926">
        <f>资产负债!M45</f>
        <v>799.48492441000008</v>
      </c>
      <c r="E80" s="1926">
        <f>资产负债!N45</f>
        <v>799.48492441000008</v>
      </c>
      <c r="F80" s="1926">
        <f>资产负债!O45</f>
        <v>799.48492441000008</v>
      </c>
      <c r="G80" s="1926">
        <f>资产负债!P45</f>
        <v>799.48492441000008</v>
      </c>
      <c r="H80" s="563"/>
      <c r="I80" s="563"/>
      <c r="J80" s="582"/>
      <c r="K80" s="582"/>
      <c r="L80" s="582"/>
      <c r="M80" s="582"/>
      <c r="N80" s="609"/>
      <c r="O80" s="568"/>
      <c r="P80" s="568"/>
      <c r="Q80" s="568"/>
      <c r="R80" s="568"/>
      <c r="S80" s="568"/>
      <c r="T80" s="568"/>
      <c r="U80" s="563"/>
      <c r="V80" s="563"/>
      <c r="W80" s="563"/>
      <c r="X80" s="563"/>
      <c r="Y80" s="563"/>
      <c r="Z80" s="563"/>
      <c r="AA80" s="563"/>
      <c r="AB80" s="563"/>
      <c r="AC80" s="563"/>
      <c r="AD80" s="563"/>
      <c r="AE80" s="563"/>
      <c r="AF80" s="563"/>
      <c r="AG80" s="563"/>
      <c r="AH80" s="563"/>
      <c r="AI80" s="563"/>
      <c r="AJ80" s="563"/>
      <c r="AK80" s="563"/>
      <c r="AL80" s="563"/>
      <c r="AM80" s="563"/>
      <c r="AN80" s="563"/>
      <c r="AO80" s="563"/>
      <c r="AP80" s="563"/>
      <c r="AQ80" s="563"/>
      <c r="AR80" s="563"/>
      <c r="AS80" s="563"/>
      <c r="AT80" s="563"/>
      <c r="AU80" s="563"/>
      <c r="AV80" s="563"/>
      <c r="AW80" s="563"/>
      <c r="AX80" s="563"/>
      <c r="AY80" s="563"/>
      <c r="AZ80" s="563"/>
    </row>
    <row r="81" spans="1:52" ht="18" customHeight="1">
      <c r="A81" s="563"/>
      <c r="B81" s="1690" t="s">
        <v>139</v>
      </c>
      <c r="C81" s="1926">
        <f>资产负债!L52+资产负债!L44+资产负债!L50+资产负债!L51+资产负债!L53</f>
        <v>74.495352659999995</v>
      </c>
      <c r="D81" s="1926">
        <f>资产负债!M52+资产负债!M44+资产负债!M50+资产负债!M51+资产负债!M53</f>
        <v>42.142939559999995</v>
      </c>
      <c r="E81" s="1926">
        <f>资产负债!N52+资产负债!N44+资产负债!N50+资产负债!N51+资产负债!N53</f>
        <v>42.142939559999995</v>
      </c>
      <c r="F81" s="1926">
        <f>资产负债!O52+资产负债!O44+资产负债!O50+资产负债!O51+资产负债!O53</f>
        <v>42.142939559999995</v>
      </c>
      <c r="G81" s="1926">
        <f>资产负债!P52+资产负债!P44+资产负债!P50+资产负债!P51+资产负债!P53</f>
        <v>42.142939559999995</v>
      </c>
      <c r="H81" s="563"/>
      <c r="I81" s="580" t="s">
        <v>140</v>
      </c>
      <c r="J81" s="608"/>
      <c r="K81" s="608"/>
      <c r="L81" s="608"/>
      <c r="M81" s="608"/>
      <c r="N81" s="609"/>
      <c r="O81" s="610"/>
      <c r="P81" s="610"/>
      <c r="Q81" s="610"/>
      <c r="R81" s="610"/>
      <c r="S81" s="610"/>
      <c r="T81" s="610"/>
      <c r="U81" s="563"/>
      <c r="V81" s="563"/>
      <c r="W81" s="563"/>
      <c r="X81" s="563"/>
      <c r="Y81" s="563"/>
      <c r="Z81" s="563"/>
      <c r="AA81" s="563"/>
      <c r="AB81" s="563"/>
      <c r="AC81" s="563"/>
      <c r="AD81" s="563"/>
      <c r="AE81" s="563"/>
      <c r="AF81" s="563"/>
      <c r="AG81" s="563"/>
      <c r="AH81" s="563"/>
      <c r="AI81" s="563"/>
      <c r="AJ81" s="563"/>
      <c r="AK81" s="563"/>
      <c r="AL81" s="563"/>
      <c r="AM81" s="563"/>
      <c r="AN81" s="563"/>
      <c r="AO81" s="563"/>
      <c r="AP81" s="563"/>
      <c r="AQ81" s="563"/>
      <c r="AR81" s="563"/>
      <c r="AS81" s="563"/>
      <c r="AT81" s="563"/>
      <c r="AU81" s="563"/>
      <c r="AV81" s="563"/>
      <c r="AW81" s="563"/>
      <c r="AX81" s="563"/>
      <c r="AY81" s="563"/>
      <c r="AZ81" s="563"/>
    </row>
    <row r="82" spans="1:52" ht="18" customHeight="1">
      <c r="A82" s="563"/>
      <c r="B82" s="2314" t="s">
        <v>141</v>
      </c>
      <c r="C82" s="1926">
        <f>资产负债!L64</f>
        <v>15.05067895</v>
      </c>
      <c r="D82" s="1926">
        <f>资产负债!M64</f>
        <v>914.33082597999999</v>
      </c>
      <c r="E82" s="1926">
        <f>资产负债!N64</f>
        <v>914.33082597999999</v>
      </c>
      <c r="F82" s="1926">
        <f>资产负债!O64</f>
        <v>914.33082597999999</v>
      </c>
      <c r="G82" s="1926">
        <f>资产负债!P64</f>
        <v>914.33082597999999</v>
      </c>
      <c r="H82" s="563"/>
      <c r="I82" s="563"/>
      <c r="J82" s="608"/>
      <c r="K82" s="608"/>
      <c r="L82" s="608"/>
      <c r="M82" s="608"/>
      <c r="N82" s="609"/>
      <c r="O82" s="610"/>
      <c r="P82" s="610"/>
      <c r="Q82" s="610"/>
      <c r="R82" s="610"/>
      <c r="S82" s="610"/>
      <c r="T82" s="610"/>
      <c r="U82" s="563"/>
      <c r="V82" s="563"/>
      <c r="W82" s="563"/>
      <c r="X82" s="563"/>
      <c r="Y82" s="563"/>
      <c r="Z82" s="563"/>
      <c r="AA82" s="563"/>
      <c r="AB82" s="563"/>
      <c r="AC82" s="563"/>
      <c r="AD82" s="563"/>
      <c r="AE82" s="563"/>
      <c r="AF82" s="563"/>
      <c r="AG82" s="563"/>
      <c r="AH82" s="563"/>
      <c r="AI82" s="563"/>
      <c r="AJ82" s="563"/>
      <c r="AK82" s="563"/>
      <c r="AL82" s="563"/>
      <c r="AM82" s="563"/>
      <c r="AN82" s="563"/>
      <c r="AO82" s="563"/>
      <c r="AP82" s="563"/>
      <c r="AQ82" s="563"/>
      <c r="AR82" s="563"/>
      <c r="AS82" s="563"/>
      <c r="AT82" s="563"/>
      <c r="AU82" s="563"/>
      <c r="AV82" s="563"/>
      <c r="AW82" s="563"/>
      <c r="AX82" s="563"/>
      <c r="AY82" s="563"/>
      <c r="AZ82" s="563"/>
    </row>
    <row r="83" spans="1:52" ht="18" customHeight="1">
      <c r="A83" s="563"/>
      <c r="B83" s="2314" t="s">
        <v>142</v>
      </c>
      <c r="C83" s="1926">
        <f>资产负债!L65</f>
        <v>900.19309188</v>
      </c>
      <c r="D83" s="1926">
        <f>资产负债!M65</f>
        <v>1775.8634351300002</v>
      </c>
      <c r="E83" s="1926">
        <f ca="1">资产负债!N65</f>
        <v>2162.0301589446171</v>
      </c>
      <c r="F83" s="1926">
        <f ca="1">资产负债!O65</f>
        <v>4548.1060443358401</v>
      </c>
      <c r="G83" s="1926">
        <f ca="1">资产负债!P65</f>
        <v>6801.276460353537</v>
      </c>
      <c r="H83" s="563"/>
      <c r="I83" s="611"/>
      <c r="J83" s="612"/>
      <c r="K83" s="612"/>
      <c r="L83" s="612"/>
      <c r="M83" s="612"/>
      <c r="N83" s="609"/>
      <c r="O83" s="610"/>
      <c r="P83" s="613"/>
      <c r="Q83" s="613"/>
      <c r="R83" s="610"/>
      <c r="S83" s="610"/>
      <c r="T83" s="610"/>
      <c r="U83" s="563"/>
      <c r="V83" s="563"/>
      <c r="W83" s="563"/>
      <c r="X83" s="563"/>
      <c r="Y83" s="563"/>
      <c r="Z83" s="563"/>
      <c r="AA83" s="563"/>
      <c r="AB83" s="563"/>
      <c r="AC83" s="563"/>
      <c r="AD83" s="563"/>
      <c r="AE83" s="563"/>
      <c r="AF83" s="563"/>
      <c r="AG83" s="563"/>
      <c r="AH83" s="563"/>
      <c r="AI83" s="563"/>
      <c r="AJ83" s="563"/>
      <c r="AK83" s="563"/>
      <c r="AL83" s="563"/>
      <c r="AM83" s="563"/>
      <c r="AN83" s="563"/>
      <c r="AO83" s="563"/>
      <c r="AP83" s="563"/>
      <c r="AQ83" s="563"/>
      <c r="AR83" s="563"/>
      <c r="AS83" s="563"/>
      <c r="AT83" s="563"/>
      <c r="AU83" s="563"/>
      <c r="AV83" s="563"/>
      <c r="AW83" s="563"/>
      <c r="AX83" s="563"/>
      <c r="AY83" s="563"/>
      <c r="AZ83" s="563"/>
    </row>
    <row r="84" spans="1:52" ht="18" customHeight="1">
      <c r="A84" s="563"/>
      <c r="B84" s="1690" t="s">
        <v>143</v>
      </c>
      <c r="C84" s="1926">
        <f>资产负债!L67</f>
        <v>522.6</v>
      </c>
      <c r="D84" s="1926">
        <f>资产负债!M67</f>
        <v>522.6</v>
      </c>
      <c r="E84" s="1926">
        <f>资产负债!N67</f>
        <v>522.6</v>
      </c>
      <c r="F84" s="1926">
        <f>资产负债!O67</f>
        <v>522.6</v>
      </c>
      <c r="G84" s="1926">
        <f>资产负债!P67</f>
        <v>522.6</v>
      </c>
      <c r="H84" s="563"/>
      <c r="I84" s="564"/>
      <c r="J84" s="609"/>
      <c r="K84" s="609"/>
      <c r="L84" s="609"/>
      <c r="M84" s="609"/>
      <c r="N84" s="609"/>
      <c r="O84" s="614"/>
      <c r="P84" s="610"/>
      <c r="Q84" s="610"/>
      <c r="R84" s="610"/>
      <c r="S84" s="610"/>
      <c r="T84" s="610"/>
      <c r="U84" s="563"/>
      <c r="V84" s="563"/>
      <c r="W84" s="563"/>
      <c r="X84" s="563"/>
      <c r="Y84" s="563"/>
      <c r="Z84" s="563"/>
      <c r="AA84" s="563"/>
      <c r="AB84" s="563"/>
      <c r="AC84" s="563"/>
      <c r="AD84" s="563"/>
      <c r="AE84" s="563"/>
      <c r="AF84" s="563"/>
      <c r="AG84" s="563"/>
      <c r="AH84" s="563"/>
      <c r="AI84" s="563"/>
      <c r="AJ84" s="563"/>
      <c r="AK84" s="563"/>
      <c r="AL84" s="563"/>
      <c r="AM84" s="563"/>
      <c r="AN84" s="563"/>
      <c r="AO84" s="563"/>
      <c r="AP84" s="563"/>
      <c r="AQ84" s="563"/>
      <c r="AR84" s="563"/>
      <c r="AS84" s="563"/>
      <c r="AT84" s="563"/>
      <c r="AU84" s="563"/>
      <c r="AV84" s="563"/>
      <c r="AW84" s="563"/>
      <c r="AX84" s="563"/>
      <c r="AY84" s="563"/>
      <c r="AZ84" s="563"/>
    </row>
    <row r="85" spans="1:52" ht="18" customHeight="1">
      <c r="A85" s="563"/>
      <c r="B85" s="2317" t="s">
        <v>1296</v>
      </c>
      <c r="C85" s="1926">
        <f>资产负债!L68</f>
        <v>0</v>
      </c>
      <c r="D85" s="1926">
        <f>资产负债!M68</f>
        <v>207.44708469999998</v>
      </c>
      <c r="E85" s="1926">
        <f>资产负债!N68</f>
        <v>0</v>
      </c>
      <c r="F85" s="1926">
        <f>资产负债!O68</f>
        <v>0</v>
      </c>
      <c r="G85" s="1926">
        <f>资产负债!P68</f>
        <v>0</v>
      </c>
      <c r="H85" s="563"/>
      <c r="I85" s="564"/>
      <c r="J85" s="609"/>
      <c r="K85" s="609"/>
      <c r="L85" s="609"/>
      <c r="M85" s="609"/>
      <c r="N85" s="609"/>
      <c r="O85" s="614"/>
      <c r="P85" s="610"/>
      <c r="Q85" s="610"/>
      <c r="R85" s="610"/>
      <c r="S85" s="610"/>
      <c r="T85" s="610"/>
      <c r="U85" s="563"/>
      <c r="V85" s="563"/>
      <c r="W85" s="563"/>
      <c r="X85" s="563"/>
      <c r="Y85" s="563"/>
      <c r="Z85" s="563"/>
      <c r="AA85" s="563"/>
      <c r="AB85" s="563"/>
      <c r="AC85" s="563"/>
      <c r="AD85" s="563"/>
      <c r="AE85" s="563"/>
      <c r="AF85" s="563"/>
      <c r="AG85" s="563"/>
      <c r="AH85" s="563"/>
      <c r="AI85" s="563"/>
      <c r="AJ85" s="563"/>
      <c r="AK85" s="563"/>
      <c r="AL85" s="563"/>
      <c r="AM85" s="563"/>
      <c r="AN85" s="563"/>
      <c r="AO85" s="563"/>
      <c r="AP85" s="563"/>
      <c r="AQ85" s="563"/>
      <c r="AR85" s="563"/>
      <c r="AS85" s="563"/>
      <c r="AT85" s="563"/>
      <c r="AU85" s="563"/>
      <c r="AV85" s="563"/>
      <c r="AW85" s="563"/>
      <c r="AX85" s="563"/>
      <c r="AY85" s="563"/>
      <c r="AZ85" s="563"/>
    </row>
    <row r="86" spans="1:52" ht="18" customHeight="1">
      <c r="A86" s="563"/>
      <c r="B86" s="2317" t="s">
        <v>144</v>
      </c>
      <c r="C86" s="1926">
        <f>资产负债!L69-资产负债!L70</f>
        <v>1391.01031685</v>
      </c>
      <c r="D86" s="1926">
        <f>资产负债!M69-资产负债!M70</f>
        <v>1391.01031685</v>
      </c>
      <c r="E86" s="1926">
        <f>资产负债!N69-资产负债!N70</f>
        <v>1391.01031685</v>
      </c>
      <c r="F86" s="1926">
        <f>资产负债!O69-资产负债!O70</f>
        <v>1391.01031685</v>
      </c>
      <c r="G86" s="1926">
        <f>资产负债!P69-资产负债!P70</f>
        <v>1391.01031685</v>
      </c>
      <c r="H86" s="563"/>
      <c r="I86" s="582"/>
      <c r="J86" s="563"/>
      <c r="K86" s="563"/>
      <c r="L86" s="563"/>
      <c r="M86" s="563"/>
      <c r="N86" s="609"/>
      <c r="O86" s="614"/>
      <c r="P86" s="610"/>
      <c r="Q86" s="610"/>
      <c r="R86" s="610"/>
      <c r="S86" s="610"/>
      <c r="T86" s="610"/>
      <c r="U86" s="563"/>
      <c r="V86" s="563"/>
      <c r="W86" s="563"/>
      <c r="X86" s="563"/>
      <c r="Y86" s="563"/>
      <c r="Z86" s="563"/>
      <c r="AA86" s="563"/>
      <c r="AB86" s="563"/>
      <c r="AC86" s="563"/>
      <c r="AD86" s="563"/>
      <c r="AE86" s="563"/>
      <c r="AF86" s="563"/>
      <c r="AG86" s="563"/>
      <c r="AH86" s="563"/>
      <c r="AI86" s="563"/>
      <c r="AJ86" s="563"/>
      <c r="AK86" s="563"/>
      <c r="AL86" s="563"/>
      <c r="AM86" s="563"/>
      <c r="AN86" s="563"/>
      <c r="AO86" s="563"/>
      <c r="AP86" s="563"/>
      <c r="AQ86" s="563"/>
      <c r="AR86" s="563"/>
      <c r="AS86" s="563"/>
      <c r="AT86" s="563"/>
      <c r="AU86" s="563"/>
      <c r="AV86" s="563"/>
      <c r="AW86" s="563"/>
      <c r="AX86" s="563"/>
      <c r="AY86" s="563"/>
      <c r="AZ86" s="563"/>
    </row>
    <row r="87" spans="1:52" ht="18" customHeight="1">
      <c r="A87" s="563"/>
      <c r="B87" s="2317" t="s">
        <v>1297</v>
      </c>
      <c r="C87" s="1926">
        <f>资产负债!L71</f>
        <v>25.982193670000001</v>
      </c>
      <c r="D87" s="1926">
        <f>资产负债!M71</f>
        <v>67.738098900000011</v>
      </c>
      <c r="E87" s="1926">
        <f>资产负债!N71</f>
        <v>67.738098900000011</v>
      </c>
      <c r="F87" s="1926">
        <f>资产负债!O71</f>
        <v>67.738098900000011</v>
      </c>
      <c r="G87" s="1926">
        <f>资产负债!P71</f>
        <v>67.738098900000011</v>
      </c>
      <c r="H87" s="563"/>
      <c r="I87" s="582"/>
      <c r="J87" s="563"/>
      <c r="K87" s="563"/>
      <c r="L87" s="563"/>
      <c r="M87" s="563"/>
      <c r="N87" s="609"/>
      <c r="O87" s="614"/>
      <c r="P87" s="610"/>
      <c r="Q87" s="610"/>
      <c r="R87" s="610"/>
      <c r="S87" s="610"/>
      <c r="T87" s="610"/>
      <c r="U87" s="563"/>
      <c r="V87" s="563"/>
      <c r="W87" s="563"/>
      <c r="X87" s="563"/>
      <c r="Y87" s="563"/>
      <c r="Z87" s="563"/>
      <c r="AA87" s="563"/>
      <c r="AB87" s="563"/>
      <c r="AC87" s="563"/>
      <c r="AD87" s="563"/>
      <c r="AE87" s="563"/>
      <c r="AF87" s="563"/>
      <c r="AG87" s="563"/>
      <c r="AH87" s="563"/>
      <c r="AI87" s="563"/>
      <c r="AJ87" s="563"/>
      <c r="AK87" s="563"/>
      <c r="AL87" s="563"/>
      <c r="AM87" s="563"/>
      <c r="AN87" s="563"/>
      <c r="AO87" s="563"/>
      <c r="AP87" s="563"/>
      <c r="AQ87" s="563"/>
      <c r="AR87" s="563"/>
      <c r="AS87" s="563"/>
      <c r="AT87" s="563"/>
      <c r="AU87" s="563"/>
      <c r="AV87" s="563"/>
      <c r="AW87" s="563"/>
      <c r="AX87" s="563"/>
      <c r="AY87" s="563"/>
      <c r="AZ87" s="563"/>
    </row>
    <row r="88" spans="1:52" ht="18" customHeight="1">
      <c r="A88" s="563"/>
      <c r="B88" s="1690" t="s">
        <v>145</v>
      </c>
      <c r="C88" s="1926">
        <f>资产负债!L72</f>
        <v>206.53784146000001</v>
      </c>
      <c r="D88" s="1926">
        <f>资产负债!M72</f>
        <v>266.64553011999999</v>
      </c>
      <c r="E88" s="1926">
        <f ca="1">资产负债!N72</f>
        <v>179.65046189506444</v>
      </c>
      <c r="F88" s="1926">
        <f ca="1">资产负债!O72</f>
        <v>76.301849774120527</v>
      </c>
      <c r="G88" s="1926">
        <f ca="1">资产负债!P72</f>
        <v>-26.44642462466885</v>
      </c>
      <c r="H88" s="563"/>
      <c r="I88" s="563"/>
      <c r="J88" s="563"/>
      <c r="K88" s="563"/>
      <c r="L88" s="563"/>
      <c r="M88" s="563"/>
      <c r="N88" s="571"/>
      <c r="O88" s="610"/>
      <c r="P88" s="610"/>
      <c r="Q88" s="610"/>
      <c r="R88" s="610"/>
      <c r="S88" s="610"/>
      <c r="T88" s="610"/>
      <c r="U88" s="563"/>
      <c r="V88" s="563"/>
      <c r="W88" s="563"/>
      <c r="X88" s="563"/>
      <c r="Y88" s="563"/>
      <c r="Z88" s="563"/>
      <c r="AA88" s="563"/>
      <c r="AB88" s="563"/>
      <c r="AC88" s="563"/>
      <c r="AD88" s="563"/>
      <c r="AE88" s="563"/>
      <c r="AF88" s="563"/>
      <c r="AG88" s="563"/>
      <c r="AH88" s="563"/>
      <c r="AI88" s="563"/>
      <c r="AJ88" s="563"/>
      <c r="AK88" s="563"/>
      <c r="AL88" s="563"/>
      <c r="AM88" s="563"/>
      <c r="AN88" s="563"/>
      <c r="AO88" s="563"/>
      <c r="AP88" s="563"/>
      <c r="AQ88" s="563"/>
      <c r="AR88" s="563"/>
      <c r="AS88" s="563"/>
      <c r="AT88" s="563"/>
      <c r="AU88" s="563"/>
      <c r="AV88" s="563"/>
      <c r="AW88" s="563"/>
      <c r="AX88" s="563"/>
      <c r="AY88" s="563"/>
      <c r="AZ88" s="563"/>
    </row>
    <row r="89" spans="1:52" ht="18" customHeight="1">
      <c r="A89" s="563"/>
      <c r="B89" s="1690" t="s">
        <v>146</v>
      </c>
      <c r="C89" s="1926">
        <f>资产负债!L73</f>
        <v>3407.7585355000001</v>
      </c>
      <c r="D89" s="1926">
        <f>资产负债!M73</f>
        <v>4069.5436421499999</v>
      </c>
      <c r="E89" s="1926">
        <f ca="1">资产负债!N73</f>
        <v>2771.3624537316136</v>
      </c>
      <c r="F89" s="1926">
        <f ca="1">资产负债!O73</f>
        <v>1229.1460173049136</v>
      </c>
      <c r="G89" s="1926">
        <f ca="1">资产负债!P73</f>
        <v>-304.11189821363701</v>
      </c>
      <c r="H89" s="563"/>
      <c r="I89" s="563"/>
      <c r="J89" s="563"/>
      <c r="K89" s="563"/>
      <c r="L89" s="563"/>
      <c r="M89" s="563"/>
      <c r="N89" s="571"/>
      <c r="O89" s="568"/>
      <c r="P89" s="568"/>
      <c r="Q89" s="568"/>
      <c r="R89" s="568"/>
      <c r="S89" s="568"/>
      <c r="T89" s="568"/>
      <c r="U89" s="563"/>
      <c r="V89" s="563"/>
      <c r="W89" s="563"/>
      <c r="X89" s="563"/>
      <c r="Y89" s="563"/>
      <c r="Z89" s="563"/>
      <c r="AA89" s="563"/>
      <c r="AB89" s="563"/>
      <c r="AC89" s="563"/>
      <c r="AD89" s="563"/>
      <c r="AE89" s="563"/>
      <c r="AF89" s="563"/>
      <c r="AG89" s="563"/>
      <c r="AH89" s="563"/>
      <c r="AI89" s="563"/>
      <c r="AJ89" s="563"/>
      <c r="AK89" s="563"/>
      <c r="AL89" s="563"/>
      <c r="AM89" s="563"/>
      <c r="AN89" s="563"/>
      <c r="AO89" s="563"/>
      <c r="AP89" s="563"/>
      <c r="AQ89" s="563"/>
      <c r="AR89" s="563"/>
      <c r="AS89" s="563"/>
      <c r="AT89" s="563"/>
      <c r="AU89" s="563"/>
      <c r="AV89" s="563"/>
      <c r="AW89" s="563"/>
      <c r="AX89" s="563"/>
      <c r="AY89" s="563"/>
      <c r="AZ89" s="563"/>
    </row>
    <row r="90" spans="1:52" ht="18" customHeight="1">
      <c r="A90" s="563"/>
      <c r="B90" s="1690" t="s">
        <v>147</v>
      </c>
      <c r="C90" s="1926">
        <f>资产负债!L76</f>
        <v>1.8358173</v>
      </c>
      <c r="D90" s="1926">
        <f>资产负债!M76</f>
        <v>4.2588337699999999</v>
      </c>
      <c r="E90" s="1926">
        <f ca="1">资产负债!N76</f>
        <v>7.1925278516444759</v>
      </c>
      <c r="F90" s="1926">
        <f ca="1">资产负债!O76</f>
        <v>10.67770486123591</v>
      </c>
      <c r="G90" s="1926">
        <f ca="1">资产负债!P76</f>
        <v>14.142636962024939</v>
      </c>
      <c r="H90" s="563"/>
      <c r="I90" s="563"/>
      <c r="J90" s="563"/>
      <c r="K90" s="563"/>
      <c r="L90" s="563"/>
      <c r="M90" s="563"/>
      <c r="N90" s="571"/>
      <c r="O90" s="568"/>
      <c r="P90" s="568"/>
      <c r="Q90" s="568"/>
      <c r="R90" s="568"/>
      <c r="S90" s="568"/>
      <c r="T90" s="568"/>
      <c r="U90" s="563"/>
      <c r="V90" s="563"/>
      <c r="W90" s="563"/>
      <c r="X90" s="563"/>
      <c r="Y90" s="563"/>
      <c r="Z90" s="563"/>
      <c r="AA90" s="563"/>
      <c r="AB90" s="563"/>
      <c r="AC90" s="563"/>
      <c r="AD90" s="563"/>
      <c r="AE90" s="563"/>
      <c r="AF90" s="563"/>
      <c r="AG90" s="563"/>
      <c r="AH90" s="563"/>
      <c r="AI90" s="563"/>
      <c r="AJ90" s="563"/>
      <c r="AK90" s="563"/>
      <c r="AL90" s="563"/>
      <c r="AM90" s="563"/>
      <c r="AN90" s="563"/>
      <c r="AO90" s="563"/>
      <c r="AP90" s="563"/>
      <c r="AQ90" s="563"/>
      <c r="AR90" s="563"/>
      <c r="AS90" s="563"/>
      <c r="AT90" s="563"/>
      <c r="AU90" s="563"/>
      <c r="AV90" s="563"/>
      <c r="AW90" s="563"/>
      <c r="AX90" s="563"/>
      <c r="AY90" s="563"/>
      <c r="AZ90" s="563"/>
    </row>
    <row r="91" spans="1:52" ht="18" customHeight="1">
      <c r="A91" s="563"/>
      <c r="B91" s="2314" t="s">
        <v>148</v>
      </c>
      <c r="C91" s="1923">
        <f>资产负债!L77</f>
        <v>5555.7247047800001</v>
      </c>
      <c r="D91" s="1923">
        <f>资产负债!M77</f>
        <v>6529.2435064900001</v>
      </c>
      <c r="E91" s="1923">
        <f ca="1">资产负债!N77</f>
        <v>4939.5538592283228</v>
      </c>
      <c r="F91" s="1923">
        <f ca="1">资产负债!O77</f>
        <v>3297.4739876902695</v>
      </c>
      <c r="G91" s="1923">
        <f ca="1">资产负债!P77</f>
        <v>1664.9327298737189</v>
      </c>
      <c r="H91" s="563"/>
      <c r="I91" s="563"/>
      <c r="J91" s="563"/>
      <c r="K91" s="563"/>
      <c r="L91" s="563"/>
      <c r="M91" s="563"/>
      <c r="N91" s="571"/>
      <c r="O91" s="568"/>
      <c r="P91" s="568"/>
      <c r="Q91" s="568"/>
      <c r="R91" s="568"/>
      <c r="S91" s="568"/>
      <c r="T91" s="568"/>
      <c r="U91" s="563"/>
      <c r="V91" s="563"/>
      <c r="W91" s="563"/>
      <c r="X91" s="563"/>
      <c r="Y91" s="563"/>
      <c r="Z91" s="563"/>
      <c r="AA91" s="563"/>
      <c r="AB91" s="563"/>
      <c r="AC91" s="563"/>
      <c r="AD91" s="563"/>
      <c r="AE91" s="563"/>
      <c r="AF91" s="563"/>
      <c r="AG91" s="563"/>
      <c r="AH91" s="563"/>
      <c r="AI91" s="563"/>
      <c r="AJ91" s="563"/>
      <c r="AK91" s="563"/>
      <c r="AL91" s="563"/>
      <c r="AM91" s="563"/>
      <c r="AN91" s="563"/>
      <c r="AO91" s="563"/>
      <c r="AP91" s="563"/>
      <c r="AQ91" s="563"/>
      <c r="AR91" s="563"/>
      <c r="AS91" s="563"/>
      <c r="AT91" s="563"/>
      <c r="AU91" s="563"/>
      <c r="AV91" s="563"/>
      <c r="AW91" s="563"/>
      <c r="AX91" s="563"/>
      <c r="AY91" s="563"/>
      <c r="AZ91" s="563"/>
    </row>
    <row r="92" spans="1:52" ht="18" customHeight="1" thickBot="1">
      <c r="A92" s="563"/>
      <c r="B92" s="2318" t="s">
        <v>149</v>
      </c>
      <c r="C92" s="1925">
        <f>资产负债!L78</f>
        <v>6455.91779666</v>
      </c>
      <c r="D92" s="1925">
        <f>资产负债!M78</f>
        <v>8305.1069416200007</v>
      </c>
      <c r="E92" s="1925">
        <f ca="1">资产负债!N78</f>
        <v>7101.58401817294</v>
      </c>
      <c r="F92" s="1925">
        <f ca="1">资产负债!O78</f>
        <v>7845.5800320261096</v>
      </c>
      <c r="G92" s="1925">
        <f ca="1">资产负债!P78</f>
        <v>8466.209190227255</v>
      </c>
      <c r="H92" s="563"/>
      <c r="I92" s="563"/>
      <c r="J92" s="563"/>
      <c r="K92" s="563"/>
      <c r="L92" s="563"/>
      <c r="M92" s="563"/>
      <c r="N92" s="571"/>
      <c r="O92" s="568"/>
      <c r="P92" s="568"/>
      <c r="Q92" s="568"/>
      <c r="R92" s="568"/>
      <c r="S92" s="568"/>
      <c r="T92" s="568"/>
      <c r="U92" s="563"/>
      <c r="V92" s="563"/>
      <c r="W92" s="563"/>
      <c r="X92" s="563"/>
      <c r="Y92" s="563"/>
      <c r="Z92" s="563"/>
      <c r="AA92" s="563"/>
      <c r="AB92" s="563"/>
      <c r="AC92" s="563"/>
      <c r="AD92" s="563"/>
      <c r="AE92" s="563"/>
      <c r="AF92" s="563"/>
      <c r="AG92" s="563"/>
      <c r="AH92" s="563"/>
      <c r="AI92" s="563"/>
      <c r="AJ92" s="563"/>
      <c r="AK92" s="563"/>
      <c r="AL92" s="563"/>
      <c r="AM92" s="563"/>
      <c r="AN92" s="563"/>
      <c r="AO92" s="563"/>
      <c r="AP92" s="563"/>
      <c r="AQ92" s="563"/>
      <c r="AR92" s="563"/>
      <c r="AS92" s="563"/>
      <c r="AT92" s="563"/>
      <c r="AU92" s="563"/>
      <c r="AV92" s="563"/>
      <c r="AW92" s="563"/>
      <c r="AX92" s="563"/>
      <c r="AY92" s="563"/>
      <c r="AZ92" s="563"/>
    </row>
    <row r="93" spans="1:52" ht="18" customHeight="1">
      <c r="A93" s="563"/>
      <c r="B93" s="2544" t="s">
        <v>1460</v>
      </c>
      <c r="C93" s="2545"/>
      <c r="D93" s="2545"/>
      <c r="E93" s="2545"/>
      <c r="F93" s="2545"/>
      <c r="G93" s="2545"/>
      <c r="H93" s="563"/>
      <c r="I93" s="563"/>
      <c r="J93" s="563"/>
      <c r="K93" s="563"/>
      <c r="L93" s="563"/>
      <c r="M93" s="563"/>
      <c r="N93" s="571"/>
      <c r="O93" s="568"/>
      <c r="P93" s="568"/>
      <c r="Q93" s="568"/>
      <c r="R93" s="568"/>
      <c r="S93" s="568"/>
      <c r="T93" s="568"/>
      <c r="U93" s="563"/>
      <c r="V93" s="563"/>
      <c r="W93" s="563"/>
      <c r="X93" s="563"/>
      <c r="Y93" s="563"/>
      <c r="Z93" s="563"/>
      <c r="AA93" s="563"/>
      <c r="AB93" s="563"/>
      <c r="AC93" s="563"/>
      <c r="AD93" s="563"/>
      <c r="AE93" s="563"/>
      <c r="AF93" s="563"/>
      <c r="AG93" s="563"/>
      <c r="AH93" s="563"/>
      <c r="AI93" s="563"/>
      <c r="AJ93" s="563"/>
      <c r="AK93" s="563"/>
      <c r="AL93" s="563"/>
      <c r="AM93" s="563"/>
      <c r="AN93" s="563"/>
      <c r="AO93" s="563"/>
      <c r="AP93" s="563"/>
      <c r="AQ93" s="563"/>
      <c r="AR93" s="563"/>
      <c r="AS93" s="563"/>
      <c r="AT93" s="563"/>
      <c r="AU93" s="563"/>
      <c r="AV93" s="563"/>
      <c r="AW93" s="563"/>
      <c r="AX93" s="563"/>
      <c r="AY93" s="563"/>
      <c r="AZ93" s="563"/>
    </row>
    <row r="94" spans="1:52" ht="18" customHeight="1">
      <c r="A94" s="563"/>
      <c r="B94" s="615"/>
      <c r="C94" s="615"/>
      <c r="D94" s="615"/>
      <c r="E94" s="615"/>
      <c r="F94" s="615"/>
      <c r="G94" s="615"/>
      <c r="H94" s="563"/>
      <c r="I94" s="563"/>
      <c r="J94" s="582"/>
      <c r="K94" s="582"/>
      <c r="L94" s="582"/>
      <c r="M94" s="582"/>
      <c r="N94" s="571"/>
      <c r="O94" s="568"/>
      <c r="P94" s="568"/>
      <c r="Q94" s="568"/>
      <c r="R94" s="568"/>
      <c r="S94" s="568"/>
      <c r="T94" s="568"/>
      <c r="U94" s="563"/>
      <c r="V94" s="563"/>
      <c r="W94" s="563"/>
      <c r="X94" s="563"/>
      <c r="Y94" s="563"/>
      <c r="Z94" s="563"/>
      <c r="AA94" s="563"/>
      <c r="AB94" s="563"/>
      <c r="AC94" s="563"/>
      <c r="AD94" s="563"/>
      <c r="AE94" s="563"/>
      <c r="AF94" s="563"/>
      <c r="AG94" s="563"/>
      <c r="AH94" s="563"/>
      <c r="AI94" s="563"/>
      <c r="AJ94" s="563"/>
      <c r="AK94" s="563"/>
      <c r="AL94" s="563"/>
      <c r="AM94" s="563"/>
      <c r="AN94" s="563"/>
      <c r="AO94" s="563"/>
      <c r="AP94" s="563"/>
      <c r="AQ94" s="563"/>
      <c r="AR94" s="563"/>
      <c r="AS94" s="563"/>
      <c r="AT94" s="563"/>
      <c r="AU94" s="563"/>
      <c r="AV94" s="563"/>
      <c r="AW94" s="563"/>
      <c r="AX94" s="563"/>
      <c r="AY94" s="563"/>
      <c r="AZ94" s="563"/>
    </row>
    <row r="95" spans="1:52" ht="18" customHeight="1">
      <c r="A95" s="563"/>
      <c r="B95" s="616"/>
      <c r="C95" s="617"/>
      <c r="D95" s="617"/>
      <c r="E95" s="617"/>
      <c r="F95" s="617"/>
      <c r="G95" s="617"/>
      <c r="H95" s="563"/>
      <c r="I95" s="563"/>
      <c r="J95" s="563"/>
      <c r="K95" s="563"/>
      <c r="L95" s="563"/>
      <c r="M95" s="563"/>
      <c r="N95" s="571"/>
      <c r="O95" s="568"/>
      <c r="P95" s="568"/>
      <c r="Q95" s="568"/>
      <c r="R95" s="568"/>
      <c r="S95" s="568"/>
      <c r="T95" s="568"/>
      <c r="U95" s="563"/>
      <c r="V95" s="563"/>
      <c r="W95" s="563"/>
      <c r="X95" s="563"/>
      <c r="Y95" s="563"/>
      <c r="Z95" s="563"/>
      <c r="AA95" s="563"/>
      <c r="AB95" s="563"/>
      <c r="AC95" s="563"/>
      <c r="AD95" s="563"/>
      <c r="AE95" s="563"/>
      <c r="AF95" s="563"/>
      <c r="AG95" s="563"/>
      <c r="AH95" s="563"/>
      <c r="AI95" s="563"/>
      <c r="AJ95" s="563"/>
      <c r="AK95" s="563"/>
      <c r="AL95" s="563"/>
      <c r="AM95" s="563"/>
      <c r="AN95" s="563"/>
      <c r="AO95" s="563"/>
      <c r="AP95" s="563"/>
      <c r="AQ95" s="563"/>
      <c r="AR95" s="563"/>
      <c r="AS95" s="563"/>
      <c r="AT95" s="563"/>
      <c r="AU95" s="563"/>
      <c r="AV95" s="563"/>
      <c r="AW95" s="563"/>
      <c r="AX95" s="563"/>
      <c r="AY95" s="563"/>
      <c r="AZ95" s="563"/>
    </row>
    <row r="96" spans="1:52" ht="18" customHeight="1" thickBot="1">
      <c r="A96" s="563"/>
      <c r="B96" s="2536" t="s">
        <v>150</v>
      </c>
      <c r="C96" s="2536"/>
      <c r="D96" s="2536"/>
      <c r="E96" s="2536"/>
      <c r="F96" s="2536"/>
      <c r="G96" s="2536"/>
      <c r="H96" s="563"/>
      <c r="N96" s="571"/>
      <c r="O96" s="568"/>
      <c r="P96" s="568"/>
      <c r="Q96" s="568"/>
      <c r="R96" s="568"/>
      <c r="S96" s="568"/>
      <c r="T96" s="568"/>
      <c r="U96" s="563"/>
      <c r="V96" s="563"/>
      <c r="W96" s="563"/>
      <c r="X96" s="563"/>
      <c r="Y96" s="563"/>
      <c r="Z96" s="563"/>
      <c r="AA96" s="563"/>
      <c r="AB96" s="563"/>
      <c r="AC96" s="563"/>
      <c r="AD96" s="563"/>
      <c r="AE96" s="563"/>
      <c r="AF96" s="563"/>
      <c r="AG96" s="563"/>
      <c r="AH96" s="563"/>
      <c r="AI96" s="563"/>
      <c r="AJ96" s="563"/>
      <c r="AK96" s="563"/>
      <c r="AL96" s="563"/>
      <c r="AM96" s="563"/>
      <c r="AN96" s="563"/>
      <c r="AO96" s="563"/>
      <c r="AP96" s="563"/>
      <c r="AQ96" s="563"/>
      <c r="AR96" s="563"/>
      <c r="AS96" s="563"/>
      <c r="AT96" s="563"/>
      <c r="AU96" s="563"/>
      <c r="AV96" s="563"/>
      <c r="AW96" s="563"/>
      <c r="AX96" s="563"/>
      <c r="AY96" s="563"/>
      <c r="AZ96" s="563"/>
    </row>
    <row r="97" spans="1:52" ht="18" customHeight="1">
      <c r="A97" s="563"/>
      <c r="B97" s="572"/>
      <c r="C97" s="573">
        <f>C5</f>
        <v>2018</v>
      </c>
      <c r="D97" s="573">
        <f>D5</f>
        <v>2019</v>
      </c>
      <c r="E97" s="573" t="str">
        <f>E5</f>
        <v>2020E</v>
      </c>
      <c r="F97" s="573" t="str">
        <f>F5</f>
        <v>2021E</v>
      </c>
      <c r="G97" s="573" t="str">
        <f>G5</f>
        <v>2022E</v>
      </c>
      <c r="H97" s="563"/>
      <c r="I97" s="580" t="s">
        <v>151</v>
      </c>
      <c r="J97" s="609"/>
      <c r="K97" s="609"/>
      <c r="L97" s="609"/>
      <c r="M97" s="609"/>
      <c r="N97" s="571"/>
      <c r="O97" s="568"/>
      <c r="P97" s="568"/>
      <c r="Q97" s="568"/>
      <c r="R97" s="568"/>
      <c r="S97" s="568"/>
      <c r="T97" s="568"/>
      <c r="U97" s="563"/>
      <c r="V97" s="563"/>
      <c r="W97" s="563"/>
      <c r="X97" s="563"/>
      <c r="Y97" s="563"/>
      <c r="Z97" s="563"/>
      <c r="AA97" s="563"/>
      <c r="AB97" s="563"/>
      <c r="AC97" s="563"/>
      <c r="AD97" s="563"/>
      <c r="AE97" s="563"/>
      <c r="AF97" s="563"/>
      <c r="AG97" s="563"/>
      <c r="AH97" s="563"/>
      <c r="AI97" s="563"/>
      <c r="AJ97" s="563"/>
      <c r="AK97" s="563"/>
      <c r="AL97" s="563"/>
      <c r="AM97" s="563"/>
      <c r="AN97" s="563"/>
      <c r="AO97" s="563"/>
      <c r="AP97" s="563"/>
      <c r="AQ97" s="563"/>
      <c r="AR97" s="563"/>
      <c r="AS97" s="563"/>
      <c r="AT97" s="563"/>
      <c r="AU97" s="563"/>
      <c r="AV97" s="563"/>
      <c r="AW97" s="563"/>
      <c r="AX97" s="563"/>
      <c r="AY97" s="563"/>
      <c r="AZ97" s="563"/>
    </row>
    <row r="98" spans="1:52" ht="18" customHeight="1">
      <c r="A98" s="563"/>
      <c r="B98" s="1916" t="s">
        <v>152</v>
      </c>
      <c r="C98" s="618"/>
      <c r="D98" s="618"/>
      <c r="E98" s="618"/>
      <c r="F98" s="618"/>
      <c r="G98" s="618"/>
      <c r="H98" s="563"/>
      <c r="I98" s="563"/>
      <c r="J98" s="563"/>
      <c r="K98" s="563"/>
      <c r="L98" s="563"/>
      <c r="M98" s="563"/>
      <c r="N98" s="571"/>
      <c r="O98" s="568"/>
      <c r="P98" s="568"/>
      <c r="Q98" s="568"/>
      <c r="R98" s="568"/>
      <c r="S98" s="568"/>
      <c r="T98" s="568"/>
      <c r="U98" s="563"/>
      <c r="V98" s="563"/>
      <c r="W98" s="563"/>
      <c r="X98" s="563"/>
      <c r="Y98" s="563"/>
      <c r="Z98" s="563"/>
      <c r="AA98" s="563"/>
      <c r="AB98" s="563"/>
      <c r="AC98" s="563"/>
      <c r="AD98" s="563"/>
      <c r="AE98" s="563"/>
      <c r="AF98" s="563"/>
      <c r="AG98" s="563"/>
      <c r="AH98" s="563"/>
      <c r="AI98" s="563"/>
      <c r="AJ98" s="563"/>
      <c r="AK98" s="563"/>
      <c r="AL98" s="563"/>
      <c r="AM98" s="563"/>
      <c r="AN98" s="563"/>
      <c r="AO98" s="563"/>
      <c r="AP98" s="563"/>
      <c r="AQ98" s="563"/>
      <c r="AR98" s="563"/>
      <c r="AS98" s="563"/>
      <c r="AT98" s="563"/>
      <c r="AU98" s="563"/>
      <c r="AV98" s="563"/>
      <c r="AW98" s="563"/>
      <c r="AX98" s="563"/>
      <c r="AY98" s="563"/>
      <c r="AZ98" s="563"/>
    </row>
    <row r="99" spans="1:52" ht="18" customHeight="1">
      <c r="A99" s="563"/>
      <c r="B99" s="1786" t="s">
        <v>81</v>
      </c>
      <c r="C99" s="620">
        <f>财务分析!F22</f>
        <v>1.4375382534825869</v>
      </c>
      <c r="D99" s="620">
        <f>财务分析!G22</f>
        <v>1.8313486324339838</v>
      </c>
      <c r="E99" s="620">
        <f ca="1">财务分析!H22</f>
        <v>-2.6505477547709941</v>
      </c>
      <c r="F99" s="620">
        <f ca="1">财务分析!I22</f>
        <v>-3.1488041495362493</v>
      </c>
      <c r="G99" s="620">
        <f ca="1">财务分析!J22</f>
        <v>-3.1305131839214311</v>
      </c>
      <c r="H99" s="563"/>
      <c r="I99" s="563"/>
      <c r="J99" s="563"/>
      <c r="K99" s="563"/>
      <c r="L99" s="563"/>
      <c r="M99" s="563"/>
      <c r="N99" s="571"/>
      <c r="O99" s="568"/>
      <c r="P99" s="568"/>
      <c r="Q99" s="568"/>
      <c r="R99" s="568"/>
      <c r="S99" s="568"/>
      <c r="T99" s="568"/>
      <c r="U99" s="563"/>
      <c r="V99" s="563"/>
      <c r="W99" s="563"/>
      <c r="X99" s="563"/>
      <c r="Y99" s="563"/>
      <c r="Z99" s="563"/>
      <c r="AA99" s="563"/>
      <c r="AB99" s="563"/>
      <c r="AC99" s="563"/>
      <c r="AD99" s="563"/>
      <c r="AE99" s="563"/>
      <c r="AF99" s="563"/>
      <c r="AG99" s="563"/>
      <c r="AH99" s="563"/>
      <c r="AI99" s="563"/>
      <c r="AJ99" s="563"/>
      <c r="AK99" s="563"/>
      <c r="AL99" s="563"/>
      <c r="AM99" s="563"/>
      <c r="AN99" s="563"/>
      <c r="AO99" s="563"/>
      <c r="AP99" s="563"/>
      <c r="AQ99" s="563"/>
      <c r="AR99" s="563"/>
      <c r="AS99" s="563"/>
      <c r="AT99" s="563"/>
      <c r="AU99" s="563"/>
      <c r="AV99" s="563"/>
      <c r="AW99" s="563"/>
      <c r="AX99" s="563"/>
      <c r="AY99" s="563"/>
      <c r="AZ99" s="563"/>
    </row>
    <row r="100" spans="1:52" ht="18" customHeight="1">
      <c r="A100" s="563"/>
      <c r="B100" s="1786" t="s">
        <v>153</v>
      </c>
      <c r="C100" s="620">
        <f>财务分析!F23</f>
        <v>0.32448151622655946</v>
      </c>
      <c r="D100" s="620">
        <f>财务分析!G23</f>
        <v>0.83226492726750867</v>
      </c>
      <c r="E100" s="620">
        <f ca="1">财务分析!H23</f>
        <v>2.4938015149074961</v>
      </c>
      <c r="F100" s="620">
        <f ca="1">财务分析!I23</f>
        <v>1.5496890923485946</v>
      </c>
      <c r="G100" s="620">
        <f ca="1">财务分析!J23</f>
        <v>1.8040049541425591</v>
      </c>
      <c r="H100" s="563"/>
      <c r="I100" s="563"/>
      <c r="J100" s="563"/>
      <c r="K100" s="563"/>
      <c r="L100" s="563"/>
      <c r="M100" s="563"/>
      <c r="N100" s="571"/>
      <c r="O100" s="568"/>
      <c r="P100" s="568"/>
      <c r="Q100" s="568"/>
      <c r="R100" s="568"/>
      <c r="S100" s="568"/>
      <c r="T100" s="568"/>
      <c r="U100" s="563"/>
      <c r="V100" s="563"/>
      <c r="W100" s="563"/>
      <c r="X100" s="563"/>
      <c r="Y100" s="563"/>
      <c r="Z100" s="563"/>
      <c r="AA100" s="563"/>
      <c r="AB100" s="563"/>
      <c r="AC100" s="563"/>
      <c r="AD100" s="563"/>
      <c r="AE100" s="563"/>
      <c r="AF100" s="563"/>
      <c r="AG100" s="563"/>
      <c r="AH100" s="563"/>
      <c r="AI100" s="563"/>
      <c r="AJ100" s="563"/>
      <c r="AK100" s="563"/>
      <c r="AL100" s="563"/>
      <c r="AM100" s="563"/>
      <c r="AN100" s="563"/>
      <c r="AO100" s="563"/>
      <c r="AP100" s="563"/>
      <c r="AQ100" s="563"/>
      <c r="AR100" s="563"/>
      <c r="AS100" s="563"/>
      <c r="AT100" s="563"/>
      <c r="AU100" s="563"/>
      <c r="AV100" s="563"/>
      <c r="AW100" s="563"/>
      <c r="AX100" s="563"/>
      <c r="AY100" s="563"/>
      <c r="AZ100" s="563"/>
    </row>
    <row r="101" spans="1:52" ht="18" customHeight="1">
      <c r="A101" s="563"/>
      <c r="B101" s="1786" t="s">
        <v>154</v>
      </c>
      <c r="C101" s="620">
        <f>财务分析!F24</f>
        <v>0</v>
      </c>
      <c r="D101" s="620">
        <f>财务分析!G24</f>
        <v>0</v>
      </c>
      <c r="E101" s="620">
        <f>财务分析!H24</f>
        <v>0</v>
      </c>
      <c r="F101" s="620">
        <f ca="1">财务分析!I24</f>
        <v>0</v>
      </c>
      <c r="G101" s="620">
        <f ca="1">财务分析!J24</f>
        <v>0</v>
      </c>
      <c r="H101" s="563"/>
      <c r="I101" s="563"/>
      <c r="J101" s="563"/>
      <c r="K101" s="563"/>
      <c r="L101" s="563"/>
      <c r="M101" s="563"/>
      <c r="N101" s="571"/>
      <c r="O101" s="568"/>
      <c r="P101" s="568"/>
      <c r="Q101" s="568"/>
      <c r="R101" s="568"/>
      <c r="S101" s="568"/>
      <c r="T101" s="568"/>
      <c r="U101" s="563"/>
      <c r="V101" s="563"/>
      <c r="W101" s="563"/>
      <c r="X101" s="563"/>
      <c r="Y101" s="563"/>
      <c r="Z101" s="563"/>
      <c r="AA101" s="563"/>
      <c r="AB101" s="563"/>
      <c r="AC101" s="563"/>
      <c r="AD101" s="563"/>
      <c r="AE101" s="563"/>
      <c r="AF101" s="563"/>
      <c r="AG101" s="563"/>
      <c r="AH101" s="563"/>
      <c r="AI101" s="563"/>
      <c r="AJ101" s="563"/>
      <c r="AK101" s="563"/>
      <c r="AL101" s="563"/>
      <c r="AM101" s="563"/>
      <c r="AN101" s="563"/>
      <c r="AO101" s="563"/>
      <c r="AP101" s="563"/>
      <c r="AQ101" s="563"/>
      <c r="AR101" s="563"/>
      <c r="AS101" s="563"/>
      <c r="AT101" s="563"/>
      <c r="AU101" s="563"/>
      <c r="AV101" s="563"/>
      <c r="AW101" s="563"/>
      <c r="AX101" s="563"/>
      <c r="AY101" s="563"/>
      <c r="AZ101" s="563"/>
    </row>
    <row r="102" spans="1:52" ht="18" customHeight="1">
      <c r="A102" s="563"/>
      <c r="B102" s="1786" t="s">
        <v>155</v>
      </c>
      <c r="C102" s="620">
        <f>财务分析!F25</f>
        <v>10.627418460543437</v>
      </c>
      <c r="D102" s="620">
        <f>财务分析!G25</f>
        <v>12.485619350784539</v>
      </c>
      <c r="E102" s="620">
        <f ca="1">财务分析!H25</f>
        <v>9.4381196543755799</v>
      </c>
      <c r="F102" s="620">
        <f ca="1">财务分析!I25</f>
        <v>6.2893155048393297</v>
      </c>
      <c r="G102" s="620">
        <f ca="1">财务分析!J25</f>
        <v>3.158802320917899</v>
      </c>
      <c r="H102" s="563"/>
      <c r="I102" s="563"/>
      <c r="J102" s="563"/>
      <c r="K102" s="563"/>
      <c r="L102" s="563"/>
      <c r="M102" s="563"/>
      <c r="N102" s="571"/>
      <c r="O102" s="568"/>
      <c r="P102" s="568"/>
      <c r="Q102" s="568"/>
      <c r="R102" s="568"/>
      <c r="S102" s="568"/>
      <c r="T102" s="568"/>
      <c r="U102" s="563"/>
      <c r="V102" s="563"/>
      <c r="W102" s="563"/>
      <c r="X102" s="563"/>
      <c r="Y102" s="563"/>
      <c r="Z102" s="563"/>
      <c r="AA102" s="563"/>
      <c r="AB102" s="563"/>
      <c r="AC102" s="563"/>
      <c r="AD102" s="563"/>
      <c r="AE102" s="563"/>
      <c r="AF102" s="563"/>
      <c r="AG102" s="563"/>
      <c r="AH102" s="563"/>
      <c r="AI102" s="563"/>
      <c r="AJ102" s="563"/>
      <c r="AK102" s="563"/>
      <c r="AL102" s="563"/>
      <c r="AM102" s="563"/>
      <c r="AN102" s="563"/>
      <c r="AO102" s="563"/>
      <c r="AP102" s="563"/>
      <c r="AQ102" s="563"/>
      <c r="AR102" s="563"/>
      <c r="AS102" s="563"/>
      <c r="AT102" s="563"/>
      <c r="AU102" s="563"/>
      <c r="AV102" s="563"/>
      <c r="AW102" s="563"/>
      <c r="AX102" s="563"/>
      <c r="AY102" s="563"/>
      <c r="AZ102" s="563"/>
    </row>
    <row r="103" spans="1:52" ht="18" customHeight="1">
      <c r="A103" s="563"/>
      <c r="B103" s="1916" t="s">
        <v>156</v>
      </c>
      <c r="C103" s="618"/>
      <c r="D103" s="618"/>
      <c r="E103" s="618"/>
      <c r="F103" s="618"/>
      <c r="G103" s="618"/>
      <c r="H103" s="563"/>
      <c r="I103" s="563"/>
      <c r="J103" s="563"/>
      <c r="K103" s="563"/>
      <c r="L103" s="563"/>
      <c r="M103" s="563"/>
      <c r="N103" s="571"/>
      <c r="O103" s="577"/>
      <c r="P103" s="621"/>
      <c r="Q103" s="621"/>
      <c r="R103" s="621"/>
      <c r="S103" s="621"/>
      <c r="T103" s="621"/>
      <c r="U103" s="563"/>
      <c r="V103" s="563"/>
      <c r="W103" s="563"/>
      <c r="X103" s="563"/>
      <c r="Y103" s="563"/>
      <c r="Z103" s="563"/>
      <c r="AA103" s="563"/>
      <c r="AB103" s="563"/>
      <c r="AC103" s="563"/>
      <c r="AD103" s="563"/>
      <c r="AE103" s="563"/>
      <c r="AF103" s="563"/>
      <c r="AG103" s="563"/>
      <c r="AH103" s="563"/>
      <c r="AI103" s="563"/>
      <c r="AJ103" s="563"/>
      <c r="AK103" s="563"/>
      <c r="AL103" s="563"/>
      <c r="AM103" s="563"/>
      <c r="AN103" s="563"/>
      <c r="AO103" s="563"/>
      <c r="AP103" s="563"/>
      <c r="AQ103" s="563"/>
      <c r="AR103" s="563"/>
      <c r="AS103" s="563"/>
      <c r="AT103" s="563"/>
      <c r="AU103" s="563"/>
      <c r="AV103" s="563"/>
      <c r="AW103" s="563"/>
      <c r="AX103" s="563"/>
      <c r="AY103" s="563"/>
      <c r="AZ103" s="563"/>
    </row>
    <row r="104" spans="1:52" ht="18" customHeight="1">
      <c r="A104" s="563"/>
      <c r="B104" s="1786" t="s">
        <v>157</v>
      </c>
      <c r="C104" s="622">
        <f>财务分析!F43*100</f>
        <v>14.463516119506798</v>
      </c>
      <c r="D104" s="622">
        <f>财务分析!G43*100</f>
        <v>19.384299582042459</v>
      </c>
      <c r="E104" s="622">
        <f ca="1">财务分析!H43*100</f>
        <v>19.078040528413894</v>
      </c>
      <c r="F104" s="622">
        <f ca="1">财务分析!I43*100</f>
        <v>18.548893896874734</v>
      </c>
      <c r="G104" s="622">
        <f ca="1">财务分析!J43*100</f>
        <v>18.959820865053079</v>
      </c>
      <c r="H104" s="563"/>
      <c r="I104" s="563"/>
      <c r="J104" s="563"/>
      <c r="K104" s="563"/>
      <c r="L104" s="563"/>
      <c r="M104" s="563"/>
      <c r="N104" s="571"/>
      <c r="O104" s="568"/>
      <c r="P104" s="621"/>
      <c r="Q104" s="621"/>
      <c r="R104" s="621"/>
      <c r="S104" s="621"/>
      <c r="T104" s="621"/>
      <c r="U104" s="563"/>
      <c r="V104" s="563"/>
      <c r="W104" s="563"/>
      <c r="X104" s="563"/>
      <c r="Y104" s="563"/>
      <c r="Z104" s="563"/>
      <c r="AA104" s="563"/>
      <c r="AB104" s="563"/>
      <c r="AC104" s="563"/>
      <c r="AD104" s="563"/>
      <c r="AE104" s="563"/>
      <c r="AF104" s="563"/>
      <c r="AG104" s="563"/>
      <c r="AH104" s="563"/>
      <c r="AI104" s="563"/>
      <c r="AJ104" s="563"/>
      <c r="AK104" s="563"/>
      <c r="AL104" s="563"/>
      <c r="AM104" s="563"/>
      <c r="AN104" s="563"/>
      <c r="AO104" s="563"/>
      <c r="AP104" s="563"/>
      <c r="AQ104" s="563"/>
      <c r="AR104" s="563"/>
      <c r="AS104" s="563"/>
      <c r="AT104" s="563"/>
      <c r="AU104" s="563"/>
      <c r="AV104" s="563"/>
      <c r="AW104" s="563"/>
      <c r="AX104" s="563"/>
      <c r="AY104" s="563"/>
      <c r="AZ104" s="563"/>
    </row>
    <row r="105" spans="1:52" ht="18" customHeight="1">
      <c r="A105" s="563"/>
      <c r="B105" s="1786" t="s">
        <v>158</v>
      </c>
      <c r="C105" s="622">
        <f>财务分析!F44*100</f>
        <v>13.52669285414661</v>
      </c>
      <c r="D105" s="622">
        <f>财务分析!G44*100</f>
        <v>14.66766350136175</v>
      </c>
      <c r="E105" s="622">
        <f ca="1">财务分析!H44*100</f>
        <v>-28.083430300040551</v>
      </c>
      <c r="F105" s="622">
        <f ca="1">财务分析!I44*100</f>
        <v>-50.065927637330233</v>
      </c>
      <c r="G105" s="622">
        <f ca="1">财务分析!J44*100</f>
        <v>-99.104434715362387</v>
      </c>
      <c r="H105" s="563"/>
      <c r="I105" s="563"/>
      <c r="J105" s="563"/>
      <c r="K105" s="563"/>
      <c r="L105" s="563"/>
      <c r="M105" s="563"/>
      <c r="N105" s="571"/>
      <c r="O105" s="568"/>
      <c r="P105" s="568"/>
      <c r="Q105" s="568"/>
      <c r="R105" s="568"/>
      <c r="S105" s="568"/>
      <c r="T105" s="568"/>
      <c r="U105" s="563"/>
      <c r="V105" s="563"/>
      <c r="W105" s="563"/>
      <c r="X105" s="563"/>
      <c r="Y105" s="563"/>
      <c r="Z105" s="563"/>
      <c r="AA105" s="563"/>
      <c r="AB105" s="563"/>
      <c r="AC105" s="563"/>
      <c r="AD105" s="563"/>
      <c r="AE105" s="563"/>
      <c r="AF105" s="563"/>
      <c r="AG105" s="563"/>
      <c r="AH105" s="563"/>
      <c r="AI105" s="563"/>
      <c r="AJ105" s="563"/>
      <c r="AK105" s="563"/>
      <c r="AL105" s="563"/>
      <c r="AM105" s="563"/>
      <c r="AN105" s="563"/>
      <c r="AO105" s="563"/>
      <c r="AP105" s="563"/>
      <c r="AQ105" s="563"/>
      <c r="AR105" s="563"/>
      <c r="AS105" s="563"/>
      <c r="AT105" s="563"/>
      <c r="AU105" s="563"/>
      <c r="AV105" s="563"/>
      <c r="AW105" s="563"/>
      <c r="AX105" s="563"/>
      <c r="AY105" s="563"/>
      <c r="AZ105" s="563"/>
    </row>
    <row r="106" spans="1:52" ht="18" customHeight="1">
      <c r="A106" s="563"/>
      <c r="B106" s="1786" t="s">
        <v>82</v>
      </c>
      <c r="C106" s="622">
        <f>财务分析!F46*100</f>
        <v>19.667375452696501</v>
      </c>
      <c r="D106" s="622">
        <f>财务分析!G46*100</f>
        <v>20.364534280523451</v>
      </c>
      <c r="E106" s="622">
        <f>财务分析!H46*100</f>
        <v>20.316179094290064</v>
      </c>
      <c r="F106" s="622">
        <f>财务分析!I46*100</f>
        <v>20.116029609170006</v>
      </c>
      <c r="G106" s="622">
        <f>财务分析!J46*100</f>
        <v>20.265580994661171</v>
      </c>
      <c r="H106" s="563"/>
      <c r="I106" s="563"/>
      <c r="J106" s="563"/>
      <c r="K106" s="563"/>
      <c r="L106" s="563"/>
      <c r="M106" s="563"/>
      <c r="N106" s="571"/>
      <c r="O106" s="568"/>
      <c r="P106" s="568"/>
      <c r="Q106" s="568"/>
      <c r="R106" s="568"/>
      <c r="S106" s="568"/>
      <c r="T106" s="568"/>
      <c r="U106" s="563"/>
      <c r="V106" s="563"/>
      <c r="W106" s="563"/>
      <c r="X106" s="563"/>
      <c r="Y106" s="563"/>
      <c r="Z106" s="563"/>
      <c r="AA106" s="563"/>
      <c r="AB106" s="563"/>
      <c r="AC106" s="563"/>
      <c r="AD106" s="563"/>
      <c r="AE106" s="563"/>
      <c r="AF106" s="563"/>
      <c r="AG106" s="563"/>
      <c r="AH106" s="563"/>
      <c r="AI106" s="563"/>
      <c r="AJ106" s="563"/>
      <c r="AK106" s="563"/>
      <c r="AL106" s="563"/>
      <c r="AM106" s="563"/>
      <c r="AN106" s="563"/>
      <c r="AO106" s="563"/>
      <c r="AP106" s="563"/>
      <c r="AQ106" s="563"/>
      <c r="AR106" s="563"/>
      <c r="AS106" s="563"/>
      <c r="AT106" s="563"/>
      <c r="AU106" s="563"/>
      <c r="AV106" s="563"/>
      <c r="AW106" s="563"/>
      <c r="AX106" s="563"/>
      <c r="AY106" s="563"/>
      <c r="AZ106" s="563"/>
    </row>
    <row r="107" spans="1:52" ht="18" customHeight="1">
      <c r="A107" s="563"/>
      <c r="B107" s="1786" t="s">
        <v>159</v>
      </c>
      <c r="C107" s="622">
        <f>财务分析!F48*100</f>
        <v>19.597767026955854</v>
      </c>
      <c r="D107" s="622">
        <f>财务分析!G48*100</f>
        <v>18.871134118083113</v>
      </c>
      <c r="E107" s="622">
        <f>财务分析!H48*100</f>
        <v>16.567284731368879</v>
      </c>
      <c r="F107" s="622">
        <f>财务分析!I48*100</f>
        <v>16.367135246248822</v>
      </c>
      <c r="G107" s="622">
        <f>财务分析!J48*100</f>
        <v>16.516686631739983</v>
      </c>
      <c r="H107" s="563"/>
      <c r="I107" s="563"/>
      <c r="J107" s="563"/>
      <c r="K107" s="563"/>
      <c r="L107" s="563"/>
      <c r="M107" s="563"/>
      <c r="N107" s="571"/>
      <c r="O107" s="568"/>
      <c r="P107" s="568"/>
      <c r="Q107" s="568"/>
      <c r="R107" s="568"/>
      <c r="S107" s="568"/>
      <c r="T107" s="568"/>
      <c r="U107" s="563"/>
      <c r="V107" s="563"/>
      <c r="W107" s="563"/>
      <c r="X107" s="563"/>
      <c r="Y107" s="563"/>
      <c r="Z107" s="563"/>
      <c r="AA107" s="563"/>
      <c r="AB107" s="563"/>
      <c r="AC107" s="563"/>
      <c r="AD107" s="563"/>
      <c r="AE107" s="563"/>
      <c r="AF107" s="563"/>
      <c r="AG107" s="563"/>
      <c r="AH107" s="563"/>
      <c r="AI107" s="563"/>
      <c r="AJ107" s="563"/>
      <c r="AK107" s="563"/>
      <c r="AL107" s="563"/>
      <c r="AM107" s="563"/>
      <c r="AN107" s="563"/>
      <c r="AO107" s="563"/>
      <c r="AP107" s="563"/>
      <c r="AQ107" s="563"/>
      <c r="AR107" s="563"/>
      <c r="AS107" s="563"/>
      <c r="AT107" s="563"/>
      <c r="AU107" s="563"/>
      <c r="AV107" s="563"/>
      <c r="AW107" s="563"/>
      <c r="AX107" s="563"/>
      <c r="AY107" s="563"/>
      <c r="AZ107" s="563"/>
    </row>
    <row r="108" spans="1:52" ht="18" customHeight="1">
      <c r="A108" s="563"/>
      <c r="B108" s="1786" t="s">
        <v>160</v>
      </c>
      <c r="C108" s="622">
        <f>财务分析!F47*100</f>
        <v>17.678213690108986</v>
      </c>
      <c r="D108" s="622">
        <f>财务分析!G47*100</f>
        <v>17.121196349259183</v>
      </c>
      <c r="E108" s="622">
        <f>财务分析!H47*100</f>
        <v>15.434907879221951</v>
      </c>
      <c r="F108" s="622">
        <f>财务分析!I47*100</f>
        <v>15.234758394101894</v>
      </c>
      <c r="G108" s="622">
        <f>财务分析!J47*100</f>
        <v>15.384309779593055</v>
      </c>
      <c r="H108" s="563"/>
      <c r="I108" s="563"/>
      <c r="J108" s="563"/>
      <c r="K108" s="563"/>
      <c r="L108" s="563"/>
      <c r="M108" s="563"/>
      <c r="N108" s="571"/>
      <c r="O108" s="568"/>
      <c r="P108" s="568"/>
      <c r="Q108" s="568"/>
      <c r="R108" s="568"/>
      <c r="S108" s="568"/>
      <c r="T108" s="568"/>
      <c r="U108" s="563"/>
      <c r="V108" s="563"/>
      <c r="W108" s="563"/>
      <c r="X108" s="563"/>
      <c r="Y108" s="563"/>
      <c r="Z108" s="563"/>
      <c r="AA108" s="563"/>
      <c r="AB108" s="563"/>
      <c r="AC108" s="563"/>
      <c r="AD108" s="563"/>
      <c r="AE108" s="563"/>
      <c r="AF108" s="563"/>
      <c r="AG108" s="563"/>
      <c r="AH108" s="563"/>
      <c r="AI108" s="563"/>
      <c r="AJ108" s="563"/>
      <c r="AK108" s="563"/>
      <c r="AL108" s="563"/>
      <c r="AM108" s="563"/>
      <c r="AN108" s="563"/>
      <c r="AO108" s="563"/>
      <c r="AP108" s="563"/>
      <c r="AQ108" s="563"/>
      <c r="AR108" s="563"/>
      <c r="AS108" s="563"/>
      <c r="AT108" s="563"/>
      <c r="AU108" s="563"/>
      <c r="AV108" s="563"/>
      <c r="AW108" s="563"/>
      <c r="AX108" s="563"/>
      <c r="AY108" s="563"/>
      <c r="AZ108" s="563"/>
    </row>
    <row r="109" spans="1:52" ht="18" customHeight="1">
      <c r="A109" s="563"/>
      <c r="B109" s="1786" t="s">
        <v>1475</v>
      </c>
      <c r="C109" s="622">
        <f>财务分析!F51*100</f>
        <v>4.9033864924721504</v>
      </c>
      <c r="D109" s="622">
        <f>财务分析!G51*100</f>
        <v>32.609174934937421</v>
      </c>
      <c r="E109" s="622">
        <f>财务分析!H51*100</f>
        <v>0</v>
      </c>
      <c r="F109" s="622">
        <f>财务分析!I51*100</f>
        <v>0</v>
      </c>
      <c r="G109" s="622">
        <f>财务分析!J51*100</f>
        <v>0</v>
      </c>
      <c r="H109" s="563"/>
      <c r="I109" s="563"/>
      <c r="J109" s="563"/>
      <c r="K109" s="563"/>
      <c r="L109" s="563"/>
      <c r="M109" s="563"/>
      <c r="N109" s="571"/>
      <c r="O109" s="568"/>
      <c r="P109" s="568"/>
      <c r="Q109" s="568"/>
      <c r="R109" s="568"/>
      <c r="S109" s="568"/>
      <c r="T109" s="568"/>
      <c r="U109" s="563"/>
      <c r="V109" s="563"/>
      <c r="W109" s="563"/>
      <c r="X109" s="563"/>
      <c r="Y109" s="563"/>
      <c r="Z109" s="563"/>
      <c r="AA109" s="563"/>
      <c r="AB109" s="563"/>
      <c r="AC109" s="563"/>
      <c r="AD109" s="563"/>
      <c r="AE109" s="563"/>
      <c r="AF109" s="563"/>
      <c r="AG109" s="563"/>
      <c r="AH109" s="563"/>
      <c r="AI109" s="563"/>
      <c r="AJ109" s="563"/>
      <c r="AK109" s="563"/>
      <c r="AL109" s="563"/>
      <c r="AM109" s="563"/>
      <c r="AN109" s="563"/>
      <c r="AO109" s="563"/>
      <c r="AP109" s="563"/>
      <c r="AQ109" s="563"/>
      <c r="AR109" s="563"/>
      <c r="AS109" s="563"/>
      <c r="AT109" s="563"/>
      <c r="AU109" s="563"/>
      <c r="AV109" s="563"/>
      <c r="AW109" s="563"/>
      <c r="AX109" s="563"/>
      <c r="AY109" s="563"/>
      <c r="AZ109" s="563"/>
    </row>
    <row r="110" spans="1:52" ht="18" customHeight="1">
      <c r="A110" s="563"/>
      <c r="B110" s="1786" t="s">
        <v>1476</v>
      </c>
      <c r="C110" s="622">
        <f>财务分析!F54*100</f>
        <v>28.377946953870996</v>
      </c>
      <c r="D110" s="622">
        <f>财务分析!G54*100</f>
        <v>27.394775617090538</v>
      </c>
      <c r="E110" s="622">
        <f ca="1">财务分析!H54*100</f>
        <v>-244.73201376453596</v>
      </c>
      <c r="F110" s="622" t="e">
        <f ca="1">财务分析!I54*100</f>
        <v>#VALUE!</v>
      </c>
      <c r="G110" s="622" t="e">
        <f ca="1">财务分析!J54*100</f>
        <v>#VALUE!</v>
      </c>
      <c r="H110" s="563"/>
      <c r="I110" s="580" t="s">
        <v>161</v>
      </c>
      <c r="J110" s="582"/>
      <c r="K110" s="582"/>
      <c r="L110" s="582"/>
      <c r="M110" s="582"/>
      <c r="N110" s="571"/>
      <c r="O110" s="568"/>
      <c r="P110" s="568"/>
      <c r="Q110" s="568"/>
      <c r="R110" s="568"/>
      <c r="S110" s="568"/>
      <c r="T110" s="568"/>
      <c r="U110" s="563"/>
      <c r="V110" s="563"/>
      <c r="W110" s="563"/>
      <c r="X110" s="563"/>
      <c r="Y110" s="563"/>
      <c r="Z110" s="563"/>
      <c r="AA110" s="563"/>
      <c r="AB110" s="563"/>
      <c r="AC110" s="563"/>
      <c r="AD110" s="563"/>
      <c r="AE110" s="563"/>
      <c r="AF110" s="563"/>
      <c r="AG110" s="563"/>
      <c r="AH110" s="563"/>
      <c r="AI110" s="563"/>
      <c r="AJ110" s="563"/>
      <c r="AK110" s="563"/>
      <c r="AL110" s="563"/>
      <c r="AM110" s="563"/>
      <c r="AN110" s="563"/>
      <c r="AO110" s="563"/>
      <c r="AP110" s="563"/>
      <c r="AQ110" s="563"/>
      <c r="AR110" s="563"/>
      <c r="AS110" s="563"/>
      <c r="AT110" s="563"/>
      <c r="AU110" s="563"/>
      <c r="AV110" s="563"/>
      <c r="AW110" s="563"/>
      <c r="AX110" s="563"/>
      <c r="AY110" s="563"/>
      <c r="AZ110" s="563"/>
    </row>
    <row r="111" spans="1:52" ht="18" customHeight="1">
      <c r="A111" s="563"/>
      <c r="B111" s="1786" t="s">
        <v>162</v>
      </c>
      <c r="C111" s="622">
        <f>财务分析!F58*100</f>
        <v>13.943688879460629</v>
      </c>
      <c r="D111" s="622">
        <f>财务分析!G58*100</f>
        <v>21.382788296565856</v>
      </c>
      <c r="E111" s="622">
        <f ca="1">财务分析!H58*100</f>
        <v>30.444336832627567</v>
      </c>
      <c r="F111" s="622">
        <f ca="1">财务分析!I58*100</f>
        <v>57.970296979575878</v>
      </c>
      <c r="G111" s="622">
        <f ca="1">财务分析!J58*100</f>
        <v>80.334377612644047</v>
      </c>
      <c r="H111" s="563"/>
      <c r="I111" s="563"/>
      <c r="J111" s="563"/>
      <c r="K111" s="563"/>
      <c r="L111" s="563"/>
      <c r="M111" s="563"/>
      <c r="N111" s="571"/>
      <c r="O111" s="568"/>
      <c r="P111" s="568"/>
      <c r="Q111" s="568"/>
      <c r="R111" s="568"/>
      <c r="S111" s="568"/>
      <c r="T111" s="568"/>
      <c r="U111" s="563"/>
      <c r="V111" s="563"/>
      <c r="W111" s="563"/>
      <c r="X111" s="563"/>
      <c r="Y111" s="563"/>
      <c r="Z111" s="563"/>
      <c r="AA111" s="563"/>
      <c r="AB111" s="563"/>
      <c r="AC111" s="563"/>
      <c r="AD111" s="563"/>
      <c r="AE111" s="563"/>
      <c r="AF111" s="563"/>
      <c r="AG111" s="563"/>
      <c r="AH111" s="563"/>
      <c r="AI111" s="563"/>
      <c r="AJ111" s="563"/>
      <c r="AK111" s="563"/>
      <c r="AL111" s="563"/>
      <c r="AM111" s="563"/>
      <c r="AN111" s="563"/>
      <c r="AO111" s="563"/>
      <c r="AP111" s="563"/>
      <c r="AQ111" s="563"/>
      <c r="AR111" s="563"/>
      <c r="AS111" s="563"/>
      <c r="AT111" s="563"/>
      <c r="AU111" s="563"/>
      <c r="AV111" s="563"/>
      <c r="AW111" s="563"/>
      <c r="AX111" s="563"/>
      <c r="AY111" s="563"/>
      <c r="AZ111" s="563"/>
    </row>
    <row r="112" spans="1:52" ht="18" customHeight="1">
      <c r="A112" s="563"/>
      <c r="B112" s="1786" t="s">
        <v>163</v>
      </c>
      <c r="C112" s="623">
        <f>财务分析!F66</f>
        <v>0.86601230152487807</v>
      </c>
      <c r="D112" s="623">
        <f>财务分析!G66</f>
        <v>0.97749675682551584</v>
      </c>
      <c r="E112" s="623">
        <f ca="1">财务分析!H66</f>
        <v>1.2931232988439201</v>
      </c>
      <c r="F112" s="623">
        <f ca="1">财务分析!I66</f>
        <v>1.9405374739045751</v>
      </c>
      <c r="G112" s="623">
        <f ca="1">财务分析!J66</f>
        <v>3.8636961678574768</v>
      </c>
      <c r="H112" s="563"/>
      <c r="I112" s="563"/>
      <c r="J112" s="563"/>
      <c r="K112" s="563"/>
      <c r="L112" s="563"/>
      <c r="M112" s="563"/>
      <c r="N112" s="571"/>
      <c r="O112" s="568"/>
      <c r="P112" s="568"/>
      <c r="Q112" s="568"/>
      <c r="R112" s="568"/>
      <c r="S112" s="568"/>
      <c r="T112" s="568"/>
      <c r="U112" s="563"/>
      <c r="V112" s="563"/>
      <c r="W112" s="563"/>
      <c r="X112" s="563"/>
      <c r="Y112" s="563"/>
      <c r="Z112" s="563"/>
      <c r="AA112" s="563"/>
      <c r="AB112" s="563"/>
      <c r="AC112" s="563"/>
      <c r="AD112" s="563"/>
      <c r="AE112" s="563"/>
      <c r="AF112" s="563"/>
      <c r="AG112" s="563"/>
      <c r="AH112" s="563"/>
      <c r="AI112" s="563"/>
      <c r="AJ112" s="563"/>
      <c r="AK112" s="563"/>
      <c r="AL112" s="563"/>
      <c r="AM112" s="563"/>
      <c r="AN112" s="563"/>
      <c r="AO112" s="563"/>
      <c r="AP112" s="563"/>
      <c r="AQ112" s="563"/>
      <c r="AR112" s="563"/>
      <c r="AS112" s="563"/>
      <c r="AT112" s="563"/>
      <c r="AU112" s="563"/>
      <c r="AV112" s="563"/>
      <c r="AW112" s="563"/>
      <c r="AX112" s="563"/>
      <c r="AY112" s="563"/>
      <c r="AZ112" s="563"/>
    </row>
    <row r="113" spans="1:52" ht="18" customHeight="1">
      <c r="A113" s="563"/>
      <c r="B113" s="1786" t="s">
        <v>164</v>
      </c>
      <c r="C113" s="623">
        <f>财务分析!F67</f>
        <v>0.74501197960549315</v>
      </c>
      <c r="D113" s="623">
        <f>财务分析!G67</f>
        <v>0.76797943732147456</v>
      </c>
      <c r="E113" s="623">
        <f ca="1">财务分析!H67</f>
        <v>0.8981308028741648</v>
      </c>
      <c r="F113" s="623">
        <f ca="1">财务分析!I67</f>
        <v>0.81296109782629433</v>
      </c>
      <c r="G113" s="623">
        <f ca="1">财务分析!J67</f>
        <v>0.75336566964143181</v>
      </c>
      <c r="H113" s="563"/>
      <c r="I113" s="563"/>
      <c r="J113" s="563"/>
      <c r="K113" s="563"/>
      <c r="L113" s="563"/>
      <c r="M113" s="563"/>
      <c r="N113" s="571"/>
      <c r="O113" s="568"/>
      <c r="P113" s="568"/>
      <c r="Q113" s="568"/>
      <c r="R113" s="568"/>
      <c r="S113" s="568"/>
      <c r="T113" s="568"/>
      <c r="U113" s="563"/>
      <c r="V113" s="563"/>
      <c r="W113" s="563"/>
      <c r="X113" s="563"/>
      <c r="Y113" s="563"/>
      <c r="Z113" s="563"/>
      <c r="AA113" s="563"/>
      <c r="AB113" s="563"/>
      <c r="AC113" s="563"/>
      <c r="AD113" s="563"/>
      <c r="AE113" s="563"/>
      <c r="AF113" s="563"/>
      <c r="AG113" s="563"/>
      <c r="AH113" s="563"/>
      <c r="AI113" s="563"/>
      <c r="AJ113" s="563"/>
      <c r="AK113" s="563"/>
      <c r="AL113" s="563"/>
      <c r="AM113" s="563"/>
      <c r="AN113" s="563"/>
      <c r="AO113" s="563"/>
      <c r="AP113" s="563"/>
      <c r="AQ113" s="563"/>
      <c r="AR113" s="563"/>
      <c r="AS113" s="563"/>
      <c r="AT113" s="563"/>
      <c r="AU113" s="563"/>
      <c r="AV113" s="563"/>
      <c r="AW113" s="563"/>
      <c r="AX113" s="563"/>
      <c r="AY113" s="563"/>
      <c r="AZ113" s="563"/>
    </row>
    <row r="114" spans="1:52" ht="18" customHeight="1">
      <c r="A114" s="563"/>
      <c r="B114" s="1786" t="s">
        <v>165</v>
      </c>
      <c r="C114" s="622">
        <f>利润表!L119*100</f>
        <v>13.311740361509852</v>
      </c>
      <c r="D114" s="622">
        <f>利润表!M119*100</f>
        <v>12.88349140262692</v>
      </c>
      <c r="E114" s="622">
        <f>利润表!N119*100</f>
        <v>12.88349140262692</v>
      </c>
      <c r="F114" s="622">
        <f>利润表!O119*100</f>
        <v>12.88349140262692</v>
      </c>
      <c r="G114" s="622">
        <f>利润表!P119*100</f>
        <v>12.88349140262692</v>
      </c>
      <c r="H114" s="563"/>
      <c r="I114" s="563"/>
      <c r="J114" s="563"/>
      <c r="K114" s="563"/>
      <c r="L114" s="563"/>
      <c r="M114" s="563"/>
      <c r="N114" s="571"/>
      <c r="O114" s="568"/>
      <c r="P114" s="568"/>
      <c r="Q114" s="568"/>
      <c r="R114" s="568"/>
      <c r="S114" s="568"/>
      <c r="T114" s="568"/>
      <c r="U114" s="563"/>
      <c r="V114" s="563"/>
      <c r="W114" s="563"/>
      <c r="X114" s="563"/>
      <c r="Y114" s="563"/>
      <c r="Z114" s="563"/>
      <c r="AA114" s="563"/>
      <c r="AB114" s="563"/>
      <c r="AC114" s="563"/>
      <c r="AD114" s="563"/>
      <c r="AE114" s="563"/>
      <c r="AF114" s="563"/>
      <c r="AG114" s="563"/>
      <c r="AH114" s="563"/>
      <c r="AI114" s="563"/>
      <c r="AJ114" s="563"/>
      <c r="AK114" s="563"/>
      <c r="AL114" s="563"/>
      <c r="AM114" s="563"/>
      <c r="AN114" s="563"/>
      <c r="AO114" s="563"/>
      <c r="AP114" s="563"/>
      <c r="AQ114" s="563"/>
      <c r="AR114" s="563"/>
      <c r="AS114" s="563"/>
      <c r="AT114" s="563"/>
      <c r="AU114" s="563"/>
      <c r="AV114" s="563"/>
      <c r="AW114" s="563"/>
      <c r="AX114" s="563"/>
      <c r="AY114" s="563"/>
      <c r="AZ114" s="563"/>
    </row>
    <row r="115" spans="1:52" ht="18" customHeight="1">
      <c r="A115" s="563"/>
      <c r="B115" s="1786" t="s">
        <v>166</v>
      </c>
      <c r="C115" s="622">
        <f>C101/公司说明!$E$8*100</f>
        <v>0</v>
      </c>
      <c r="D115" s="622">
        <f>D101/公司说明!$E$8*100</f>
        <v>0</v>
      </c>
      <c r="E115" s="622">
        <f>E101/公司说明!$E$8*100</f>
        <v>0</v>
      </c>
      <c r="F115" s="622">
        <f ca="1">F101/公司说明!$E$8*100</f>
        <v>0</v>
      </c>
      <c r="G115" s="622">
        <f ca="1">G101/公司说明!$E$8*100</f>
        <v>0</v>
      </c>
      <c r="H115" s="563"/>
      <c r="I115" s="563"/>
      <c r="J115" s="563"/>
      <c r="K115" s="563"/>
      <c r="L115" s="563"/>
      <c r="M115" s="563"/>
      <c r="N115" s="568"/>
      <c r="O115" s="568"/>
      <c r="P115" s="568"/>
      <c r="Q115" s="568"/>
      <c r="R115" s="568"/>
      <c r="S115" s="563"/>
      <c r="T115" s="563"/>
      <c r="U115" s="563"/>
      <c r="V115" s="563"/>
      <c r="W115" s="563"/>
      <c r="X115" s="563"/>
      <c r="Y115" s="563"/>
      <c r="Z115" s="563"/>
      <c r="AA115" s="563"/>
      <c r="AB115" s="563"/>
      <c r="AC115" s="563"/>
      <c r="AD115" s="563"/>
      <c r="AE115" s="563"/>
      <c r="AF115" s="563"/>
      <c r="AG115" s="563"/>
      <c r="AH115" s="563"/>
      <c r="AI115" s="563"/>
      <c r="AJ115" s="563"/>
      <c r="AK115" s="563"/>
      <c r="AL115" s="563"/>
      <c r="AM115" s="563"/>
      <c r="AN115" s="563"/>
      <c r="AO115" s="563"/>
      <c r="AP115" s="563"/>
      <c r="AQ115" s="563"/>
      <c r="AR115" s="563"/>
      <c r="AS115" s="563"/>
      <c r="AT115" s="563"/>
      <c r="AU115" s="563"/>
      <c r="AV115" s="563"/>
      <c r="AW115" s="563"/>
      <c r="AX115" s="563"/>
      <c r="AY115" s="563"/>
      <c r="AZ115" s="563"/>
    </row>
    <row r="116" spans="1:52" ht="18" customHeight="1">
      <c r="A116" s="563"/>
      <c r="B116" s="1916" t="s">
        <v>167</v>
      </c>
      <c r="C116" s="618"/>
      <c r="D116" s="618"/>
      <c r="E116" s="618"/>
      <c r="F116" s="618"/>
      <c r="G116" s="618"/>
      <c r="H116" s="563"/>
      <c r="I116" s="563"/>
      <c r="J116" s="563"/>
      <c r="K116" s="563"/>
      <c r="L116" s="563"/>
      <c r="M116" s="563"/>
      <c r="N116" s="568"/>
      <c r="O116" s="568"/>
      <c r="P116" s="568"/>
      <c r="Q116" s="568"/>
      <c r="R116" s="568"/>
      <c r="S116" s="563"/>
      <c r="T116" s="563"/>
      <c r="U116" s="563"/>
      <c r="V116" s="563"/>
      <c r="W116" s="563"/>
      <c r="X116" s="563"/>
      <c r="Y116" s="563"/>
      <c r="Z116" s="563"/>
      <c r="AA116" s="563"/>
      <c r="AB116" s="563"/>
      <c r="AC116" s="563"/>
      <c r="AD116" s="563"/>
      <c r="AE116" s="563"/>
      <c r="AF116" s="563"/>
      <c r="AG116" s="563"/>
      <c r="AH116" s="563"/>
      <c r="AI116" s="563"/>
      <c r="AJ116" s="563"/>
      <c r="AK116" s="563"/>
      <c r="AL116" s="563"/>
      <c r="AM116" s="563"/>
      <c r="AN116" s="563"/>
      <c r="AO116" s="563"/>
      <c r="AP116" s="563"/>
      <c r="AQ116" s="563"/>
      <c r="AR116" s="563"/>
      <c r="AS116" s="563"/>
      <c r="AT116" s="563"/>
      <c r="AU116" s="563"/>
      <c r="AV116" s="563"/>
      <c r="AW116" s="563"/>
      <c r="AX116" s="563"/>
      <c r="AY116" s="563"/>
      <c r="AZ116" s="563"/>
    </row>
    <row r="117" spans="1:52" ht="18" customHeight="1">
      <c r="A117" s="563"/>
      <c r="B117" s="1786" t="s">
        <v>168</v>
      </c>
      <c r="C117" s="624">
        <f>公司说明!$E$8/C99</f>
        <v>30.3852783702838</v>
      </c>
      <c r="D117" s="624">
        <f>公司说明!$E$8/D99</f>
        <v>23.851275080237663</v>
      </c>
      <c r="E117" s="624">
        <f ca="1">公司说明!$E$8/E99</f>
        <v>-16.47961253343799</v>
      </c>
      <c r="F117" s="624">
        <f ca="1">公司说明!$E$8/F99</f>
        <v>-13.871932938869227</v>
      </c>
      <c r="G117" s="624">
        <f ca="1">公司说明!$E$8/G99</f>
        <v>-13.95298388275252</v>
      </c>
      <c r="H117" s="563"/>
      <c r="I117" s="563"/>
      <c r="J117" s="563"/>
      <c r="K117" s="563"/>
      <c r="L117" s="563"/>
      <c r="M117" s="563"/>
      <c r="N117" s="568"/>
      <c r="O117" s="568"/>
      <c r="P117" s="568"/>
      <c r="Q117" s="568"/>
      <c r="R117" s="568"/>
      <c r="S117" s="563"/>
      <c r="T117" s="563"/>
      <c r="U117" s="563"/>
      <c r="V117" s="563"/>
      <c r="W117" s="563"/>
      <c r="X117" s="563"/>
      <c r="Y117" s="563"/>
      <c r="Z117" s="563"/>
      <c r="AA117" s="563"/>
      <c r="AB117" s="563"/>
      <c r="AC117" s="563"/>
      <c r="AD117" s="563"/>
      <c r="AE117" s="563"/>
      <c r="AF117" s="563"/>
      <c r="AG117" s="563"/>
      <c r="AH117" s="563"/>
      <c r="AI117" s="563"/>
      <c r="AJ117" s="563"/>
      <c r="AK117" s="563"/>
      <c r="AL117" s="563"/>
      <c r="AM117" s="563"/>
      <c r="AN117" s="563"/>
      <c r="AO117" s="563"/>
      <c r="AP117" s="563"/>
      <c r="AQ117" s="563"/>
      <c r="AR117" s="563"/>
      <c r="AS117" s="563"/>
      <c r="AT117" s="563"/>
      <c r="AU117" s="563"/>
      <c r="AV117" s="563"/>
      <c r="AW117" s="563"/>
      <c r="AX117" s="563"/>
      <c r="AY117" s="563"/>
      <c r="AZ117" s="563"/>
    </row>
    <row r="118" spans="1:52" ht="18" customHeight="1">
      <c r="A118" s="563"/>
      <c r="B118" s="1786" t="s">
        <v>169</v>
      </c>
      <c r="C118" s="624">
        <f>公司说明!$E$8/C102</f>
        <v>4.1101232780257346</v>
      </c>
      <c r="D118" s="624">
        <f>公司说明!$E$8/D102</f>
        <v>3.4984247695534103</v>
      </c>
      <c r="E118" s="624">
        <f ca="1">公司说明!$E$8/E102</f>
        <v>4.628040499544805</v>
      </c>
      <c r="F118" s="624">
        <f ca="1">公司说明!$E$8/F102</f>
        <v>6.9451119070732439</v>
      </c>
      <c r="G118" s="624">
        <f ca="1">公司说明!$E$8/G102</f>
        <v>13.828025802927506</v>
      </c>
      <c r="H118" s="563"/>
      <c r="I118" s="563"/>
      <c r="J118" s="563"/>
      <c r="K118" s="563"/>
      <c r="L118" s="563"/>
      <c r="M118" s="563"/>
      <c r="N118" s="571"/>
      <c r="O118" s="568"/>
      <c r="P118" s="568"/>
      <c r="Q118" s="568"/>
      <c r="R118" s="568"/>
      <c r="S118" s="568"/>
      <c r="T118" s="568"/>
      <c r="U118" s="563"/>
      <c r="V118" s="563"/>
      <c r="W118" s="563"/>
      <c r="X118" s="563"/>
      <c r="Y118" s="563"/>
      <c r="Z118" s="563"/>
      <c r="AA118" s="563"/>
      <c r="AB118" s="563"/>
      <c r="AC118" s="563"/>
      <c r="AD118" s="563"/>
      <c r="AE118" s="563"/>
      <c r="AF118" s="563"/>
      <c r="AG118" s="563"/>
      <c r="AH118" s="563"/>
      <c r="AI118" s="563"/>
      <c r="AJ118" s="563"/>
      <c r="AK118" s="563"/>
      <c r="AL118" s="563"/>
      <c r="AM118" s="563"/>
      <c r="AN118" s="563"/>
      <c r="AO118" s="563"/>
      <c r="AP118" s="563"/>
      <c r="AQ118" s="563"/>
      <c r="AR118" s="563"/>
      <c r="AS118" s="563"/>
      <c r="AT118" s="563"/>
      <c r="AU118" s="563"/>
      <c r="AV118" s="563"/>
      <c r="AW118" s="563"/>
      <c r="AX118" s="563"/>
      <c r="AY118" s="563"/>
      <c r="AZ118" s="563"/>
    </row>
    <row r="119" spans="1:52" ht="18" customHeight="1">
      <c r="A119" s="563"/>
      <c r="B119" s="2319" t="s">
        <v>170</v>
      </c>
      <c r="C119" s="625">
        <f>财务分析!F28/利润表!L4</f>
        <v>4.6508734658296271</v>
      </c>
      <c r="D119" s="625">
        <f>财务分析!G28/利润表!M4</f>
        <v>3.3253989280943665</v>
      </c>
      <c r="E119" s="625">
        <f ca="1">财务分析!H28/利润表!N4</f>
        <v>3.510449439703935</v>
      </c>
      <c r="F119" s="625">
        <f ca="1">财务分析!I28/利润表!O4</f>
        <v>3.7791556992504534</v>
      </c>
      <c r="G119" s="625">
        <f ca="1">财务分析!J28/利润表!P4</f>
        <v>4.027021168595442</v>
      </c>
      <c r="H119" s="563"/>
      <c r="I119" s="563"/>
      <c r="J119" s="563"/>
      <c r="K119" s="563"/>
      <c r="L119" s="563"/>
      <c r="M119" s="563"/>
      <c r="N119" s="571"/>
      <c r="O119" s="568"/>
      <c r="P119" s="568"/>
      <c r="Q119" s="568"/>
      <c r="R119" s="568"/>
      <c r="S119" s="568"/>
      <c r="T119" s="568"/>
      <c r="U119" s="563"/>
      <c r="V119" s="563"/>
      <c r="W119" s="563"/>
      <c r="X119" s="563"/>
      <c r="Y119" s="563"/>
      <c r="Z119" s="563"/>
      <c r="AA119" s="563"/>
      <c r="AB119" s="563"/>
      <c r="AC119" s="563"/>
      <c r="AD119" s="563"/>
      <c r="AE119" s="563"/>
      <c r="AF119" s="563"/>
      <c r="AG119" s="563"/>
      <c r="AH119" s="563"/>
      <c r="AI119" s="563"/>
      <c r="AJ119" s="563"/>
      <c r="AK119" s="563"/>
      <c r="AL119" s="563"/>
      <c r="AM119" s="563"/>
      <c r="AN119" s="563"/>
      <c r="AO119" s="563"/>
      <c r="AP119" s="563"/>
      <c r="AQ119" s="563"/>
      <c r="AR119" s="563"/>
      <c r="AS119" s="563"/>
      <c r="AT119" s="563"/>
      <c r="AU119" s="563"/>
      <c r="AV119" s="563"/>
      <c r="AW119" s="563"/>
      <c r="AX119" s="563"/>
      <c r="AY119" s="563"/>
      <c r="AZ119" s="563"/>
    </row>
    <row r="120" spans="1:52" ht="18" customHeight="1">
      <c r="A120" s="563"/>
      <c r="B120" s="2319" t="s">
        <v>85</v>
      </c>
      <c r="C120" s="625">
        <f>财务分析!F28/财务分析!F217</f>
        <v>23.731649934569372</v>
      </c>
      <c r="D120" s="625">
        <f>财务分析!G28/财务分析!G217</f>
        <v>17.621616736366839</v>
      </c>
      <c r="E120" s="625">
        <f ca="1">财务分析!H28/财务分析!H217</f>
        <v>21.189045136993204</v>
      </c>
      <c r="F120" s="625">
        <f ca="1">财务分析!I28/财务分析!I217</f>
        <v>23.089903287238965</v>
      </c>
      <c r="G120" s="625">
        <f ca="1">财务分析!J28/财务分析!J217</f>
        <v>24.381531589130887</v>
      </c>
      <c r="H120" s="563"/>
      <c r="I120" s="563"/>
      <c r="J120" s="563"/>
      <c r="K120" s="563"/>
      <c r="L120" s="563"/>
      <c r="M120" s="563"/>
      <c r="N120" s="571"/>
      <c r="O120" s="568"/>
      <c r="P120" s="568"/>
      <c r="Q120" s="568"/>
      <c r="R120" s="568"/>
      <c r="S120" s="568"/>
      <c r="T120" s="568"/>
      <c r="U120" s="563"/>
      <c r="V120" s="563"/>
      <c r="W120" s="563"/>
      <c r="X120" s="563"/>
      <c r="Y120" s="563"/>
      <c r="Z120" s="563"/>
      <c r="AA120" s="563"/>
      <c r="AB120" s="563"/>
      <c r="AC120" s="563"/>
      <c r="AD120" s="563"/>
      <c r="AE120" s="563"/>
      <c r="AF120" s="563"/>
      <c r="AG120" s="563"/>
      <c r="AH120" s="563"/>
      <c r="AI120" s="563"/>
      <c r="AJ120" s="563"/>
      <c r="AK120" s="563"/>
      <c r="AL120" s="563"/>
      <c r="AM120" s="563"/>
      <c r="AN120" s="563"/>
      <c r="AO120" s="563"/>
      <c r="AP120" s="563"/>
      <c r="AQ120" s="563"/>
      <c r="AR120" s="563"/>
      <c r="AS120" s="563"/>
      <c r="AT120" s="563"/>
      <c r="AU120" s="563"/>
      <c r="AV120" s="563"/>
      <c r="AW120" s="563"/>
      <c r="AX120" s="563"/>
      <c r="AY120" s="563"/>
      <c r="AZ120" s="563"/>
    </row>
    <row r="121" spans="1:52" ht="18" customHeight="1" thickBot="1">
      <c r="A121" s="563"/>
      <c r="B121" s="1916" t="s">
        <v>1263</v>
      </c>
      <c r="C121" s="584">
        <f>利润表!L38</f>
        <v>522.6</v>
      </c>
      <c r="D121" s="584">
        <f>利润表!M38</f>
        <v>522.6</v>
      </c>
      <c r="E121" s="584">
        <f>利润表!N38</f>
        <v>522.6</v>
      </c>
      <c r="F121" s="584">
        <f>利润表!O38</f>
        <v>522.6</v>
      </c>
      <c r="G121" s="584">
        <f>利润表!P38</f>
        <v>522.6</v>
      </c>
      <c r="H121" s="563"/>
      <c r="I121" s="563"/>
      <c r="J121" s="563"/>
      <c r="K121" s="563"/>
      <c r="L121" s="563"/>
      <c r="M121" s="563"/>
      <c r="N121" s="608"/>
      <c r="O121" s="568"/>
      <c r="P121" s="568"/>
      <c r="Q121" s="568"/>
      <c r="R121" s="568"/>
      <c r="S121" s="568"/>
      <c r="T121" s="568"/>
      <c r="U121" s="563"/>
      <c r="V121" s="563"/>
      <c r="W121" s="563"/>
      <c r="X121" s="563"/>
      <c r="Y121" s="563"/>
      <c r="Z121" s="563"/>
      <c r="AA121" s="563"/>
      <c r="AB121" s="563"/>
      <c r="AC121" s="563"/>
      <c r="AD121" s="563"/>
      <c r="AE121" s="563"/>
      <c r="AF121" s="563"/>
      <c r="AG121" s="563"/>
      <c r="AH121" s="563"/>
      <c r="AI121" s="563"/>
      <c r="AJ121" s="563"/>
      <c r="AK121" s="563"/>
      <c r="AL121" s="563"/>
      <c r="AM121" s="563"/>
      <c r="AN121" s="563"/>
      <c r="AO121" s="563"/>
      <c r="AP121" s="563"/>
      <c r="AQ121" s="563"/>
      <c r="AR121" s="563"/>
      <c r="AS121" s="563"/>
      <c r="AT121" s="563"/>
      <c r="AU121" s="563"/>
      <c r="AV121" s="563"/>
      <c r="AW121" s="563"/>
      <c r="AX121" s="563"/>
      <c r="AY121" s="563"/>
      <c r="AZ121" s="563"/>
    </row>
    <row r="122" spans="1:52" ht="18" customHeight="1">
      <c r="A122" s="563"/>
      <c r="B122" s="2537" t="s">
        <v>1459</v>
      </c>
      <c r="C122" s="2538"/>
      <c r="D122" s="2538"/>
      <c r="E122" s="2538"/>
      <c r="F122" s="2538"/>
      <c r="G122" s="2538"/>
      <c r="H122" s="563"/>
      <c r="I122" s="563"/>
      <c r="J122" s="563"/>
      <c r="K122" s="563"/>
      <c r="L122" s="563"/>
      <c r="M122" s="563"/>
      <c r="N122" s="626"/>
      <c r="O122" s="568"/>
      <c r="P122" s="568"/>
      <c r="Q122" s="568"/>
      <c r="R122" s="568"/>
      <c r="S122" s="568"/>
      <c r="T122" s="568"/>
      <c r="U122" s="563"/>
      <c r="V122" s="563"/>
      <c r="W122" s="563"/>
      <c r="X122" s="563"/>
      <c r="Y122" s="563"/>
      <c r="Z122" s="563"/>
      <c r="AA122" s="563"/>
      <c r="AB122" s="563"/>
      <c r="AC122" s="563"/>
      <c r="AD122" s="563"/>
      <c r="AE122" s="563"/>
      <c r="AF122" s="563"/>
      <c r="AG122" s="563"/>
      <c r="AH122" s="563"/>
      <c r="AI122" s="563"/>
      <c r="AJ122" s="563"/>
      <c r="AK122" s="563"/>
      <c r="AL122" s="563"/>
      <c r="AM122" s="563"/>
      <c r="AN122" s="563"/>
      <c r="AO122" s="563"/>
      <c r="AP122" s="563"/>
      <c r="AQ122" s="563"/>
      <c r="AR122" s="563"/>
      <c r="AS122" s="563"/>
      <c r="AT122" s="563"/>
      <c r="AU122" s="563"/>
      <c r="AV122" s="563"/>
      <c r="AW122" s="563"/>
      <c r="AX122" s="563"/>
      <c r="AY122" s="563"/>
      <c r="AZ122" s="563"/>
    </row>
    <row r="123" spans="1:52" ht="18" customHeight="1">
      <c r="A123" s="563"/>
      <c r="B123" s="603"/>
      <c r="C123" s="603"/>
      <c r="D123" s="603"/>
      <c r="E123" s="603"/>
      <c r="F123" s="603"/>
      <c r="G123" s="603"/>
      <c r="H123" s="563"/>
      <c r="I123" s="563"/>
      <c r="J123" s="563"/>
      <c r="K123" s="563"/>
      <c r="L123" s="563"/>
      <c r="M123" s="563"/>
      <c r="N123" s="626"/>
      <c r="O123" s="568"/>
      <c r="P123" s="568"/>
      <c r="Q123" s="568"/>
      <c r="R123" s="568"/>
      <c r="S123" s="568"/>
      <c r="T123" s="568"/>
      <c r="U123" s="563"/>
      <c r="V123" s="563"/>
      <c r="W123" s="563"/>
      <c r="X123" s="563"/>
      <c r="Y123" s="563"/>
      <c r="Z123" s="563"/>
      <c r="AA123" s="563"/>
      <c r="AB123" s="563"/>
      <c r="AC123" s="563"/>
      <c r="AD123" s="563"/>
      <c r="AE123" s="563"/>
      <c r="AF123" s="563"/>
      <c r="AG123" s="563"/>
      <c r="AH123" s="563"/>
      <c r="AI123" s="563"/>
      <c r="AJ123" s="563"/>
      <c r="AK123" s="563"/>
      <c r="AL123" s="563"/>
      <c r="AM123" s="563"/>
      <c r="AN123" s="563"/>
      <c r="AO123" s="563"/>
      <c r="AP123" s="563"/>
      <c r="AQ123" s="563"/>
      <c r="AR123" s="563"/>
      <c r="AS123" s="563"/>
      <c r="AT123" s="563"/>
      <c r="AU123" s="563"/>
      <c r="AV123" s="563"/>
      <c r="AW123" s="563"/>
      <c r="AX123" s="563"/>
      <c r="AY123" s="563"/>
      <c r="AZ123" s="563"/>
    </row>
    <row r="124" spans="1:52" ht="18" customHeight="1">
      <c r="A124" s="563"/>
      <c r="B124" s="603"/>
      <c r="C124" s="603"/>
      <c r="D124" s="603"/>
      <c r="E124" s="603"/>
      <c r="F124" s="603"/>
      <c r="G124" s="603"/>
      <c r="H124" s="563"/>
      <c r="I124" s="563"/>
      <c r="J124" s="563"/>
      <c r="K124" s="563"/>
      <c r="L124" s="563"/>
      <c r="M124" s="563"/>
      <c r="N124" s="626"/>
      <c r="O124" s="568"/>
      <c r="P124" s="568"/>
      <c r="Q124" s="568"/>
      <c r="R124" s="568"/>
      <c r="S124" s="568"/>
      <c r="T124" s="568"/>
      <c r="U124" s="563"/>
      <c r="V124" s="563"/>
      <c r="W124" s="563"/>
      <c r="X124" s="563"/>
      <c r="Y124" s="563"/>
      <c r="Z124" s="563"/>
      <c r="AA124" s="563"/>
      <c r="AB124" s="563"/>
      <c r="AC124" s="563"/>
      <c r="AD124" s="563"/>
      <c r="AE124" s="563"/>
      <c r="AF124" s="563"/>
      <c r="AG124" s="563"/>
      <c r="AH124" s="563"/>
      <c r="AI124" s="563"/>
      <c r="AJ124" s="563"/>
      <c r="AK124" s="563"/>
      <c r="AL124" s="563"/>
      <c r="AM124" s="563"/>
      <c r="AN124" s="563"/>
      <c r="AO124" s="563"/>
      <c r="AP124" s="563"/>
      <c r="AQ124" s="563"/>
      <c r="AR124" s="563"/>
      <c r="AS124" s="563"/>
      <c r="AT124" s="563"/>
      <c r="AU124" s="563"/>
      <c r="AV124" s="563"/>
      <c r="AW124" s="563"/>
      <c r="AX124" s="563"/>
      <c r="AY124" s="563"/>
      <c r="AZ124" s="563"/>
    </row>
    <row r="125" spans="1:52" ht="18" customHeight="1" thickBot="1">
      <c r="A125" s="563"/>
      <c r="B125" s="604" t="s">
        <v>171</v>
      </c>
      <c r="C125" s="605"/>
      <c r="D125" s="605"/>
      <c r="E125" s="605"/>
      <c r="F125" s="605"/>
      <c r="G125" s="605"/>
      <c r="H125" s="606"/>
      <c r="I125" s="606"/>
      <c r="J125" s="627"/>
      <c r="K125" s="627"/>
      <c r="L125" s="627"/>
      <c r="M125" s="627"/>
      <c r="N125" s="608"/>
      <c r="O125" s="568"/>
      <c r="P125" s="568"/>
      <c r="Q125" s="568"/>
      <c r="R125" s="568"/>
      <c r="S125" s="568"/>
      <c r="T125" s="568"/>
      <c r="U125" s="563"/>
      <c r="V125" s="563"/>
      <c r="W125" s="563"/>
      <c r="X125" s="563"/>
      <c r="Y125" s="563"/>
      <c r="Z125" s="563"/>
      <c r="AA125" s="563"/>
      <c r="AB125" s="563"/>
      <c r="AC125" s="563"/>
      <c r="AD125" s="563"/>
      <c r="AE125" s="563"/>
      <c r="AF125" s="563"/>
      <c r="AG125" s="563"/>
      <c r="AH125" s="563"/>
      <c r="AI125" s="563"/>
      <c r="AJ125" s="563"/>
      <c r="AK125" s="563"/>
      <c r="AL125" s="563"/>
      <c r="AM125" s="563"/>
      <c r="AN125" s="563"/>
      <c r="AO125" s="563"/>
      <c r="AP125" s="563"/>
      <c r="AQ125" s="563"/>
      <c r="AR125" s="563"/>
      <c r="AS125" s="563"/>
      <c r="AT125" s="563"/>
      <c r="AU125" s="563"/>
      <c r="AV125" s="563"/>
      <c r="AW125" s="563"/>
      <c r="AX125" s="563"/>
      <c r="AY125" s="563"/>
      <c r="AZ125" s="563"/>
    </row>
    <row r="126" spans="1:52" ht="18" customHeight="1" thickTop="1">
      <c r="A126" s="563"/>
      <c r="B126" s="563"/>
      <c r="C126" s="563"/>
      <c r="D126" s="563"/>
      <c r="E126" s="563"/>
      <c r="F126" s="563"/>
      <c r="G126" s="563"/>
      <c r="H126" s="563"/>
      <c r="I126" s="563"/>
      <c r="J126" s="563"/>
      <c r="K126" s="563"/>
      <c r="L126" s="563"/>
      <c r="M126" s="563"/>
      <c r="N126" s="567"/>
      <c r="O126" s="568"/>
      <c r="P126" s="568"/>
      <c r="Q126" s="568"/>
      <c r="R126" s="568"/>
      <c r="S126" s="568"/>
      <c r="T126" s="568"/>
      <c r="U126" s="563"/>
      <c r="V126" s="563"/>
      <c r="W126" s="563"/>
      <c r="X126" s="563"/>
      <c r="Y126" s="563"/>
      <c r="Z126" s="563"/>
      <c r="AA126" s="563"/>
      <c r="AB126" s="563"/>
      <c r="AC126" s="563"/>
      <c r="AD126" s="563"/>
      <c r="AE126" s="563"/>
      <c r="AF126" s="563"/>
      <c r="AG126" s="563"/>
      <c r="AH126" s="563"/>
      <c r="AI126" s="563"/>
      <c r="AJ126" s="563"/>
      <c r="AK126" s="563"/>
      <c r="AL126" s="563"/>
      <c r="AM126" s="563"/>
      <c r="AN126" s="563"/>
      <c r="AO126" s="563"/>
      <c r="AP126" s="563"/>
      <c r="AQ126" s="563"/>
      <c r="AR126" s="563"/>
      <c r="AS126" s="563"/>
      <c r="AT126" s="563"/>
      <c r="AU126" s="563"/>
      <c r="AV126" s="563"/>
      <c r="AW126" s="563"/>
      <c r="AX126" s="563"/>
      <c r="AY126" s="563"/>
      <c r="AZ126" s="563"/>
    </row>
    <row r="127" spans="1:52" ht="18" customHeight="1">
      <c r="A127" s="563"/>
      <c r="B127" s="563"/>
      <c r="C127" s="563"/>
      <c r="D127" s="563"/>
      <c r="E127" s="563"/>
      <c r="F127" s="563"/>
      <c r="G127" s="563"/>
      <c r="H127" s="563"/>
      <c r="I127" s="563"/>
      <c r="J127" s="563"/>
      <c r="K127" s="563"/>
      <c r="L127" s="563"/>
      <c r="M127" s="563"/>
      <c r="N127" s="567"/>
      <c r="O127" s="568"/>
      <c r="P127" s="568"/>
      <c r="Q127" s="568"/>
      <c r="R127" s="568"/>
      <c r="S127" s="568"/>
      <c r="T127" s="568"/>
      <c r="U127" s="563"/>
      <c r="V127" s="563"/>
      <c r="W127" s="563"/>
      <c r="X127" s="563"/>
      <c r="Y127" s="563"/>
      <c r="Z127" s="563"/>
      <c r="AA127" s="563"/>
      <c r="AB127" s="563"/>
      <c r="AC127" s="563"/>
      <c r="AD127" s="563"/>
      <c r="AE127" s="563"/>
      <c r="AF127" s="563"/>
      <c r="AG127" s="563"/>
      <c r="AH127" s="563"/>
      <c r="AI127" s="563"/>
      <c r="AJ127" s="563"/>
      <c r="AK127" s="563"/>
      <c r="AL127" s="563"/>
      <c r="AM127" s="563"/>
      <c r="AN127" s="563"/>
      <c r="AO127" s="563"/>
      <c r="AP127" s="563"/>
      <c r="AQ127" s="563"/>
      <c r="AR127" s="563"/>
      <c r="AS127" s="563"/>
      <c r="AT127" s="563"/>
      <c r="AU127" s="563"/>
      <c r="AV127" s="563"/>
      <c r="AW127" s="563"/>
      <c r="AX127" s="563"/>
      <c r="AY127" s="563"/>
      <c r="AZ127" s="563"/>
    </row>
    <row r="128" spans="1:52" ht="18" customHeight="1">
      <c r="A128" s="563"/>
      <c r="B128" s="563"/>
      <c r="C128" s="563"/>
      <c r="D128" s="563"/>
      <c r="E128" s="563"/>
      <c r="F128" s="563"/>
      <c r="G128" s="563"/>
      <c r="H128" s="563"/>
      <c r="I128" s="563"/>
      <c r="J128" s="563"/>
      <c r="K128" s="563"/>
      <c r="L128" s="563"/>
      <c r="M128" s="563"/>
      <c r="N128" s="567"/>
      <c r="O128" s="568"/>
      <c r="P128" s="568"/>
      <c r="Q128" s="568"/>
      <c r="R128" s="568"/>
      <c r="S128" s="568"/>
      <c r="T128" s="568"/>
      <c r="U128" s="563"/>
      <c r="V128" s="563"/>
      <c r="W128" s="563"/>
      <c r="X128" s="563"/>
      <c r="Y128" s="563"/>
      <c r="Z128" s="563"/>
      <c r="AA128" s="563"/>
      <c r="AB128" s="563"/>
      <c r="AC128" s="563"/>
      <c r="AD128" s="563"/>
      <c r="AE128" s="563"/>
      <c r="AF128" s="563"/>
      <c r="AG128" s="563"/>
      <c r="AH128" s="563"/>
      <c r="AI128" s="563"/>
      <c r="AJ128" s="563"/>
      <c r="AK128" s="563"/>
      <c r="AL128" s="563"/>
      <c r="AM128" s="563"/>
      <c r="AN128" s="563"/>
      <c r="AO128" s="563"/>
      <c r="AP128" s="563"/>
      <c r="AQ128" s="563"/>
      <c r="AR128" s="563"/>
      <c r="AS128" s="563"/>
      <c r="AT128" s="563"/>
      <c r="AU128" s="563"/>
      <c r="AV128" s="563"/>
      <c r="AW128" s="563"/>
      <c r="AX128" s="563"/>
      <c r="AY128" s="563"/>
      <c r="AZ128" s="563"/>
    </row>
    <row r="129" spans="1:52" ht="18" customHeight="1">
      <c r="A129" s="563"/>
      <c r="B129" s="563"/>
      <c r="C129" s="563"/>
      <c r="D129" s="563"/>
      <c r="E129" s="563"/>
      <c r="F129" s="563"/>
      <c r="G129" s="563"/>
      <c r="H129" s="563"/>
      <c r="I129" s="563"/>
      <c r="J129" s="563"/>
      <c r="K129" s="563"/>
      <c r="L129" s="563"/>
      <c r="M129" s="563"/>
      <c r="N129" s="567"/>
      <c r="O129" s="568"/>
      <c r="P129" s="568"/>
      <c r="Q129" s="568"/>
      <c r="R129" s="568"/>
      <c r="S129" s="568"/>
      <c r="T129" s="568"/>
      <c r="U129" s="563"/>
      <c r="V129" s="563"/>
      <c r="W129" s="563"/>
      <c r="X129" s="563"/>
      <c r="Y129" s="563"/>
      <c r="Z129" s="563"/>
      <c r="AA129" s="563"/>
      <c r="AB129" s="563"/>
      <c r="AC129" s="563"/>
      <c r="AD129" s="563"/>
      <c r="AE129" s="563"/>
      <c r="AF129" s="563"/>
      <c r="AG129" s="563"/>
      <c r="AH129" s="563"/>
      <c r="AI129" s="563"/>
      <c r="AJ129" s="563"/>
      <c r="AK129" s="563"/>
      <c r="AL129" s="563"/>
      <c r="AM129" s="563"/>
      <c r="AN129" s="563"/>
      <c r="AO129" s="563"/>
      <c r="AP129" s="563"/>
      <c r="AQ129" s="563"/>
      <c r="AR129" s="563"/>
      <c r="AS129" s="563"/>
      <c r="AT129" s="563"/>
      <c r="AU129" s="563"/>
      <c r="AV129" s="563"/>
      <c r="AW129" s="563"/>
      <c r="AX129" s="563"/>
      <c r="AY129" s="563"/>
      <c r="AZ129" s="563"/>
    </row>
    <row r="130" spans="1:52" ht="18" customHeight="1">
      <c r="A130" s="563"/>
      <c r="B130" s="564"/>
      <c r="C130" s="564"/>
      <c r="D130" s="564"/>
      <c r="E130" s="564"/>
      <c r="F130" s="564"/>
      <c r="G130" s="564"/>
      <c r="H130" s="563"/>
      <c r="I130" s="563"/>
      <c r="J130" s="563"/>
      <c r="K130" s="563"/>
      <c r="L130" s="563"/>
      <c r="M130" s="563"/>
      <c r="N130" s="567"/>
      <c r="O130" s="568"/>
      <c r="P130" s="568"/>
      <c r="Q130" s="568"/>
      <c r="R130" s="568"/>
      <c r="S130" s="568"/>
      <c r="T130" s="568"/>
      <c r="U130" s="563"/>
      <c r="V130" s="563"/>
      <c r="W130" s="563"/>
      <c r="X130" s="563"/>
      <c r="Y130" s="563"/>
      <c r="Z130" s="563"/>
      <c r="AA130" s="563"/>
      <c r="AB130" s="563"/>
      <c r="AC130" s="563"/>
      <c r="AD130" s="563"/>
      <c r="AE130" s="563"/>
      <c r="AF130" s="563"/>
      <c r="AG130" s="563"/>
      <c r="AH130" s="563"/>
      <c r="AI130" s="563"/>
      <c r="AJ130" s="563"/>
      <c r="AK130" s="563"/>
      <c r="AL130" s="563"/>
      <c r="AM130" s="563"/>
      <c r="AN130" s="563"/>
      <c r="AO130" s="563"/>
      <c r="AP130" s="563"/>
      <c r="AQ130" s="563"/>
      <c r="AR130" s="563"/>
      <c r="AS130" s="563"/>
      <c r="AT130" s="563"/>
      <c r="AU130" s="563"/>
      <c r="AV130" s="563"/>
      <c r="AW130" s="563"/>
      <c r="AX130" s="563"/>
      <c r="AY130" s="563"/>
      <c r="AZ130" s="563"/>
    </row>
    <row r="131" spans="1:52" ht="18" customHeight="1">
      <c r="A131" s="563"/>
      <c r="B131" s="564"/>
      <c r="C131" s="564"/>
      <c r="D131" s="564"/>
      <c r="E131" s="564"/>
      <c r="F131" s="564"/>
      <c r="G131" s="564"/>
      <c r="H131" s="563"/>
      <c r="I131" s="563"/>
      <c r="J131" s="563"/>
      <c r="K131" s="563"/>
      <c r="L131" s="563"/>
      <c r="M131" s="563"/>
      <c r="N131" s="567"/>
      <c r="O131" s="568"/>
      <c r="P131" s="568"/>
      <c r="Q131" s="568"/>
      <c r="R131" s="568"/>
      <c r="S131" s="568"/>
      <c r="T131" s="568"/>
      <c r="U131" s="563"/>
      <c r="V131" s="563"/>
      <c r="W131" s="563"/>
      <c r="X131" s="563"/>
      <c r="Y131" s="563"/>
      <c r="Z131" s="563"/>
      <c r="AA131" s="563"/>
      <c r="AB131" s="563"/>
      <c r="AC131" s="563"/>
      <c r="AD131" s="563"/>
      <c r="AE131" s="563"/>
      <c r="AF131" s="563"/>
      <c r="AG131" s="563"/>
      <c r="AH131" s="563"/>
      <c r="AI131" s="563"/>
      <c r="AJ131" s="563"/>
      <c r="AK131" s="563"/>
      <c r="AL131" s="563"/>
      <c r="AM131" s="563"/>
      <c r="AN131" s="563"/>
      <c r="AO131" s="563"/>
      <c r="AP131" s="563"/>
      <c r="AQ131" s="563"/>
      <c r="AR131" s="563"/>
      <c r="AS131" s="563"/>
      <c r="AT131" s="563"/>
      <c r="AU131" s="563"/>
      <c r="AV131" s="563"/>
      <c r="AW131" s="563"/>
      <c r="AX131" s="563"/>
      <c r="AY131" s="563"/>
      <c r="AZ131" s="563"/>
    </row>
    <row r="132" spans="1:52" ht="18" customHeight="1">
      <c r="A132" s="563"/>
      <c r="B132" s="564"/>
      <c r="C132" s="564"/>
      <c r="D132" s="564"/>
      <c r="E132" s="564"/>
      <c r="F132" s="564"/>
      <c r="G132" s="564"/>
      <c r="H132" s="563"/>
      <c r="I132" s="563"/>
      <c r="J132" s="563"/>
      <c r="K132" s="563"/>
      <c r="L132" s="563"/>
      <c r="M132" s="563"/>
      <c r="N132" s="567"/>
      <c r="O132" s="568"/>
      <c r="P132" s="568"/>
      <c r="Q132" s="568"/>
      <c r="R132" s="568"/>
      <c r="S132" s="568"/>
      <c r="T132" s="568"/>
      <c r="U132" s="563"/>
      <c r="V132" s="563"/>
      <c r="W132" s="563"/>
      <c r="X132" s="563"/>
      <c r="Y132" s="563"/>
      <c r="Z132" s="563"/>
      <c r="AA132" s="563"/>
      <c r="AB132" s="563"/>
      <c r="AC132" s="563"/>
      <c r="AD132" s="563"/>
      <c r="AE132" s="563"/>
      <c r="AF132" s="563"/>
      <c r="AG132" s="563"/>
      <c r="AH132" s="563"/>
      <c r="AI132" s="563"/>
      <c r="AJ132" s="563"/>
      <c r="AK132" s="563"/>
      <c r="AL132" s="563"/>
      <c r="AM132" s="563"/>
      <c r="AN132" s="563"/>
      <c r="AO132" s="563"/>
      <c r="AP132" s="563"/>
      <c r="AQ132" s="563"/>
      <c r="AR132" s="563"/>
      <c r="AS132" s="563"/>
      <c r="AT132" s="563"/>
      <c r="AU132" s="563"/>
      <c r="AV132" s="563"/>
      <c r="AW132" s="563"/>
      <c r="AX132" s="563"/>
      <c r="AY132" s="563"/>
      <c r="AZ132" s="563"/>
    </row>
    <row r="133" spans="1:52" ht="18" customHeight="1">
      <c r="A133" s="563"/>
      <c r="B133" s="564"/>
      <c r="C133" s="564"/>
      <c r="D133" s="564"/>
      <c r="E133" s="564"/>
      <c r="F133" s="564"/>
      <c r="G133" s="564"/>
      <c r="H133" s="563"/>
      <c r="I133" s="563"/>
      <c r="J133" s="563"/>
      <c r="K133" s="563"/>
      <c r="L133" s="563"/>
      <c r="M133" s="563"/>
      <c r="N133" s="567"/>
      <c r="O133" s="568"/>
      <c r="P133" s="568"/>
      <c r="Q133" s="568"/>
      <c r="R133" s="568"/>
      <c r="S133" s="568"/>
      <c r="T133" s="568"/>
      <c r="U133" s="563"/>
      <c r="V133" s="563"/>
      <c r="W133" s="563"/>
      <c r="X133" s="563"/>
      <c r="Y133" s="563"/>
      <c r="Z133" s="563"/>
      <c r="AA133" s="563"/>
      <c r="AB133" s="563"/>
      <c r="AC133" s="563"/>
      <c r="AD133" s="563"/>
      <c r="AE133" s="563"/>
      <c r="AF133" s="563"/>
      <c r="AG133" s="563"/>
      <c r="AH133" s="563"/>
      <c r="AI133" s="563"/>
      <c r="AJ133" s="563"/>
      <c r="AK133" s="563"/>
      <c r="AL133" s="563"/>
      <c r="AM133" s="563"/>
      <c r="AN133" s="563"/>
      <c r="AO133" s="563"/>
      <c r="AP133" s="563"/>
      <c r="AQ133" s="563"/>
      <c r="AR133" s="563"/>
      <c r="AS133" s="563"/>
      <c r="AT133" s="563"/>
      <c r="AU133" s="563"/>
      <c r="AV133" s="563"/>
      <c r="AW133" s="563"/>
      <c r="AX133" s="563"/>
      <c r="AY133" s="563"/>
      <c r="AZ133" s="563"/>
    </row>
    <row r="134" spans="1:52" ht="18" customHeight="1">
      <c r="A134" s="563"/>
      <c r="B134" s="564"/>
      <c r="C134" s="564"/>
      <c r="D134" s="564"/>
      <c r="E134" s="564"/>
      <c r="F134" s="564"/>
      <c r="G134" s="564"/>
      <c r="H134" s="563"/>
      <c r="I134" s="563"/>
      <c r="J134" s="563"/>
      <c r="K134" s="563"/>
      <c r="L134" s="563"/>
      <c r="M134" s="563"/>
      <c r="N134" s="567"/>
      <c r="O134" s="568"/>
      <c r="P134" s="568"/>
      <c r="Q134" s="568"/>
      <c r="R134" s="568"/>
      <c r="S134" s="568"/>
      <c r="T134" s="568"/>
      <c r="U134" s="563"/>
      <c r="V134" s="563"/>
      <c r="W134" s="563"/>
      <c r="X134" s="563"/>
      <c r="Y134" s="563"/>
      <c r="Z134" s="563"/>
      <c r="AA134" s="563"/>
      <c r="AB134" s="563"/>
      <c r="AC134" s="563"/>
      <c r="AD134" s="563"/>
      <c r="AE134" s="563"/>
      <c r="AF134" s="563"/>
      <c r="AG134" s="563"/>
      <c r="AH134" s="563"/>
      <c r="AI134" s="563"/>
      <c r="AJ134" s="563"/>
      <c r="AK134" s="563"/>
      <c r="AL134" s="563"/>
      <c r="AM134" s="563"/>
      <c r="AN134" s="563"/>
      <c r="AO134" s="563"/>
      <c r="AP134" s="563"/>
      <c r="AQ134" s="563"/>
      <c r="AR134" s="563"/>
      <c r="AS134" s="563"/>
      <c r="AT134" s="563"/>
      <c r="AU134" s="563"/>
      <c r="AV134" s="563"/>
      <c r="AW134" s="563"/>
      <c r="AX134" s="563"/>
      <c r="AY134" s="563"/>
      <c r="AZ134" s="563"/>
    </row>
    <row r="135" spans="1:52" ht="18" customHeight="1">
      <c r="A135" s="563"/>
      <c r="B135" s="564"/>
      <c r="C135" s="564"/>
      <c r="D135" s="564"/>
      <c r="E135" s="564"/>
      <c r="F135" s="564"/>
      <c r="G135" s="564"/>
      <c r="H135" s="563"/>
      <c r="I135" s="563"/>
      <c r="J135" s="563"/>
      <c r="K135" s="563"/>
      <c r="L135" s="563"/>
      <c r="M135" s="563"/>
      <c r="N135" s="567"/>
      <c r="O135" s="568"/>
      <c r="P135" s="568"/>
      <c r="Q135" s="568"/>
      <c r="R135" s="568"/>
      <c r="S135" s="568"/>
      <c r="T135" s="568"/>
      <c r="U135" s="563"/>
      <c r="V135" s="563"/>
      <c r="W135" s="563"/>
      <c r="X135" s="563"/>
      <c r="Y135" s="563"/>
      <c r="Z135" s="563"/>
      <c r="AA135" s="563"/>
      <c r="AB135" s="563"/>
      <c r="AC135" s="563"/>
      <c r="AD135" s="563"/>
      <c r="AE135" s="563"/>
      <c r="AF135" s="563"/>
      <c r="AG135" s="563"/>
      <c r="AH135" s="563"/>
      <c r="AI135" s="563"/>
      <c r="AJ135" s="563"/>
      <c r="AK135" s="563"/>
      <c r="AL135" s="563"/>
      <c r="AM135" s="563"/>
      <c r="AN135" s="563"/>
      <c r="AO135" s="563"/>
      <c r="AP135" s="563"/>
      <c r="AQ135" s="563"/>
      <c r="AR135" s="563"/>
      <c r="AS135" s="563"/>
      <c r="AT135" s="563"/>
      <c r="AU135" s="563"/>
      <c r="AV135" s="563"/>
      <c r="AW135" s="563"/>
      <c r="AX135" s="563"/>
      <c r="AY135" s="563"/>
      <c r="AZ135" s="563"/>
    </row>
    <row r="136" spans="1:52" ht="18" customHeight="1">
      <c r="A136" s="563"/>
      <c r="B136" s="564"/>
      <c r="C136" s="564"/>
      <c r="D136" s="564"/>
      <c r="E136" s="564"/>
      <c r="F136" s="564"/>
      <c r="G136" s="564"/>
      <c r="H136" s="563"/>
      <c r="I136" s="563"/>
      <c r="J136" s="563"/>
      <c r="K136" s="563"/>
      <c r="L136" s="563"/>
      <c r="M136" s="563"/>
      <c r="N136" s="567"/>
      <c r="O136" s="568"/>
      <c r="P136" s="568"/>
      <c r="Q136" s="568"/>
      <c r="R136" s="568"/>
      <c r="S136" s="568"/>
      <c r="T136" s="568"/>
      <c r="U136" s="563"/>
      <c r="V136" s="563"/>
      <c r="W136" s="563"/>
      <c r="X136" s="563"/>
      <c r="Y136" s="563"/>
      <c r="Z136" s="563"/>
      <c r="AA136" s="563"/>
      <c r="AB136" s="563"/>
      <c r="AC136" s="563"/>
      <c r="AD136" s="563"/>
      <c r="AE136" s="563"/>
      <c r="AF136" s="563"/>
      <c r="AG136" s="563"/>
      <c r="AH136" s="563"/>
      <c r="AI136" s="563"/>
      <c r="AJ136" s="563"/>
      <c r="AK136" s="563"/>
      <c r="AL136" s="563"/>
      <c r="AM136" s="563"/>
      <c r="AN136" s="563"/>
      <c r="AO136" s="563"/>
      <c r="AP136" s="563"/>
      <c r="AQ136" s="563"/>
      <c r="AR136" s="563"/>
      <c r="AS136" s="563"/>
      <c r="AT136" s="563"/>
      <c r="AU136" s="563"/>
      <c r="AV136" s="563"/>
      <c r="AW136" s="563"/>
      <c r="AX136" s="563"/>
      <c r="AY136" s="563"/>
      <c r="AZ136" s="563"/>
    </row>
    <row r="137" spans="1:52" ht="18" customHeight="1">
      <c r="A137" s="563"/>
      <c r="B137" s="564"/>
      <c r="C137" s="564"/>
      <c r="D137" s="564"/>
      <c r="E137" s="564"/>
      <c r="F137" s="564"/>
      <c r="G137" s="564"/>
      <c r="H137" s="563"/>
      <c r="I137" s="563"/>
      <c r="J137" s="563"/>
      <c r="K137" s="563"/>
      <c r="L137" s="563"/>
      <c r="M137" s="563"/>
      <c r="N137" s="567"/>
      <c r="O137" s="568"/>
      <c r="P137" s="568"/>
      <c r="Q137" s="568"/>
      <c r="R137" s="568"/>
      <c r="S137" s="568"/>
      <c r="T137" s="568"/>
      <c r="U137" s="563"/>
      <c r="V137" s="563"/>
      <c r="W137" s="563"/>
      <c r="X137" s="563"/>
      <c r="Y137" s="563"/>
      <c r="Z137" s="563"/>
      <c r="AA137" s="563"/>
      <c r="AB137" s="563"/>
      <c r="AC137" s="563"/>
      <c r="AD137" s="563"/>
      <c r="AE137" s="563"/>
      <c r="AF137" s="563"/>
      <c r="AG137" s="563"/>
      <c r="AH137" s="563"/>
      <c r="AI137" s="563"/>
      <c r="AJ137" s="563"/>
      <c r="AK137" s="563"/>
      <c r="AL137" s="563"/>
      <c r="AM137" s="563"/>
      <c r="AN137" s="563"/>
      <c r="AO137" s="563"/>
      <c r="AP137" s="563"/>
      <c r="AQ137" s="563"/>
      <c r="AR137" s="563"/>
      <c r="AS137" s="563"/>
      <c r="AT137" s="563"/>
      <c r="AU137" s="563"/>
      <c r="AV137" s="563"/>
      <c r="AW137" s="563"/>
      <c r="AX137" s="563"/>
      <c r="AY137" s="563"/>
      <c r="AZ137" s="563"/>
    </row>
    <row r="138" spans="1:52" ht="18" customHeight="1">
      <c r="A138" s="563"/>
      <c r="B138" s="564"/>
      <c r="C138" s="564"/>
      <c r="D138" s="564"/>
      <c r="E138" s="564"/>
      <c r="F138" s="564"/>
      <c r="G138" s="564"/>
      <c r="H138" s="563"/>
      <c r="I138" s="563"/>
      <c r="J138" s="563"/>
      <c r="K138" s="563"/>
      <c r="L138" s="563"/>
      <c r="M138" s="563"/>
      <c r="N138" s="567"/>
      <c r="O138" s="568"/>
      <c r="P138" s="568"/>
      <c r="Q138" s="568"/>
      <c r="R138" s="568"/>
      <c r="S138" s="568"/>
      <c r="T138" s="568"/>
      <c r="U138" s="563"/>
      <c r="V138" s="563"/>
      <c r="W138" s="563"/>
      <c r="X138" s="563"/>
      <c r="Y138" s="563"/>
      <c r="Z138" s="563"/>
      <c r="AA138" s="563"/>
      <c r="AB138" s="563"/>
      <c r="AC138" s="563"/>
      <c r="AD138" s="563"/>
      <c r="AE138" s="563"/>
      <c r="AF138" s="563"/>
      <c r="AG138" s="563"/>
      <c r="AH138" s="563"/>
      <c r="AI138" s="563"/>
      <c r="AJ138" s="563"/>
      <c r="AK138" s="563"/>
      <c r="AL138" s="563"/>
      <c r="AM138" s="563"/>
      <c r="AN138" s="563"/>
      <c r="AO138" s="563"/>
      <c r="AP138" s="563"/>
      <c r="AQ138" s="563"/>
      <c r="AR138" s="563"/>
      <c r="AS138" s="563"/>
      <c r="AT138" s="563"/>
      <c r="AU138" s="563"/>
      <c r="AV138" s="563"/>
      <c r="AW138" s="563"/>
      <c r="AX138" s="563"/>
      <c r="AY138" s="563"/>
      <c r="AZ138" s="563"/>
    </row>
    <row r="139" spans="1:52" ht="18" customHeight="1">
      <c r="A139" s="563"/>
      <c r="B139" s="564"/>
      <c r="C139" s="564"/>
      <c r="D139" s="564"/>
      <c r="E139" s="564"/>
      <c r="F139" s="564"/>
      <c r="G139" s="564"/>
      <c r="H139" s="563"/>
      <c r="I139" s="563"/>
      <c r="J139" s="563"/>
      <c r="K139" s="563"/>
      <c r="L139" s="563"/>
      <c r="M139" s="563"/>
      <c r="N139" s="567"/>
      <c r="O139" s="568"/>
      <c r="P139" s="568"/>
      <c r="Q139" s="568"/>
      <c r="R139" s="568"/>
      <c r="S139" s="568"/>
      <c r="T139" s="568"/>
      <c r="U139" s="563"/>
      <c r="V139" s="563"/>
      <c r="W139" s="563"/>
      <c r="X139" s="563"/>
      <c r="Y139" s="563"/>
      <c r="Z139" s="563"/>
      <c r="AA139" s="563"/>
      <c r="AB139" s="563"/>
      <c r="AC139" s="563"/>
      <c r="AD139" s="563"/>
      <c r="AE139" s="563"/>
      <c r="AF139" s="563"/>
      <c r="AG139" s="563"/>
      <c r="AH139" s="563"/>
      <c r="AI139" s="563"/>
      <c r="AJ139" s="563"/>
      <c r="AK139" s="563"/>
      <c r="AL139" s="563"/>
      <c r="AM139" s="563"/>
      <c r="AN139" s="563"/>
      <c r="AO139" s="563"/>
      <c r="AP139" s="563"/>
      <c r="AQ139" s="563"/>
      <c r="AR139" s="563"/>
      <c r="AS139" s="563"/>
      <c r="AT139" s="563"/>
      <c r="AU139" s="563"/>
      <c r="AV139" s="563"/>
      <c r="AW139" s="563"/>
      <c r="AX139" s="563"/>
      <c r="AY139" s="563"/>
      <c r="AZ139" s="563"/>
    </row>
    <row r="140" spans="1:52" ht="18" customHeight="1">
      <c r="A140" s="563"/>
      <c r="B140" s="564"/>
      <c r="C140" s="564"/>
      <c r="D140" s="564"/>
      <c r="E140" s="564"/>
      <c r="F140" s="564"/>
      <c r="G140" s="564"/>
      <c r="H140" s="563"/>
      <c r="I140" s="563"/>
      <c r="J140" s="563"/>
      <c r="K140" s="563"/>
      <c r="L140" s="563"/>
      <c r="M140" s="563"/>
      <c r="N140" s="567"/>
      <c r="O140" s="568"/>
      <c r="P140" s="568"/>
      <c r="Q140" s="568"/>
      <c r="R140" s="568"/>
      <c r="S140" s="568"/>
      <c r="T140" s="568"/>
      <c r="U140" s="563"/>
      <c r="V140" s="563"/>
      <c r="W140" s="563"/>
      <c r="X140" s="563"/>
      <c r="Y140" s="563"/>
      <c r="Z140" s="563"/>
      <c r="AA140" s="563"/>
      <c r="AB140" s="563"/>
      <c r="AC140" s="563"/>
      <c r="AD140" s="563"/>
      <c r="AE140" s="563"/>
      <c r="AF140" s="563"/>
      <c r="AG140" s="563"/>
      <c r="AH140" s="563"/>
      <c r="AI140" s="563"/>
      <c r="AJ140" s="563"/>
      <c r="AK140" s="563"/>
      <c r="AL140" s="563"/>
      <c r="AM140" s="563"/>
      <c r="AN140" s="563"/>
      <c r="AO140" s="563"/>
      <c r="AP140" s="563"/>
      <c r="AQ140" s="563"/>
      <c r="AR140" s="563"/>
      <c r="AS140" s="563"/>
      <c r="AT140" s="563"/>
      <c r="AU140" s="563"/>
      <c r="AV140" s="563"/>
      <c r="AW140" s="563"/>
      <c r="AX140" s="563"/>
      <c r="AY140" s="563"/>
      <c r="AZ140" s="563"/>
    </row>
    <row r="141" spans="1:52" ht="18" customHeight="1">
      <c r="A141" s="563"/>
      <c r="B141" s="564"/>
      <c r="C141" s="564"/>
      <c r="D141" s="564"/>
      <c r="E141" s="564"/>
      <c r="F141" s="564"/>
      <c r="G141" s="564"/>
      <c r="H141" s="563"/>
      <c r="I141" s="563"/>
      <c r="J141" s="563"/>
      <c r="K141" s="563"/>
      <c r="L141" s="563"/>
      <c r="M141" s="563"/>
      <c r="N141" s="567"/>
      <c r="O141" s="568"/>
      <c r="P141" s="568"/>
      <c r="Q141" s="568"/>
      <c r="R141" s="568"/>
      <c r="S141" s="568"/>
      <c r="T141" s="568"/>
      <c r="U141" s="563"/>
      <c r="V141" s="563"/>
      <c r="W141" s="563"/>
      <c r="X141" s="563"/>
      <c r="Y141" s="563"/>
      <c r="Z141" s="563"/>
      <c r="AA141" s="563"/>
      <c r="AB141" s="563"/>
      <c r="AC141" s="563"/>
      <c r="AD141" s="563"/>
      <c r="AE141" s="563"/>
      <c r="AF141" s="563"/>
      <c r="AG141" s="563"/>
      <c r="AH141" s="563"/>
      <c r="AI141" s="563"/>
      <c r="AJ141" s="563"/>
      <c r="AK141" s="563"/>
      <c r="AL141" s="563"/>
      <c r="AM141" s="563"/>
      <c r="AN141" s="563"/>
      <c r="AO141" s="563"/>
      <c r="AP141" s="563"/>
      <c r="AQ141" s="563"/>
      <c r="AR141" s="563"/>
      <c r="AS141" s="563"/>
      <c r="AT141" s="563"/>
      <c r="AU141" s="563"/>
      <c r="AV141" s="563"/>
      <c r="AW141" s="563"/>
      <c r="AX141" s="563"/>
      <c r="AY141" s="563"/>
      <c r="AZ141" s="563"/>
    </row>
    <row r="142" spans="1:52" ht="18" customHeight="1">
      <c r="A142" s="563"/>
      <c r="B142" s="564"/>
      <c r="C142" s="564"/>
      <c r="D142" s="564"/>
      <c r="E142" s="564"/>
      <c r="F142" s="564"/>
      <c r="G142" s="564"/>
      <c r="H142" s="563"/>
      <c r="I142" s="563"/>
      <c r="J142" s="563"/>
      <c r="K142" s="563"/>
      <c r="L142" s="563"/>
      <c r="M142" s="563"/>
      <c r="N142" s="567"/>
      <c r="O142" s="568"/>
      <c r="P142" s="568"/>
      <c r="Q142" s="568"/>
      <c r="R142" s="568"/>
      <c r="S142" s="568"/>
      <c r="T142" s="568"/>
      <c r="U142" s="563"/>
      <c r="V142" s="563"/>
      <c r="W142" s="563"/>
      <c r="X142" s="563"/>
      <c r="Y142" s="563"/>
      <c r="Z142" s="563"/>
      <c r="AA142" s="563"/>
      <c r="AB142" s="563"/>
      <c r="AC142" s="563"/>
      <c r="AD142" s="563"/>
      <c r="AE142" s="563"/>
      <c r="AF142" s="563"/>
      <c r="AG142" s="563"/>
      <c r="AH142" s="563"/>
      <c r="AI142" s="563"/>
      <c r="AJ142" s="563"/>
      <c r="AK142" s="563"/>
      <c r="AL142" s="563"/>
      <c r="AM142" s="563"/>
      <c r="AN142" s="563"/>
      <c r="AO142" s="563"/>
      <c r="AP142" s="563"/>
      <c r="AQ142" s="563"/>
      <c r="AR142" s="563"/>
      <c r="AS142" s="563"/>
      <c r="AT142" s="563"/>
      <c r="AU142" s="563"/>
      <c r="AV142" s="563"/>
      <c r="AW142" s="563"/>
      <c r="AX142" s="563"/>
      <c r="AY142" s="563"/>
      <c r="AZ142" s="563"/>
    </row>
    <row r="143" spans="1:52" ht="18" customHeight="1">
      <c r="A143" s="563"/>
      <c r="B143" s="564"/>
      <c r="C143" s="564"/>
      <c r="D143" s="564"/>
      <c r="E143" s="564"/>
      <c r="F143" s="564"/>
      <c r="G143" s="564"/>
      <c r="H143" s="563"/>
      <c r="I143" s="563"/>
      <c r="J143" s="563"/>
      <c r="K143" s="563"/>
      <c r="L143" s="563"/>
      <c r="M143" s="563"/>
      <c r="N143" s="567"/>
      <c r="O143" s="568"/>
      <c r="P143" s="568"/>
      <c r="Q143" s="568"/>
      <c r="R143" s="568"/>
      <c r="S143" s="568"/>
      <c r="T143" s="568"/>
      <c r="U143" s="563"/>
      <c r="V143" s="563"/>
      <c r="W143" s="563"/>
      <c r="X143" s="563"/>
      <c r="Y143" s="563"/>
      <c r="Z143" s="563"/>
      <c r="AA143" s="563"/>
      <c r="AB143" s="563"/>
      <c r="AC143" s="563"/>
      <c r="AD143" s="563"/>
      <c r="AE143" s="563"/>
      <c r="AF143" s="563"/>
      <c r="AG143" s="563"/>
      <c r="AH143" s="563"/>
      <c r="AI143" s="563"/>
      <c r="AJ143" s="563"/>
      <c r="AK143" s="563"/>
      <c r="AL143" s="563"/>
      <c r="AM143" s="563"/>
      <c r="AN143" s="563"/>
      <c r="AO143" s="563"/>
      <c r="AP143" s="563"/>
      <c r="AQ143" s="563"/>
      <c r="AR143" s="563"/>
      <c r="AS143" s="563"/>
      <c r="AT143" s="563"/>
      <c r="AU143" s="563"/>
      <c r="AV143" s="563"/>
      <c r="AW143" s="563"/>
      <c r="AX143" s="563"/>
      <c r="AY143" s="563"/>
      <c r="AZ143" s="563"/>
    </row>
    <row r="144" spans="1:52" ht="18" customHeight="1">
      <c r="A144" s="563"/>
      <c r="B144" s="564"/>
      <c r="C144" s="564"/>
      <c r="D144" s="564"/>
      <c r="E144" s="564"/>
      <c r="F144" s="564"/>
      <c r="G144" s="564"/>
      <c r="H144" s="563"/>
      <c r="I144" s="563"/>
      <c r="J144" s="563"/>
      <c r="K144" s="563"/>
      <c r="L144" s="563"/>
      <c r="M144" s="563"/>
      <c r="N144" s="567"/>
      <c r="O144" s="568"/>
      <c r="P144" s="568"/>
      <c r="Q144" s="568"/>
      <c r="R144" s="568"/>
      <c r="S144" s="568"/>
      <c r="T144" s="568"/>
      <c r="U144" s="563"/>
      <c r="V144" s="563"/>
      <c r="W144" s="563"/>
      <c r="X144" s="563"/>
      <c r="Y144" s="563"/>
      <c r="Z144" s="563"/>
      <c r="AA144" s="563"/>
      <c r="AB144" s="563"/>
      <c r="AC144" s="563"/>
      <c r="AD144" s="563"/>
      <c r="AE144" s="563"/>
      <c r="AF144" s="563"/>
      <c r="AG144" s="563"/>
      <c r="AH144" s="563"/>
      <c r="AI144" s="563"/>
      <c r="AJ144" s="563"/>
      <c r="AK144" s="563"/>
      <c r="AL144" s="563"/>
      <c r="AM144" s="563"/>
      <c r="AN144" s="563"/>
      <c r="AO144" s="563"/>
      <c r="AP144" s="563"/>
      <c r="AQ144" s="563"/>
      <c r="AR144" s="563"/>
      <c r="AS144" s="563"/>
      <c r="AT144" s="563"/>
      <c r="AU144" s="563"/>
      <c r="AV144" s="563"/>
      <c r="AW144" s="563"/>
      <c r="AX144" s="563"/>
      <c r="AY144" s="563"/>
      <c r="AZ144" s="563"/>
    </row>
    <row r="145" spans="1:52" ht="18" customHeight="1">
      <c r="A145" s="563"/>
      <c r="B145" s="564"/>
      <c r="C145" s="564"/>
      <c r="D145" s="564"/>
      <c r="E145" s="564"/>
      <c r="F145" s="564"/>
      <c r="G145" s="564"/>
      <c r="H145" s="563"/>
      <c r="I145" s="563"/>
      <c r="J145" s="563"/>
      <c r="K145" s="563"/>
      <c r="L145" s="563"/>
      <c r="M145" s="563"/>
      <c r="N145" s="567"/>
      <c r="O145" s="568"/>
      <c r="P145" s="568"/>
      <c r="Q145" s="568"/>
      <c r="R145" s="568"/>
      <c r="S145" s="568"/>
      <c r="T145" s="568"/>
      <c r="U145" s="563"/>
      <c r="V145" s="563"/>
      <c r="W145" s="563"/>
      <c r="X145" s="563"/>
      <c r="Y145" s="563"/>
      <c r="Z145" s="563"/>
      <c r="AA145" s="563"/>
      <c r="AB145" s="563"/>
      <c r="AC145" s="563"/>
      <c r="AD145" s="563"/>
      <c r="AE145" s="563"/>
      <c r="AF145" s="563"/>
      <c r="AG145" s="563"/>
      <c r="AH145" s="563"/>
      <c r="AI145" s="563"/>
      <c r="AJ145" s="563"/>
      <c r="AK145" s="563"/>
      <c r="AL145" s="563"/>
      <c r="AM145" s="563"/>
      <c r="AN145" s="563"/>
      <c r="AO145" s="563"/>
      <c r="AP145" s="563"/>
      <c r="AQ145" s="563"/>
      <c r="AR145" s="563"/>
      <c r="AS145" s="563"/>
      <c r="AT145" s="563"/>
      <c r="AU145" s="563"/>
      <c r="AV145" s="563"/>
      <c r="AW145" s="563"/>
      <c r="AX145" s="563"/>
      <c r="AY145" s="563"/>
      <c r="AZ145" s="563"/>
    </row>
    <row r="146" spans="1:52" ht="18" customHeight="1">
      <c r="A146" s="563"/>
      <c r="B146" s="564"/>
      <c r="C146" s="564"/>
      <c r="D146" s="564"/>
      <c r="E146" s="564"/>
      <c r="F146" s="564"/>
      <c r="G146" s="564"/>
      <c r="H146" s="563"/>
      <c r="I146" s="563"/>
      <c r="J146" s="563"/>
      <c r="K146" s="563"/>
      <c r="L146" s="563"/>
      <c r="M146" s="563"/>
      <c r="N146" s="567"/>
      <c r="O146" s="568"/>
      <c r="P146" s="568"/>
      <c r="Q146" s="568"/>
      <c r="R146" s="568"/>
      <c r="S146" s="568"/>
      <c r="T146" s="568"/>
      <c r="U146" s="563"/>
      <c r="V146" s="563"/>
      <c r="W146" s="563"/>
      <c r="X146" s="563"/>
      <c r="Y146" s="563"/>
      <c r="Z146" s="563"/>
      <c r="AA146" s="563"/>
      <c r="AB146" s="563"/>
      <c r="AC146" s="563"/>
      <c r="AD146" s="563"/>
      <c r="AE146" s="563"/>
      <c r="AF146" s="563"/>
      <c r="AG146" s="563"/>
      <c r="AH146" s="563"/>
      <c r="AI146" s="563"/>
      <c r="AJ146" s="563"/>
      <c r="AK146" s="563"/>
      <c r="AL146" s="563"/>
      <c r="AM146" s="563"/>
      <c r="AN146" s="563"/>
      <c r="AO146" s="563"/>
      <c r="AP146" s="563"/>
      <c r="AQ146" s="563"/>
      <c r="AR146" s="563"/>
      <c r="AS146" s="563"/>
      <c r="AT146" s="563"/>
      <c r="AU146" s="563"/>
      <c r="AV146" s="563"/>
      <c r="AW146" s="563"/>
      <c r="AX146" s="563"/>
      <c r="AY146" s="563"/>
      <c r="AZ146" s="563"/>
    </row>
    <row r="147" spans="1:52" ht="18" customHeight="1">
      <c r="A147" s="563"/>
      <c r="B147" s="564"/>
      <c r="C147" s="564"/>
      <c r="D147" s="564"/>
      <c r="E147" s="564"/>
      <c r="F147" s="564"/>
      <c r="G147" s="564"/>
      <c r="H147" s="563"/>
      <c r="I147" s="563"/>
      <c r="J147" s="563"/>
      <c r="K147" s="563"/>
      <c r="L147" s="563"/>
      <c r="M147" s="563"/>
      <c r="N147" s="567"/>
      <c r="O147" s="568"/>
      <c r="P147" s="568"/>
      <c r="Q147" s="568"/>
      <c r="R147" s="568"/>
      <c r="S147" s="568"/>
      <c r="T147" s="568"/>
      <c r="U147" s="563"/>
      <c r="V147" s="563"/>
      <c r="W147" s="563"/>
      <c r="X147" s="563"/>
      <c r="Y147" s="563"/>
      <c r="Z147" s="563"/>
      <c r="AA147" s="563"/>
      <c r="AB147" s="563"/>
      <c r="AC147" s="563"/>
      <c r="AD147" s="563"/>
      <c r="AE147" s="563"/>
      <c r="AF147" s="563"/>
      <c r="AG147" s="563"/>
      <c r="AH147" s="563"/>
      <c r="AI147" s="563"/>
      <c r="AJ147" s="563"/>
      <c r="AK147" s="563"/>
      <c r="AL147" s="563"/>
      <c r="AM147" s="563"/>
      <c r="AN147" s="563"/>
      <c r="AO147" s="563"/>
      <c r="AP147" s="563"/>
      <c r="AQ147" s="563"/>
      <c r="AR147" s="563"/>
      <c r="AS147" s="563"/>
      <c r="AT147" s="563"/>
      <c r="AU147" s="563"/>
      <c r="AV147" s="563"/>
      <c r="AW147" s="563"/>
      <c r="AX147" s="563"/>
      <c r="AY147" s="563"/>
      <c r="AZ147" s="563"/>
    </row>
    <row r="148" spans="1:52" ht="18" customHeight="1">
      <c r="A148" s="563"/>
      <c r="B148" s="564"/>
      <c r="C148" s="564"/>
      <c r="D148" s="564"/>
      <c r="E148" s="564"/>
      <c r="F148" s="564"/>
      <c r="G148" s="564"/>
      <c r="H148" s="563"/>
      <c r="I148" s="563"/>
      <c r="J148" s="563"/>
      <c r="K148" s="563"/>
      <c r="L148" s="563"/>
      <c r="M148" s="563"/>
      <c r="N148" s="567"/>
      <c r="O148" s="568"/>
      <c r="P148" s="568"/>
      <c r="Q148" s="568"/>
      <c r="R148" s="568"/>
      <c r="S148" s="568"/>
      <c r="T148" s="568"/>
      <c r="U148" s="563"/>
      <c r="V148" s="563"/>
      <c r="W148" s="563"/>
      <c r="X148" s="563"/>
      <c r="Y148" s="563"/>
      <c r="Z148" s="563"/>
      <c r="AA148" s="563"/>
      <c r="AB148" s="563"/>
      <c r="AC148" s="563"/>
      <c r="AD148" s="563"/>
      <c r="AE148" s="563"/>
      <c r="AF148" s="563"/>
      <c r="AG148" s="563"/>
      <c r="AH148" s="563"/>
      <c r="AI148" s="563"/>
      <c r="AJ148" s="563"/>
      <c r="AK148" s="563"/>
      <c r="AL148" s="563"/>
      <c r="AM148" s="563"/>
      <c r="AN148" s="563"/>
      <c r="AO148" s="563"/>
      <c r="AP148" s="563"/>
      <c r="AQ148" s="563"/>
      <c r="AR148" s="563"/>
      <c r="AS148" s="563"/>
      <c r="AT148" s="563"/>
      <c r="AU148" s="563"/>
      <c r="AV148" s="563"/>
      <c r="AW148" s="563"/>
      <c r="AX148" s="563"/>
      <c r="AY148" s="563"/>
      <c r="AZ148" s="563"/>
    </row>
    <row r="149" spans="1:52" ht="18" customHeight="1">
      <c r="A149" s="563"/>
      <c r="B149" s="564"/>
      <c r="C149" s="564"/>
      <c r="D149" s="564"/>
      <c r="E149" s="564"/>
      <c r="F149" s="564"/>
      <c r="G149" s="564"/>
      <c r="H149" s="563"/>
      <c r="I149" s="563"/>
      <c r="J149" s="563"/>
      <c r="K149" s="563"/>
      <c r="L149" s="563"/>
      <c r="M149" s="563"/>
      <c r="N149" s="567"/>
      <c r="O149" s="568"/>
      <c r="P149" s="568"/>
      <c r="Q149" s="568"/>
      <c r="R149" s="568"/>
      <c r="S149" s="568"/>
      <c r="T149" s="568"/>
      <c r="U149" s="563"/>
      <c r="V149" s="563"/>
      <c r="W149" s="563"/>
      <c r="X149" s="563"/>
      <c r="Y149" s="563"/>
      <c r="Z149" s="563"/>
      <c r="AA149" s="563"/>
      <c r="AB149" s="563"/>
      <c r="AC149" s="563"/>
      <c r="AD149" s="563"/>
      <c r="AE149" s="563"/>
      <c r="AF149" s="563"/>
      <c r="AG149" s="563"/>
      <c r="AH149" s="563"/>
      <c r="AI149" s="563"/>
      <c r="AJ149" s="563"/>
      <c r="AK149" s="563"/>
      <c r="AL149" s="563"/>
      <c r="AM149" s="563"/>
      <c r="AN149" s="563"/>
      <c r="AO149" s="563"/>
      <c r="AP149" s="563"/>
      <c r="AQ149" s="563"/>
      <c r="AR149" s="563"/>
      <c r="AS149" s="563"/>
      <c r="AT149" s="563"/>
      <c r="AU149" s="563"/>
      <c r="AV149" s="563"/>
      <c r="AW149" s="563"/>
      <c r="AX149" s="563"/>
      <c r="AY149" s="563"/>
      <c r="AZ149" s="563"/>
    </row>
    <row r="150" spans="1:52" ht="18" customHeight="1">
      <c r="A150" s="563"/>
      <c r="B150" s="564"/>
      <c r="C150" s="564"/>
      <c r="D150" s="564"/>
      <c r="E150" s="564"/>
      <c r="F150" s="564"/>
      <c r="G150" s="564"/>
      <c r="H150" s="563"/>
      <c r="I150" s="563"/>
      <c r="J150" s="563"/>
      <c r="K150" s="563"/>
      <c r="L150" s="563"/>
      <c r="M150" s="563"/>
      <c r="N150" s="567"/>
      <c r="O150" s="568"/>
      <c r="P150" s="568"/>
      <c r="Q150" s="568"/>
      <c r="R150" s="568"/>
      <c r="S150" s="568"/>
      <c r="T150" s="568"/>
      <c r="U150" s="563"/>
      <c r="V150" s="563"/>
      <c r="W150" s="563"/>
      <c r="X150" s="563"/>
      <c r="Y150" s="563"/>
      <c r="Z150" s="563"/>
      <c r="AA150" s="563"/>
      <c r="AB150" s="563"/>
      <c r="AC150" s="563"/>
      <c r="AD150" s="563"/>
      <c r="AE150" s="563"/>
      <c r="AF150" s="563"/>
      <c r="AG150" s="563"/>
      <c r="AH150" s="563"/>
      <c r="AI150" s="563"/>
      <c r="AJ150" s="563"/>
      <c r="AK150" s="563"/>
      <c r="AL150" s="563"/>
      <c r="AM150" s="563"/>
      <c r="AN150" s="563"/>
      <c r="AO150" s="563"/>
      <c r="AP150" s="563"/>
      <c r="AQ150" s="563"/>
      <c r="AR150" s="563"/>
      <c r="AS150" s="563"/>
      <c r="AT150" s="563"/>
      <c r="AU150" s="563"/>
      <c r="AV150" s="563"/>
      <c r="AW150" s="563"/>
      <c r="AX150" s="563"/>
      <c r="AY150" s="563"/>
      <c r="AZ150" s="563"/>
    </row>
    <row r="151" spans="1:52" ht="18" customHeight="1">
      <c r="A151" s="563"/>
      <c r="B151" s="564"/>
      <c r="C151" s="564"/>
      <c r="D151" s="564"/>
      <c r="E151" s="564"/>
      <c r="F151" s="564"/>
      <c r="G151" s="564"/>
      <c r="H151" s="563"/>
      <c r="I151" s="563"/>
      <c r="J151" s="563"/>
      <c r="K151" s="563"/>
      <c r="L151" s="563"/>
      <c r="M151" s="563"/>
      <c r="N151" s="567"/>
      <c r="O151" s="568"/>
      <c r="P151" s="568"/>
      <c r="Q151" s="568"/>
      <c r="R151" s="568"/>
      <c r="S151" s="568"/>
      <c r="T151" s="568"/>
      <c r="U151" s="563"/>
      <c r="V151" s="563"/>
      <c r="W151" s="563"/>
      <c r="X151" s="563"/>
      <c r="Y151" s="563"/>
      <c r="Z151" s="563"/>
      <c r="AA151" s="563"/>
      <c r="AB151" s="563"/>
      <c r="AC151" s="563"/>
      <c r="AD151" s="563"/>
      <c r="AE151" s="563"/>
      <c r="AF151" s="563"/>
      <c r="AG151" s="563"/>
      <c r="AH151" s="563"/>
      <c r="AI151" s="563"/>
      <c r="AJ151" s="563"/>
      <c r="AK151" s="563"/>
      <c r="AL151" s="563"/>
      <c r="AM151" s="563"/>
      <c r="AN151" s="563"/>
      <c r="AO151" s="563"/>
      <c r="AP151" s="563"/>
      <c r="AQ151" s="563"/>
      <c r="AR151" s="563"/>
      <c r="AS151" s="563"/>
      <c r="AT151" s="563"/>
      <c r="AU151" s="563"/>
      <c r="AV151" s="563"/>
      <c r="AW151" s="563"/>
      <c r="AX151" s="563"/>
      <c r="AY151" s="563"/>
      <c r="AZ151" s="563"/>
    </row>
    <row r="152" spans="1:52" ht="18" customHeight="1">
      <c r="A152" s="563"/>
      <c r="B152" s="564"/>
      <c r="C152" s="564"/>
      <c r="D152" s="564"/>
      <c r="E152" s="564"/>
      <c r="F152" s="564"/>
      <c r="G152" s="564"/>
      <c r="H152" s="563"/>
      <c r="I152" s="563"/>
      <c r="J152" s="563"/>
      <c r="K152" s="563"/>
      <c r="L152" s="563"/>
      <c r="M152" s="563"/>
      <c r="N152" s="567"/>
      <c r="O152" s="568"/>
      <c r="P152" s="568"/>
      <c r="Q152" s="568"/>
      <c r="R152" s="568"/>
      <c r="S152" s="568"/>
      <c r="T152" s="568"/>
      <c r="U152" s="563"/>
      <c r="V152" s="563"/>
      <c r="W152" s="563"/>
      <c r="X152" s="563"/>
      <c r="Y152" s="563"/>
      <c r="Z152" s="563"/>
      <c r="AA152" s="563"/>
      <c r="AB152" s="563"/>
      <c r="AC152" s="563"/>
      <c r="AD152" s="563"/>
      <c r="AE152" s="563"/>
      <c r="AF152" s="563"/>
      <c r="AG152" s="563"/>
      <c r="AH152" s="563"/>
      <c r="AI152" s="563"/>
      <c r="AJ152" s="563"/>
      <c r="AK152" s="563"/>
      <c r="AL152" s="563"/>
      <c r="AM152" s="563"/>
      <c r="AN152" s="563"/>
      <c r="AO152" s="563"/>
      <c r="AP152" s="563"/>
      <c r="AQ152" s="563"/>
      <c r="AR152" s="563"/>
      <c r="AS152" s="563"/>
      <c r="AT152" s="563"/>
      <c r="AU152" s="563"/>
      <c r="AV152" s="563"/>
      <c r="AW152" s="563"/>
      <c r="AX152" s="563"/>
      <c r="AY152" s="563"/>
      <c r="AZ152" s="563"/>
    </row>
    <row r="153" spans="1:52" ht="18" customHeight="1">
      <c r="A153" s="563"/>
      <c r="B153" s="564"/>
      <c r="C153" s="564"/>
      <c r="D153" s="564"/>
      <c r="E153" s="564"/>
      <c r="F153" s="564"/>
      <c r="G153" s="564"/>
      <c r="H153" s="563"/>
      <c r="I153" s="563"/>
      <c r="J153" s="563"/>
      <c r="K153" s="563"/>
      <c r="L153" s="563"/>
      <c r="M153" s="563"/>
      <c r="N153" s="567"/>
      <c r="O153" s="568"/>
      <c r="P153" s="568"/>
      <c r="Q153" s="568"/>
      <c r="R153" s="568"/>
      <c r="S153" s="568"/>
      <c r="T153" s="568"/>
      <c r="U153" s="563"/>
      <c r="V153" s="563"/>
      <c r="W153" s="563"/>
      <c r="X153" s="563"/>
      <c r="Y153" s="563"/>
      <c r="Z153" s="563"/>
      <c r="AA153" s="563"/>
      <c r="AB153" s="563"/>
      <c r="AC153" s="563"/>
      <c r="AD153" s="563"/>
      <c r="AE153" s="563"/>
      <c r="AF153" s="563"/>
      <c r="AG153" s="563"/>
      <c r="AH153" s="563"/>
      <c r="AI153" s="563"/>
      <c r="AJ153" s="563"/>
      <c r="AK153" s="563"/>
      <c r="AL153" s="563"/>
      <c r="AM153" s="563"/>
      <c r="AN153" s="563"/>
      <c r="AO153" s="563"/>
      <c r="AP153" s="563"/>
      <c r="AQ153" s="563"/>
      <c r="AR153" s="563"/>
      <c r="AS153" s="563"/>
      <c r="AT153" s="563"/>
      <c r="AU153" s="563"/>
      <c r="AV153" s="563"/>
      <c r="AW153" s="563"/>
      <c r="AX153" s="563"/>
      <c r="AY153" s="563"/>
      <c r="AZ153" s="563"/>
    </row>
    <row r="154" spans="1:52" ht="18" customHeight="1">
      <c r="A154" s="563"/>
      <c r="B154" s="564"/>
      <c r="C154" s="564"/>
      <c r="D154" s="564"/>
      <c r="E154" s="564"/>
      <c r="F154" s="564"/>
      <c r="G154" s="564"/>
      <c r="H154" s="563"/>
      <c r="I154" s="563"/>
      <c r="J154" s="563"/>
      <c r="K154" s="563"/>
      <c r="L154" s="563"/>
      <c r="M154" s="563"/>
      <c r="N154" s="567"/>
      <c r="O154" s="568"/>
      <c r="P154" s="568"/>
      <c r="Q154" s="568"/>
      <c r="R154" s="568"/>
      <c r="S154" s="568"/>
      <c r="T154" s="568"/>
      <c r="U154" s="563"/>
      <c r="V154" s="563"/>
      <c r="W154" s="563"/>
      <c r="X154" s="563"/>
      <c r="Y154" s="563"/>
      <c r="Z154" s="563"/>
      <c r="AA154" s="563"/>
      <c r="AB154" s="563"/>
      <c r="AC154" s="563"/>
      <c r="AD154" s="563"/>
      <c r="AE154" s="563"/>
      <c r="AF154" s="563"/>
      <c r="AG154" s="563"/>
      <c r="AH154" s="563"/>
      <c r="AI154" s="563"/>
      <c r="AJ154" s="563"/>
      <c r="AK154" s="563"/>
      <c r="AL154" s="563"/>
      <c r="AM154" s="563"/>
      <c r="AN154" s="563"/>
      <c r="AO154" s="563"/>
      <c r="AP154" s="563"/>
      <c r="AQ154" s="563"/>
      <c r="AR154" s="563"/>
      <c r="AS154" s="563"/>
      <c r="AT154" s="563"/>
      <c r="AU154" s="563"/>
      <c r="AV154" s="563"/>
      <c r="AW154" s="563"/>
      <c r="AX154" s="563"/>
      <c r="AY154" s="563"/>
      <c r="AZ154" s="563"/>
    </row>
    <row r="155" spans="1:52" ht="18" customHeight="1">
      <c r="A155" s="563"/>
      <c r="B155" s="564"/>
      <c r="C155" s="564"/>
      <c r="D155" s="564"/>
      <c r="E155" s="564"/>
      <c r="F155" s="564"/>
      <c r="G155" s="564"/>
      <c r="H155" s="563"/>
      <c r="I155" s="563"/>
      <c r="J155" s="563"/>
      <c r="K155" s="563"/>
      <c r="L155" s="563"/>
      <c r="M155" s="563"/>
      <c r="N155" s="567"/>
      <c r="O155" s="568"/>
      <c r="P155" s="568"/>
      <c r="Q155" s="568"/>
      <c r="R155" s="568"/>
      <c r="S155" s="568"/>
      <c r="T155" s="568"/>
      <c r="U155" s="563"/>
      <c r="V155" s="563"/>
      <c r="W155" s="563"/>
      <c r="X155" s="563"/>
      <c r="Y155" s="563"/>
      <c r="Z155" s="563"/>
      <c r="AA155" s="563"/>
      <c r="AB155" s="563"/>
      <c r="AC155" s="563"/>
      <c r="AD155" s="563"/>
      <c r="AE155" s="563"/>
      <c r="AF155" s="563"/>
      <c r="AG155" s="563"/>
      <c r="AH155" s="563"/>
      <c r="AI155" s="563"/>
      <c r="AJ155" s="563"/>
      <c r="AK155" s="563"/>
      <c r="AL155" s="563"/>
      <c r="AM155" s="563"/>
      <c r="AN155" s="563"/>
      <c r="AO155" s="563"/>
      <c r="AP155" s="563"/>
      <c r="AQ155" s="563"/>
      <c r="AR155" s="563"/>
      <c r="AS155" s="563"/>
      <c r="AT155" s="563"/>
      <c r="AU155" s="563"/>
      <c r="AV155" s="563"/>
      <c r="AW155" s="563"/>
      <c r="AX155" s="563"/>
      <c r="AY155" s="563"/>
      <c r="AZ155" s="563"/>
    </row>
    <row r="156" spans="1:52" ht="18" customHeight="1">
      <c r="A156" s="563"/>
      <c r="B156" s="564"/>
      <c r="C156" s="564"/>
      <c r="D156" s="564"/>
      <c r="E156" s="564"/>
      <c r="F156" s="564"/>
      <c r="G156" s="564"/>
      <c r="H156" s="563"/>
      <c r="I156" s="563"/>
      <c r="J156" s="563"/>
      <c r="K156" s="563"/>
      <c r="L156" s="563"/>
      <c r="M156" s="563"/>
      <c r="N156" s="567"/>
      <c r="O156" s="568"/>
      <c r="P156" s="568"/>
      <c r="Q156" s="568"/>
      <c r="R156" s="568"/>
      <c r="S156" s="568"/>
      <c r="T156" s="568"/>
      <c r="U156" s="563"/>
      <c r="V156" s="563"/>
      <c r="W156" s="563"/>
      <c r="X156" s="563"/>
      <c r="Y156" s="563"/>
      <c r="Z156" s="563"/>
      <c r="AA156" s="563"/>
      <c r="AB156" s="563"/>
      <c r="AC156" s="563"/>
      <c r="AD156" s="563"/>
      <c r="AE156" s="563"/>
      <c r="AF156" s="563"/>
      <c r="AG156" s="563"/>
      <c r="AH156" s="563"/>
      <c r="AI156" s="563"/>
      <c r="AJ156" s="563"/>
      <c r="AK156" s="563"/>
      <c r="AL156" s="563"/>
      <c r="AM156" s="563"/>
      <c r="AN156" s="563"/>
      <c r="AO156" s="563"/>
      <c r="AP156" s="563"/>
      <c r="AQ156" s="563"/>
      <c r="AR156" s="563"/>
      <c r="AS156" s="563"/>
      <c r="AT156" s="563"/>
      <c r="AU156" s="563"/>
      <c r="AV156" s="563"/>
      <c r="AW156" s="563"/>
      <c r="AX156" s="563"/>
      <c r="AY156" s="563"/>
      <c r="AZ156" s="563"/>
    </row>
    <row r="157" spans="1:52" ht="18" customHeight="1">
      <c r="A157" s="563"/>
      <c r="B157" s="564"/>
      <c r="C157" s="564"/>
      <c r="D157" s="564"/>
      <c r="E157" s="564"/>
      <c r="F157" s="564"/>
      <c r="G157" s="564"/>
      <c r="H157" s="563"/>
      <c r="I157" s="563"/>
      <c r="J157" s="563"/>
      <c r="K157" s="563"/>
      <c r="L157" s="563"/>
      <c r="M157" s="563"/>
      <c r="N157" s="567"/>
      <c r="O157" s="568"/>
      <c r="P157" s="568"/>
      <c r="Q157" s="568"/>
      <c r="R157" s="568"/>
      <c r="S157" s="568"/>
      <c r="T157" s="568"/>
      <c r="U157" s="563"/>
      <c r="V157" s="563"/>
      <c r="W157" s="563"/>
      <c r="X157" s="563"/>
      <c r="Y157" s="563"/>
      <c r="Z157" s="563"/>
      <c r="AA157" s="563"/>
      <c r="AB157" s="563"/>
      <c r="AC157" s="563"/>
      <c r="AD157" s="563"/>
      <c r="AE157" s="563"/>
      <c r="AF157" s="563"/>
      <c r="AG157" s="563"/>
      <c r="AH157" s="563"/>
      <c r="AI157" s="563"/>
      <c r="AJ157" s="563"/>
      <c r="AK157" s="563"/>
      <c r="AL157" s="563"/>
      <c r="AM157" s="563"/>
      <c r="AN157" s="563"/>
      <c r="AO157" s="563"/>
      <c r="AP157" s="563"/>
      <c r="AQ157" s="563"/>
      <c r="AR157" s="563"/>
      <c r="AS157" s="563"/>
      <c r="AT157" s="563"/>
      <c r="AU157" s="563"/>
      <c r="AV157" s="563"/>
      <c r="AW157" s="563"/>
      <c r="AX157" s="563"/>
      <c r="AY157" s="563"/>
      <c r="AZ157" s="563"/>
    </row>
    <row r="158" spans="1:52" ht="18" customHeight="1">
      <c r="A158" s="563"/>
      <c r="B158" s="564"/>
      <c r="C158" s="564"/>
      <c r="D158" s="564"/>
      <c r="E158" s="564"/>
      <c r="F158" s="564"/>
      <c r="G158" s="564"/>
      <c r="H158" s="563"/>
      <c r="I158" s="563"/>
      <c r="J158" s="563"/>
      <c r="K158" s="563"/>
      <c r="L158" s="563"/>
      <c r="M158" s="563"/>
      <c r="N158" s="567"/>
      <c r="O158" s="568"/>
      <c r="P158" s="568"/>
      <c r="Q158" s="568"/>
      <c r="R158" s="568"/>
      <c r="S158" s="568"/>
      <c r="T158" s="568"/>
      <c r="U158" s="563"/>
      <c r="V158" s="563"/>
      <c r="W158" s="563"/>
      <c r="X158" s="563"/>
      <c r="Y158" s="563"/>
      <c r="Z158" s="563"/>
      <c r="AA158" s="563"/>
      <c r="AB158" s="563"/>
      <c r="AC158" s="563"/>
      <c r="AD158" s="563"/>
      <c r="AE158" s="563"/>
      <c r="AF158" s="563"/>
      <c r="AG158" s="563"/>
      <c r="AH158" s="563"/>
      <c r="AI158" s="563"/>
      <c r="AJ158" s="563"/>
      <c r="AK158" s="563"/>
      <c r="AL158" s="563"/>
      <c r="AM158" s="563"/>
      <c r="AN158" s="563"/>
      <c r="AO158" s="563"/>
      <c r="AP158" s="563"/>
      <c r="AQ158" s="563"/>
      <c r="AR158" s="563"/>
      <c r="AS158" s="563"/>
      <c r="AT158" s="563"/>
      <c r="AU158" s="563"/>
      <c r="AV158" s="563"/>
      <c r="AW158" s="563"/>
      <c r="AX158" s="563"/>
      <c r="AY158" s="563"/>
      <c r="AZ158" s="563"/>
    </row>
    <row r="159" spans="1:52" ht="18" customHeight="1">
      <c r="A159" s="563"/>
      <c r="B159" s="564"/>
      <c r="C159" s="564"/>
      <c r="D159" s="564"/>
      <c r="E159" s="564"/>
      <c r="F159" s="564"/>
      <c r="G159" s="564"/>
      <c r="H159" s="563"/>
      <c r="I159" s="563"/>
      <c r="J159" s="563"/>
      <c r="K159" s="563"/>
      <c r="L159" s="563"/>
      <c r="M159" s="563"/>
      <c r="N159" s="567"/>
      <c r="O159" s="568"/>
      <c r="P159" s="568"/>
      <c r="Q159" s="568"/>
      <c r="R159" s="568"/>
      <c r="S159" s="568"/>
      <c r="T159" s="568"/>
      <c r="U159" s="563"/>
      <c r="V159" s="563"/>
      <c r="W159" s="563"/>
      <c r="X159" s="563"/>
      <c r="Y159" s="563"/>
      <c r="Z159" s="563"/>
      <c r="AA159" s="563"/>
      <c r="AB159" s="563"/>
      <c r="AC159" s="563"/>
      <c r="AD159" s="563"/>
      <c r="AE159" s="563"/>
      <c r="AF159" s="563"/>
      <c r="AG159" s="563"/>
      <c r="AH159" s="563"/>
      <c r="AI159" s="563"/>
      <c r="AJ159" s="563"/>
      <c r="AK159" s="563"/>
      <c r="AL159" s="563"/>
      <c r="AM159" s="563"/>
      <c r="AN159" s="563"/>
      <c r="AO159" s="563"/>
      <c r="AP159" s="563"/>
      <c r="AQ159" s="563"/>
      <c r="AR159" s="563"/>
      <c r="AS159" s="563"/>
      <c r="AT159" s="563"/>
      <c r="AU159" s="563"/>
      <c r="AV159" s="563"/>
      <c r="AW159" s="563"/>
      <c r="AX159" s="563"/>
      <c r="AY159" s="563"/>
      <c r="AZ159" s="563"/>
    </row>
    <row r="160" spans="1:52" ht="18" customHeight="1">
      <c r="A160" s="563"/>
      <c r="B160" s="564"/>
      <c r="C160" s="564"/>
      <c r="D160" s="564"/>
      <c r="E160" s="564"/>
      <c r="F160" s="564"/>
      <c r="G160" s="564"/>
      <c r="H160" s="563"/>
      <c r="I160" s="563"/>
      <c r="J160" s="563"/>
      <c r="K160" s="563"/>
      <c r="L160" s="563"/>
      <c r="M160" s="563"/>
      <c r="N160" s="567"/>
      <c r="O160" s="568"/>
      <c r="P160" s="568"/>
      <c r="Q160" s="568"/>
      <c r="R160" s="568"/>
      <c r="S160" s="568"/>
      <c r="T160" s="568"/>
      <c r="U160" s="563"/>
      <c r="V160" s="563"/>
      <c r="W160" s="563"/>
      <c r="X160" s="563"/>
      <c r="Y160" s="563"/>
      <c r="Z160" s="563"/>
      <c r="AA160" s="563"/>
      <c r="AB160" s="563"/>
      <c r="AC160" s="563"/>
      <c r="AD160" s="563"/>
      <c r="AE160" s="563"/>
      <c r="AF160" s="563"/>
      <c r="AG160" s="563"/>
      <c r="AH160" s="563"/>
      <c r="AI160" s="563"/>
      <c r="AJ160" s="563"/>
      <c r="AK160" s="563"/>
      <c r="AL160" s="563"/>
      <c r="AM160" s="563"/>
      <c r="AN160" s="563"/>
      <c r="AO160" s="563"/>
      <c r="AP160" s="563"/>
      <c r="AQ160" s="563"/>
      <c r="AR160" s="563"/>
      <c r="AS160" s="563"/>
      <c r="AT160" s="563"/>
      <c r="AU160" s="563"/>
      <c r="AV160" s="563"/>
      <c r="AW160" s="563"/>
      <c r="AX160" s="563"/>
      <c r="AY160" s="563"/>
      <c r="AZ160" s="563"/>
    </row>
    <row r="161" spans="1:52" ht="18" customHeight="1">
      <c r="A161" s="563"/>
      <c r="B161" s="564"/>
      <c r="C161" s="564"/>
      <c r="D161" s="564"/>
      <c r="E161" s="564"/>
      <c r="F161" s="564"/>
      <c r="G161" s="564"/>
      <c r="H161" s="563"/>
      <c r="I161" s="563"/>
      <c r="J161" s="563"/>
      <c r="K161" s="563"/>
      <c r="L161" s="563"/>
      <c r="M161" s="563"/>
      <c r="N161" s="567"/>
      <c r="O161" s="568"/>
      <c r="P161" s="568"/>
      <c r="Q161" s="568"/>
      <c r="R161" s="568"/>
      <c r="S161" s="568"/>
      <c r="T161" s="568"/>
      <c r="U161" s="563"/>
      <c r="V161" s="563"/>
      <c r="W161" s="563"/>
      <c r="X161" s="563"/>
      <c r="Y161" s="563"/>
      <c r="Z161" s="563"/>
      <c r="AA161" s="563"/>
      <c r="AB161" s="563"/>
      <c r="AC161" s="563"/>
      <c r="AD161" s="563"/>
      <c r="AE161" s="563"/>
      <c r="AF161" s="563"/>
      <c r="AG161" s="563"/>
      <c r="AH161" s="563"/>
      <c r="AI161" s="563"/>
      <c r="AJ161" s="563"/>
      <c r="AK161" s="563"/>
      <c r="AL161" s="563"/>
      <c r="AM161" s="563"/>
      <c r="AN161" s="563"/>
      <c r="AO161" s="563"/>
      <c r="AP161" s="563"/>
      <c r="AQ161" s="563"/>
      <c r="AR161" s="563"/>
      <c r="AS161" s="563"/>
      <c r="AT161" s="563"/>
      <c r="AU161" s="563"/>
      <c r="AV161" s="563"/>
      <c r="AW161" s="563"/>
      <c r="AX161" s="563"/>
      <c r="AY161" s="563"/>
      <c r="AZ161" s="563"/>
    </row>
    <row r="162" spans="1:52" ht="18" customHeight="1">
      <c r="A162" s="563"/>
      <c r="B162" s="564"/>
      <c r="C162" s="564"/>
      <c r="D162" s="564"/>
      <c r="E162" s="564"/>
      <c r="F162" s="564"/>
      <c r="G162" s="564"/>
      <c r="H162" s="563"/>
      <c r="I162" s="563"/>
      <c r="J162" s="563"/>
      <c r="K162" s="563"/>
      <c r="L162" s="563"/>
      <c r="M162" s="563"/>
      <c r="N162" s="567"/>
      <c r="O162" s="568"/>
      <c r="P162" s="568"/>
      <c r="Q162" s="568"/>
      <c r="R162" s="568"/>
      <c r="S162" s="568"/>
      <c r="T162" s="568"/>
      <c r="U162" s="563"/>
      <c r="V162" s="563"/>
      <c r="W162" s="563"/>
      <c r="X162" s="563"/>
      <c r="Y162" s="563"/>
      <c r="Z162" s="563"/>
      <c r="AA162" s="563"/>
      <c r="AB162" s="563"/>
      <c r="AC162" s="563"/>
      <c r="AD162" s="563"/>
      <c r="AE162" s="563"/>
      <c r="AF162" s="563"/>
      <c r="AG162" s="563"/>
      <c r="AH162" s="563"/>
      <c r="AI162" s="563"/>
      <c r="AJ162" s="563"/>
      <c r="AK162" s="563"/>
      <c r="AL162" s="563"/>
      <c r="AM162" s="563"/>
      <c r="AN162" s="563"/>
      <c r="AO162" s="563"/>
      <c r="AP162" s="563"/>
      <c r="AQ162" s="563"/>
      <c r="AR162" s="563"/>
      <c r="AS162" s="563"/>
      <c r="AT162" s="563"/>
      <c r="AU162" s="563"/>
      <c r="AV162" s="563"/>
      <c r="AW162" s="563"/>
      <c r="AX162" s="563"/>
      <c r="AY162" s="563"/>
      <c r="AZ162" s="563"/>
    </row>
    <row r="163" spans="1:52" ht="18" customHeight="1">
      <c r="A163" s="563"/>
      <c r="B163" s="564"/>
      <c r="C163" s="564"/>
      <c r="D163" s="564"/>
      <c r="E163" s="564"/>
      <c r="F163" s="564"/>
      <c r="G163" s="564"/>
      <c r="H163" s="563"/>
      <c r="I163" s="563"/>
      <c r="J163" s="563"/>
      <c r="K163" s="563"/>
      <c r="L163" s="563"/>
      <c r="M163" s="563"/>
      <c r="N163" s="567"/>
      <c r="O163" s="568"/>
      <c r="P163" s="568"/>
      <c r="Q163" s="568"/>
      <c r="R163" s="568"/>
      <c r="S163" s="568"/>
      <c r="T163" s="568"/>
      <c r="U163" s="563"/>
      <c r="V163" s="563"/>
      <c r="W163" s="563"/>
      <c r="X163" s="563"/>
      <c r="Y163" s="563"/>
      <c r="Z163" s="563"/>
      <c r="AA163" s="563"/>
      <c r="AB163" s="563"/>
      <c r="AC163" s="563"/>
      <c r="AD163" s="563"/>
      <c r="AE163" s="563"/>
      <c r="AF163" s="563"/>
      <c r="AG163" s="563"/>
      <c r="AH163" s="563"/>
      <c r="AI163" s="563"/>
      <c r="AJ163" s="563"/>
      <c r="AK163" s="563"/>
      <c r="AL163" s="563"/>
      <c r="AM163" s="563"/>
      <c r="AN163" s="563"/>
      <c r="AO163" s="563"/>
      <c r="AP163" s="563"/>
      <c r="AQ163" s="563"/>
      <c r="AR163" s="563"/>
      <c r="AS163" s="563"/>
      <c r="AT163" s="563"/>
      <c r="AU163" s="563"/>
      <c r="AV163" s="563"/>
      <c r="AW163" s="563"/>
      <c r="AX163" s="563"/>
      <c r="AY163" s="563"/>
      <c r="AZ163" s="563"/>
    </row>
    <row r="164" spans="1:52" ht="18" customHeight="1">
      <c r="A164" s="563"/>
      <c r="B164" s="564"/>
      <c r="C164" s="564"/>
      <c r="D164" s="564"/>
      <c r="E164" s="564"/>
      <c r="F164" s="564"/>
      <c r="G164" s="564"/>
      <c r="H164" s="563"/>
      <c r="I164" s="563"/>
      <c r="J164" s="563"/>
      <c r="K164" s="563"/>
      <c r="L164" s="563"/>
      <c r="M164" s="563"/>
      <c r="N164" s="567"/>
      <c r="O164" s="568"/>
      <c r="P164" s="568"/>
      <c r="Q164" s="568"/>
      <c r="R164" s="568"/>
      <c r="S164" s="568"/>
      <c r="T164" s="568"/>
      <c r="U164" s="563"/>
      <c r="V164" s="563"/>
      <c r="W164" s="563"/>
      <c r="X164" s="563"/>
      <c r="Y164" s="563"/>
      <c r="Z164" s="563"/>
      <c r="AA164" s="563"/>
      <c r="AB164" s="563"/>
      <c r="AC164" s="563"/>
      <c r="AD164" s="563"/>
      <c r="AE164" s="563"/>
      <c r="AF164" s="563"/>
      <c r="AG164" s="563"/>
      <c r="AH164" s="563"/>
      <c r="AI164" s="563"/>
      <c r="AJ164" s="563"/>
      <c r="AK164" s="563"/>
      <c r="AL164" s="563"/>
      <c r="AM164" s="563"/>
      <c r="AN164" s="563"/>
      <c r="AO164" s="563"/>
      <c r="AP164" s="563"/>
      <c r="AQ164" s="563"/>
      <c r="AR164" s="563"/>
      <c r="AS164" s="563"/>
      <c r="AT164" s="563"/>
      <c r="AU164" s="563"/>
      <c r="AV164" s="563"/>
      <c r="AW164" s="563"/>
      <c r="AX164" s="563"/>
      <c r="AY164" s="563"/>
      <c r="AZ164" s="563"/>
    </row>
    <row r="165" spans="1:52" ht="18" customHeight="1">
      <c r="A165" s="563"/>
      <c r="B165" s="564"/>
      <c r="C165" s="564"/>
      <c r="D165" s="564"/>
      <c r="E165" s="564"/>
      <c r="F165" s="564"/>
      <c r="G165" s="564"/>
      <c r="H165" s="563"/>
      <c r="I165" s="563"/>
      <c r="J165" s="563"/>
      <c r="K165" s="563"/>
      <c r="L165" s="563"/>
      <c r="M165" s="563"/>
      <c r="N165" s="567"/>
      <c r="O165" s="568"/>
      <c r="P165" s="568"/>
      <c r="Q165" s="568"/>
      <c r="R165" s="568"/>
      <c r="S165" s="568"/>
      <c r="T165" s="568"/>
      <c r="U165" s="563"/>
      <c r="V165" s="563"/>
      <c r="W165" s="563"/>
      <c r="X165" s="563"/>
      <c r="Y165" s="563"/>
      <c r="Z165" s="563"/>
      <c r="AA165" s="563"/>
      <c r="AB165" s="563"/>
      <c r="AC165" s="563"/>
      <c r="AD165" s="563"/>
      <c r="AE165" s="563"/>
      <c r="AF165" s="563"/>
      <c r="AG165" s="563"/>
      <c r="AH165" s="563"/>
      <c r="AI165" s="563"/>
      <c r="AJ165" s="563"/>
      <c r="AK165" s="563"/>
      <c r="AL165" s="563"/>
      <c r="AM165" s="563"/>
      <c r="AN165" s="563"/>
      <c r="AO165" s="563"/>
      <c r="AP165" s="563"/>
      <c r="AQ165" s="563"/>
      <c r="AR165" s="563"/>
      <c r="AS165" s="563"/>
      <c r="AT165" s="563"/>
      <c r="AU165" s="563"/>
      <c r="AV165" s="563"/>
      <c r="AW165" s="563"/>
      <c r="AX165" s="563"/>
      <c r="AY165" s="563"/>
      <c r="AZ165" s="563"/>
    </row>
    <row r="166" spans="1:52" ht="18" customHeight="1">
      <c r="A166" s="563"/>
      <c r="B166" s="564"/>
      <c r="C166" s="564"/>
      <c r="D166" s="564"/>
      <c r="E166" s="564"/>
      <c r="F166" s="564"/>
      <c r="G166" s="564"/>
      <c r="H166" s="563"/>
      <c r="I166" s="563"/>
      <c r="J166" s="563"/>
      <c r="K166" s="563"/>
      <c r="L166" s="563"/>
      <c r="M166" s="563"/>
      <c r="N166" s="567"/>
      <c r="O166" s="568"/>
      <c r="P166" s="568"/>
      <c r="Q166" s="568"/>
      <c r="R166" s="568"/>
      <c r="S166" s="568"/>
      <c r="T166" s="568"/>
      <c r="U166" s="563"/>
      <c r="V166" s="563"/>
      <c r="W166" s="563"/>
      <c r="X166" s="563"/>
      <c r="Y166" s="563"/>
      <c r="Z166" s="563"/>
      <c r="AA166" s="563"/>
      <c r="AB166" s="563"/>
      <c r="AC166" s="563"/>
      <c r="AD166" s="563"/>
      <c r="AE166" s="563"/>
      <c r="AF166" s="563"/>
      <c r="AG166" s="563"/>
      <c r="AH166" s="563"/>
      <c r="AI166" s="563"/>
      <c r="AJ166" s="563"/>
      <c r="AK166" s="563"/>
      <c r="AL166" s="563"/>
      <c r="AM166" s="563"/>
      <c r="AN166" s="563"/>
      <c r="AO166" s="563"/>
      <c r="AP166" s="563"/>
      <c r="AQ166" s="563"/>
      <c r="AR166" s="563"/>
      <c r="AS166" s="563"/>
      <c r="AT166" s="563"/>
      <c r="AU166" s="563"/>
      <c r="AV166" s="563"/>
      <c r="AW166" s="563"/>
      <c r="AX166" s="563"/>
      <c r="AY166" s="563"/>
      <c r="AZ166" s="563"/>
    </row>
    <row r="167" spans="1:52" ht="18" customHeight="1">
      <c r="A167" s="563"/>
      <c r="B167" s="564"/>
      <c r="C167" s="564"/>
      <c r="D167" s="564"/>
      <c r="E167" s="564"/>
      <c r="F167" s="564"/>
      <c r="G167" s="564"/>
      <c r="H167" s="563"/>
      <c r="I167" s="563"/>
      <c r="J167" s="563"/>
      <c r="K167" s="563"/>
      <c r="L167" s="563"/>
      <c r="M167" s="563"/>
      <c r="N167" s="567"/>
      <c r="O167" s="568"/>
      <c r="P167" s="568"/>
      <c r="Q167" s="568"/>
      <c r="R167" s="568"/>
      <c r="S167" s="568"/>
      <c r="T167" s="568"/>
      <c r="U167" s="563"/>
      <c r="V167" s="563"/>
      <c r="W167" s="563"/>
      <c r="X167" s="563"/>
      <c r="Y167" s="563"/>
      <c r="Z167" s="563"/>
      <c r="AA167" s="563"/>
      <c r="AB167" s="563"/>
      <c r="AC167" s="563"/>
      <c r="AD167" s="563"/>
      <c r="AE167" s="563"/>
      <c r="AF167" s="563"/>
      <c r="AG167" s="563"/>
      <c r="AH167" s="563"/>
      <c r="AI167" s="563"/>
      <c r="AJ167" s="563"/>
      <c r="AK167" s="563"/>
      <c r="AL167" s="563"/>
      <c r="AM167" s="563"/>
      <c r="AN167" s="563"/>
      <c r="AO167" s="563"/>
      <c r="AP167" s="563"/>
      <c r="AQ167" s="563"/>
      <c r="AR167" s="563"/>
      <c r="AS167" s="563"/>
      <c r="AT167" s="563"/>
      <c r="AU167" s="563"/>
      <c r="AV167" s="563"/>
      <c r="AW167" s="563"/>
      <c r="AX167" s="563"/>
      <c r="AY167" s="563"/>
      <c r="AZ167" s="563"/>
    </row>
    <row r="168" spans="1:52" ht="18" customHeight="1">
      <c r="A168" s="563"/>
      <c r="B168" s="564"/>
      <c r="C168" s="564"/>
      <c r="D168" s="564"/>
      <c r="E168" s="564"/>
      <c r="F168" s="564"/>
      <c r="G168" s="564"/>
      <c r="H168" s="563"/>
      <c r="I168" s="563"/>
      <c r="J168" s="563"/>
      <c r="K168" s="563"/>
      <c r="L168" s="563"/>
      <c r="M168" s="563"/>
      <c r="N168" s="567"/>
      <c r="O168" s="568"/>
      <c r="P168" s="568"/>
      <c r="Q168" s="568"/>
      <c r="R168" s="568"/>
      <c r="S168" s="568"/>
      <c r="T168" s="568"/>
      <c r="U168" s="563"/>
      <c r="V168" s="563"/>
      <c r="W168" s="563"/>
      <c r="X168" s="563"/>
      <c r="Y168" s="563"/>
      <c r="Z168" s="563"/>
      <c r="AA168" s="563"/>
      <c r="AB168" s="563"/>
      <c r="AC168" s="563"/>
      <c r="AD168" s="563"/>
      <c r="AE168" s="563"/>
      <c r="AF168" s="563"/>
      <c r="AG168" s="563"/>
      <c r="AH168" s="563"/>
      <c r="AI168" s="563"/>
      <c r="AJ168" s="563"/>
      <c r="AK168" s="563"/>
      <c r="AL168" s="563"/>
      <c r="AM168" s="563"/>
      <c r="AN168" s="563"/>
      <c r="AO168" s="563"/>
      <c r="AP168" s="563"/>
      <c r="AQ168" s="563"/>
      <c r="AR168" s="563"/>
      <c r="AS168" s="563"/>
      <c r="AT168" s="563"/>
      <c r="AU168" s="563"/>
      <c r="AV168" s="563"/>
      <c r="AW168" s="563"/>
      <c r="AX168" s="563"/>
      <c r="AY168" s="563"/>
      <c r="AZ168" s="563"/>
    </row>
    <row r="169" spans="1:52" ht="18" customHeight="1">
      <c r="A169" s="563"/>
      <c r="B169" s="564"/>
      <c r="C169" s="564"/>
      <c r="D169" s="564"/>
      <c r="E169" s="564"/>
      <c r="F169" s="564"/>
      <c r="G169" s="564"/>
      <c r="H169" s="563"/>
      <c r="I169" s="563"/>
      <c r="J169" s="563"/>
      <c r="K169" s="563"/>
      <c r="L169" s="563"/>
      <c r="M169" s="563"/>
      <c r="N169" s="567"/>
      <c r="O169" s="568"/>
      <c r="P169" s="568"/>
      <c r="Q169" s="568"/>
      <c r="R169" s="568"/>
      <c r="S169" s="568"/>
      <c r="T169" s="568"/>
      <c r="U169" s="563"/>
      <c r="V169" s="563"/>
      <c r="W169" s="563"/>
      <c r="X169" s="563"/>
      <c r="Y169" s="563"/>
      <c r="Z169" s="563"/>
      <c r="AA169" s="563"/>
      <c r="AB169" s="563"/>
      <c r="AC169" s="563"/>
      <c r="AD169" s="563"/>
      <c r="AE169" s="563"/>
      <c r="AF169" s="563"/>
      <c r="AG169" s="563"/>
      <c r="AH169" s="563"/>
      <c r="AI169" s="563"/>
      <c r="AJ169" s="563"/>
      <c r="AK169" s="563"/>
      <c r="AL169" s="563"/>
      <c r="AM169" s="563"/>
      <c r="AN169" s="563"/>
      <c r="AO169" s="563"/>
      <c r="AP169" s="563"/>
      <c r="AQ169" s="563"/>
      <c r="AR169" s="563"/>
      <c r="AS169" s="563"/>
      <c r="AT169" s="563"/>
      <c r="AU169" s="563"/>
      <c r="AV169" s="563"/>
      <c r="AW169" s="563"/>
      <c r="AX169" s="563"/>
      <c r="AY169" s="563"/>
      <c r="AZ169" s="563"/>
    </row>
    <row r="170" spans="1:52" ht="18" customHeight="1">
      <c r="A170" s="563"/>
      <c r="B170" s="564"/>
      <c r="C170" s="564"/>
      <c r="D170" s="564"/>
      <c r="E170" s="564"/>
      <c r="F170" s="564"/>
      <c r="G170" s="564"/>
      <c r="H170" s="563"/>
      <c r="I170" s="563"/>
      <c r="J170" s="563"/>
      <c r="K170" s="563"/>
      <c r="L170" s="563"/>
      <c r="M170" s="563"/>
      <c r="N170" s="567"/>
      <c r="O170" s="568"/>
      <c r="P170" s="568"/>
      <c r="Q170" s="568"/>
      <c r="R170" s="568"/>
      <c r="S170" s="568"/>
      <c r="T170" s="568"/>
      <c r="U170" s="563"/>
      <c r="V170" s="563"/>
      <c r="W170" s="563"/>
      <c r="X170" s="563"/>
      <c r="Y170" s="563"/>
      <c r="Z170" s="563"/>
      <c r="AA170" s="563"/>
      <c r="AB170" s="563"/>
      <c r="AC170" s="563"/>
      <c r="AD170" s="563"/>
      <c r="AE170" s="563"/>
      <c r="AF170" s="563"/>
      <c r="AG170" s="563"/>
      <c r="AH170" s="563"/>
      <c r="AI170" s="563"/>
      <c r="AJ170" s="563"/>
      <c r="AK170" s="563"/>
      <c r="AL170" s="563"/>
      <c r="AM170" s="563"/>
      <c r="AN170" s="563"/>
      <c r="AO170" s="563"/>
      <c r="AP170" s="563"/>
      <c r="AQ170" s="563"/>
      <c r="AR170" s="563"/>
      <c r="AS170" s="563"/>
      <c r="AT170" s="563"/>
      <c r="AU170" s="563"/>
      <c r="AV170" s="563"/>
      <c r="AW170" s="563"/>
      <c r="AX170" s="563"/>
      <c r="AY170" s="563"/>
      <c r="AZ170" s="563"/>
    </row>
    <row r="171" spans="1:52" ht="18" customHeight="1">
      <c r="A171" s="563"/>
      <c r="B171" s="564"/>
      <c r="C171" s="564"/>
      <c r="D171" s="564"/>
      <c r="E171" s="564"/>
      <c r="F171" s="564"/>
      <c r="G171" s="564"/>
      <c r="H171" s="563"/>
      <c r="I171" s="563"/>
      <c r="J171" s="563"/>
      <c r="K171" s="563"/>
      <c r="L171" s="563"/>
      <c r="M171" s="563"/>
      <c r="N171" s="567"/>
      <c r="O171" s="568"/>
      <c r="P171" s="568"/>
      <c r="Q171" s="568"/>
      <c r="R171" s="568"/>
      <c r="S171" s="568"/>
      <c r="T171" s="568"/>
      <c r="U171" s="563"/>
      <c r="V171" s="563"/>
      <c r="W171" s="563"/>
      <c r="X171" s="563"/>
      <c r="Y171" s="563"/>
      <c r="Z171" s="563"/>
      <c r="AA171" s="563"/>
      <c r="AB171" s="563"/>
      <c r="AC171" s="563"/>
      <c r="AD171" s="563"/>
      <c r="AE171" s="563"/>
      <c r="AF171" s="563"/>
      <c r="AG171" s="563"/>
      <c r="AH171" s="563"/>
      <c r="AI171" s="563"/>
      <c r="AJ171" s="563"/>
      <c r="AK171" s="563"/>
      <c r="AL171" s="563"/>
      <c r="AM171" s="563"/>
      <c r="AN171" s="563"/>
      <c r="AO171" s="563"/>
      <c r="AP171" s="563"/>
      <c r="AQ171" s="563"/>
      <c r="AR171" s="563"/>
      <c r="AS171" s="563"/>
      <c r="AT171" s="563"/>
      <c r="AU171" s="563"/>
      <c r="AV171" s="563"/>
      <c r="AW171" s="563"/>
      <c r="AX171" s="563"/>
      <c r="AY171" s="563"/>
      <c r="AZ171" s="563"/>
    </row>
    <row r="172" spans="1:52" ht="18" customHeight="1">
      <c r="A172" s="563"/>
      <c r="B172" s="564"/>
      <c r="C172" s="564"/>
      <c r="D172" s="564"/>
      <c r="E172" s="564"/>
      <c r="F172" s="564"/>
      <c r="G172" s="564"/>
      <c r="H172" s="563"/>
      <c r="I172" s="563"/>
      <c r="J172" s="563"/>
      <c r="K172" s="563"/>
      <c r="L172" s="563"/>
      <c r="M172" s="563"/>
      <c r="N172" s="567"/>
      <c r="O172" s="568"/>
      <c r="P172" s="568"/>
      <c r="Q172" s="568"/>
      <c r="R172" s="568"/>
      <c r="S172" s="568"/>
      <c r="T172" s="568"/>
      <c r="U172" s="563"/>
      <c r="V172" s="563"/>
      <c r="W172" s="563"/>
      <c r="X172" s="563"/>
      <c r="Y172" s="563"/>
      <c r="Z172" s="563"/>
      <c r="AA172" s="563"/>
      <c r="AB172" s="563"/>
      <c r="AC172" s="563"/>
      <c r="AD172" s="563"/>
      <c r="AE172" s="563"/>
      <c r="AF172" s="563"/>
      <c r="AG172" s="563"/>
      <c r="AH172" s="563"/>
      <c r="AI172" s="563"/>
      <c r="AJ172" s="563"/>
      <c r="AK172" s="563"/>
      <c r="AL172" s="563"/>
      <c r="AM172" s="563"/>
      <c r="AN172" s="563"/>
      <c r="AO172" s="563"/>
      <c r="AP172" s="563"/>
      <c r="AQ172" s="563"/>
      <c r="AR172" s="563"/>
      <c r="AS172" s="563"/>
      <c r="AT172" s="563"/>
      <c r="AU172" s="563"/>
      <c r="AV172" s="563"/>
      <c r="AW172" s="563"/>
      <c r="AX172" s="563"/>
      <c r="AY172" s="563"/>
      <c r="AZ172" s="563"/>
    </row>
    <row r="173" spans="1:52" ht="18" customHeight="1">
      <c r="A173" s="563"/>
      <c r="B173" s="564"/>
      <c r="C173" s="564"/>
      <c r="D173" s="564"/>
      <c r="E173" s="564"/>
      <c r="F173" s="564"/>
      <c r="G173" s="564"/>
      <c r="H173" s="563"/>
      <c r="I173" s="563"/>
      <c r="J173" s="563"/>
      <c r="K173" s="563"/>
      <c r="L173" s="563"/>
      <c r="M173" s="563"/>
      <c r="N173" s="567"/>
      <c r="O173" s="568"/>
      <c r="P173" s="568"/>
      <c r="Q173" s="568"/>
      <c r="R173" s="568"/>
      <c r="S173" s="568"/>
      <c r="T173" s="568"/>
      <c r="U173" s="563"/>
      <c r="V173" s="563"/>
      <c r="W173" s="563"/>
      <c r="X173" s="563"/>
      <c r="Y173" s="563"/>
      <c r="Z173" s="563"/>
      <c r="AA173" s="563"/>
      <c r="AB173" s="563"/>
      <c r="AC173" s="563"/>
      <c r="AD173" s="563"/>
      <c r="AE173" s="563"/>
      <c r="AF173" s="563"/>
      <c r="AG173" s="563"/>
      <c r="AH173" s="563"/>
      <c r="AI173" s="563"/>
      <c r="AJ173" s="563"/>
      <c r="AK173" s="563"/>
      <c r="AL173" s="563"/>
      <c r="AM173" s="563"/>
      <c r="AN173" s="563"/>
      <c r="AO173" s="563"/>
      <c r="AP173" s="563"/>
      <c r="AQ173" s="563"/>
      <c r="AR173" s="563"/>
      <c r="AS173" s="563"/>
      <c r="AT173" s="563"/>
      <c r="AU173" s="563"/>
      <c r="AV173" s="563"/>
      <c r="AW173" s="563"/>
      <c r="AX173" s="563"/>
      <c r="AY173" s="563"/>
      <c r="AZ173" s="563"/>
    </row>
    <row r="174" spans="1:52" ht="18" customHeight="1">
      <c r="A174" s="563"/>
      <c r="B174" s="564"/>
      <c r="C174" s="564"/>
      <c r="D174" s="564"/>
      <c r="E174" s="564"/>
      <c r="F174" s="564"/>
      <c r="G174" s="564"/>
      <c r="H174" s="563"/>
      <c r="I174" s="563"/>
      <c r="J174" s="563"/>
      <c r="K174" s="563"/>
      <c r="L174" s="563"/>
      <c r="M174" s="563"/>
      <c r="N174" s="567"/>
      <c r="O174" s="568"/>
      <c r="P174" s="568"/>
      <c r="Q174" s="568"/>
      <c r="R174" s="568"/>
      <c r="S174" s="568"/>
      <c r="T174" s="568"/>
      <c r="U174" s="563"/>
      <c r="V174" s="563"/>
      <c r="W174" s="563"/>
      <c r="X174" s="563"/>
      <c r="Y174" s="563"/>
      <c r="Z174" s="563"/>
      <c r="AA174" s="563"/>
      <c r="AB174" s="563"/>
      <c r="AC174" s="563"/>
      <c r="AD174" s="563"/>
      <c r="AE174" s="563"/>
      <c r="AF174" s="563"/>
      <c r="AG174" s="563"/>
      <c r="AH174" s="563"/>
      <c r="AI174" s="563"/>
      <c r="AJ174" s="563"/>
      <c r="AK174" s="563"/>
      <c r="AL174" s="563"/>
      <c r="AM174" s="563"/>
      <c r="AN174" s="563"/>
      <c r="AO174" s="563"/>
      <c r="AP174" s="563"/>
      <c r="AQ174" s="563"/>
      <c r="AR174" s="563"/>
      <c r="AS174" s="563"/>
      <c r="AT174" s="563"/>
      <c r="AU174" s="563"/>
      <c r="AV174" s="563"/>
      <c r="AW174" s="563"/>
      <c r="AX174" s="563"/>
      <c r="AY174" s="563"/>
      <c r="AZ174" s="563"/>
    </row>
    <row r="175" spans="1:52" ht="18" customHeight="1">
      <c r="A175" s="563"/>
      <c r="B175" s="564"/>
      <c r="C175" s="564"/>
      <c r="D175" s="564"/>
      <c r="E175" s="564"/>
      <c r="F175" s="564"/>
      <c r="G175" s="564"/>
      <c r="H175" s="563"/>
      <c r="I175" s="563"/>
      <c r="J175" s="563"/>
      <c r="K175" s="563"/>
      <c r="L175" s="563"/>
      <c r="M175" s="563"/>
      <c r="N175" s="567"/>
      <c r="O175" s="568"/>
      <c r="P175" s="568"/>
      <c r="Q175" s="568"/>
      <c r="R175" s="568"/>
      <c r="S175" s="568"/>
      <c r="T175" s="568"/>
      <c r="U175" s="563"/>
      <c r="V175" s="563"/>
      <c r="W175" s="563"/>
      <c r="X175" s="563"/>
      <c r="Y175" s="563"/>
      <c r="Z175" s="563"/>
      <c r="AA175" s="563"/>
      <c r="AB175" s="563"/>
      <c r="AC175" s="563"/>
      <c r="AD175" s="563"/>
      <c r="AE175" s="563"/>
      <c r="AF175" s="563"/>
      <c r="AG175" s="563"/>
      <c r="AH175" s="563"/>
      <c r="AI175" s="563"/>
      <c r="AJ175" s="563"/>
      <c r="AK175" s="563"/>
      <c r="AL175" s="563"/>
      <c r="AM175" s="563"/>
      <c r="AN175" s="563"/>
      <c r="AO175" s="563"/>
      <c r="AP175" s="563"/>
      <c r="AQ175" s="563"/>
      <c r="AR175" s="563"/>
      <c r="AS175" s="563"/>
      <c r="AT175" s="563"/>
      <c r="AU175" s="563"/>
      <c r="AV175" s="563"/>
      <c r="AW175" s="563"/>
      <c r="AX175" s="563"/>
      <c r="AY175" s="563"/>
      <c r="AZ175" s="563"/>
    </row>
    <row r="176" spans="1:52" ht="18" customHeight="1">
      <c r="A176" s="563"/>
      <c r="B176" s="564"/>
      <c r="C176" s="564"/>
      <c r="D176" s="564"/>
      <c r="E176" s="564"/>
      <c r="F176" s="564"/>
      <c r="G176" s="564"/>
      <c r="H176" s="563"/>
      <c r="I176" s="563"/>
      <c r="J176" s="563"/>
      <c r="K176" s="563"/>
      <c r="L176" s="563"/>
      <c r="M176" s="563"/>
      <c r="N176" s="567"/>
      <c r="O176" s="568"/>
      <c r="P176" s="568"/>
      <c r="Q176" s="568"/>
      <c r="R176" s="568"/>
      <c r="S176" s="568"/>
      <c r="T176" s="568"/>
      <c r="U176" s="563"/>
      <c r="V176" s="563"/>
      <c r="W176" s="563"/>
      <c r="X176" s="563"/>
      <c r="Y176" s="563"/>
      <c r="Z176" s="563"/>
      <c r="AA176" s="563"/>
      <c r="AB176" s="563"/>
      <c r="AC176" s="563"/>
      <c r="AD176" s="563"/>
      <c r="AE176" s="563"/>
      <c r="AF176" s="563"/>
      <c r="AG176" s="563"/>
      <c r="AH176" s="563"/>
      <c r="AI176" s="563"/>
      <c r="AJ176" s="563"/>
      <c r="AK176" s="563"/>
      <c r="AL176" s="563"/>
      <c r="AM176" s="563"/>
      <c r="AN176" s="563"/>
      <c r="AO176" s="563"/>
      <c r="AP176" s="563"/>
      <c r="AQ176" s="563"/>
      <c r="AR176" s="563"/>
      <c r="AS176" s="563"/>
      <c r="AT176" s="563"/>
      <c r="AU176" s="563"/>
      <c r="AV176" s="563"/>
      <c r="AW176" s="563"/>
      <c r="AX176" s="563"/>
      <c r="AY176" s="563"/>
      <c r="AZ176" s="563"/>
    </row>
    <row r="177" spans="1:52" ht="18" customHeight="1">
      <c r="A177" s="563"/>
      <c r="B177" s="564"/>
      <c r="C177" s="564"/>
      <c r="D177" s="564"/>
      <c r="E177" s="564"/>
      <c r="F177" s="564"/>
      <c r="G177" s="564"/>
      <c r="H177" s="563"/>
      <c r="I177" s="563"/>
      <c r="J177" s="563"/>
      <c r="K177" s="563"/>
      <c r="L177" s="563"/>
      <c r="M177" s="563"/>
      <c r="N177" s="567"/>
      <c r="O177" s="568"/>
      <c r="P177" s="568"/>
      <c r="Q177" s="568"/>
      <c r="R177" s="568"/>
      <c r="S177" s="568"/>
      <c r="T177" s="568"/>
      <c r="U177" s="563"/>
      <c r="V177" s="563"/>
      <c r="W177" s="563"/>
      <c r="X177" s="563"/>
      <c r="Y177" s="563"/>
      <c r="Z177" s="563"/>
      <c r="AA177" s="563"/>
      <c r="AB177" s="563"/>
      <c r="AC177" s="563"/>
      <c r="AD177" s="563"/>
      <c r="AE177" s="563"/>
      <c r="AF177" s="563"/>
      <c r="AG177" s="563"/>
      <c r="AH177" s="563"/>
      <c r="AI177" s="563"/>
      <c r="AJ177" s="563"/>
      <c r="AK177" s="563"/>
      <c r="AL177" s="563"/>
      <c r="AM177" s="563"/>
      <c r="AN177" s="563"/>
      <c r="AO177" s="563"/>
      <c r="AP177" s="563"/>
      <c r="AQ177" s="563"/>
      <c r="AR177" s="563"/>
      <c r="AS177" s="563"/>
      <c r="AT177" s="563"/>
      <c r="AU177" s="563"/>
      <c r="AV177" s="563"/>
      <c r="AW177" s="563"/>
      <c r="AX177" s="563"/>
      <c r="AY177" s="563"/>
      <c r="AZ177" s="563"/>
    </row>
    <row r="178" spans="1:52" ht="18" customHeight="1">
      <c r="A178" s="563"/>
      <c r="B178" s="564"/>
      <c r="C178" s="564"/>
      <c r="D178" s="564"/>
      <c r="E178" s="564"/>
      <c r="F178" s="564"/>
      <c r="G178" s="564"/>
      <c r="H178" s="563"/>
      <c r="I178" s="563"/>
      <c r="J178" s="563"/>
      <c r="K178" s="563"/>
      <c r="L178" s="563"/>
      <c r="M178" s="563"/>
      <c r="N178" s="567"/>
      <c r="O178" s="568"/>
      <c r="P178" s="568"/>
      <c r="Q178" s="568"/>
      <c r="R178" s="568"/>
      <c r="S178" s="568"/>
      <c r="T178" s="568"/>
      <c r="U178" s="563"/>
      <c r="V178" s="563"/>
      <c r="W178" s="563"/>
      <c r="X178" s="563"/>
      <c r="Y178" s="563"/>
      <c r="Z178" s="563"/>
      <c r="AA178" s="563"/>
      <c r="AB178" s="563"/>
      <c r="AC178" s="563"/>
      <c r="AD178" s="563"/>
      <c r="AE178" s="563"/>
      <c r="AF178" s="563"/>
      <c r="AG178" s="563"/>
      <c r="AH178" s="563"/>
      <c r="AI178" s="563"/>
      <c r="AJ178" s="563"/>
      <c r="AK178" s="563"/>
      <c r="AL178" s="563"/>
      <c r="AM178" s="563"/>
      <c r="AN178" s="563"/>
      <c r="AO178" s="563"/>
      <c r="AP178" s="563"/>
      <c r="AQ178" s="563"/>
      <c r="AR178" s="563"/>
      <c r="AS178" s="563"/>
      <c r="AT178" s="563"/>
      <c r="AU178" s="563"/>
      <c r="AV178" s="563"/>
      <c r="AW178" s="563"/>
      <c r="AX178" s="563"/>
      <c r="AY178" s="563"/>
      <c r="AZ178" s="563"/>
    </row>
    <row r="179" spans="1:52" ht="18" customHeight="1">
      <c r="A179" s="563"/>
      <c r="B179" s="564"/>
      <c r="C179" s="564"/>
      <c r="D179" s="564"/>
      <c r="E179" s="564"/>
      <c r="F179" s="564"/>
      <c r="G179" s="564"/>
      <c r="H179" s="563"/>
      <c r="I179" s="563"/>
      <c r="J179" s="563"/>
      <c r="K179" s="563"/>
      <c r="L179" s="563"/>
      <c r="M179" s="563"/>
      <c r="N179" s="567"/>
      <c r="O179" s="568"/>
      <c r="P179" s="568"/>
      <c r="Q179" s="568"/>
      <c r="R179" s="568"/>
      <c r="S179" s="568"/>
      <c r="T179" s="568"/>
      <c r="U179" s="563"/>
      <c r="V179" s="563"/>
      <c r="W179" s="563"/>
      <c r="X179" s="563"/>
      <c r="Y179" s="563"/>
      <c r="Z179" s="563"/>
      <c r="AA179" s="563"/>
      <c r="AB179" s="563"/>
      <c r="AC179" s="563"/>
      <c r="AD179" s="563"/>
      <c r="AE179" s="563"/>
      <c r="AF179" s="563"/>
      <c r="AG179" s="563"/>
      <c r="AH179" s="563"/>
      <c r="AI179" s="563"/>
      <c r="AJ179" s="563"/>
      <c r="AK179" s="563"/>
      <c r="AL179" s="563"/>
      <c r="AM179" s="563"/>
      <c r="AN179" s="563"/>
      <c r="AO179" s="563"/>
      <c r="AP179" s="563"/>
      <c r="AQ179" s="563"/>
      <c r="AR179" s="563"/>
      <c r="AS179" s="563"/>
      <c r="AT179" s="563"/>
      <c r="AU179" s="563"/>
      <c r="AV179" s="563"/>
      <c r="AW179" s="563"/>
      <c r="AX179" s="563"/>
      <c r="AY179" s="563"/>
      <c r="AZ179" s="563"/>
    </row>
    <row r="180" spans="1:52" ht="18" customHeight="1">
      <c r="A180" s="563"/>
      <c r="B180" s="564"/>
      <c r="C180" s="564"/>
      <c r="D180" s="564"/>
      <c r="E180" s="564"/>
      <c r="F180" s="564"/>
      <c r="G180" s="564"/>
      <c r="H180" s="563"/>
      <c r="I180" s="563"/>
      <c r="J180" s="563"/>
      <c r="K180" s="563"/>
      <c r="L180" s="563"/>
      <c r="M180" s="563"/>
      <c r="N180" s="567"/>
      <c r="O180" s="568"/>
      <c r="P180" s="568"/>
      <c r="Q180" s="568"/>
      <c r="R180" s="568"/>
      <c r="S180" s="568"/>
      <c r="T180" s="568"/>
      <c r="U180" s="563"/>
      <c r="V180" s="563"/>
      <c r="W180" s="563"/>
      <c r="X180" s="563"/>
      <c r="Y180" s="563"/>
      <c r="Z180" s="563"/>
      <c r="AA180" s="563"/>
      <c r="AB180" s="563"/>
      <c r="AC180" s="563"/>
      <c r="AD180" s="563"/>
      <c r="AE180" s="563"/>
      <c r="AF180" s="563"/>
      <c r="AG180" s="563"/>
      <c r="AH180" s="563"/>
      <c r="AI180" s="563"/>
      <c r="AJ180" s="563"/>
      <c r="AK180" s="563"/>
      <c r="AL180" s="563"/>
      <c r="AM180" s="563"/>
      <c r="AN180" s="563"/>
      <c r="AO180" s="563"/>
      <c r="AP180" s="563"/>
      <c r="AQ180" s="563"/>
      <c r="AR180" s="563"/>
      <c r="AS180" s="563"/>
      <c r="AT180" s="563"/>
      <c r="AU180" s="563"/>
      <c r="AV180" s="563"/>
      <c r="AW180" s="563"/>
      <c r="AX180" s="563"/>
      <c r="AY180" s="563"/>
      <c r="AZ180" s="563"/>
    </row>
    <row r="181" spans="1:52" ht="18" customHeight="1">
      <c r="A181" s="563"/>
      <c r="B181" s="564"/>
      <c r="C181" s="564"/>
      <c r="D181" s="564"/>
      <c r="E181" s="564"/>
      <c r="F181" s="564"/>
      <c r="G181" s="564"/>
      <c r="H181" s="563"/>
      <c r="I181" s="563"/>
      <c r="J181" s="563"/>
      <c r="K181" s="563"/>
      <c r="L181" s="563"/>
      <c r="M181" s="563"/>
      <c r="N181" s="567"/>
      <c r="O181" s="568"/>
      <c r="P181" s="568"/>
      <c r="Q181" s="568"/>
      <c r="R181" s="568"/>
      <c r="S181" s="568"/>
      <c r="T181" s="568"/>
      <c r="U181" s="563"/>
      <c r="V181" s="563"/>
      <c r="W181" s="563"/>
      <c r="X181" s="563"/>
      <c r="Y181" s="563"/>
      <c r="Z181" s="563"/>
      <c r="AA181" s="563"/>
      <c r="AB181" s="563"/>
      <c r="AC181" s="563"/>
      <c r="AD181" s="563"/>
      <c r="AE181" s="563"/>
      <c r="AF181" s="563"/>
      <c r="AG181" s="563"/>
      <c r="AH181" s="563"/>
      <c r="AI181" s="563"/>
      <c r="AJ181" s="563"/>
      <c r="AK181" s="563"/>
      <c r="AL181" s="563"/>
      <c r="AM181" s="563"/>
      <c r="AN181" s="563"/>
      <c r="AO181" s="563"/>
      <c r="AP181" s="563"/>
      <c r="AQ181" s="563"/>
      <c r="AR181" s="563"/>
      <c r="AS181" s="563"/>
      <c r="AT181" s="563"/>
      <c r="AU181" s="563"/>
      <c r="AV181" s="563"/>
      <c r="AW181" s="563"/>
      <c r="AX181" s="563"/>
      <c r="AY181" s="563"/>
      <c r="AZ181" s="563"/>
    </row>
    <row r="182" spans="1:52" ht="18" customHeight="1">
      <c r="A182" s="563"/>
      <c r="B182" s="564"/>
      <c r="C182" s="564"/>
      <c r="D182" s="564"/>
      <c r="E182" s="564"/>
      <c r="F182" s="564"/>
      <c r="G182" s="564"/>
      <c r="H182" s="563"/>
      <c r="I182" s="563"/>
      <c r="J182" s="563"/>
      <c r="K182" s="563"/>
      <c r="L182" s="563"/>
      <c r="M182" s="563"/>
      <c r="N182" s="567"/>
      <c r="O182" s="568"/>
      <c r="P182" s="568"/>
      <c r="Q182" s="568"/>
      <c r="R182" s="568"/>
      <c r="S182" s="568"/>
      <c r="T182" s="568"/>
      <c r="U182" s="563"/>
      <c r="V182" s="563"/>
      <c r="W182" s="563"/>
      <c r="X182" s="563"/>
      <c r="Y182" s="563"/>
      <c r="Z182" s="563"/>
      <c r="AA182" s="563"/>
      <c r="AB182" s="563"/>
      <c r="AC182" s="563"/>
      <c r="AD182" s="563"/>
      <c r="AE182" s="563"/>
      <c r="AF182" s="563"/>
      <c r="AG182" s="563"/>
      <c r="AH182" s="563"/>
      <c r="AI182" s="563"/>
      <c r="AJ182" s="563"/>
      <c r="AK182" s="563"/>
      <c r="AL182" s="563"/>
      <c r="AM182" s="563"/>
      <c r="AN182" s="563"/>
      <c r="AO182" s="563"/>
      <c r="AP182" s="563"/>
      <c r="AQ182" s="563"/>
      <c r="AR182" s="563"/>
      <c r="AS182" s="563"/>
      <c r="AT182" s="563"/>
      <c r="AU182" s="563"/>
      <c r="AV182" s="563"/>
      <c r="AW182" s="563"/>
      <c r="AX182" s="563"/>
      <c r="AY182" s="563"/>
      <c r="AZ182" s="563"/>
    </row>
    <row r="183" spans="1:52" ht="18" customHeight="1">
      <c r="A183" s="563"/>
      <c r="B183" s="564"/>
      <c r="C183" s="564"/>
      <c r="D183" s="564"/>
      <c r="E183" s="564"/>
      <c r="F183" s="564"/>
      <c r="G183" s="564"/>
      <c r="H183" s="563"/>
      <c r="I183" s="563"/>
      <c r="J183" s="563"/>
      <c r="K183" s="563"/>
      <c r="L183" s="563"/>
      <c r="M183" s="563"/>
      <c r="N183" s="567"/>
      <c r="O183" s="568"/>
      <c r="P183" s="568"/>
      <c r="Q183" s="568"/>
      <c r="R183" s="568"/>
      <c r="S183" s="568"/>
      <c r="T183" s="568"/>
      <c r="U183" s="563"/>
      <c r="V183" s="563"/>
      <c r="W183" s="563"/>
      <c r="X183" s="563"/>
      <c r="Y183" s="563"/>
      <c r="Z183" s="563"/>
      <c r="AA183" s="563"/>
      <c r="AB183" s="563"/>
      <c r="AC183" s="563"/>
      <c r="AD183" s="563"/>
      <c r="AE183" s="563"/>
      <c r="AF183" s="563"/>
      <c r="AG183" s="563"/>
      <c r="AH183" s="563"/>
      <c r="AI183" s="563"/>
      <c r="AJ183" s="563"/>
      <c r="AK183" s="563"/>
      <c r="AL183" s="563"/>
      <c r="AM183" s="563"/>
      <c r="AN183" s="563"/>
      <c r="AO183" s="563"/>
      <c r="AP183" s="563"/>
      <c r="AQ183" s="563"/>
      <c r="AR183" s="563"/>
      <c r="AS183" s="563"/>
      <c r="AT183" s="563"/>
      <c r="AU183" s="563"/>
      <c r="AV183" s="563"/>
      <c r="AW183" s="563"/>
      <c r="AX183" s="563"/>
      <c r="AY183" s="563"/>
      <c r="AZ183" s="563"/>
    </row>
    <row r="184" spans="1:52" ht="18" customHeight="1">
      <c r="A184" s="563"/>
      <c r="B184" s="564"/>
      <c r="C184" s="564"/>
      <c r="D184" s="564"/>
      <c r="E184" s="564"/>
      <c r="F184" s="564"/>
      <c r="G184" s="564"/>
      <c r="H184" s="563"/>
      <c r="I184" s="563"/>
      <c r="J184" s="563"/>
      <c r="K184" s="563"/>
      <c r="L184" s="563"/>
      <c r="M184" s="563"/>
      <c r="N184" s="567"/>
      <c r="O184" s="568"/>
      <c r="P184" s="568"/>
      <c r="Q184" s="568"/>
      <c r="R184" s="568"/>
      <c r="S184" s="568"/>
      <c r="T184" s="568"/>
      <c r="U184" s="563"/>
      <c r="V184" s="563"/>
      <c r="W184" s="563"/>
      <c r="X184" s="563"/>
      <c r="Y184" s="563"/>
      <c r="Z184" s="563"/>
      <c r="AA184" s="563"/>
      <c r="AB184" s="563"/>
      <c r="AC184" s="563"/>
      <c r="AD184" s="563"/>
      <c r="AE184" s="563"/>
      <c r="AF184" s="563"/>
      <c r="AG184" s="563"/>
      <c r="AH184" s="563"/>
      <c r="AI184" s="563"/>
      <c r="AJ184" s="563"/>
      <c r="AK184" s="563"/>
      <c r="AL184" s="563"/>
      <c r="AM184" s="563"/>
      <c r="AN184" s="563"/>
      <c r="AO184" s="563"/>
      <c r="AP184" s="563"/>
      <c r="AQ184" s="563"/>
      <c r="AR184" s="563"/>
      <c r="AS184" s="563"/>
      <c r="AT184" s="563"/>
      <c r="AU184" s="563"/>
      <c r="AV184" s="563"/>
      <c r="AW184" s="563"/>
      <c r="AX184" s="563"/>
      <c r="AY184" s="563"/>
      <c r="AZ184" s="563"/>
    </row>
    <row r="185" spans="1:52" ht="18" customHeight="1">
      <c r="A185" s="563"/>
      <c r="B185" s="564"/>
      <c r="C185" s="564"/>
      <c r="D185" s="564"/>
      <c r="E185" s="564"/>
      <c r="F185" s="564"/>
      <c r="G185" s="564"/>
      <c r="H185" s="563"/>
      <c r="I185" s="563"/>
      <c r="J185" s="563"/>
      <c r="K185" s="563"/>
      <c r="L185" s="563"/>
      <c r="M185" s="563"/>
      <c r="N185" s="567"/>
      <c r="O185" s="568"/>
      <c r="P185" s="568"/>
      <c r="Q185" s="568"/>
      <c r="R185" s="568"/>
      <c r="S185" s="568"/>
      <c r="T185" s="568"/>
      <c r="U185" s="563"/>
      <c r="V185" s="563"/>
      <c r="W185" s="563"/>
      <c r="X185" s="563"/>
      <c r="Y185" s="563"/>
      <c r="Z185" s="563"/>
      <c r="AA185" s="563"/>
      <c r="AB185" s="563"/>
      <c r="AC185" s="563"/>
      <c r="AD185" s="563"/>
      <c r="AE185" s="563"/>
      <c r="AF185" s="563"/>
      <c r="AG185" s="563"/>
      <c r="AH185" s="563"/>
      <c r="AI185" s="563"/>
      <c r="AJ185" s="563"/>
      <c r="AK185" s="563"/>
      <c r="AL185" s="563"/>
      <c r="AM185" s="563"/>
      <c r="AN185" s="563"/>
      <c r="AO185" s="563"/>
      <c r="AP185" s="563"/>
      <c r="AQ185" s="563"/>
      <c r="AR185" s="563"/>
      <c r="AS185" s="563"/>
      <c r="AT185" s="563"/>
      <c r="AU185" s="563"/>
      <c r="AV185" s="563"/>
      <c r="AW185" s="563"/>
      <c r="AX185" s="563"/>
      <c r="AY185" s="563"/>
      <c r="AZ185" s="563"/>
    </row>
    <row r="186" spans="1:52" ht="18" customHeight="1">
      <c r="A186" s="563"/>
      <c r="B186" s="564"/>
      <c r="C186" s="564"/>
      <c r="D186" s="564"/>
      <c r="E186" s="564"/>
      <c r="F186" s="564"/>
      <c r="G186" s="564"/>
      <c r="H186" s="563"/>
      <c r="I186" s="563"/>
      <c r="J186" s="563"/>
      <c r="K186" s="563"/>
      <c r="L186" s="563"/>
      <c r="M186" s="563"/>
      <c r="N186" s="567"/>
      <c r="O186" s="568"/>
      <c r="P186" s="568"/>
      <c r="Q186" s="568"/>
      <c r="R186" s="568"/>
      <c r="S186" s="568"/>
      <c r="T186" s="568"/>
      <c r="U186" s="563"/>
      <c r="V186" s="563"/>
      <c r="W186" s="563"/>
      <c r="X186" s="563"/>
      <c r="Y186" s="563"/>
      <c r="Z186" s="563"/>
      <c r="AA186" s="563"/>
      <c r="AB186" s="563"/>
      <c r="AC186" s="563"/>
      <c r="AD186" s="563"/>
      <c r="AE186" s="563"/>
      <c r="AF186" s="563"/>
      <c r="AG186" s="563"/>
      <c r="AH186" s="563"/>
      <c r="AI186" s="563"/>
      <c r="AJ186" s="563"/>
      <c r="AK186" s="563"/>
      <c r="AL186" s="563"/>
      <c r="AM186" s="563"/>
      <c r="AN186" s="563"/>
      <c r="AO186" s="563"/>
      <c r="AP186" s="563"/>
      <c r="AQ186" s="563"/>
      <c r="AR186" s="563"/>
      <c r="AS186" s="563"/>
      <c r="AT186" s="563"/>
      <c r="AU186" s="563"/>
      <c r="AV186" s="563"/>
      <c r="AW186" s="563"/>
      <c r="AX186" s="563"/>
      <c r="AY186" s="563"/>
      <c r="AZ186" s="563"/>
    </row>
    <row r="187" spans="1:52" ht="18" customHeight="1">
      <c r="A187" s="563"/>
      <c r="B187" s="564"/>
      <c r="C187" s="564"/>
      <c r="D187" s="564"/>
      <c r="E187" s="564"/>
      <c r="F187" s="564"/>
      <c r="G187" s="564"/>
      <c r="H187" s="563"/>
      <c r="I187" s="563"/>
      <c r="J187" s="563"/>
      <c r="K187" s="563"/>
      <c r="L187" s="563"/>
      <c r="M187" s="563"/>
      <c r="N187" s="567"/>
      <c r="O187" s="568"/>
      <c r="P187" s="568"/>
      <c r="Q187" s="568"/>
      <c r="R187" s="568"/>
      <c r="S187" s="568"/>
      <c r="T187" s="568"/>
      <c r="U187" s="563"/>
      <c r="V187" s="563"/>
      <c r="W187" s="563"/>
      <c r="X187" s="563"/>
      <c r="Y187" s="563"/>
      <c r="Z187" s="563"/>
      <c r="AA187" s="563"/>
      <c r="AB187" s="563"/>
      <c r="AC187" s="563"/>
      <c r="AD187" s="563"/>
      <c r="AE187" s="563"/>
      <c r="AF187" s="563"/>
      <c r="AG187" s="563"/>
      <c r="AH187" s="563"/>
      <c r="AI187" s="563"/>
      <c r="AJ187" s="563"/>
      <c r="AK187" s="563"/>
      <c r="AL187" s="563"/>
      <c r="AM187" s="563"/>
      <c r="AN187" s="563"/>
      <c r="AO187" s="563"/>
      <c r="AP187" s="563"/>
      <c r="AQ187" s="563"/>
      <c r="AR187" s="563"/>
      <c r="AS187" s="563"/>
      <c r="AT187" s="563"/>
      <c r="AU187" s="563"/>
      <c r="AV187" s="563"/>
      <c r="AW187" s="563"/>
      <c r="AX187" s="563"/>
      <c r="AY187" s="563"/>
      <c r="AZ187" s="563"/>
    </row>
    <row r="188" spans="1:52" ht="18" customHeight="1">
      <c r="A188" s="563"/>
      <c r="B188" s="564"/>
      <c r="C188" s="564"/>
      <c r="D188" s="564"/>
      <c r="E188" s="564"/>
      <c r="F188" s="564"/>
      <c r="G188" s="564"/>
      <c r="H188" s="563"/>
      <c r="I188" s="563"/>
      <c r="J188" s="563"/>
      <c r="K188" s="563"/>
      <c r="L188" s="563"/>
      <c r="M188" s="563"/>
      <c r="N188" s="567"/>
      <c r="O188" s="568"/>
      <c r="P188" s="568"/>
      <c r="Q188" s="568"/>
      <c r="R188" s="568"/>
      <c r="S188" s="568"/>
      <c r="T188" s="568"/>
      <c r="U188" s="563"/>
      <c r="V188" s="563"/>
      <c r="W188" s="563"/>
      <c r="X188" s="563"/>
      <c r="Y188" s="563"/>
      <c r="Z188" s="563"/>
      <c r="AA188" s="563"/>
      <c r="AB188" s="563"/>
      <c r="AC188" s="563"/>
      <c r="AD188" s="563"/>
      <c r="AE188" s="563"/>
      <c r="AF188" s="563"/>
      <c r="AG188" s="563"/>
      <c r="AH188" s="563"/>
      <c r="AI188" s="563"/>
      <c r="AJ188" s="563"/>
      <c r="AK188" s="563"/>
      <c r="AL188" s="563"/>
      <c r="AM188" s="563"/>
      <c r="AN188" s="563"/>
      <c r="AO188" s="563"/>
      <c r="AP188" s="563"/>
      <c r="AQ188" s="563"/>
      <c r="AR188" s="563"/>
      <c r="AS188" s="563"/>
      <c r="AT188" s="563"/>
      <c r="AU188" s="563"/>
      <c r="AV188" s="563"/>
      <c r="AW188" s="563"/>
      <c r="AX188" s="563"/>
      <c r="AY188" s="563"/>
      <c r="AZ188" s="563"/>
    </row>
    <row r="189" spans="1:52" ht="18" customHeight="1">
      <c r="A189" s="563"/>
      <c r="B189" s="564"/>
      <c r="C189" s="564"/>
      <c r="D189" s="564"/>
      <c r="E189" s="564"/>
      <c r="F189" s="564"/>
      <c r="G189" s="564"/>
      <c r="H189" s="563"/>
      <c r="I189" s="563"/>
      <c r="J189" s="563"/>
      <c r="K189" s="563"/>
      <c r="L189" s="563"/>
      <c r="M189" s="563"/>
      <c r="N189" s="567"/>
      <c r="O189" s="568"/>
      <c r="P189" s="568"/>
      <c r="Q189" s="568"/>
      <c r="R189" s="568"/>
      <c r="S189" s="568"/>
      <c r="T189" s="568"/>
      <c r="U189" s="563"/>
      <c r="V189" s="563"/>
      <c r="W189" s="563"/>
      <c r="X189" s="563"/>
      <c r="Y189" s="563"/>
      <c r="Z189" s="563"/>
      <c r="AA189" s="563"/>
      <c r="AB189" s="563"/>
      <c r="AC189" s="563"/>
      <c r="AD189" s="563"/>
      <c r="AE189" s="563"/>
      <c r="AF189" s="563"/>
      <c r="AG189" s="563"/>
      <c r="AH189" s="563"/>
      <c r="AI189" s="563"/>
      <c r="AJ189" s="563"/>
      <c r="AK189" s="563"/>
      <c r="AL189" s="563"/>
      <c r="AM189" s="563"/>
      <c r="AN189" s="563"/>
      <c r="AO189" s="563"/>
      <c r="AP189" s="563"/>
      <c r="AQ189" s="563"/>
      <c r="AR189" s="563"/>
      <c r="AS189" s="563"/>
      <c r="AT189" s="563"/>
      <c r="AU189" s="563"/>
      <c r="AV189" s="563"/>
      <c r="AW189" s="563"/>
      <c r="AX189" s="563"/>
      <c r="AY189" s="563"/>
      <c r="AZ189" s="563"/>
    </row>
    <row r="190" spans="1:52" ht="18" customHeight="1">
      <c r="A190" s="563"/>
      <c r="B190" s="564"/>
      <c r="C190" s="564"/>
      <c r="D190" s="564"/>
      <c r="E190" s="564"/>
      <c r="F190" s="564"/>
      <c r="G190" s="564"/>
      <c r="H190" s="563"/>
      <c r="I190" s="563"/>
      <c r="J190" s="563"/>
      <c r="K190" s="563"/>
      <c r="L190" s="563"/>
      <c r="M190" s="563"/>
      <c r="N190" s="567"/>
      <c r="O190" s="568"/>
      <c r="P190" s="568"/>
      <c r="Q190" s="568"/>
      <c r="R190" s="568"/>
      <c r="S190" s="568"/>
      <c r="T190" s="568"/>
      <c r="U190" s="563"/>
      <c r="V190" s="563"/>
      <c r="W190" s="563"/>
      <c r="X190" s="563"/>
      <c r="Y190" s="563"/>
      <c r="Z190" s="563"/>
      <c r="AA190" s="563"/>
      <c r="AB190" s="563"/>
      <c r="AC190" s="563"/>
      <c r="AD190" s="563"/>
      <c r="AE190" s="563"/>
      <c r="AF190" s="563"/>
      <c r="AG190" s="563"/>
      <c r="AH190" s="563"/>
      <c r="AI190" s="563"/>
      <c r="AJ190" s="563"/>
      <c r="AK190" s="563"/>
      <c r="AL190" s="563"/>
      <c r="AM190" s="563"/>
      <c r="AN190" s="563"/>
      <c r="AO190" s="563"/>
      <c r="AP190" s="563"/>
      <c r="AQ190" s="563"/>
      <c r="AR190" s="563"/>
      <c r="AS190" s="563"/>
      <c r="AT190" s="563"/>
      <c r="AU190" s="563"/>
      <c r="AV190" s="563"/>
      <c r="AW190" s="563"/>
      <c r="AX190" s="563"/>
      <c r="AY190" s="563"/>
      <c r="AZ190" s="563"/>
    </row>
    <row r="191" spans="1:52" ht="18" customHeight="1">
      <c r="A191" s="563"/>
      <c r="B191" s="564"/>
      <c r="C191" s="564"/>
      <c r="D191" s="564"/>
      <c r="E191" s="564"/>
      <c r="F191" s="564"/>
      <c r="G191" s="564"/>
      <c r="H191" s="563"/>
      <c r="I191" s="563"/>
      <c r="J191" s="563"/>
      <c r="K191" s="563"/>
      <c r="L191" s="563"/>
      <c r="M191" s="563"/>
      <c r="N191" s="567"/>
      <c r="O191" s="568"/>
      <c r="P191" s="568"/>
      <c r="Q191" s="568"/>
      <c r="R191" s="568"/>
      <c r="S191" s="568"/>
      <c r="T191" s="568"/>
      <c r="U191" s="563"/>
      <c r="V191" s="563"/>
      <c r="W191" s="563"/>
      <c r="X191" s="563"/>
      <c r="Y191" s="563"/>
      <c r="Z191" s="563"/>
      <c r="AA191" s="563"/>
      <c r="AB191" s="563"/>
      <c r="AC191" s="563"/>
      <c r="AD191" s="563"/>
      <c r="AE191" s="563"/>
      <c r="AF191" s="563"/>
      <c r="AG191" s="563"/>
      <c r="AH191" s="563"/>
      <c r="AI191" s="563"/>
      <c r="AJ191" s="563"/>
      <c r="AK191" s="563"/>
      <c r="AL191" s="563"/>
      <c r="AM191" s="563"/>
      <c r="AN191" s="563"/>
      <c r="AO191" s="563"/>
      <c r="AP191" s="563"/>
      <c r="AQ191" s="563"/>
      <c r="AR191" s="563"/>
      <c r="AS191" s="563"/>
      <c r="AT191" s="563"/>
      <c r="AU191" s="563"/>
      <c r="AV191" s="563"/>
      <c r="AW191" s="563"/>
      <c r="AX191" s="563"/>
      <c r="AY191" s="563"/>
      <c r="AZ191" s="563"/>
    </row>
    <row r="192" spans="1:52" ht="18" customHeight="1">
      <c r="A192" s="563"/>
      <c r="B192" s="564"/>
      <c r="C192" s="564"/>
      <c r="D192" s="564"/>
      <c r="E192" s="564"/>
      <c r="F192" s="564"/>
      <c r="G192" s="564"/>
      <c r="H192" s="563"/>
      <c r="I192" s="563"/>
      <c r="J192" s="563"/>
      <c r="K192" s="563"/>
      <c r="L192" s="563"/>
      <c r="M192" s="563"/>
      <c r="N192" s="567"/>
      <c r="O192" s="568"/>
      <c r="P192" s="568"/>
      <c r="Q192" s="568"/>
      <c r="R192" s="568"/>
      <c r="S192" s="568"/>
      <c r="T192" s="568"/>
      <c r="U192" s="563"/>
      <c r="V192" s="563"/>
      <c r="W192" s="563"/>
      <c r="X192" s="563"/>
      <c r="Y192" s="563"/>
      <c r="Z192" s="563"/>
      <c r="AA192" s="563"/>
      <c r="AB192" s="563"/>
      <c r="AC192" s="563"/>
      <c r="AD192" s="563"/>
      <c r="AE192" s="563"/>
      <c r="AF192" s="563"/>
      <c r="AG192" s="563"/>
      <c r="AH192" s="563"/>
      <c r="AI192" s="563"/>
      <c r="AJ192" s="563"/>
      <c r="AK192" s="563"/>
      <c r="AL192" s="563"/>
      <c r="AM192" s="563"/>
      <c r="AN192" s="563"/>
      <c r="AO192" s="563"/>
      <c r="AP192" s="563"/>
      <c r="AQ192" s="563"/>
      <c r="AR192" s="563"/>
      <c r="AS192" s="563"/>
      <c r="AT192" s="563"/>
      <c r="AU192" s="563"/>
      <c r="AV192" s="563"/>
      <c r="AW192" s="563"/>
      <c r="AX192" s="563"/>
      <c r="AY192" s="563"/>
      <c r="AZ192" s="563"/>
    </row>
    <row r="193" spans="1:52" ht="18" customHeight="1">
      <c r="A193" s="563"/>
      <c r="B193" s="564"/>
      <c r="C193" s="564"/>
      <c r="D193" s="564"/>
      <c r="E193" s="564"/>
      <c r="F193" s="564"/>
      <c r="G193" s="564"/>
      <c r="H193" s="563"/>
      <c r="I193" s="563"/>
      <c r="J193" s="563"/>
      <c r="K193" s="563"/>
      <c r="L193" s="563"/>
      <c r="M193" s="563"/>
      <c r="N193" s="567"/>
      <c r="O193" s="568"/>
      <c r="P193" s="568"/>
      <c r="Q193" s="568"/>
      <c r="R193" s="568"/>
      <c r="S193" s="568"/>
      <c r="T193" s="568"/>
      <c r="U193" s="563"/>
      <c r="V193" s="563"/>
      <c r="W193" s="563"/>
      <c r="X193" s="563"/>
      <c r="Y193" s="563"/>
      <c r="Z193" s="563"/>
      <c r="AA193" s="563"/>
      <c r="AB193" s="563"/>
      <c r="AC193" s="563"/>
      <c r="AD193" s="563"/>
      <c r="AE193" s="563"/>
      <c r="AF193" s="563"/>
      <c r="AG193" s="563"/>
      <c r="AH193" s="563"/>
      <c r="AI193" s="563"/>
      <c r="AJ193" s="563"/>
      <c r="AK193" s="563"/>
      <c r="AL193" s="563"/>
      <c r="AM193" s="563"/>
      <c r="AN193" s="563"/>
      <c r="AO193" s="563"/>
      <c r="AP193" s="563"/>
      <c r="AQ193" s="563"/>
      <c r="AR193" s="563"/>
      <c r="AS193" s="563"/>
      <c r="AT193" s="563"/>
      <c r="AU193" s="563"/>
      <c r="AV193" s="563"/>
      <c r="AW193" s="563"/>
      <c r="AX193" s="563"/>
      <c r="AY193" s="563"/>
      <c r="AZ193" s="563"/>
    </row>
    <row r="194" spans="1:52" ht="18" customHeight="1">
      <c r="A194" s="563"/>
      <c r="B194" s="564"/>
      <c r="C194" s="564"/>
      <c r="D194" s="564"/>
      <c r="E194" s="564"/>
      <c r="F194" s="564"/>
      <c r="G194" s="564"/>
      <c r="H194" s="563"/>
      <c r="I194" s="563"/>
      <c r="J194" s="563"/>
      <c r="K194" s="563"/>
      <c r="L194" s="563"/>
      <c r="M194" s="563"/>
      <c r="N194" s="567"/>
      <c r="O194" s="568"/>
      <c r="P194" s="568"/>
      <c r="Q194" s="568"/>
      <c r="R194" s="568"/>
      <c r="S194" s="568"/>
      <c r="T194" s="568"/>
      <c r="U194" s="563"/>
      <c r="V194" s="563"/>
      <c r="W194" s="563"/>
      <c r="X194" s="563"/>
      <c r="Y194" s="563"/>
      <c r="Z194" s="563"/>
      <c r="AA194" s="563"/>
      <c r="AB194" s="563"/>
      <c r="AC194" s="563"/>
      <c r="AD194" s="563"/>
      <c r="AE194" s="563"/>
      <c r="AF194" s="563"/>
      <c r="AG194" s="563"/>
      <c r="AH194" s="563"/>
      <c r="AI194" s="563"/>
      <c r="AJ194" s="563"/>
      <c r="AK194" s="563"/>
      <c r="AL194" s="563"/>
      <c r="AM194" s="563"/>
      <c r="AN194" s="563"/>
      <c r="AO194" s="563"/>
      <c r="AP194" s="563"/>
      <c r="AQ194" s="563"/>
      <c r="AR194" s="563"/>
      <c r="AS194" s="563"/>
      <c r="AT194" s="563"/>
      <c r="AU194" s="563"/>
      <c r="AV194" s="563"/>
      <c r="AW194" s="563"/>
      <c r="AX194" s="563"/>
      <c r="AY194" s="563"/>
      <c r="AZ194" s="563"/>
    </row>
    <row r="195" spans="1:52" ht="18" customHeight="1">
      <c r="A195" s="563"/>
      <c r="B195" s="564"/>
      <c r="C195" s="564"/>
      <c r="D195" s="564"/>
      <c r="E195" s="564"/>
      <c r="F195" s="564"/>
      <c r="G195" s="564"/>
      <c r="H195" s="563"/>
      <c r="I195" s="563"/>
      <c r="J195" s="563"/>
      <c r="K195" s="563"/>
      <c r="L195" s="563"/>
      <c r="M195" s="563"/>
      <c r="N195" s="567"/>
      <c r="O195" s="568"/>
      <c r="P195" s="568"/>
      <c r="Q195" s="568"/>
      <c r="R195" s="568"/>
      <c r="S195" s="568"/>
      <c r="T195" s="568"/>
      <c r="U195" s="563"/>
      <c r="V195" s="563"/>
      <c r="W195" s="563"/>
      <c r="X195" s="563"/>
      <c r="Y195" s="563"/>
      <c r="Z195" s="563"/>
      <c r="AA195" s="563"/>
      <c r="AB195" s="563"/>
      <c r="AC195" s="563"/>
      <c r="AD195" s="563"/>
      <c r="AE195" s="563"/>
      <c r="AF195" s="563"/>
      <c r="AG195" s="563"/>
      <c r="AH195" s="563"/>
      <c r="AI195" s="563"/>
      <c r="AJ195" s="563"/>
      <c r="AK195" s="563"/>
      <c r="AL195" s="563"/>
      <c r="AM195" s="563"/>
      <c r="AN195" s="563"/>
      <c r="AO195" s="563"/>
      <c r="AP195" s="563"/>
      <c r="AQ195" s="563"/>
      <c r="AR195" s="563"/>
      <c r="AS195" s="563"/>
      <c r="AT195" s="563"/>
      <c r="AU195" s="563"/>
      <c r="AV195" s="563"/>
      <c r="AW195" s="563"/>
      <c r="AX195" s="563"/>
      <c r="AY195" s="563"/>
      <c r="AZ195" s="563"/>
    </row>
    <row r="196" spans="1:52" ht="18" customHeight="1">
      <c r="A196" s="563"/>
      <c r="B196" s="564"/>
      <c r="C196" s="564"/>
      <c r="D196" s="564"/>
      <c r="E196" s="564"/>
      <c r="F196" s="564"/>
      <c r="G196" s="564"/>
      <c r="H196" s="563"/>
      <c r="I196" s="563"/>
      <c r="J196" s="563"/>
      <c r="K196" s="563"/>
      <c r="L196" s="563"/>
      <c r="M196" s="563"/>
      <c r="N196" s="567"/>
      <c r="O196" s="568"/>
      <c r="P196" s="568"/>
      <c r="Q196" s="568"/>
      <c r="R196" s="568"/>
      <c r="S196" s="568"/>
      <c r="T196" s="568"/>
      <c r="U196" s="563"/>
      <c r="V196" s="563"/>
      <c r="W196" s="563"/>
      <c r="X196" s="563"/>
      <c r="Y196" s="563"/>
      <c r="Z196" s="563"/>
      <c r="AA196" s="563"/>
      <c r="AB196" s="563"/>
      <c r="AC196" s="563"/>
      <c r="AD196" s="563"/>
      <c r="AE196" s="563"/>
      <c r="AF196" s="563"/>
      <c r="AG196" s="563"/>
      <c r="AH196" s="563"/>
      <c r="AI196" s="563"/>
      <c r="AJ196" s="563"/>
      <c r="AK196" s="563"/>
      <c r="AL196" s="563"/>
      <c r="AM196" s="563"/>
      <c r="AN196" s="563"/>
      <c r="AO196" s="563"/>
      <c r="AP196" s="563"/>
      <c r="AQ196" s="563"/>
      <c r="AR196" s="563"/>
      <c r="AS196" s="563"/>
      <c r="AT196" s="563"/>
      <c r="AU196" s="563"/>
      <c r="AV196" s="563"/>
      <c r="AW196" s="563"/>
      <c r="AX196" s="563"/>
      <c r="AY196" s="563"/>
      <c r="AZ196" s="563"/>
    </row>
    <row r="197" spans="1:52" ht="18" customHeight="1">
      <c r="A197" s="563"/>
      <c r="B197" s="564"/>
      <c r="C197" s="564"/>
      <c r="D197" s="564"/>
      <c r="E197" s="564"/>
      <c r="F197" s="564"/>
      <c r="G197" s="564"/>
      <c r="H197" s="563"/>
      <c r="I197" s="563"/>
      <c r="J197" s="563"/>
      <c r="K197" s="563"/>
      <c r="L197" s="563"/>
      <c r="M197" s="563"/>
      <c r="N197" s="567"/>
      <c r="O197" s="568"/>
      <c r="P197" s="568"/>
      <c r="Q197" s="568"/>
      <c r="R197" s="568"/>
      <c r="S197" s="568"/>
      <c r="T197" s="568"/>
      <c r="U197" s="563"/>
      <c r="V197" s="563"/>
      <c r="W197" s="563"/>
      <c r="X197" s="563"/>
      <c r="Y197" s="563"/>
      <c r="Z197" s="563"/>
      <c r="AA197" s="563"/>
      <c r="AB197" s="563"/>
      <c r="AC197" s="563"/>
      <c r="AD197" s="563"/>
      <c r="AE197" s="563"/>
      <c r="AF197" s="563"/>
      <c r="AG197" s="563"/>
      <c r="AH197" s="563"/>
      <c r="AI197" s="563"/>
      <c r="AJ197" s="563"/>
      <c r="AK197" s="563"/>
      <c r="AL197" s="563"/>
      <c r="AM197" s="563"/>
      <c r="AN197" s="563"/>
      <c r="AO197" s="563"/>
      <c r="AP197" s="563"/>
      <c r="AQ197" s="563"/>
      <c r="AR197" s="563"/>
      <c r="AS197" s="563"/>
      <c r="AT197" s="563"/>
      <c r="AU197" s="563"/>
      <c r="AV197" s="563"/>
      <c r="AW197" s="563"/>
      <c r="AX197" s="563"/>
      <c r="AY197" s="563"/>
      <c r="AZ197" s="563"/>
    </row>
    <row r="198" spans="1:52" ht="18" customHeight="1">
      <c r="A198" s="563"/>
      <c r="B198" s="564"/>
      <c r="C198" s="564"/>
      <c r="D198" s="564"/>
      <c r="E198" s="564"/>
      <c r="F198" s="564"/>
      <c r="G198" s="564"/>
      <c r="H198" s="563"/>
      <c r="I198" s="563"/>
      <c r="J198" s="563"/>
      <c r="K198" s="563"/>
      <c r="L198" s="563"/>
      <c r="M198" s="563"/>
      <c r="N198" s="567"/>
      <c r="O198" s="568"/>
      <c r="P198" s="568"/>
      <c r="Q198" s="568"/>
      <c r="R198" s="568"/>
      <c r="S198" s="568"/>
      <c r="T198" s="568"/>
      <c r="U198" s="563"/>
      <c r="V198" s="563"/>
      <c r="W198" s="563"/>
      <c r="X198" s="563"/>
      <c r="Y198" s="563"/>
      <c r="Z198" s="563"/>
      <c r="AA198" s="563"/>
      <c r="AB198" s="563"/>
      <c r="AC198" s="563"/>
      <c r="AD198" s="563"/>
      <c r="AE198" s="563"/>
      <c r="AF198" s="563"/>
      <c r="AG198" s="563"/>
      <c r="AH198" s="563"/>
      <c r="AI198" s="563"/>
      <c r="AJ198" s="563"/>
      <c r="AK198" s="563"/>
      <c r="AL198" s="563"/>
      <c r="AM198" s="563"/>
      <c r="AN198" s="563"/>
      <c r="AO198" s="563"/>
      <c r="AP198" s="563"/>
      <c r="AQ198" s="563"/>
      <c r="AR198" s="563"/>
      <c r="AS198" s="563"/>
      <c r="AT198" s="563"/>
      <c r="AU198" s="563"/>
      <c r="AV198" s="563"/>
      <c r="AW198" s="563"/>
      <c r="AX198" s="563"/>
      <c r="AY198" s="563"/>
      <c r="AZ198" s="563"/>
    </row>
    <row r="199" spans="1:52" ht="18" customHeight="1">
      <c r="A199" s="563"/>
      <c r="B199" s="564"/>
      <c r="C199" s="564"/>
      <c r="D199" s="564"/>
      <c r="E199" s="564"/>
      <c r="F199" s="564"/>
      <c r="G199" s="564"/>
      <c r="H199" s="563"/>
      <c r="I199" s="563"/>
      <c r="J199" s="563"/>
      <c r="K199" s="563"/>
      <c r="L199" s="563"/>
      <c r="M199" s="563"/>
      <c r="N199" s="567"/>
      <c r="O199" s="568"/>
      <c r="P199" s="568"/>
      <c r="Q199" s="568"/>
      <c r="R199" s="568"/>
      <c r="S199" s="568"/>
      <c r="T199" s="568"/>
      <c r="U199" s="563"/>
      <c r="V199" s="563"/>
      <c r="W199" s="563"/>
      <c r="X199" s="563"/>
      <c r="Y199" s="563"/>
      <c r="Z199" s="563"/>
      <c r="AA199" s="563"/>
      <c r="AB199" s="563"/>
      <c r="AC199" s="563"/>
      <c r="AD199" s="563"/>
      <c r="AE199" s="563"/>
      <c r="AF199" s="563"/>
      <c r="AG199" s="563"/>
      <c r="AH199" s="563"/>
      <c r="AI199" s="563"/>
      <c r="AJ199" s="563"/>
      <c r="AK199" s="563"/>
      <c r="AL199" s="563"/>
      <c r="AM199" s="563"/>
      <c r="AN199" s="563"/>
      <c r="AO199" s="563"/>
      <c r="AP199" s="563"/>
      <c r="AQ199" s="563"/>
      <c r="AR199" s="563"/>
      <c r="AS199" s="563"/>
      <c r="AT199" s="563"/>
      <c r="AU199" s="563"/>
      <c r="AV199" s="563"/>
      <c r="AW199" s="563"/>
      <c r="AX199" s="563"/>
      <c r="AY199" s="563"/>
      <c r="AZ199" s="563"/>
    </row>
    <row r="200" spans="1:52" ht="18" customHeight="1">
      <c r="A200" s="563"/>
      <c r="B200" s="564"/>
      <c r="C200" s="564"/>
      <c r="D200" s="564"/>
      <c r="E200" s="564"/>
      <c r="F200" s="564"/>
      <c r="G200" s="564"/>
      <c r="H200" s="563"/>
      <c r="I200" s="563"/>
      <c r="J200" s="563"/>
      <c r="K200" s="563"/>
      <c r="L200" s="563"/>
      <c r="M200" s="563"/>
      <c r="N200" s="567"/>
      <c r="O200" s="568"/>
      <c r="P200" s="568"/>
      <c r="Q200" s="568"/>
      <c r="R200" s="568"/>
      <c r="S200" s="568"/>
      <c r="T200" s="568"/>
      <c r="U200" s="563"/>
      <c r="V200" s="563"/>
      <c r="W200" s="563"/>
      <c r="X200" s="563"/>
      <c r="Y200" s="563"/>
      <c r="Z200" s="563"/>
      <c r="AA200" s="563"/>
      <c r="AB200" s="563"/>
      <c r="AC200" s="563"/>
      <c r="AD200" s="563"/>
      <c r="AE200" s="563"/>
      <c r="AF200" s="563"/>
      <c r="AG200" s="563"/>
      <c r="AH200" s="563"/>
      <c r="AI200" s="563"/>
      <c r="AJ200" s="563"/>
      <c r="AK200" s="563"/>
      <c r="AL200" s="563"/>
      <c r="AM200" s="563"/>
      <c r="AN200" s="563"/>
      <c r="AO200" s="563"/>
      <c r="AP200" s="563"/>
      <c r="AQ200" s="563"/>
      <c r="AR200" s="563"/>
      <c r="AS200" s="563"/>
      <c r="AT200" s="563"/>
      <c r="AU200" s="563"/>
      <c r="AV200" s="563"/>
      <c r="AW200" s="563"/>
      <c r="AX200" s="563"/>
      <c r="AY200" s="563"/>
      <c r="AZ200" s="563"/>
    </row>
    <row r="201" spans="1:52" ht="18" customHeight="1">
      <c r="A201" s="563"/>
      <c r="B201" s="564"/>
      <c r="C201" s="564"/>
      <c r="D201" s="564"/>
      <c r="E201" s="564"/>
      <c r="F201" s="564"/>
      <c r="G201" s="564"/>
      <c r="H201" s="563"/>
      <c r="I201" s="563"/>
      <c r="J201" s="563"/>
      <c r="K201" s="563"/>
      <c r="L201" s="563"/>
      <c r="M201" s="563"/>
      <c r="N201" s="567"/>
      <c r="O201" s="568"/>
      <c r="P201" s="568"/>
      <c r="Q201" s="568"/>
      <c r="R201" s="568"/>
      <c r="S201" s="568"/>
      <c r="T201" s="568"/>
      <c r="U201" s="563"/>
      <c r="V201" s="563"/>
      <c r="W201" s="563"/>
      <c r="X201" s="563"/>
      <c r="Y201" s="563"/>
      <c r="Z201" s="563"/>
      <c r="AA201" s="563"/>
      <c r="AB201" s="563"/>
      <c r="AC201" s="563"/>
      <c r="AD201" s="563"/>
      <c r="AE201" s="563"/>
      <c r="AF201" s="563"/>
      <c r="AG201" s="563"/>
      <c r="AH201" s="563"/>
      <c r="AI201" s="563"/>
      <c r="AJ201" s="563"/>
      <c r="AK201" s="563"/>
      <c r="AL201" s="563"/>
      <c r="AM201" s="563"/>
      <c r="AN201" s="563"/>
      <c r="AO201" s="563"/>
      <c r="AP201" s="563"/>
      <c r="AQ201" s="563"/>
      <c r="AR201" s="563"/>
      <c r="AS201" s="563"/>
      <c r="AT201" s="563"/>
      <c r="AU201" s="563"/>
      <c r="AV201" s="563"/>
      <c r="AW201" s="563"/>
      <c r="AX201" s="563"/>
      <c r="AY201" s="563"/>
      <c r="AZ201" s="563"/>
    </row>
    <row r="202" spans="1:52" ht="18" customHeight="1">
      <c r="A202" s="563"/>
      <c r="B202" s="564"/>
      <c r="C202" s="564"/>
      <c r="D202" s="564"/>
      <c r="E202" s="564"/>
      <c r="F202" s="564"/>
      <c r="G202" s="564"/>
      <c r="H202" s="563"/>
      <c r="I202" s="563"/>
      <c r="J202" s="563"/>
      <c r="K202" s="563"/>
      <c r="L202" s="563"/>
      <c r="M202" s="563"/>
      <c r="N202" s="567"/>
      <c r="O202" s="568"/>
      <c r="P202" s="568"/>
      <c r="Q202" s="568"/>
      <c r="R202" s="568"/>
      <c r="S202" s="568"/>
      <c r="T202" s="568"/>
      <c r="U202" s="563"/>
      <c r="V202" s="563"/>
      <c r="W202" s="563"/>
      <c r="X202" s="563"/>
      <c r="Y202" s="563"/>
      <c r="Z202" s="563"/>
      <c r="AA202" s="563"/>
      <c r="AB202" s="563"/>
      <c r="AC202" s="563"/>
      <c r="AD202" s="563"/>
      <c r="AE202" s="563"/>
      <c r="AF202" s="563"/>
      <c r="AG202" s="563"/>
      <c r="AH202" s="563"/>
      <c r="AI202" s="563"/>
      <c r="AJ202" s="563"/>
      <c r="AK202" s="563"/>
      <c r="AL202" s="563"/>
      <c r="AM202" s="563"/>
      <c r="AN202" s="563"/>
      <c r="AO202" s="563"/>
      <c r="AP202" s="563"/>
      <c r="AQ202" s="563"/>
      <c r="AR202" s="563"/>
      <c r="AS202" s="563"/>
      <c r="AT202" s="563"/>
      <c r="AU202" s="563"/>
      <c r="AV202" s="563"/>
      <c r="AW202" s="563"/>
      <c r="AX202" s="563"/>
      <c r="AY202" s="563"/>
      <c r="AZ202" s="563"/>
    </row>
    <row r="203" spans="1:52" ht="18" customHeight="1">
      <c r="A203" s="563"/>
      <c r="B203" s="564"/>
      <c r="C203" s="564"/>
      <c r="D203" s="564"/>
      <c r="E203" s="564"/>
      <c r="F203" s="564"/>
      <c r="G203" s="564"/>
      <c r="H203" s="563"/>
      <c r="I203" s="563"/>
      <c r="J203" s="563"/>
      <c r="K203" s="563"/>
      <c r="L203" s="563"/>
      <c r="M203" s="563"/>
      <c r="N203" s="567"/>
      <c r="O203" s="568"/>
      <c r="P203" s="568"/>
      <c r="Q203" s="568"/>
      <c r="R203" s="568"/>
      <c r="S203" s="568"/>
      <c r="T203" s="568"/>
      <c r="U203" s="563"/>
      <c r="V203" s="563"/>
      <c r="W203" s="563"/>
      <c r="X203" s="563"/>
      <c r="Y203" s="563"/>
      <c r="Z203" s="563"/>
      <c r="AA203" s="563"/>
      <c r="AB203" s="563"/>
      <c r="AC203" s="563"/>
      <c r="AD203" s="563"/>
      <c r="AE203" s="563"/>
      <c r="AF203" s="563"/>
      <c r="AG203" s="563"/>
      <c r="AH203" s="563"/>
      <c r="AI203" s="563"/>
      <c r="AJ203" s="563"/>
      <c r="AK203" s="563"/>
      <c r="AL203" s="563"/>
      <c r="AM203" s="563"/>
      <c r="AN203" s="563"/>
      <c r="AO203" s="563"/>
      <c r="AP203" s="563"/>
      <c r="AQ203" s="563"/>
      <c r="AR203" s="563"/>
      <c r="AS203" s="563"/>
      <c r="AT203" s="563"/>
      <c r="AU203" s="563"/>
      <c r="AV203" s="563"/>
      <c r="AW203" s="563"/>
      <c r="AX203" s="563"/>
      <c r="AY203" s="563"/>
      <c r="AZ203" s="563"/>
    </row>
    <row r="204" spans="1:52" ht="18" customHeight="1">
      <c r="A204" s="563"/>
      <c r="B204" s="564"/>
      <c r="C204" s="564"/>
      <c r="D204" s="564"/>
      <c r="E204" s="564"/>
      <c r="F204" s="564"/>
      <c r="G204" s="564"/>
      <c r="H204" s="563"/>
      <c r="I204" s="563"/>
      <c r="J204" s="563"/>
      <c r="K204" s="563"/>
      <c r="L204" s="563"/>
      <c r="M204" s="563"/>
      <c r="N204" s="567"/>
      <c r="O204" s="568"/>
      <c r="P204" s="568"/>
      <c r="Q204" s="568"/>
      <c r="R204" s="568"/>
      <c r="S204" s="568"/>
      <c r="T204" s="568"/>
      <c r="U204" s="563"/>
      <c r="V204" s="563"/>
      <c r="W204" s="563"/>
      <c r="X204" s="563"/>
      <c r="Y204" s="563"/>
      <c r="Z204" s="563"/>
      <c r="AA204" s="563"/>
      <c r="AB204" s="563"/>
      <c r="AC204" s="563"/>
      <c r="AD204" s="563"/>
      <c r="AE204" s="563"/>
      <c r="AF204" s="563"/>
      <c r="AG204" s="563"/>
      <c r="AH204" s="563"/>
      <c r="AI204" s="563"/>
      <c r="AJ204" s="563"/>
      <c r="AK204" s="563"/>
      <c r="AL204" s="563"/>
      <c r="AM204" s="563"/>
      <c r="AN204" s="563"/>
      <c r="AO204" s="563"/>
      <c r="AP204" s="563"/>
      <c r="AQ204" s="563"/>
      <c r="AR204" s="563"/>
      <c r="AS204" s="563"/>
      <c r="AT204" s="563"/>
      <c r="AU204" s="563"/>
      <c r="AV204" s="563"/>
      <c r="AW204" s="563"/>
      <c r="AX204" s="563"/>
      <c r="AY204" s="563"/>
      <c r="AZ204" s="563"/>
    </row>
    <row r="205" spans="1:52" ht="18" customHeight="1">
      <c r="A205" s="563"/>
      <c r="B205" s="564"/>
      <c r="C205" s="564"/>
      <c r="D205" s="564"/>
      <c r="E205" s="564"/>
      <c r="F205" s="564"/>
      <c r="G205" s="564"/>
      <c r="H205" s="563"/>
      <c r="I205" s="563"/>
      <c r="J205" s="563"/>
      <c r="K205" s="563"/>
      <c r="L205" s="563"/>
      <c r="M205" s="563"/>
      <c r="N205" s="567"/>
      <c r="O205" s="568"/>
      <c r="P205" s="568"/>
      <c r="Q205" s="568"/>
      <c r="R205" s="568"/>
      <c r="S205" s="568"/>
      <c r="T205" s="568"/>
      <c r="U205" s="563"/>
      <c r="V205" s="563"/>
      <c r="W205" s="563"/>
      <c r="X205" s="563"/>
      <c r="Y205" s="563"/>
      <c r="Z205" s="563"/>
      <c r="AA205" s="563"/>
      <c r="AB205" s="563"/>
      <c r="AC205" s="563"/>
      <c r="AD205" s="563"/>
      <c r="AE205" s="563"/>
      <c r="AF205" s="563"/>
      <c r="AG205" s="563"/>
      <c r="AH205" s="563"/>
      <c r="AI205" s="563"/>
      <c r="AJ205" s="563"/>
      <c r="AK205" s="563"/>
      <c r="AL205" s="563"/>
      <c r="AM205" s="563"/>
      <c r="AN205" s="563"/>
      <c r="AO205" s="563"/>
      <c r="AP205" s="563"/>
      <c r="AQ205" s="563"/>
      <c r="AR205" s="563"/>
      <c r="AS205" s="563"/>
      <c r="AT205" s="563"/>
      <c r="AU205" s="563"/>
      <c r="AV205" s="563"/>
      <c r="AW205" s="563"/>
      <c r="AX205" s="563"/>
      <c r="AY205" s="563"/>
      <c r="AZ205" s="563"/>
    </row>
    <row r="206" spans="1:52" ht="18" customHeight="1">
      <c r="A206" s="563"/>
      <c r="B206" s="564"/>
      <c r="C206" s="564"/>
      <c r="D206" s="564"/>
      <c r="E206" s="564"/>
      <c r="F206" s="564"/>
      <c r="G206" s="564"/>
      <c r="H206" s="563"/>
      <c r="I206" s="563"/>
      <c r="J206" s="563"/>
      <c r="K206" s="563"/>
      <c r="L206" s="563"/>
      <c r="M206" s="563"/>
      <c r="N206" s="567"/>
      <c r="O206" s="568"/>
      <c r="P206" s="568"/>
      <c r="Q206" s="568"/>
      <c r="R206" s="568"/>
      <c r="S206" s="568"/>
      <c r="T206" s="568"/>
      <c r="U206" s="563"/>
      <c r="V206" s="563"/>
      <c r="W206" s="563"/>
      <c r="X206" s="563"/>
      <c r="Y206" s="563"/>
      <c r="Z206" s="563"/>
      <c r="AA206" s="563"/>
      <c r="AB206" s="563"/>
      <c r="AC206" s="563"/>
      <c r="AD206" s="563"/>
      <c r="AE206" s="563"/>
      <c r="AF206" s="563"/>
      <c r="AG206" s="563"/>
      <c r="AH206" s="563"/>
      <c r="AI206" s="563"/>
      <c r="AJ206" s="563"/>
      <c r="AK206" s="563"/>
      <c r="AL206" s="563"/>
      <c r="AM206" s="563"/>
      <c r="AN206" s="563"/>
      <c r="AO206" s="563"/>
      <c r="AP206" s="563"/>
      <c r="AQ206" s="563"/>
      <c r="AR206" s="563"/>
      <c r="AS206" s="563"/>
      <c r="AT206" s="563"/>
      <c r="AU206" s="563"/>
      <c r="AV206" s="563"/>
      <c r="AW206" s="563"/>
      <c r="AX206" s="563"/>
      <c r="AY206" s="563"/>
      <c r="AZ206" s="563"/>
    </row>
    <row r="207" spans="1:52" ht="18" customHeight="1">
      <c r="A207" s="563"/>
      <c r="B207" s="564"/>
      <c r="C207" s="564"/>
      <c r="D207" s="564"/>
      <c r="E207" s="564"/>
      <c r="F207" s="564"/>
      <c r="G207" s="564"/>
      <c r="H207" s="563"/>
      <c r="I207" s="563"/>
      <c r="J207" s="563"/>
      <c r="K207" s="563"/>
      <c r="L207" s="563"/>
      <c r="M207" s="563"/>
      <c r="N207" s="567"/>
      <c r="O207" s="568"/>
      <c r="P207" s="568"/>
      <c r="Q207" s="568"/>
      <c r="R207" s="568"/>
      <c r="S207" s="568"/>
      <c r="T207" s="568"/>
      <c r="U207" s="563"/>
      <c r="V207" s="563"/>
      <c r="W207" s="563"/>
      <c r="X207" s="563"/>
      <c r="Y207" s="563"/>
      <c r="Z207" s="563"/>
      <c r="AA207" s="563"/>
      <c r="AB207" s="563"/>
      <c r="AC207" s="563"/>
      <c r="AD207" s="563"/>
      <c r="AE207" s="563"/>
      <c r="AF207" s="563"/>
      <c r="AG207" s="563"/>
      <c r="AH207" s="563"/>
      <c r="AI207" s="563"/>
      <c r="AJ207" s="563"/>
      <c r="AK207" s="563"/>
      <c r="AL207" s="563"/>
      <c r="AM207" s="563"/>
      <c r="AN207" s="563"/>
      <c r="AO207" s="563"/>
      <c r="AP207" s="563"/>
      <c r="AQ207" s="563"/>
      <c r="AR207" s="563"/>
      <c r="AS207" s="563"/>
      <c r="AT207" s="563"/>
      <c r="AU207" s="563"/>
      <c r="AV207" s="563"/>
      <c r="AW207" s="563"/>
      <c r="AX207" s="563"/>
      <c r="AY207" s="563"/>
      <c r="AZ207" s="563"/>
    </row>
    <row r="208" spans="1:52" ht="18" customHeight="1">
      <c r="A208" s="563"/>
      <c r="B208" s="564"/>
      <c r="C208" s="564"/>
      <c r="D208" s="564"/>
      <c r="E208" s="564"/>
      <c r="F208" s="564"/>
      <c r="G208" s="564"/>
      <c r="H208" s="563"/>
      <c r="I208" s="563"/>
      <c r="J208" s="563"/>
      <c r="K208" s="563"/>
      <c r="L208" s="563"/>
      <c r="M208" s="563"/>
      <c r="N208" s="567"/>
      <c r="O208" s="568"/>
      <c r="P208" s="568"/>
      <c r="Q208" s="568"/>
      <c r="R208" s="568"/>
      <c r="S208" s="568"/>
      <c r="T208" s="568"/>
      <c r="U208" s="563"/>
      <c r="V208" s="563"/>
      <c r="W208" s="563"/>
      <c r="X208" s="563"/>
      <c r="Y208" s="563"/>
      <c r="Z208" s="563"/>
      <c r="AA208" s="563"/>
      <c r="AB208" s="563"/>
      <c r="AC208" s="563"/>
      <c r="AD208" s="563"/>
      <c r="AE208" s="563"/>
      <c r="AF208" s="563"/>
      <c r="AG208" s="563"/>
      <c r="AH208" s="563"/>
      <c r="AI208" s="563"/>
      <c r="AJ208" s="563"/>
      <c r="AK208" s="563"/>
      <c r="AL208" s="563"/>
      <c r="AM208" s="563"/>
      <c r="AN208" s="563"/>
      <c r="AO208" s="563"/>
      <c r="AP208" s="563"/>
      <c r="AQ208" s="563"/>
      <c r="AR208" s="563"/>
      <c r="AS208" s="563"/>
      <c r="AT208" s="563"/>
      <c r="AU208" s="563"/>
      <c r="AV208" s="563"/>
      <c r="AW208" s="563"/>
      <c r="AX208" s="563"/>
      <c r="AY208" s="563"/>
      <c r="AZ208" s="563"/>
    </row>
    <row r="209" spans="1:52" ht="18" customHeight="1">
      <c r="A209" s="563"/>
      <c r="B209" s="564"/>
      <c r="C209" s="564"/>
      <c r="D209" s="564"/>
      <c r="E209" s="564"/>
      <c r="F209" s="564"/>
      <c r="G209" s="564"/>
      <c r="H209" s="563"/>
      <c r="I209" s="563"/>
      <c r="J209" s="563"/>
      <c r="K209" s="563"/>
      <c r="L209" s="563"/>
      <c r="M209" s="563"/>
      <c r="N209" s="567"/>
      <c r="O209" s="568"/>
      <c r="P209" s="568"/>
      <c r="Q209" s="568"/>
      <c r="R209" s="568"/>
      <c r="S209" s="568"/>
      <c r="T209" s="568"/>
      <c r="U209" s="563"/>
      <c r="V209" s="563"/>
      <c r="W209" s="563"/>
      <c r="X209" s="563"/>
      <c r="Y209" s="563"/>
      <c r="Z209" s="563"/>
      <c r="AA209" s="563"/>
      <c r="AB209" s="563"/>
      <c r="AC209" s="563"/>
      <c r="AD209" s="563"/>
      <c r="AE209" s="563"/>
      <c r="AF209" s="563"/>
      <c r="AG209" s="563"/>
      <c r="AH209" s="563"/>
      <c r="AI209" s="563"/>
      <c r="AJ209" s="563"/>
      <c r="AK209" s="563"/>
      <c r="AL209" s="563"/>
      <c r="AM209" s="563"/>
      <c r="AN209" s="563"/>
      <c r="AO209" s="563"/>
      <c r="AP209" s="563"/>
      <c r="AQ209" s="563"/>
      <c r="AR209" s="563"/>
      <c r="AS209" s="563"/>
      <c r="AT209" s="563"/>
      <c r="AU209" s="563"/>
      <c r="AV209" s="563"/>
      <c r="AW209" s="563"/>
      <c r="AX209" s="563"/>
      <c r="AY209" s="563"/>
      <c r="AZ209" s="563"/>
    </row>
    <row r="210" spans="1:52" ht="18" customHeight="1">
      <c r="A210" s="563"/>
      <c r="B210" s="564"/>
      <c r="C210" s="564"/>
      <c r="D210" s="564"/>
      <c r="E210" s="564"/>
      <c r="F210" s="564"/>
      <c r="G210" s="564"/>
      <c r="H210" s="563"/>
      <c r="I210" s="563"/>
      <c r="J210" s="563"/>
      <c r="K210" s="563"/>
      <c r="L210" s="563"/>
      <c r="M210" s="563"/>
      <c r="N210" s="567"/>
      <c r="O210" s="568"/>
      <c r="P210" s="568"/>
      <c r="Q210" s="568"/>
      <c r="R210" s="568"/>
      <c r="S210" s="568"/>
      <c r="T210" s="568"/>
      <c r="U210" s="563"/>
      <c r="V210" s="563"/>
      <c r="W210" s="563"/>
      <c r="X210" s="563"/>
      <c r="Y210" s="563"/>
      <c r="Z210" s="563"/>
      <c r="AA210" s="563"/>
      <c r="AB210" s="563"/>
      <c r="AC210" s="563"/>
      <c r="AD210" s="563"/>
      <c r="AE210" s="563"/>
      <c r="AF210" s="563"/>
      <c r="AG210" s="563"/>
      <c r="AH210" s="563"/>
      <c r="AI210" s="563"/>
      <c r="AJ210" s="563"/>
      <c r="AK210" s="563"/>
      <c r="AL210" s="563"/>
      <c r="AM210" s="563"/>
      <c r="AN210" s="563"/>
      <c r="AO210" s="563"/>
      <c r="AP210" s="563"/>
      <c r="AQ210" s="563"/>
      <c r="AR210" s="563"/>
      <c r="AS210" s="563"/>
      <c r="AT210" s="563"/>
      <c r="AU210" s="563"/>
      <c r="AV210" s="563"/>
      <c r="AW210" s="563"/>
      <c r="AX210" s="563"/>
      <c r="AY210" s="563"/>
      <c r="AZ210" s="563"/>
    </row>
    <row r="211" spans="1:52" ht="18" customHeight="1">
      <c r="A211" s="563"/>
      <c r="B211" s="564"/>
      <c r="C211" s="564"/>
      <c r="D211" s="564"/>
      <c r="E211" s="564"/>
      <c r="F211" s="564"/>
      <c r="G211" s="564"/>
      <c r="H211" s="563"/>
      <c r="I211" s="563"/>
      <c r="J211" s="563"/>
      <c r="K211" s="563"/>
      <c r="L211" s="563"/>
      <c r="M211" s="563"/>
      <c r="N211" s="567"/>
      <c r="O211" s="568"/>
      <c r="P211" s="568"/>
      <c r="Q211" s="568"/>
      <c r="R211" s="568"/>
      <c r="S211" s="568"/>
      <c r="T211" s="568"/>
      <c r="U211" s="563"/>
      <c r="V211" s="563"/>
      <c r="W211" s="563"/>
      <c r="X211" s="563"/>
      <c r="Y211" s="563"/>
      <c r="Z211" s="563"/>
      <c r="AA211" s="563"/>
      <c r="AB211" s="563"/>
      <c r="AC211" s="563"/>
      <c r="AD211" s="563"/>
      <c r="AE211" s="563"/>
      <c r="AF211" s="563"/>
      <c r="AG211" s="563"/>
      <c r="AH211" s="563"/>
      <c r="AI211" s="563"/>
      <c r="AJ211" s="563"/>
      <c r="AK211" s="563"/>
      <c r="AL211" s="563"/>
      <c r="AM211" s="563"/>
      <c r="AN211" s="563"/>
      <c r="AO211" s="563"/>
      <c r="AP211" s="563"/>
      <c r="AQ211" s="563"/>
      <c r="AR211" s="563"/>
      <c r="AS211" s="563"/>
      <c r="AT211" s="563"/>
      <c r="AU211" s="563"/>
      <c r="AV211" s="563"/>
      <c r="AW211" s="563"/>
      <c r="AX211" s="563"/>
      <c r="AY211" s="563"/>
      <c r="AZ211" s="563"/>
    </row>
    <row r="212" spans="1:52" ht="18" customHeight="1">
      <c r="A212" s="563"/>
      <c r="B212" s="564"/>
      <c r="C212" s="564"/>
      <c r="D212" s="564"/>
      <c r="E212" s="564"/>
      <c r="F212" s="564"/>
      <c r="G212" s="564"/>
      <c r="H212" s="563"/>
      <c r="I212" s="563"/>
      <c r="J212" s="563"/>
      <c r="K212" s="563"/>
      <c r="L212" s="563"/>
      <c r="M212" s="563"/>
      <c r="N212" s="567"/>
      <c r="O212" s="568"/>
      <c r="P212" s="568"/>
      <c r="Q212" s="568"/>
      <c r="R212" s="568"/>
      <c r="S212" s="568"/>
      <c r="T212" s="568"/>
      <c r="U212" s="563"/>
      <c r="V212" s="563"/>
      <c r="W212" s="563"/>
      <c r="X212" s="563"/>
      <c r="Y212" s="563"/>
      <c r="Z212" s="563"/>
      <c r="AA212" s="563"/>
      <c r="AB212" s="563"/>
      <c r="AC212" s="563"/>
      <c r="AD212" s="563"/>
      <c r="AE212" s="563"/>
      <c r="AF212" s="563"/>
      <c r="AG212" s="563"/>
      <c r="AH212" s="563"/>
      <c r="AI212" s="563"/>
      <c r="AJ212" s="563"/>
      <c r="AK212" s="563"/>
      <c r="AL212" s="563"/>
      <c r="AM212" s="563"/>
      <c r="AN212" s="563"/>
      <c r="AO212" s="563"/>
      <c r="AP212" s="563"/>
      <c r="AQ212" s="563"/>
      <c r="AR212" s="563"/>
      <c r="AS212" s="563"/>
      <c r="AT212" s="563"/>
      <c r="AU212" s="563"/>
      <c r="AV212" s="563"/>
      <c r="AW212" s="563"/>
      <c r="AX212" s="563"/>
      <c r="AY212" s="563"/>
      <c r="AZ212" s="563"/>
    </row>
    <row r="213" spans="1:52" ht="18" customHeight="1">
      <c r="A213" s="563"/>
      <c r="B213" s="564"/>
      <c r="C213" s="564"/>
      <c r="D213" s="564"/>
      <c r="E213" s="564"/>
      <c r="F213" s="564"/>
      <c r="G213" s="564"/>
      <c r="H213" s="563"/>
      <c r="I213" s="563"/>
      <c r="J213" s="563"/>
      <c r="K213" s="563"/>
      <c r="L213" s="563"/>
      <c r="M213" s="563"/>
      <c r="N213" s="567"/>
      <c r="O213" s="568"/>
      <c r="P213" s="568"/>
      <c r="Q213" s="568"/>
      <c r="R213" s="568"/>
      <c r="S213" s="568"/>
      <c r="T213" s="568"/>
      <c r="U213" s="563"/>
      <c r="V213" s="563"/>
      <c r="W213" s="563"/>
      <c r="X213" s="563"/>
      <c r="Y213" s="563"/>
      <c r="Z213" s="563"/>
      <c r="AA213" s="563"/>
      <c r="AB213" s="563"/>
      <c r="AC213" s="563"/>
      <c r="AD213" s="563"/>
      <c r="AE213" s="563"/>
      <c r="AF213" s="563"/>
      <c r="AG213" s="563"/>
      <c r="AH213" s="563"/>
      <c r="AI213" s="563"/>
      <c r="AJ213" s="563"/>
      <c r="AK213" s="563"/>
      <c r="AL213" s="563"/>
      <c r="AM213" s="563"/>
      <c r="AN213" s="563"/>
      <c r="AO213" s="563"/>
      <c r="AP213" s="563"/>
      <c r="AQ213" s="563"/>
      <c r="AR213" s="563"/>
      <c r="AS213" s="563"/>
      <c r="AT213" s="563"/>
      <c r="AU213" s="563"/>
      <c r="AV213" s="563"/>
      <c r="AW213" s="563"/>
      <c r="AX213" s="563"/>
      <c r="AY213" s="563"/>
      <c r="AZ213" s="563"/>
    </row>
    <row r="214" spans="1:52" ht="18" customHeight="1">
      <c r="A214" s="563"/>
      <c r="B214" s="564"/>
      <c r="C214" s="564"/>
      <c r="D214" s="564"/>
      <c r="E214" s="564"/>
      <c r="F214" s="564"/>
      <c r="G214" s="564"/>
      <c r="H214" s="563"/>
      <c r="I214" s="563"/>
      <c r="J214" s="563"/>
      <c r="K214" s="563"/>
      <c r="L214" s="563"/>
      <c r="M214" s="563"/>
      <c r="N214" s="567"/>
      <c r="O214" s="568"/>
      <c r="P214" s="568"/>
      <c r="Q214" s="568"/>
      <c r="R214" s="568"/>
      <c r="S214" s="568"/>
      <c r="T214" s="568"/>
      <c r="U214" s="563"/>
      <c r="V214" s="563"/>
      <c r="W214" s="563"/>
      <c r="X214" s="563"/>
      <c r="Y214" s="563"/>
      <c r="Z214" s="563"/>
      <c r="AA214" s="563"/>
      <c r="AB214" s="563"/>
      <c r="AC214" s="563"/>
      <c r="AD214" s="563"/>
      <c r="AE214" s="563"/>
      <c r="AF214" s="563"/>
      <c r="AG214" s="563"/>
      <c r="AH214" s="563"/>
      <c r="AI214" s="563"/>
      <c r="AJ214" s="563"/>
      <c r="AK214" s="563"/>
      <c r="AL214" s="563"/>
      <c r="AM214" s="563"/>
      <c r="AN214" s="563"/>
      <c r="AO214" s="563"/>
      <c r="AP214" s="563"/>
      <c r="AQ214" s="563"/>
      <c r="AR214" s="563"/>
      <c r="AS214" s="563"/>
      <c r="AT214" s="563"/>
      <c r="AU214" s="563"/>
      <c r="AV214" s="563"/>
      <c r="AW214" s="563"/>
      <c r="AX214" s="563"/>
      <c r="AY214" s="563"/>
      <c r="AZ214" s="563"/>
    </row>
    <row r="215" spans="1:52" ht="18" customHeight="1">
      <c r="A215" s="563"/>
      <c r="B215" s="564"/>
      <c r="C215" s="564"/>
      <c r="D215" s="564"/>
      <c r="E215" s="564"/>
      <c r="F215" s="564"/>
      <c r="G215" s="564"/>
      <c r="H215" s="563"/>
      <c r="I215" s="563"/>
      <c r="J215" s="563"/>
      <c r="K215" s="563"/>
      <c r="L215" s="563"/>
      <c r="M215" s="563"/>
      <c r="N215" s="567"/>
      <c r="O215" s="568"/>
      <c r="P215" s="568"/>
      <c r="Q215" s="568"/>
      <c r="R215" s="568"/>
      <c r="S215" s="568"/>
      <c r="T215" s="568"/>
      <c r="U215" s="563"/>
      <c r="V215" s="563"/>
      <c r="W215" s="563"/>
      <c r="X215" s="563"/>
      <c r="Y215" s="563"/>
      <c r="Z215" s="563"/>
      <c r="AA215" s="563"/>
      <c r="AB215" s="563"/>
      <c r="AC215" s="563"/>
      <c r="AD215" s="563"/>
      <c r="AE215" s="563"/>
      <c r="AF215" s="563"/>
      <c r="AG215" s="563"/>
      <c r="AH215" s="563"/>
      <c r="AI215" s="563"/>
      <c r="AJ215" s="563"/>
      <c r="AK215" s="563"/>
      <c r="AL215" s="563"/>
      <c r="AM215" s="563"/>
      <c r="AN215" s="563"/>
      <c r="AO215" s="563"/>
      <c r="AP215" s="563"/>
      <c r="AQ215" s="563"/>
      <c r="AR215" s="563"/>
      <c r="AS215" s="563"/>
      <c r="AT215" s="563"/>
      <c r="AU215" s="563"/>
      <c r="AV215" s="563"/>
      <c r="AW215" s="563"/>
      <c r="AX215" s="563"/>
      <c r="AY215" s="563"/>
      <c r="AZ215" s="563"/>
    </row>
    <row r="216" spans="1:52" ht="18" customHeight="1">
      <c r="A216" s="563"/>
      <c r="B216" s="564"/>
      <c r="C216" s="564"/>
      <c r="D216" s="564"/>
      <c r="E216" s="564"/>
      <c r="F216" s="564"/>
      <c r="G216" s="564"/>
      <c r="H216" s="563"/>
      <c r="I216" s="563"/>
      <c r="J216" s="563"/>
      <c r="K216" s="563"/>
      <c r="L216" s="563"/>
      <c r="M216" s="563"/>
      <c r="N216" s="567"/>
      <c r="O216" s="568"/>
      <c r="P216" s="568"/>
      <c r="Q216" s="568"/>
      <c r="R216" s="568"/>
      <c r="S216" s="568"/>
      <c r="T216" s="568"/>
      <c r="U216" s="563"/>
      <c r="V216" s="563"/>
      <c r="W216" s="563"/>
      <c r="X216" s="563"/>
      <c r="Y216" s="563"/>
      <c r="Z216" s="563"/>
      <c r="AA216" s="563"/>
      <c r="AB216" s="563"/>
      <c r="AC216" s="563"/>
      <c r="AD216" s="563"/>
      <c r="AE216" s="563"/>
      <c r="AF216" s="563"/>
      <c r="AG216" s="563"/>
      <c r="AH216" s="563"/>
      <c r="AI216" s="563"/>
      <c r="AJ216" s="563"/>
      <c r="AK216" s="563"/>
      <c r="AL216" s="563"/>
      <c r="AM216" s="563"/>
      <c r="AN216" s="563"/>
      <c r="AO216" s="563"/>
      <c r="AP216" s="563"/>
      <c r="AQ216" s="563"/>
      <c r="AR216" s="563"/>
      <c r="AS216" s="563"/>
      <c r="AT216" s="563"/>
      <c r="AU216" s="563"/>
      <c r="AV216" s="563"/>
      <c r="AW216" s="563"/>
      <c r="AX216" s="563"/>
      <c r="AY216" s="563"/>
      <c r="AZ216" s="563"/>
    </row>
    <row r="217" spans="1:52" ht="18" customHeight="1">
      <c r="A217" s="563"/>
      <c r="B217" s="564"/>
      <c r="C217" s="564"/>
      <c r="D217" s="564"/>
      <c r="E217" s="564"/>
      <c r="F217" s="564"/>
      <c r="G217" s="564"/>
      <c r="H217" s="563"/>
      <c r="I217" s="563"/>
      <c r="J217" s="563"/>
      <c r="K217" s="563"/>
      <c r="L217" s="563"/>
      <c r="M217" s="563"/>
      <c r="N217" s="567"/>
      <c r="O217" s="568"/>
      <c r="P217" s="568"/>
      <c r="Q217" s="568"/>
      <c r="R217" s="568"/>
      <c r="S217" s="568"/>
      <c r="T217" s="568"/>
      <c r="U217" s="563"/>
      <c r="V217" s="563"/>
      <c r="W217" s="563"/>
      <c r="X217" s="563"/>
      <c r="Y217" s="563"/>
      <c r="Z217" s="563"/>
      <c r="AA217" s="563"/>
      <c r="AB217" s="563"/>
      <c r="AC217" s="563"/>
      <c r="AD217" s="563"/>
      <c r="AE217" s="563"/>
      <c r="AF217" s="563"/>
      <c r="AG217" s="563"/>
      <c r="AH217" s="563"/>
      <c r="AI217" s="563"/>
      <c r="AJ217" s="563"/>
      <c r="AK217" s="563"/>
      <c r="AL217" s="563"/>
      <c r="AM217" s="563"/>
      <c r="AN217" s="563"/>
      <c r="AO217" s="563"/>
      <c r="AP217" s="563"/>
      <c r="AQ217" s="563"/>
      <c r="AR217" s="563"/>
      <c r="AS217" s="563"/>
      <c r="AT217" s="563"/>
      <c r="AU217" s="563"/>
      <c r="AV217" s="563"/>
      <c r="AW217" s="563"/>
      <c r="AX217" s="563"/>
      <c r="AY217" s="563"/>
      <c r="AZ217" s="563"/>
    </row>
    <row r="218" spans="1:52" ht="18" customHeight="1">
      <c r="A218" s="563"/>
      <c r="B218" s="564"/>
      <c r="C218" s="564"/>
      <c r="D218" s="564"/>
      <c r="E218" s="564"/>
      <c r="F218" s="564"/>
      <c r="G218" s="564"/>
      <c r="H218" s="563"/>
      <c r="I218" s="563"/>
      <c r="J218" s="563"/>
      <c r="K218" s="563"/>
      <c r="L218" s="563"/>
      <c r="M218" s="563"/>
      <c r="N218" s="567"/>
      <c r="O218" s="568"/>
      <c r="P218" s="568"/>
      <c r="Q218" s="568"/>
      <c r="R218" s="568"/>
      <c r="S218" s="568"/>
      <c r="T218" s="568"/>
      <c r="U218" s="563"/>
      <c r="V218" s="563"/>
      <c r="W218" s="563"/>
      <c r="X218" s="563"/>
      <c r="Y218" s="563"/>
      <c r="Z218" s="563"/>
      <c r="AA218" s="563"/>
      <c r="AB218" s="563"/>
      <c r="AC218" s="563"/>
      <c r="AD218" s="563"/>
      <c r="AE218" s="563"/>
      <c r="AF218" s="563"/>
      <c r="AG218" s="563"/>
      <c r="AH218" s="563"/>
      <c r="AI218" s="563"/>
      <c r="AJ218" s="563"/>
      <c r="AK218" s="563"/>
      <c r="AL218" s="563"/>
      <c r="AM218" s="563"/>
      <c r="AN218" s="563"/>
      <c r="AO218" s="563"/>
      <c r="AP218" s="563"/>
      <c r="AQ218" s="563"/>
      <c r="AR218" s="563"/>
      <c r="AS218" s="563"/>
      <c r="AT218" s="563"/>
      <c r="AU218" s="563"/>
      <c r="AV218" s="563"/>
      <c r="AW218" s="563"/>
      <c r="AX218" s="563"/>
      <c r="AY218" s="563"/>
      <c r="AZ218" s="563"/>
    </row>
    <row r="219" spans="1:52" ht="18" customHeight="1">
      <c r="A219" s="563"/>
      <c r="B219" s="564"/>
      <c r="C219" s="564"/>
      <c r="D219" s="564"/>
      <c r="E219" s="564"/>
      <c r="F219" s="564"/>
      <c r="G219" s="564"/>
      <c r="H219" s="563"/>
      <c r="I219" s="563"/>
      <c r="J219" s="563"/>
      <c r="K219" s="563"/>
      <c r="L219" s="563"/>
      <c r="M219" s="563"/>
      <c r="N219" s="567"/>
      <c r="O219" s="568"/>
      <c r="P219" s="568"/>
      <c r="Q219" s="568"/>
      <c r="R219" s="568"/>
      <c r="S219" s="568"/>
      <c r="T219" s="568"/>
      <c r="U219" s="563"/>
      <c r="V219" s="563"/>
      <c r="W219" s="563"/>
      <c r="X219" s="563"/>
      <c r="Y219" s="563"/>
      <c r="Z219" s="563"/>
      <c r="AA219" s="563"/>
      <c r="AB219" s="563"/>
      <c r="AC219" s="563"/>
      <c r="AD219" s="563"/>
      <c r="AE219" s="563"/>
      <c r="AF219" s="563"/>
      <c r="AG219" s="563"/>
      <c r="AH219" s="563"/>
      <c r="AI219" s="563"/>
      <c r="AJ219" s="563"/>
      <c r="AK219" s="563"/>
      <c r="AL219" s="563"/>
      <c r="AM219" s="563"/>
      <c r="AN219" s="563"/>
      <c r="AO219" s="563"/>
      <c r="AP219" s="563"/>
      <c r="AQ219" s="563"/>
      <c r="AR219" s="563"/>
      <c r="AS219" s="563"/>
      <c r="AT219" s="563"/>
      <c r="AU219" s="563"/>
      <c r="AV219" s="563"/>
      <c r="AW219" s="563"/>
      <c r="AX219" s="563"/>
      <c r="AY219" s="563"/>
      <c r="AZ219" s="563"/>
    </row>
    <row r="220" spans="1:52" ht="18" customHeight="1">
      <c r="A220" s="563"/>
      <c r="B220" s="564"/>
      <c r="C220" s="564"/>
      <c r="D220" s="564"/>
      <c r="E220" s="564"/>
      <c r="F220" s="564"/>
      <c r="G220" s="564"/>
      <c r="H220" s="563"/>
      <c r="I220" s="563"/>
      <c r="J220" s="563"/>
      <c r="K220" s="563"/>
      <c r="L220" s="563"/>
      <c r="M220" s="563"/>
      <c r="N220" s="567"/>
      <c r="O220" s="568"/>
      <c r="P220" s="568"/>
      <c r="Q220" s="568"/>
      <c r="R220" s="568"/>
      <c r="S220" s="568"/>
      <c r="T220" s="568"/>
      <c r="U220" s="563"/>
      <c r="V220" s="563"/>
      <c r="W220" s="563"/>
      <c r="X220" s="563"/>
      <c r="Y220" s="563"/>
      <c r="Z220" s="563"/>
      <c r="AA220" s="563"/>
      <c r="AB220" s="563"/>
      <c r="AC220" s="563"/>
      <c r="AD220" s="563"/>
      <c r="AE220" s="563"/>
      <c r="AF220" s="563"/>
      <c r="AG220" s="563"/>
      <c r="AH220" s="563"/>
      <c r="AI220" s="563"/>
      <c r="AJ220" s="563"/>
      <c r="AK220" s="563"/>
      <c r="AL220" s="563"/>
      <c r="AM220" s="563"/>
      <c r="AN220" s="563"/>
      <c r="AO220" s="563"/>
      <c r="AP220" s="563"/>
      <c r="AQ220" s="563"/>
      <c r="AR220" s="563"/>
      <c r="AS220" s="563"/>
      <c r="AT220" s="563"/>
      <c r="AU220" s="563"/>
      <c r="AV220" s="563"/>
      <c r="AW220" s="563"/>
      <c r="AX220" s="563"/>
      <c r="AY220" s="563"/>
      <c r="AZ220" s="563"/>
    </row>
    <row r="221" spans="1:52" ht="18" customHeight="1">
      <c r="A221" s="563"/>
      <c r="B221" s="564"/>
      <c r="C221" s="564"/>
      <c r="D221" s="564"/>
      <c r="E221" s="564"/>
      <c r="F221" s="564"/>
      <c r="G221" s="564"/>
      <c r="H221" s="563"/>
      <c r="I221" s="563"/>
      <c r="J221" s="563"/>
      <c r="K221" s="563"/>
      <c r="L221" s="563"/>
      <c r="M221" s="563"/>
      <c r="N221" s="567"/>
      <c r="O221" s="568"/>
      <c r="P221" s="568"/>
      <c r="Q221" s="568"/>
      <c r="R221" s="568"/>
      <c r="S221" s="568"/>
      <c r="T221" s="568"/>
      <c r="U221" s="563"/>
      <c r="V221" s="563"/>
      <c r="W221" s="563"/>
      <c r="X221" s="563"/>
      <c r="Y221" s="563"/>
      <c r="Z221" s="563"/>
      <c r="AA221" s="563"/>
      <c r="AB221" s="563"/>
      <c r="AC221" s="563"/>
      <c r="AD221" s="563"/>
      <c r="AE221" s="563"/>
      <c r="AF221" s="563"/>
      <c r="AG221" s="563"/>
      <c r="AH221" s="563"/>
      <c r="AI221" s="563"/>
      <c r="AJ221" s="563"/>
      <c r="AK221" s="563"/>
      <c r="AL221" s="563"/>
      <c r="AM221" s="563"/>
      <c r="AN221" s="563"/>
      <c r="AO221" s="563"/>
      <c r="AP221" s="563"/>
      <c r="AQ221" s="563"/>
      <c r="AR221" s="563"/>
      <c r="AS221" s="563"/>
      <c r="AT221" s="563"/>
      <c r="AU221" s="563"/>
      <c r="AV221" s="563"/>
      <c r="AW221" s="563"/>
      <c r="AX221" s="563"/>
      <c r="AY221" s="563"/>
      <c r="AZ221" s="563"/>
    </row>
    <row r="222" spans="1:52" ht="18" customHeight="1">
      <c r="A222" s="563"/>
      <c r="B222" s="564"/>
      <c r="C222" s="564"/>
      <c r="D222" s="564"/>
      <c r="E222" s="564"/>
      <c r="F222" s="564"/>
      <c r="G222" s="564"/>
      <c r="H222" s="563"/>
      <c r="I222" s="563"/>
      <c r="J222" s="563"/>
      <c r="K222" s="563"/>
      <c r="L222" s="563"/>
      <c r="M222" s="563"/>
      <c r="N222" s="567"/>
      <c r="O222" s="568"/>
      <c r="P222" s="568"/>
      <c r="Q222" s="568"/>
      <c r="R222" s="568"/>
      <c r="S222" s="568"/>
      <c r="T222" s="568"/>
      <c r="U222" s="563"/>
      <c r="V222" s="563"/>
      <c r="W222" s="563"/>
      <c r="X222" s="563"/>
      <c r="Y222" s="563"/>
      <c r="Z222" s="563"/>
      <c r="AA222" s="563"/>
      <c r="AB222" s="563"/>
      <c r="AC222" s="563"/>
      <c r="AD222" s="563"/>
      <c r="AE222" s="563"/>
      <c r="AF222" s="563"/>
      <c r="AG222" s="563"/>
      <c r="AH222" s="563"/>
      <c r="AI222" s="563"/>
      <c r="AJ222" s="563"/>
      <c r="AK222" s="563"/>
      <c r="AL222" s="563"/>
      <c r="AM222" s="563"/>
      <c r="AN222" s="563"/>
      <c r="AO222" s="563"/>
      <c r="AP222" s="563"/>
      <c r="AQ222" s="563"/>
      <c r="AR222" s="563"/>
      <c r="AS222" s="563"/>
      <c r="AT222" s="563"/>
      <c r="AU222" s="563"/>
      <c r="AV222" s="563"/>
      <c r="AW222" s="563"/>
      <c r="AX222" s="563"/>
      <c r="AY222" s="563"/>
      <c r="AZ222" s="563"/>
    </row>
    <row r="223" spans="1:52" ht="18" customHeight="1">
      <c r="A223" s="563"/>
      <c r="B223" s="564"/>
      <c r="C223" s="564"/>
      <c r="D223" s="564"/>
      <c r="E223" s="564"/>
      <c r="F223" s="564"/>
      <c r="G223" s="564"/>
      <c r="H223" s="563"/>
      <c r="I223" s="563"/>
      <c r="J223" s="563"/>
      <c r="K223" s="563"/>
      <c r="L223" s="563"/>
      <c r="M223" s="563"/>
      <c r="N223" s="567"/>
      <c r="O223" s="568"/>
      <c r="P223" s="568"/>
      <c r="Q223" s="568"/>
      <c r="R223" s="568"/>
      <c r="S223" s="568"/>
      <c r="T223" s="568"/>
      <c r="U223" s="563"/>
      <c r="V223" s="563"/>
      <c r="W223" s="563"/>
      <c r="X223" s="563"/>
      <c r="Y223" s="563"/>
      <c r="Z223" s="563"/>
      <c r="AA223" s="563"/>
      <c r="AB223" s="563"/>
      <c r="AC223" s="563"/>
      <c r="AD223" s="563"/>
      <c r="AE223" s="563"/>
      <c r="AF223" s="563"/>
      <c r="AG223" s="563"/>
      <c r="AH223" s="563"/>
      <c r="AI223" s="563"/>
      <c r="AJ223" s="563"/>
      <c r="AK223" s="563"/>
      <c r="AL223" s="563"/>
      <c r="AM223" s="563"/>
      <c r="AN223" s="563"/>
      <c r="AO223" s="563"/>
      <c r="AP223" s="563"/>
      <c r="AQ223" s="563"/>
      <c r="AR223" s="563"/>
      <c r="AS223" s="563"/>
      <c r="AT223" s="563"/>
      <c r="AU223" s="563"/>
      <c r="AV223" s="563"/>
      <c r="AW223" s="563"/>
      <c r="AX223" s="563"/>
      <c r="AY223" s="563"/>
      <c r="AZ223" s="563"/>
    </row>
    <row r="224" spans="1:52" ht="18" customHeight="1">
      <c r="A224" s="563"/>
      <c r="B224" s="564"/>
      <c r="C224" s="564"/>
      <c r="D224" s="564"/>
      <c r="E224" s="564"/>
      <c r="F224" s="564"/>
      <c r="G224" s="564"/>
      <c r="H224" s="563"/>
      <c r="I224" s="563"/>
      <c r="J224" s="563"/>
      <c r="K224" s="563"/>
      <c r="L224" s="563"/>
      <c r="M224" s="563"/>
      <c r="N224" s="567"/>
      <c r="O224" s="568"/>
      <c r="P224" s="568"/>
      <c r="Q224" s="568"/>
      <c r="R224" s="568"/>
      <c r="S224" s="568"/>
      <c r="T224" s="568"/>
      <c r="U224" s="563"/>
      <c r="V224" s="563"/>
      <c r="W224" s="563"/>
      <c r="X224" s="563"/>
      <c r="Y224" s="563"/>
      <c r="Z224" s="563"/>
      <c r="AA224" s="563"/>
      <c r="AB224" s="563"/>
      <c r="AC224" s="563"/>
      <c r="AD224" s="563"/>
      <c r="AE224" s="563"/>
      <c r="AF224" s="563"/>
      <c r="AG224" s="563"/>
      <c r="AH224" s="563"/>
      <c r="AI224" s="563"/>
      <c r="AJ224" s="563"/>
      <c r="AK224" s="563"/>
      <c r="AL224" s="563"/>
      <c r="AM224" s="563"/>
      <c r="AN224" s="563"/>
      <c r="AO224" s="563"/>
      <c r="AP224" s="563"/>
      <c r="AQ224" s="563"/>
      <c r="AR224" s="563"/>
      <c r="AS224" s="563"/>
      <c r="AT224" s="563"/>
      <c r="AU224" s="563"/>
      <c r="AV224" s="563"/>
      <c r="AW224" s="563"/>
      <c r="AX224" s="563"/>
      <c r="AY224" s="563"/>
      <c r="AZ224" s="563"/>
    </row>
    <row r="225" spans="1:52" ht="18" customHeight="1">
      <c r="A225" s="563"/>
      <c r="B225" s="564"/>
      <c r="C225" s="564"/>
      <c r="D225" s="564"/>
      <c r="E225" s="564"/>
      <c r="F225" s="564"/>
      <c r="G225" s="564"/>
      <c r="H225" s="563"/>
      <c r="I225" s="563"/>
      <c r="J225" s="563"/>
      <c r="K225" s="563"/>
      <c r="L225" s="563"/>
      <c r="M225" s="563"/>
      <c r="N225" s="567"/>
      <c r="O225" s="568"/>
      <c r="P225" s="568"/>
      <c r="Q225" s="568"/>
      <c r="R225" s="568"/>
      <c r="S225" s="568"/>
      <c r="T225" s="568"/>
      <c r="U225" s="563"/>
      <c r="V225" s="563"/>
      <c r="W225" s="563"/>
      <c r="X225" s="563"/>
      <c r="Y225" s="563"/>
      <c r="Z225" s="563"/>
      <c r="AA225" s="563"/>
      <c r="AB225" s="563"/>
      <c r="AC225" s="563"/>
      <c r="AD225" s="563"/>
      <c r="AE225" s="563"/>
      <c r="AF225" s="563"/>
      <c r="AG225" s="563"/>
      <c r="AH225" s="563"/>
      <c r="AI225" s="563"/>
      <c r="AJ225" s="563"/>
      <c r="AK225" s="563"/>
      <c r="AL225" s="563"/>
      <c r="AM225" s="563"/>
      <c r="AN225" s="563"/>
      <c r="AO225" s="563"/>
      <c r="AP225" s="563"/>
      <c r="AQ225" s="563"/>
      <c r="AR225" s="563"/>
      <c r="AS225" s="563"/>
      <c r="AT225" s="563"/>
      <c r="AU225" s="563"/>
      <c r="AV225" s="563"/>
      <c r="AW225" s="563"/>
      <c r="AX225" s="563"/>
      <c r="AY225" s="563"/>
      <c r="AZ225" s="563"/>
    </row>
    <row r="226" spans="1:52" ht="18" customHeight="1">
      <c r="A226" s="563"/>
      <c r="B226" s="564"/>
      <c r="C226" s="564"/>
      <c r="D226" s="564"/>
      <c r="E226" s="564"/>
      <c r="F226" s="564"/>
      <c r="G226" s="564"/>
      <c r="H226" s="563"/>
      <c r="I226" s="563"/>
      <c r="J226" s="563"/>
      <c r="K226" s="563"/>
      <c r="L226" s="563"/>
      <c r="M226" s="563"/>
      <c r="N226" s="567"/>
      <c r="O226" s="568"/>
      <c r="P226" s="568"/>
      <c r="Q226" s="568"/>
      <c r="R226" s="568"/>
      <c r="S226" s="568"/>
      <c r="T226" s="568"/>
      <c r="U226" s="563"/>
      <c r="V226" s="563"/>
      <c r="W226" s="563"/>
      <c r="X226" s="563"/>
      <c r="Y226" s="563"/>
      <c r="Z226" s="563"/>
      <c r="AA226" s="563"/>
      <c r="AB226" s="563"/>
      <c r="AC226" s="563"/>
      <c r="AD226" s="563"/>
      <c r="AE226" s="563"/>
      <c r="AF226" s="563"/>
      <c r="AG226" s="563"/>
      <c r="AH226" s="563"/>
      <c r="AI226" s="563"/>
      <c r="AJ226" s="563"/>
      <c r="AK226" s="563"/>
      <c r="AL226" s="563"/>
      <c r="AM226" s="563"/>
      <c r="AN226" s="563"/>
      <c r="AO226" s="563"/>
      <c r="AP226" s="563"/>
      <c r="AQ226" s="563"/>
      <c r="AR226" s="563"/>
      <c r="AS226" s="563"/>
      <c r="AT226" s="563"/>
      <c r="AU226" s="563"/>
      <c r="AV226" s="563"/>
      <c r="AW226" s="563"/>
      <c r="AX226" s="563"/>
      <c r="AY226" s="563"/>
      <c r="AZ226" s="563"/>
    </row>
    <row r="227" spans="1:52" ht="18" customHeight="1">
      <c r="A227" s="563"/>
      <c r="B227" s="564"/>
      <c r="C227" s="564"/>
      <c r="D227" s="564"/>
      <c r="E227" s="564"/>
      <c r="F227" s="564"/>
      <c r="G227" s="564"/>
      <c r="H227" s="563"/>
      <c r="I227" s="563"/>
      <c r="J227" s="563"/>
      <c r="K227" s="563"/>
      <c r="L227" s="563"/>
      <c r="M227" s="563"/>
      <c r="N227" s="567"/>
      <c r="O227" s="568"/>
      <c r="P227" s="568"/>
      <c r="Q227" s="568"/>
      <c r="R227" s="568"/>
      <c r="S227" s="568"/>
      <c r="T227" s="568"/>
      <c r="U227" s="563"/>
      <c r="V227" s="563"/>
      <c r="W227" s="563"/>
      <c r="X227" s="563"/>
      <c r="Y227" s="563"/>
      <c r="Z227" s="563"/>
      <c r="AA227" s="563"/>
      <c r="AB227" s="563"/>
      <c r="AC227" s="563"/>
      <c r="AD227" s="563"/>
      <c r="AE227" s="563"/>
      <c r="AF227" s="563"/>
      <c r="AG227" s="563"/>
      <c r="AH227" s="563"/>
      <c r="AI227" s="563"/>
      <c r="AJ227" s="563"/>
      <c r="AK227" s="563"/>
      <c r="AL227" s="563"/>
      <c r="AM227" s="563"/>
      <c r="AN227" s="563"/>
      <c r="AO227" s="563"/>
      <c r="AP227" s="563"/>
      <c r="AQ227" s="563"/>
      <c r="AR227" s="563"/>
      <c r="AS227" s="563"/>
      <c r="AT227" s="563"/>
      <c r="AU227" s="563"/>
      <c r="AV227" s="563"/>
      <c r="AW227" s="563"/>
      <c r="AX227" s="563"/>
      <c r="AY227" s="563"/>
      <c r="AZ227" s="563"/>
    </row>
    <row r="228" spans="1:52" ht="18" customHeight="1">
      <c r="A228" s="563"/>
      <c r="B228" s="564"/>
      <c r="C228" s="564"/>
      <c r="D228" s="564"/>
      <c r="E228" s="564"/>
      <c r="F228" s="564"/>
      <c r="G228" s="564"/>
      <c r="H228" s="563"/>
      <c r="I228" s="563"/>
      <c r="J228" s="563"/>
      <c r="K228" s="563"/>
      <c r="L228" s="563"/>
      <c r="M228" s="563"/>
      <c r="N228" s="567"/>
      <c r="O228" s="568"/>
      <c r="P228" s="568"/>
      <c r="Q228" s="568"/>
      <c r="R228" s="568"/>
      <c r="S228" s="568"/>
      <c r="T228" s="568"/>
      <c r="U228" s="563"/>
      <c r="V228" s="563"/>
      <c r="W228" s="563"/>
      <c r="X228" s="563"/>
      <c r="Y228" s="563"/>
      <c r="Z228" s="563"/>
      <c r="AA228" s="563"/>
      <c r="AB228" s="563"/>
      <c r="AC228" s="563"/>
      <c r="AD228" s="563"/>
      <c r="AE228" s="563"/>
      <c r="AF228" s="563"/>
      <c r="AG228" s="563"/>
      <c r="AH228" s="563"/>
      <c r="AI228" s="563"/>
      <c r="AJ228" s="563"/>
      <c r="AK228" s="563"/>
      <c r="AL228" s="563"/>
      <c r="AM228" s="563"/>
      <c r="AN228" s="563"/>
      <c r="AO228" s="563"/>
      <c r="AP228" s="563"/>
      <c r="AQ228" s="563"/>
      <c r="AR228" s="563"/>
      <c r="AS228" s="563"/>
      <c r="AT228" s="563"/>
      <c r="AU228" s="563"/>
      <c r="AV228" s="563"/>
      <c r="AW228" s="563"/>
      <c r="AX228" s="563"/>
      <c r="AY228" s="563"/>
      <c r="AZ228" s="563"/>
    </row>
    <row r="229" spans="1:52" ht="18" customHeight="1">
      <c r="A229" s="563"/>
      <c r="B229" s="564"/>
      <c r="C229" s="564"/>
      <c r="D229" s="564"/>
      <c r="E229" s="564"/>
      <c r="F229" s="564"/>
      <c r="G229" s="564"/>
      <c r="H229" s="563"/>
      <c r="I229" s="563"/>
      <c r="J229" s="563"/>
      <c r="K229" s="563"/>
      <c r="L229" s="563"/>
      <c r="M229" s="563"/>
      <c r="N229" s="567"/>
      <c r="O229" s="568"/>
      <c r="P229" s="568"/>
      <c r="Q229" s="568"/>
      <c r="R229" s="568"/>
      <c r="S229" s="568"/>
      <c r="T229" s="568"/>
      <c r="U229" s="563"/>
      <c r="V229" s="563"/>
      <c r="W229" s="563"/>
      <c r="X229" s="563"/>
      <c r="Y229" s="563"/>
      <c r="Z229" s="563"/>
      <c r="AA229" s="563"/>
      <c r="AB229" s="563"/>
      <c r="AC229" s="563"/>
      <c r="AD229" s="563"/>
      <c r="AE229" s="563"/>
      <c r="AF229" s="563"/>
      <c r="AG229" s="563"/>
      <c r="AH229" s="563"/>
      <c r="AI229" s="563"/>
      <c r="AJ229" s="563"/>
      <c r="AK229" s="563"/>
      <c r="AL229" s="563"/>
      <c r="AM229" s="563"/>
      <c r="AN229" s="563"/>
      <c r="AO229" s="563"/>
      <c r="AP229" s="563"/>
      <c r="AQ229" s="563"/>
      <c r="AR229" s="563"/>
      <c r="AS229" s="563"/>
      <c r="AT229" s="563"/>
      <c r="AU229" s="563"/>
      <c r="AV229" s="563"/>
      <c r="AW229" s="563"/>
      <c r="AX229" s="563"/>
      <c r="AY229" s="563"/>
      <c r="AZ229" s="563"/>
    </row>
    <row r="230" spans="1:52" ht="18" customHeight="1">
      <c r="A230" s="563"/>
      <c r="B230" s="564"/>
      <c r="C230" s="564"/>
      <c r="D230" s="564"/>
      <c r="E230" s="564"/>
      <c r="F230" s="564"/>
      <c r="G230" s="564"/>
      <c r="H230" s="563"/>
      <c r="I230" s="563"/>
      <c r="J230" s="563"/>
      <c r="K230" s="563"/>
      <c r="L230" s="563"/>
      <c r="M230" s="563"/>
      <c r="N230" s="567"/>
      <c r="O230" s="568"/>
      <c r="P230" s="568"/>
      <c r="Q230" s="568"/>
      <c r="R230" s="568"/>
      <c r="S230" s="568"/>
      <c r="T230" s="568"/>
      <c r="U230" s="563"/>
      <c r="V230" s="563"/>
      <c r="W230" s="563"/>
      <c r="X230" s="563"/>
      <c r="Y230" s="563"/>
      <c r="Z230" s="563"/>
      <c r="AA230" s="563"/>
      <c r="AB230" s="563"/>
      <c r="AC230" s="563"/>
      <c r="AD230" s="563"/>
      <c r="AE230" s="563"/>
      <c r="AF230" s="563"/>
      <c r="AG230" s="563"/>
      <c r="AH230" s="563"/>
      <c r="AI230" s="563"/>
      <c r="AJ230" s="563"/>
      <c r="AK230" s="563"/>
      <c r="AL230" s="563"/>
      <c r="AM230" s="563"/>
      <c r="AN230" s="563"/>
      <c r="AO230" s="563"/>
      <c r="AP230" s="563"/>
      <c r="AQ230" s="563"/>
      <c r="AR230" s="563"/>
      <c r="AS230" s="563"/>
      <c r="AT230" s="563"/>
      <c r="AU230" s="563"/>
      <c r="AV230" s="563"/>
      <c r="AW230" s="563"/>
      <c r="AX230" s="563"/>
      <c r="AY230" s="563"/>
      <c r="AZ230" s="563"/>
    </row>
    <row r="231" spans="1:52" ht="18" customHeight="1">
      <c r="A231" s="563"/>
      <c r="B231" s="564"/>
      <c r="C231" s="564"/>
      <c r="D231" s="564"/>
      <c r="E231" s="564"/>
      <c r="F231" s="564"/>
      <c r="G231" s="564"/>
      <c r="H231" s="563"/>
      <c r="I231" s="563"/>
      <c r="J231" s="563"/>
      <c r="K231" s="563"/>
      <c r="L231" s="563"/>
      <c r="M231" s="563"/>
      <c r="N231" s="567"/>
      <c r="O231" s="568"/>
      <c r="P231" s="568"/>
      <c r="Q231" s="568"/>
      <c r="R231" s="568"/>
      <c r="S231" s="568"/>
      <c r="T231" s="568"/>
      <c r="U231" s="563"/>
      <c r="V231" s="563"/>
      <c r="W231" s="563"/>
      <c r="X231" s="563"/>
      <c r="Y231" s="563"/>
      <c r="Z231" s="563"/>
      <c r="AA231" s="563"/>
      <c r="AB231" s="563"/>
      <c r="AC231" s="563"/>
      <c r="AD231" s="563"/>
      <c r="AE231" s="563"/>
      <c r="AF231" s="563"/>
      <c r="AG231" s="563"/>
      <c r="AH231" s="563"/>
      <c r="AI231" s="563"/>
      <c r="AJ231" s="563"/>
      <c r="AK231" s="563"/>
      <c r="AL231" s="563"/>
      <c r="AM231" s="563"/>
      <c r="AN231" s="563"/>
      <c r="AO231" s="563"/>
      <c r="AP231" s="563"/>
      <c r="AQ231" s="563"/>
      <c r="AR231" s="563"/>
      <c r="AS231" s="563"/>
      <c r="AT231" s="563"/>
      <c r="AU231" s="563"/>
      <c r="AV231" s="563"/>
      <c r="AW231" s="563"/>
      <c r="AX231" s="563"/>
      <c r="AY231" s="563"/>
      <c r="AZ231" s="563"/>
    </row>
    <row r="232" spans="1:52" ht="18" customHeight="1">
      <c r="A232" s="563"/>
      <c r="B232" s="564"/>
      <c r="C232" s="564"/>
      <c r="D232" s="564"/>
      <c r="E232" s="564"/>
      <c r="F232" s="564"/>
      <c r="G232" s="564"/>
      <c r="H232" s="563"/>
      <c r="I232" s="563"/>
      <c r="J232" s="563"/>
      <c r="K232" s="563"/>
      <c r="L232" s="563"/>
      <c r="M232" s="563"/>
      <c r="N232" s="567"/>
      <c r="O232" s="568"/>
      <c r="P232" s="568"/>
      <c r="Q232" s="568"/>
      <c r="R232" s="568"/>
      <c r="S232" s="568"/>
      <c r="T232" s="568"/>
      <c r="U232" s="563"/>
      <c r="V232" s="563"/>
      <c r="W232" s="563"/>
      <c r="X232" s="563"/>
      <c r="Y232" s="563"/>
      <c r="Z232" s="563"/>
      <c r="AA232" s="563"/>
      <c r="AB232" s="563"/>
      <c r="AC232" s="563"/>
      <c r="AD232" s="563"/>
      <c r="AE232" s="563"/>
      <c r="AF232" s="563"/>
      <c r="AG232" s="563"/>
      <c r="AH232" s="563"/>
      <c r="AI232" s="563"/>
      <c r="AJ232" s="563"/>
      <c r="AK232" s="563"/>
      <c r="AL232" s="563"/>
      <c r="AM232" s="563"/>
      <c r="AN232" s="563"/>
      <c r="AO232" s="563"/>
      <c r="AP232" s="563"/>
      <c r="AQ232" s="563"/>
      <c r="AR232" s="563"/>
      <c r="AS232" s="563"/>
      <c r="AT232" s="563"/>
      <c r="AU232" s="563"/>
      <c r="AV232" s="563"/>
      <c r="AW232" s="563"/>
      <c r="AX232" s="563"/>
      <c r="AY232" s="563"/>
      <c r="AZ232" s="563"/>
    </row>
    <row r="233" spans="1:52" ht="18" customHeight="1">
      <c r="A233" s="563"/>
      <c r="B233" s="564"/>
      <c r="C233" s="564"/>
      <c r="D233" s="564"/>
      <c r="E233" s="564"/>
      <c r="F233" s="564"/>
      <c r="G233" s="564"/>
      <c r="H233" s="563"/>
      <c r="I233" s="563"/>
      <c r="J233" s="563"/>
      <c r="K233" s="563"/>
      <c r="L233" s="563"/>
      <c r="M233" s="563"/>
      <c r="N233" s="567"/>
      <c r="O233" s="568"/>
      <c r="P233" s="568"/>
      <c r="Q233" s="568"/>
      <c r="R233" s="568"/>
      <c r="S233" s="568"/>
      <c r="T233" s="568"/>
      <c r="U233" s="563"/>
      <c r="V233" s="563"/>
      <c r="W233" s="563"/>
      <c r="X233" s="563"/>
      <c r="Y233" s="563"/>
      <c r="Z233" s="563"/>
      <c r="AA233" s="563"/>
      <c r="AB233" s="563"/>
      <c r="AC233" s="563"/>
      <c r="AD233" s="563"/>
      <c r="AE233" s="563"/>
      <c r="AF233" s="563"/>
      <c r="AG233" s="563"/>
      <c r="AH233" s="563"/>
      <c r="AI233" s="563"/>
      <c r="AJ233" s="563"/>
      <c r="AK233" s="563"/>
      <c r="AL233" s="563"/>
      <c r="AM233" s="563"/>
      <c r="AN233" s="563"/>
      <c r="AO233" s="563"/>
      <c r="AP233" s="563"/>
      <c r="AQ233" s="563"/>
      <c r="AR233" s="563"/>
      <c r="AS233" s="563"/>
      <c r="AT233" s="563"/>
      <c r="AU233" s="563"/>
      <c r="AV233" s="563"/>
      <c r="AW233" s="563"/>
      <c r="AX233" s="563"/>
      <c r="AY233" s="563"/>
      <c r="AZ233" s="563"/>
    </row>
    <row r="234" spans="1:52" ht="18" customHeight="1">
      <c r="A234" s="563"/>
      <c r="B234" s="564"/>
      <c r="C234" s="564"/>
      <c r="D234" s="564"/>
      <c r="E234" s="564"/>
      <c r="F234" s="564"/>
      <c r="G234" s="564"/>
      <c r="H234" s="563"/>
      <c r="I234" s="563"/>
      <c r="J234" s="563"/>
      <c r="K234" s="563"/>
      <c r="L234" s="563"/>
      <c r="M234" s="563"/>
      <c r="N234" s="567"/>
      <c r="O234" s="568"/>
      <c r="P234" s="568"/>
      <c r="Q234" s="568"/>
      <c r="R234" s="568"/>
      <c r="S234" s="568"/>
      <c r="T234" s="568"/>
      <c r="U234" s="563"/>
      <c r="V234" s="563"/>
      <c r="W234" s="563"/>
      <c r="X234" s="563"/>
      <c r="Y234" s="563"/>
      <c r="Z234" s="563"/>
      <c r="AA234" s="563"/>
      <c r="AB234" s="563"/>
      <c r="AC234" s="563"/>
      <c r="AD234" s="563"/>
      <c r="AE234" s="563"/>
      <c r="AF234" s="563"/>
      <c r="AG234" s="563"/>
      <c r="AH234" s="563"/>
      <c r="AI234" s="563"/>
      <c r="AJ234" s="563"/>
      <c r="AK234" s="563"/>
      <c r="AL234" s="563"/>
      <c r="AM234" s="563"/>
      <c r="AN234" s="563"/>
      <c r="AO234" s="563"/>
      <c r="AP234" s="563"/>
      <c r="AQ234" s="563"/>
      <c r="AR234" s="563"/>
      <c r="AS234" s="563"/>
      <c r="AT234" s="563"/>
      <c r="AU234" s="563"/>
      <c r="AV234" s="563"/>
      <c r="AW234" s="563"/>
      <c r="AX234" s="563"/>
      <c r="AY234" s="563"/>
      <c r="AZ234" s="563"/>
    </row>
    <row r="235" spans="1:52" ht="18" customHeight="1">
      <c r="A235" s="563"/>
      <c r="B235" s="564"/>
      <c r="C235" s="564"/>
      <c r="D235" s="564"/>
      <c r="E235" s="564"/>
      <c r="F235" s="564"/>
      <c r="G235" s="564"/>
      <c r="H235" s="563"/>
      <c r="I235" s="563"/>
      <c r="J235" s="563"/>
      <c r="K235" s="563"/>
      <c r="L235" s="563"/>
      <c r="M235" s="563"/>
      <c r="N235" s="567"/>
      <c r="O235" s="568"/>
      <c r="P235" s="568"/>
      <c r="Q235" s="568"/>
      <c r="R235" s="568"/>
      <c r="S235" s="568"/>
      <c r="T235" s="568"/>
      <c r="U235" s="563"/>
      <c r="V235" s="563"/>
      <c r="W235" s="563"/>
      <c r="X235" s="563"/>
      <c r="Y235" s="563"/>
      <c r="Z235" s="563"/>
      <c r="AA235" s="563"/>
      <c r="AB235" s="563"/>
      <c r="AC235" s="563"/>
      <c r="AD235" s="563"/>
      <c r="AE235" s="563"/>
      <c r="AF235" s="563"/>
      <c r="AG235" s="563"/>
      <c r="AH235" s="563"/>
      <c r="AI235" s="563"/>
      <c r="AJ235" s="563"/>
      <c r="AK235" s="563"/>
      <c r="AL235" s="563"/>
      <c r="AM235" s="563"/>
      <c r="AN235" s="563"/>
      <c r="AO235" s="563"/>
      <c r="AP235" s="563"/>
      <c r="AQ235" s="563"/>
      <c r="AR235" s="563"/>
      <c r="AS235" s="563"/>
      <c r="AT235" s="563"/>
      <c r="AU235" s="563"/>
      <c r="AV235" s="563"/>
      <c r="AW235" s="563"/>
      <c r="AX235" s="563"/>
      <c r="AY235" s="563"/>
      <c r="AZ235" s="563"/>
    </row>
    <row r="236" spans="1:52" ht="18" customHeight="1">
      <c r="A236" s="563"/>
      <c r="B236" s="564"/>
      <c r="C236" s="564"/>
      <c r="D236" s="564"/>
      <c r="E236" s="564"/>
      <c r="F236" s="564"/>
      <c r="G236" s="564"/>
      <c r="H236" s="563"/>
      <c r="I236" s="563"/>
      <c r="J236" s="563"/>
      <c r="K236" s="563"/>
      <c r="L236" s="563"/>
      <c r="M236" s="563"/>
      <c r="N236" s="567"/>
      <c r="O236" s="568"/>
      <c r="P236" s="568"/>
      <c r="Q236" s="568"/>
      <c r="R236" s="568"/>
      <c r="S236" s="568"/>
      <c r="T236" s="568"/>
      <c r="U236" s="563"/>
      <c r="V236" s="563"/>
      <c r="W236" s="563"/>
      <c r="X236" s="563"/>
      <c r="Y236" s="563"/>
      <c r="Z236" s="563"/>
      <c r="AA236" s="563"/>
      <c r="AB236" s="563"/>
      <c r="AC236" s="563"/>
      <c r="AD236" s="563"/>
      <c r="AE236" s="563"/>
      <c r="AF236" s="563"/>
      <c r="AG236" s="563"/>
      <c r="AH236" s="563"/>
      <c r="AI236" s="563"/>
      <c r="AJ236" s="563"/>
      <c r="AK236" s="563"/>
      <c r="AL236" s="563"/>
      <c r="AM236" s="563"/>
      <c r="AN236" s="563"/>
      <c r="AO236" s="563"/>
      <c r="AP236" s="563"/>
      <c r="AQ236" s="563"/>
      <c r="AR236" s="563"/>
      <c r="AS236" s="563"/>
      <c r="AT236" s="563"/>
      <c r="AU236" s="563"/>
      <c r="AV236" s="563"/>
      <c r="AW236" s="563"/>
      <c r="AX236" s="563"/>
      <c r="AY236" s="563"/>
      <c r="AZ236" s="563"/>
    </row>
    <row r="237" spans="1:52" ht="18" customHeight="1">
      <c r="A237" s="563"/>
      <c r="B237" s="564"/>
      <c r="C237" s="564"/>
      <c r="D237" s="564"/>
      <c r="E237" s="564"/>
      <c r="F237" s="564"/>
      <c r="G237" s="564"/>
      <c r="H237" s="563"/>
      <c r="I237" s="563"/>
      <c r="J237" s="563"/>
      <c r="K237" s="563"/>
      <c r="L237" s="563"/>
      <c r="M237" s="563"/>
      <c r="N237" s="567"/>
      <c r="O237" s="568"/>
      <c r="P237" s="568"/>
      <c r="Q237" s="568"/>
      <c r="R237" s="568"/>
      <c r="S237" s="568"/>
      <c r="T237" s="568"/>
      <c r="U237" s="563"/>
      <c r="V237" s="563"/>
      <c r="W237" s="563"/>
      <c r="X237" s="563"/>
      <c r="Y237" s="563"/>
      <c r="Z237" s="563"/>
      <c r="AA237" s="563"/>
      <c r="AB237" s="563"/>
      <c r="AC237" s="563"/>
      <c r="AD237" s="563"/>
      <c r="AE237" s="563"/>
      <c r="AF237" s="563"/>
      <c r="AG237" s="563"/>
      <c r="AH237" s="563"/>
      <c r="AI237" s="563"/>
      <c r="AJ237" s="563"/>
      <c r="AK237" s="563"/>
      <c r="AL237" s="563"/>
      <c r="AM237" s="563"/>
      <c r="AN237" s="563"/>
      <c r="AO237" s="563"/>
      <c r="AP237" s="563"/>
      <c r="AQ237" s="563"/>
      <c r="AR237" s="563"/>
      <c r="AS237" s="563"/>
      <c r="AT237" s="563"/>
      <c r="AU237" s="563"/>
      <c r="AV237" s="563"/>
      <c r="AW237" s="563"/>
      <c r="AX237" s="563"/>
      <c r="AY237" s="563"/>
      <c r="AZ237" s="563"/>
    </row>
    <row r="238" spans="1:52" ht="18" customHeight="1">
      <c r="A238" s="563"/>
      <c r="B238" s="564"/>
      <c r="C238" s="564"/>
      <c r="D238" s="564"/>
      <c r="E238" s="564"/>
      <c r="F238" s="564"/>
      <c r="G238" s="564"/>
      <c r="H238" s="563"/>
      <c r="I238" s="563"/>
      <c r="J238" s="563"/>
      <c r="K238" s="563"/>
      <c r="L238" s="563"/>
      <c r="M238" s="563"/>
      <c r="N238" s="567"/>
      <c r="O238" s="568"/>
      <c r="P238" s="568"/>
      <c r="Q238" s="568"/>
      <c r="R238" s="568"/>
      <c r="S238" s="568"/>
      <c r="T238" s="568"/>
      <c r="U238" s="563"/>
      <c r="V238" s="563"/>
      <c r="W238" s="563"/>
      <c r="X238" s="563"/>
      <c r="Y238" s="563"/>
      <c r="Z238" s="563"/>
      <c r="AA238" s="563"/>
      <c r="AB238" s="563"/>
      <c r="AC238" s="563"/>
      <c r="AD238" s="563"/>
      <c r="AE238" s="563"/>
      <c r="AF238" s="563"/>
      <c r="AG238" s="563"/>
      <c r="AH238" s="563"/>
      <c r="AI238" s="563"/>
      <c r="AJ238" s="563"/>
      <c r="AK238" s="563"/>
      <c r="AL238" s="563"/>
      <c r="AM238" s="563"/>
      <c r="AN238" s="563"/>
      <c r="AO238" s="563"/>
      <c r="AP238" s="563"/>
      <c r="AQ238" s="563"/>
      <c r="AR238" s="563"/>
      <c r="AS238" s="563"/>
      <c r="AT238" s="563"/>
      <c r="AU238" s="563"/>
      <c r="AV238" s="563"/>
      <c r="AW238" s="563"/>
      <c r="AX238" s="563"/>
      <c r="AY238" s="563"/>
      <c r="AZ238" s="563"/>
    </row>
    <row r="239" spans="1:52" ht="18" customHeight="1">
      <c r="A239" s="563"/>
      <c r="B239" s="564"/>
      <c r="C239" s="564"/>
      <c r="D239" s="564"/>
      <c r="E239" s="564"/>
      <c r="F239" s="564"/>
      <c r="G239" s="564"/>
      <c r="H239" s="563"/>
      <c r="I239" s="563"/>
      <c r="J239" s="563"/>
      <c r="K239" s="563"/>
      <c r="L239" s="563"/>
      <c r="M239" s="563"/>
      <c r="N239" s="567"/>
      <c r="O239" s="568"/>
      <c r="P239" s="568"/>
      <c r="Q239" s="568"/>
      <c r="R239" s="568"/>
      <c r="S239" s="568"/>
      <c r="T239" s="568"/>
      <c r="U239" s="563"/>
      <c r="V239" s="563"/>
      <c r="W239" s="563"/>
      <c r="X239" s="563"/>
      <c r="Y239" s="563"/>
      <c r="Z239" s="563"/>
      <c r="AA239" s="563"/>
      <c r="AB239" s="563"/>
      <c r="AC239" s="563"/>
      <c r="AD239" s="563"/>
      <c r="AE239" s="563"/>
      <c r="AF239" s="563"/>
      <c r="AG239" s="563"/>
      <c r="AH239" s="563"/>
      <c r="AI239" s="563"/>
      <c r="AJ239" s="563"/>
      <c r="AK239" s="563"/>
      <c r="AL239" s="563"/>
      <c r="AM239" s="563"/>
      <c r="AN239" s="563"/>
      <c r="AO239" s="563"/>
      <c r="AP239" s="563"/>
      <c r="AQ239" s="563"/>
      <c r="AR239" s="563"/>
      <c r="AS239" s="563"/>
      <c r="AT239" s="563"/>
      <c r="AU239" s="563"/>
      <c r="AV239" s="563"/>
      <c r="AW239" s="563"/>
      <c r="AX239" s="563"/>
      <c r="AY239" s="563"/>
      <c r="AZ239" s="563"/>
    </row>
    <row r="240" spans="1:52" ht="18" customHeight="1">
      <c r="A240" s="563"/>
      <c r="B240" s="564"/>
      <c r="C240" s="564"/>
      <c r="D240" s="564"/>
      <c r="E240" s="564"/>
      <c r="F240" s="564"/>
      <c r="G240" s="564"/>
      <c r="H240" s="563"/>
      <c r="I240" s="563"/>
      <c r="J240" s="563"/>
      <c r="K240" s="563"/>
      <c r="L240" s="563"/>
      <c r="M240" s="563"/>
      <c r="N240" s="567"/>
      <c r="O240" s="568"/>
      <c r="P240" s="568"/>
      <c r="Q240" s="568"/>
      <c r="R240" s="568"/>
      <c r="S240" s="568"/>
      <c r="T240" s="568"/>
      <c r="U240" s="563"/>
      <c r="V240" s="563"/>
      <c r="W240" s="563"/>
      <c r="X240" s="563"/>
      <c r="Y240" s="563"/>
      <c r="Z240" s="563"/>
      <c r="AA240" s="563"/>
      <c r="AB240" s="563"/>
      <c r="AC240" s="563"/>
      <c r="AD240" s="563"/>
      <c r="AE240" s="563"/>
      <c r="AF240" s="563"/>
      <c r="AG240" s="563"/>
      <c r="AH240" s="563"/>
      <c r="AI240" s="563"/>
      <c r="AJ240" s="563"/>
      <c r="AK240" s="563"/>
      <c r="AL240" s="563"/>
      <c r="AM240" s="563"/>
      <c r="AN240" s="563"/>
      <c r="AO240" s="563"/>
      <c r="AP240" s="563"/>
      <c r="AQ240" s="563"/>
      <c r="AR240" s="563"/>
      <c r="AS240" s="563"/>
      <c r="AT240" s="563"/>
      <c r="AU240" s="563"/>
      <c r="AV240" s="563"/>
      <c r="AW240" s="563"/>
      <c r="AX240" s="563"/>
      <c r="AY240" s="563"/>
      <c r="AZ240" s="563"/>
    </row>
    <row r="241" spans="1:52" ht="18" customHeight="1">
      <c r="A241" s="563"/>
      <c r="B241" s="564"/>
      <c r="C241" s="564"/>
      <c r="D241" s="564"/>
      <c r="E241" s="564"/>
      <c r="F241" s="564"/>
      <c r="G241" s="564"/>
      <c r="H241" s="563"/>
      <c r="I241" s="563"/>
      <c r="J241" s="563"/>
      <c r="K241" s="563"/>
      <c r="L241" s="563"/>
      <c r="M241" s="563"/>
      <c r="N241" s="567"/>
      <c r="O241" s="568"/>
      <c r="P241" s="568"/>
      <c r="Q241" s="568"/>
      <c r="R241" s="568"/>
      <c r="S241" s="568"/>
      <c r="T241" s="568"/>
      <c r="U241" s="563"/>
      <c r="V241" s="563"/>
      <c r="W241" s="563"/>
      <c r="X241" s="563"/>
      <c r="Y241" s="563"/>
      <c r="Z241" s="563"/>
      <c r="AA241" s="563"/>
      <c r="AB241" s="563"/>
      <c r="AC241" s="563"/>
      <c r="AD241" s="563"/>
      <c r="AE241" s="563"/>
      <c r="AF241" s="563"/>
      <c r="AG241" s="563"/>
      <c r="AH241" s="563"/>
      <c r="AI241" s="563"/>
      <c r="AJ241" s="563"/>
      <c r="AK241" s="563"/>
      <c r="AL241" s="563"/>
      <c r="AM241" s="563"/>
      <c r="AN241" s="563"/>
      <c r="AO241" s="563"/>
      <c r="AP241" s="563"/>
      <c r="AQ241" s="563"/>
      <c r="AR241" s="563"/>
      <c r="AS241" s="563"/>
      <c r="AT241" s="563"/>
      <c r="AU241" s="563"/>
      <c r="AV241" s="563"/>
      <c r="AW241" s="563"/>
      <c r="AX241" s="563"/>
      <c r="AY241" s="563"/>
      <c r="AZ241" s="563"/>
    </row>
    <row r="242" spans="1:52" ht="18" customHeight="1">
      <c r="A242" s="563"/>
      <c r="B242" s="564"/>
      <c r="C242" s="564"/>
      <c r="D242" s="564"/>
      <c r="E242" s="564"/>
      <c r="F242" s="564"/>
      <c r="G242" s="564"/>
      <c r="H242" s="563"/>
      <c r="I242" s="563"/>
      <c r="J242" s="563"/>
      <c r="K242" s="563"/>
      <c r="L242" s="563"/>
      <c r="M242" s="563"/>
      <c r="N242" s="567"/>
      <c r="O242" s="568"/>
      <c r="P242" s="568"/>
      <c r="Q242" s="568"/>
      <c r="R242" s="568"/>
      <c r="S242" s="568"/>
      <c r="T242" s="568"/>
      <c r="U242" s="563"/>
      <c r="V242" s="563"/>
      <c r="W242" s="563"/>
      <c r="X242" s="563"/>
      <c r="Y242" s="563"/>
      <c r="Z242" s="563"/>
      <c r="AA242" s="563"/>
      <c r="AB242" s="563"/>
      <c r="AC242" s="563"/>
      <c r="AD242" s="563"/>
      <c r="AE242" s="563"/>
      <c r="AF242" s="563"/>
      <c r="AG242" s="563"/>
      <c r="AH242" s="563"/>
      <c r="AI242" s="563"/>
      <c r="AJ242" s="563"/>
      <c r="AK242" s="563"/>
      <c r="AL242" s="563"/>
      <c r="AM242" s="563"/>
      <c r="AN242" s="563"/>
      <c r="AO242" s="563"/>
      <c r="AP242" s="563"/>
      <c r="AQ242" s="563"/>
      <c r="AR242" s="563"/>
      <c r="AS242" s="563"/>
      <c r="AT242" s="563"/>
      <c r="AU242" s="563"/>
      <c r="AV242" s="563"/>
      <c r="AW242" s="563"/>
      <c r="AX242" s="563"/>
      <c r="AY242" s="563"/>
      <c r="AZ242" s="563"/>
    </row>
    <row r="243" spans="1:52" ht="18" customHeight="1">
      <c r="A243" s="563"/>
      <c r="B243" s="564"/>
      <c r="C243" s="564"/>
      <c r="D243" s="564"/>
      <c r="E243" s="564"/>
      <c r="F243" s="564"/>
      <c r="G243" s="564"/>
      <c r="H243" s="563"/>
      <c r="I243" s="563"/>
      <c r="J243" s="563"/>
      <c r="K243" s="563"/>
      <c r="L243" s="563"/>
      <c r="M243" s="563"/>
      <c r="N243" s="567"/>
      <c r="O243" s="568"/>
      <c r="P243" s="568"/>
      <c r="Q243" s="568"/>
      <c r="R243" s="568"/>
      <c r="S243" s="568"/>
      <c r="T243" s="568"/>
      <c r="U243" s="563"/>
      <c r="V243" s="563"/>
      <c r="W243" s="563"/>
      <c r="X243" s="563"/>
      <c r="Y243" s="563"/>
      <c r="Z243" s="563"/>
      <c r="AA243" s="563"/>
      <c r="AB243" s="563"/>
      <c r="AC243" s="563"/>
      <c r="AD243" s="563"/>
      <c r="AE243" s="563"/>
      <c r="AF243" s="563"/>
      <c r="AG243" s="563"/>
      <c r="AH243" s="563"/>
      <c r="AI243" s="563"/>
      <c r="AJ243" s="563"/>
      <c r="AK243" s="563"/>
      <c r="AL243" s="563"/>
      <c r="AM243" s="563"/>
      <c r="AN243" s="563"/>
      <c r="AO243" s="563"/>
      <c r="AP243" s="563"/>
      <c r="AQ243" s="563"/>
      <c r="AR243" s="563"/>
      <c r="AS243" s="563"/>
      <c r="AT243" s="563"/>
      <c r="AU243" s="563"/>
      <c r="AV243" s="563"/>
      <c r="AW243" s="563"/>
      <c r="AX243" s="563"/>
      <c r="AY243" s="563"/>
      <c r="AZ243" s="563"/>
    </row>
    <row r="244" spans="1:52" ht="18" customHeight="1">
      <c r="A244" s="563"/>
      <c r="B244" s="564"/>
      <c r="C244" s="564"/>
      <c r="D244" s="564"/>
      <c r="E244" s="564"/>
      <c r="F244" s="564"/>
      <c r="G244" s="564"/>
      <c r="H244" s="563"/>
      <c r="I244" s="563"/>
      <c r="J244" s="563"/>
      <c r="K244" s="563"/>
      <c r="L244" s="563"/>
      <c r="M244" s="563"/>
      <c r="N244" s="567"/>
      <c r="O244" s="568"/>
      <c r="P244" s="568"/>
      <c r="Q244" s="568"/>
      <c r="R244" s="568"/>
      <c r="S244" s="568"/>
      <c r="T244" s="568"/>
      <c r="U244" s="563"/>
      <c r="V244" s="563"/>
      <c r="W244" s="563"/>
      <c r="X244" s="563"/>
      <c r="Y244" s="563"/>
      <c r="Z244" s="563"/>
      <c r="AA244" s="563"/>
      <c r="AB244" s="563"/>
      <c r="AC244" s="563"/>
      <c r="AD244" s="563"/>
      <c r="AE244" s="563"/>
      <c r="AF244" s="563"/>
      <c r="AG244" s="563"/>
      <c r="AH244" s="563"/>
      <c r="AI244" s="563"/>
      <c r="AJ244" s="563"/>
      <c r="AK244" s="563"/>
      <c r="AL244" s="563"/>
      <c r="AM244" s="563"/>
      <c r="AN244" s="563"/>
      <c r="AO244" s="563"/>
      <c r="AP244" s="563"/>
      <c r="AQ244" s="563"/>
      <c r="AR244" s="563"/>
      <c r="AS244" s="563"/>
      <c r="AT244" s="563"/>
      <c r="AU244" s="563"/>
      <c r="AV244" s="563"/>
      <c r="AW244" s="563"/>
      <c r="AX244" s="563"/>
      <c r="AY244" s="563"/>
      <c r="AZ244" s="563"/>
    </row>
    <row r="245" spans="1:52" ht="18" customHeight="1">
      <c r="A245" s="563"/>
      <c r="B245" s="564"/>
      <c r="C245" s="564"/>
      <c r="D245" s="564"/>
      <c r="E245" s="564"/>
      <c r="F245" s="564"/>
      <c r="G245" s="564"/>
      <c r="H245" s="563"/>
      <c r="I245" s="563"/>
      <c r="J245" s="563"/>
      <c r="K245" s="563"/>
      <c r="L245" s="563"/>
      <c r="M245" s="563"/>
      <c r="N245" s="567"/>
      <c r="O245" s="568"/>
      <c r="P245" s="568"/>
      <c r="Q245" s="568"/>
      <c r="R245" s="568"/>
      <c r="S245" s="568"/>
      <c r="T245" s="568"/>
      <c r="U245" s="563"/>
      <c r="V245" s="563"/>
      <c r="W245" s="563"/>
      <c r="X245" s="563"/>
      <c r="Y245" s="563"/>
      <c r="Z245" s="563"/>
      <c r="AA245" s="563"/>
      <c r="AB245" s="563"/>
      <c r="AC245" s="563"/>
      <c r="AD245" s="563"/>
      <c r="AE245" s="563"/>
      <c r="AF245" s="563"/>
      <c r="AG245" s="563"/>
      <c r="AH245" s="563"/>
      <c r="AI245" s="563"/>
      <c r="AJ245" s="563"/>
      <c r="AK245" s="563"/>
      <c r="AL245" s="563"/>
      <c r="AM245" s="563"/>
      <c r="AN245" s="563"/>
      <c r="AO245" s="563"/>
      <c r="AP245" s="563"/>
      <c r="AQ245" s="563"/>
      <c r="AR245" s="563"/>
      <c r="AS245" s="563"/>
      <c r="AT245" s="563"/>
      <c r="AU245" s="563"/>
      <c r="AV245" s="563"/>
      <c r="AW245" s="563"/>
      <c r="AX245" s="563"/>
      <c r="AY245" s="563"/>
      <c r="AZ245" s="563"/>
    </row>
    <row r="246" spans="1:52" ht="18" customHeight="1">
      <c r="A246" s="563"/>
      <c r="B246" s="564"/>
      <c r="C246" s="564"/>
      <c r="D246" s="564"/>
      <c r="E246" s="564"/>
      <c r="F246" s="564"/>
      <c r="G246" s="564"/>
      <c r="H246" s="563"/>
      <c r="I246" s="563"/>
      <c r="J246" s="563"/>
      <c r="K246" s="563"/>
      <c r="L246" s="563"/>
      <c r="M246" s="563"/>
      <c r="N246" s="567"/>
      <c r="O246" s="568"/>
      <c r="P246" s="568"/>
      <c r="Q246" s="568"/>
      <c r="R246" s="568"/>
      <c r="S246" s="568"/>
      <c r="T246" s="568"/>
      <c r="U246" s="563"/>
      <c r="V246" s="563"/>
      <c r="W246" s="563"/>
      <c r="X246" s="563"/>
      <c r="Y246" s="563"/>
      <c r="Z246" s="563"/>
      <c r="AA246" s="563"/>
      <c r="AB246" s="563"/>
      <c r="AC246" s="563"/>
      <c r="AD246" s="563"/>
      <c r="AE246" s="563"/>
      <c r="AF246" s="563"/>
      <c r="AG246" s="563"/>
      <c r="AH246" s="563"/>
      <c r="AI246" s="563"/>
      <c r="AJ246" s="563"/>
      <c r="AK246" s="563"/>
      <c r="AL246" s="563"/>
      <c r="AM246" s="563"/>
      <c r="AN246" s="563"/>
      <c r="AO246" s="563"/>
      <c r="AP246" s="563"/>
      <c r="AQ246" s="563"/>
      <c r="AR246" s="563"/>
      <c r="AS246" s="563"/>
      <c r="AT246" s="563"/>
      <c r="AU246" s="563"/>
      <c r="AV246" s="563"/>
      <c r="AW246" s="563"/>
      <c r="AX246" s="563"/>
      <c r="AY246" s="563"/>
      <c r="AZ246" s="563"/>
    </row>
    <row r="247" spans="1:52" ht="18" customHeight="1">
      <c r="A247" s="563"/>
      <c r="B247" s="564"/>
      <c r="C247" s="564"/>
      <c r="D247" s="564"/>
      <c r="E247" s="564"/>
      <c r="F247" s="564"/>
      <c r="G247" s="564"/>
      <c r="H247" s="563"/>
      <c r="I247" s="563"/>
      <c r="J247" s="563"/>
      <c r="K247" s="563"/>
      <c r="L247" s="563"/>
      <c r="M247" s="563"/>
      <c r="N247" s="567"/>
      <c r="O247" s="568"/>
      <c r="P247" s="568"/>
      <c r="Q247" s="568"/>
      <c r="R247" s="568"/>
      <c r="S247" s="568"/>
      <c r="T247" s="568"/>
      <c r="U247" s="563"/>
      <c r="V247" s="563"/>
      <c r="W247" s="563"/>
      <c r="X247" s="563"/>
      <c r="Y247" s="563"/>
      <c r="Z247" s="563"/>
      <c r="AA247" s="563"/>
      <c r="AB247" s="563"/>
      <c r="AC247" s="563"/>
      <c r="AD247" s="563"/>
      <c r="AE247" s="563"/>
      <c r="AF247" s="563"/>
      <c r="AG247" s="563"/>
      <c r="AH247" s="563"/>
      <c r="AI247" s="563"/>
      <c r="AJ247" s="563"/>
      <c r="AK247" s="563"/>
      <c r="AL247" s="563"/>
      <c r="AM247" s="563"/>
      <c r="AN247" s="563"/>
      <c r="AO247" s="563"/>
      <c r="AP247" s="563"/>
      <c r="AQ247" s="563"/>
      <c r="AR247" s="563"/>
      <c r="AS247" s="563"/>
      <c r="AT247" s="563"/>
      <c r="AU247" s="563"/>
      <c r="AV247" s="563"/>
      <c r="AW247" s="563"/>
      <c r="AX247" s="563"/>
      <c r="AY247" s="563"/>
      <c r="AZ247" s="563"/>
    </row>
    <row r="248" spans="1:52" ht="18" customHeight="1">
      <c r="A248" s="563"/>
      <c r="B248" s="564"/>
      <c r="C248" s="564"/>
      <c r="D248" s="564"/>
      <c r="E248" s="564"/>
      <c r="F248" s="564"/>
      <c r="G248" s="564"/>
      <c r="H248" s="563"/>
      <c r="I248" s="563"/>
      <c r="J248" s="563"/>
      <c r="K248" s="563"/>
      <c r="L248" s="563"/>
      <c r="M248" s="563"/>
      <c r="N248" s="567"/>
      <c r="O248" s="568"/>
      <c r="P248" s="568"/>
      <c r="Q248" s="568"/>
      <c r="R248" s="568"/>
      <c r="S248" s="568"/>
      <c r="T248" s="568"/>
      <c r="U248" s="563"/>
      <c r="V248" s="563"/>
      <c r="W248" s="563"/>
      <c r="X248" s="563"/>
      <c r="Y248" s="563"/>
      <c r="Z248" s="563"/>
      <c r="AA248" s="563"/>
      <c r="AB248" s="563"/>
      <c r="AC248" s="563"/>
      <c r="AD248" s="563"/>
      <c r="AE248" s="563"/>
      <c r="AF248" s="563"/>
      <c r="AG248" s="563"/>
      <c r="AH248" s="563"/>
      <c r="AI248" s="563"/>
      <c r="AJ248" s="563"/>
      <c r="AK248" s="563"/>
      <c r="AL248" s="563"/>
      <c r="AM248" s="563"/>
      <c r="AN248" s="563"/>
      <c r="AO248" s="563"/>
      <c r="AP248" s="563"/>
      <c r="AQ248" s="563"/>
      <c r="AR248" s="563"/>
      <c r="AS248" s="563"/>
      <c r="AT248" s="563"/>
      <c r="AU248" s="563"/>
      <c r="AV248" s="563"/>
      <c r="AW248" s="563"/>
      <c r="AX248" s="563"/>
      <c r="AY248" s="563"/>
      <c r="AZ248" s="563"/>
    </row>
    <row r="249" spans="1:52" ht="18" customHeight="1">
      <c r="A249" s="563"/>
      <c r="B249" s="564"/>
      <c r="C249" s="564"/>
      <c r="D249" s="564"/>
      <c r="E249" s="564"/>
      <c r="F249" s="564"/>
      <c r="G249" s="564"/>
      <c r="H249" s="563"/>
      <c r="I249" s="563"/>
      <c r="J249" s="563"/>
      <c r="K249" s="563"/>
      <c r="L249" s="563"/>
      <c r="M249" s="563"/>
      <c r="N249" s="567"/>
      <c r="O249" s="568"/>
      <c r="P249" s="568"/>
      <c r="Q249" s="568"/>
      <c r="R249" s="568"/>
      <c r="S249" s="568"/>
      <c r="T249" s="568"/>
      <c r="U249" s="563"/>
      <c r="V249" s="563"/>
      <c r="W249" s="563"/>
      <c r="X249" s="563"/>
      <c r="Y249" s="563"/>
      <c r="Z249" s="563"/>
      <c r="AA249" s="563"/>
      <c r="AB249" s="563"/>
      <c r="AC249" s="563"/>
      <c r="AD249" s="563"/>
      <c r="AE249" s="563"/>
      <c r="AF249" s="563"/>
      <c r="AG249" s="563"/>
      <c r="AH249" s="563"/>
      <c r="AI249" s="563"/>
      <c r="AJ249" s="563"/>
      <c r="AK249" s="563"/>
      <c r="AL249" s="563"/>
      <c r="AM249" s="563"/>
      <c r="AN249" s="563"/>
      <c r="AO249" s="563"/>
      <c r="AP249" s="563"/>
      <c r="AQ249" s="563"/>
      <c r="AR249" s="563"/>
      <c r="AS249" s="563"/>
      <c r="AT249" s="563"/>
      <c r="AU249" s="563"/>
      <c r="AV249" s="563"/>
      <c r="AW249" s="563"/>
      <c r="AX249" s="563"/>
      <c r="AY249" s="563"/>
      <c r="AZ249" s="563"/>
    </row>
    <row r="250" spans="1:52" ht="18" customHeight="1">
      <c r="A250" s="563"/>
      <c r="B250" s="564"/>
      <c r="C250" s="564"/>
      <c r="D250" s="564"/>
      <c r="E250" s="564"/>
      <c r="F250" s="564"/>
      <c r="G250" s="564"/>
      <c r="H250" s="563"/>
      <c r="I250" s="563"/>
      <c r="J250" s="563"/>
      <c r="K250" s="563"/>
      <c r="L250" s="563"/>
      <c r="M250" s="563"/>
      <c r="N250" s="567"/>
      <c r="O250" s="568"/>
      <c r="P250" s="568"/>
      <c r="Q250" s="568"/>
      <c r="R250" s="568"/>
      <c r="S250" s="568"/>
      <c r="T250" s="568"/>
      <c r="U250" s="563"/>
      <c r="V250" s="563"/>
      <c r="W250" s="563"/>
      <c r="X250" s="563"/>
      <c r="Y250" s="563"/>
      <c r="Z250" s="563"/>
      <c r="AA250" s="563"/>
      <c r="AB250" s="563"/>
      <c r="AC250" s="563"/>
      <c r="AD250" s="563"/>
      <c r="AE250" s="563"/>
      <c r="AF250" s="563"/>
      <c r="AG250" s="563"/>
      <c r="AH250" s="563"/>
      <c r="AI250" s="563"/>
      <c r="AJ250" s="563"/>
      <c r="AK250" s="563"/>
      <c r="AL250" s="563"/>
      <c r="AM250" s="563"/>
      <c r="AN250" s="563"/>
      <c r="AO250" s="563"/>
      <c r="AP250" s="563"/>
      <c r="AQ250" s="563"/>
      <c r="AR250" s="563"/>
      <c r="AS250" s="563"/>
      <c r="AT250" s="563"/>
      <c r="AU250" s="563"/>
      <c r="AV250" s="563"/>
      <c r="AW250" s="563"/>
      <c r="AX250" s="563"/>
      <c r="AY250" s="563"/>
      <c r="AZ250" s="563"/>
    </row>
    <row r="251" spans="1:52" ht="18" customHeight="1">
      <c r="A251" s="563"/>
      <c r="B251" s="564"/>
      <c r="C251" s="564"/>
      <c r="D251" s="564"/>
      <c r="E251" s="564"/>
      <c r="F251" s="564"/>
      <c r="G251" s="564"/>
      <c r="H251" s="563"/>
      <c r="I251" s="563"/>
      <c r="J251" s="563"/>
      <c r="K251" s="563"/>
      <c r="L251" s="563"/>
      <c r="M251" s="563"/>
      <c r="N251" s="567"/>
      <c r="O251" s="568"/>
      <c r="P251" s="568"/>
      <c r="Q251" s="568"/>
      <c r="R251" s="568"/>
      <c r="S251" s="568"/>
      <c r="T251" s="568"/>
      <c r="U251" s="563"/>
      <c r="V251" s="563"/>
      <c r="W251" s="563"/>
      <c r="X251" s="563"/>
      <c r="Y251" s="563"/>
      <c r="Z251" s="563"/>
      <c r="AA251" s="563"/>
      <c r="AB251" s="563"/>
      <c r="AC251" s="563"/>
      <c r="AD251" s="563"/>
      <c r="AE251" s="563"/>
      <c r="AF251" s="563"/>
      <c r="AG251" s="563"/>
      <c r="AH251" s="563"/>
      <c r="AI251" s="563"/>
      <c r="AJ251" s="563"/>
      <c r="AK251" s="563"/>
      <c r="AL251" s="563"/>
      <c r="AM251" s="563"/>
      <c r="AN251" s="563"/>
      <c r="AO251" s="563"/>
      <c r="AP251" s="563"/>
      <c r="AQ251" s="563"/>
      <c r="AR251" s="563"/>
      <c r="AS251" s="563"/>
      <c r="AT251" s="563"/>
      <c r="AU251" s="563"/>
      <c r="AV251" s="563"/>
      <c r="AW251" s="563"/>
      <c r="AX251" s="563"/>
      <c r="AY251" s="563"/>
      <c r="AZ251" s="563"/>
    </row>
    <row r="252" spans="1:52" ht="18" customHeight="1">
      <c r="A252" s="563"/>
      <c r="B252" s="564"/>
      <c r="C252" s="564"/>
      <c r="D252" s="564"/>
      <c r="E252" s="564"/>
      <c r="F252" s="564"/>
      <c r="G252" s="564"/>
      <c r="H252" s="563"/>
      <c r="I252" s="563"/>
      <c r="J252" s="563"/>
      <c r="K252" s="563"/>
      <c r="L252" s="563"/>
      <c r="M252" s="563"/>
      <c r="N252" s="567"/>
      <c r="O252" s="568"/>
      <c r="P252" s="568"/>
      <c r="Q252" s="568"/>
      <c r="R252" s="568"/>
      <c r="S252" s="568"/>
      <c r="T252" s="568"/>
      <c r="U252" s="563"/>
      <c r="V252" s="563"/>
      <c r="W252" s="563"/>
      <c r="X252" s="563"/>
      <c r="Y252" s="563"/>
      <c r="Z252" s="563"/>
      <c r="AA252" s="563"/>
      <c r="AB252" s="563"/>
      <c r="AC252" s="563"/>
      <c r="AD252" s="563"/>
      <c r="AE252" s="563"/>
      <c r="AF252" s="563"/>
      <c r="AG252" s="563"/>
      <c r="AH252" s="563"/>
      <c r="AI252" s="563"/>
      <c r="AJ252" s="563"/>
      <c r="AK252" s="563"/>
      <c r="AL252" s="563"/>
      <c r="AM252" s="563"/>
      <c r="AN252" s="563"/>
      <c r="AO252" s="563"/>
      <c r="AP252" s="563"/>
      <c r="AQ252" s="563"/>
      <c r="AR252" s="563"/>
      <c r="AS252" s="563"/>
      <c r="AT252" s="563"/>
      <c r="AU252" s="563"/>
      <c r="AV252" s="563"/>
      <c r="AW252" s="563"/>
      <c r="AX252" s="563"/>
      <c r="AY252" s="563"/>
      <c r="AZ252" s="563"/>
    </row>
    <row r="253" spans="1:52" ht="18" customHeight="1">
      <c r="A253" s="563"/>
      <c r="B253" s="564"/>
      <c r="C253" s="564"/>
      <c r="D253" s="564"/>
      <c r="E253" s="564"/>
      <c r="F253" s="564"/>
      <c r="G253" s="564"/>
      <c r="H253" s="563"/>
      <c r="I253" s="563"/>
      <c r="J253" s="563"/>
      <c r="K253" s="563"/>
      <c r="L253" s="563"/>
      <c r="M253" s="563"/>
      <c r="N253" s="567"/>
      <c r="O253" s="568"/>
      <c r="P253" s="568"/>
      <c r="Q253" s="568"/>
      <c r="R253" s="568"/>
      <c r="S253" s="568"/>
      <c r="T253" s="568"/>
      <c r="U253" s="563"/>
      <c r="V253" s="563"/>
      <c r="W253" s="563"/>
      <c r="X253" s="563"/>
      <c r="Y253" s="563"/>
      <c r="Z253" s="563"/>
      <c r="AA253" s="563"/>
      <c r="AB253" s="563"/>
      <c r="AC253" s="563"/>
      <c r="AD253" s="563"/>
      <c r="AE253" s="563"/>
      <c r="AF253" s="563"/>
      <c r="AG253" s="563"/>
      <c r="AH253" s="563"/>
      <c r="AI253" s="563"/>
      <c r="AJ253" s="563"/>
      <c r="AK253" s="563"/>
      <c r="AL253" s="563"/>
      <c r="AM253" s="563"/>
      <c r="AN253" s="563"/>
      <c r="AO253" s="563"/>
      <c r="AP253" s="563"/>
      <c r="AQ253" s="563"/>
      <c r="AR253" s="563"/>
      <c r="AS253" s="563"/>
      <c r="AT253" s="563"/>
      <c r="AU253" s="563"/>
      <c r="AV253" s="563"/>
      <c r="AW253" s="563"/>
      <c r="AX253" s="563"/>
      <c r="AY253" s="563"/>
      <c r="AZ253" s="563"/>
    </row>
    <row r="254" spans="1:52" ht="18" customHeight="1">
      <c r="A254" s="563"/>
      <c r="B254" s="564"/>
      <c r="C254" s="564"/>
      <c r="D254" s="564"/>
      <c r="E254" s="564"/>
      <c r="F254" s="564"/>
      <c r="G254" s="564"/>
      <c r="H254" s="563"/>
      <c r="I254" s="563"/>
      <c r="J254" s="563"/>
      <c r="K254" s="563"/>
      <c r="L254" s="563"/>
      <c r="M254" s="563"/>
      <c r="N254" s="567"/>
      <c r="O254" s="568"/>
      <c r="P254" s="568"/>
      <c r="Q254" s="568"/>
      <c r="R254" s="568"/>
      <c r="S254" s="568"/>
      <c r="T254" s="568"/>
      <c r="U254" s="563"/>
      <c r="V254" s="563"/>
      <c r="W254" s="563"/>
      <c r="X254" s="563"/>
      <c r="Y254" s="563"/>
      <c r="Z254" s="563"/>
      <c r="AA254" s="563"/>
      <c r="AB254" s="563"/>
      <c r="AC254" s="563"/>
      <c r="AD254" s="563"/>
      <c r="AE254" s="563"/>
      <c r="AF254" s="563"/>
      <c r="AG254" s="563"/>
      <c r="AH254" s="563"/>
      <c r="AI254" s="563"/>
      <c r="AJ254" s="563"/>
      <c r="AK254" s="563"/>
      <c r="AL254" s="563"/>
      <c r="AM254" s="563"/>
      <c r="AN254" s="563"/>
      <c r="AO254" s="563"/>
      <c r="AP254" s="563"/>
      <c r="AQ254" s="563"/>
      <c r="AR254" s="563"/>
      <c r="AS254" s="563"/>
      <c r="AT254" s="563"/>
      <c r="AU254" s="563"/>
      <c r="AV254" s="563"/>
      <c r="AW254" s="563"/>
      <c r="AX254" s="563"/>
      <c r="AY254" s="563"/>
      <c r="AZ254" s="563"/>
    </row>
    <row r="255" spans="1:52" ht="18" customHeight="1">
      <c r="A255" s="563"/>
      <c r="B255" s="564"/>
      <c r="C255" s="564"/>
      <c r="D255" s="564"/>
      <c r="E255" s="564"/>
      <c r="F255" s="564"/>
      <c r="G255" s="564"/>
      <c r="H255" s="563"/>
      <c r="I255" s="563"/>
      <c r="J255" s="563"/>
      <c r="K255" s="563"/>
      <c r="L255" s="563"/>
      <c r="M255" s="563"/>
      <c r="N255" s="567"/>
      <c r="O255" s="568"/>
      <c r="P255" s="568"/>
      <c r="Q255" s="568"/>
      <c r="R255" s="568"/>
      <c r="S255" s="568"/>
      <c r="T255" s="568"/>
      <c r="U255" s="563"/>
      <c r="V255" s="563"/>
      <c r="W255" s="563"/>
      <c r="X255" s="563"/>
      <c r="Y255" s="563"/>
      <c r="Z255" s="563"/>
      <c r="AA255" s="563"/>
      <c r="AB255" s="563"/>
      <c r="AC255" s="563"/>
      <c r="AD255" s="563"/>
      <c r="AE255" s="563"/>
      <c r="AF255" s="563"/>
      <c r="AG255" s="563"/>
      <c r="AH255" s="563"/>
      <c r="AI255" s="563"/>
      <c r="AJ255" s="563"/>
      <c r="AK255" s="563"/>
      <c r="AL255" s="563"/>
      <c r="AM255" s="563"/>
      <c r="AN255" s="563"/>
      <c r="AO255" s="563"/>
      <c r="AP255" s="563"/>
      <c r="AQ255" s="563"/>
      <c r="AR255" s="563"/>
      <c r="AS255" s="563"/>
      <c r="AT255" s="563"/>
      <c r="AU255" s="563"/>
      <c r="AV255" s="563"/>
      <c r="AW255" s="563"/>
      <c r="AX255" s="563"/>
      <c r="AY255" s="563"/>
      <c r="AZ255" s="563"/>
    </row>
    <row r="256" spans="1:52" ht="18" customHeight="1">
      <c r="A256" s="563"/>
      <c r="B256" s="564"/>
      <c r="C256" s="564"/>
      <c r="D256" s="564"/>
      <c r="E256" s="564"/>
      <c r="F256" s="564"/>
      <c r="G256" s="564"/>
      <c r="H256" s="563"/>
      <c r="I256" s="563"/>
      <c r="J256" s="563"/>
      <c r="K256" s="563"/>
      <c r="L256" s="563"/>
      <c r="M256" s="563"/>
      <c r="N256" s="567"/>
      <c r="O256" s="568"/>
      <c r="P256" s="568"/>
      <c r="Q256" s="568"/>
      <c r="R256" s="568"/>
      <c r="S256" s="568"/>
      <c r="T256" s="568"/>
      <c r="U256" s="563"/>
      <c r="V256" s="563"/>
      <c r="W256" s="563"/>
      <c r="X256" s="563"/>
      <c r="Y256" s="563"/>
      <c r="Z256" s="563"/>
      <c r="AA256" s="563"/>
      <c r="AB256" s="563"/>
      <c r="AC256" s="563"/>
      <c r="AD256" s="563"/>
      <c r="AE256" s="563"/>
      <c r="AF256" s="563"/>
      <c r="AG256" s="563"/>
      <c r="AH256" s="563"/>
      <c r="AI256" s="563"/>
      <c r="AJ256" s="563"/>
      <c r="AK256" s="563"/>
      <c r="AL256" s="563"/>
      <c r="AM256" s="563"/>
      <c r="AN256" s="563"/>
      <c r="AO256" s="563"/>
      <c r="AP256" s="563"/>
      <c r="AQ256" s="563"/>
      <c r="AR256" s="563"/>
      <c r="AS256" s="563"/>
      <c r="AT256" s="563"/>
      <c r="AU256" s="563"/>
      <c r="AV256" s="563"/>
      <c r="AW256" s="563"/>
      <c r="AX256" s="563"/>
      <c r="AY256" s="563"/>
      <c r="AZ256" s="563"/>
    </row>
    <row r="257" spans="1:52" ht="18" customHeight="1">
      <c r="A257" s="563"/>
      <c r="B257" s="564"/>
      <c r="C257" s="564"/>
      <c r="D257" s="564"/>
      <c r="E257" s="564"/>
      <c r="F257" s="564"/>
      <c r="G257" s="564"/>
      <c r="H257" s="563"/>
      <c r="I257" s="563"/>
      <c r="J257" s="563"/>
      <c r="K257" s="563"/>
      <c r="L257" s="563"/>
      <c r="M257" s="563"/>
      <c r="N257" s="567"/>
      <c r="O257" s="568"/>
      <c r="P257" s="568"/>
      <c r="Q257" s="568"/>
      <c r="R257" s="568"/>
      <c r="S257" s="568"/>
      <c r="T257" s="568"/>
      <c r="U257" s="563"/>
      <c r="V257" s="563"/>
      <c r="W257" s="563"/>
      <c r="X257" s="563"/>
      <c r="Y257" s="563"/>
      <c r="Z257" s="563"/>
      <c r="AA257" s="563"/>
      <c r="AB257" s="563"/>
      <c r="AC257" s="563"/>
      <c r="AD257" s="563"/>
      <c r="AE257" s="563"/>
      <c r="AF257" s="563"/>
      <c r="AG257" s="563"/>
      <c r="AH257" s="563"/>
      <c r="AI257" s="563"/>
      <c r="AJ257" s="563"/>
      <c r="AK257" s="563"/>
      <c r="AL257" s="563"/>
      <c r="AM257" s="563"/>
      <c r="AN257" s="563"/>
      <c r="AO257" s="563"/>
      <c r="AP257" s="563"/>
      <c r="AQ257" s="563"/>
      <c r="AR257" s="563"/>
      <c r="AS257" s="563"/>
      <c r="AT257" s="563"/>
      <c r="AU257" s="563"/>
      <c r="AV257" s="563"/>
      <c r="AW257" s="563"/>
      <c r="AX257" s="563"/>
      <c r="AY257" s="563"/>
      <c r="AZ257" s="563"/>
    </row>
    <row r="258" spans="1:52" ht="18" customHeight="1">
      <c r="A258" s="563"/>
      <c r="B258" s="564"/>
      <c r="C258" s="564"/>
      <c r="D258" s="564"/>
      <c r="E258" s="564"/>
      <c r="F258" s="564"/>
      <c r="G258" s="564"/>
      <c r="H258" s="563"/>
      <c r="I258" s="563"/>
      <c r="J258" s="563"/>
      <c r="K258" s="563"/>
      <c r="L258" s="563"/>
      <c r="M258" s="563"/>
      <c r="N258" s="567"/>
      <c r="O258" s="568"/>
      <c r="P258" s="568"/>
      <c r="Q258" s="568"/>
      <c r="R258" s="568"/>
      <c r="S258" s="568"/>
      <c r="T258" s="568"/>
      <c r="U258" s="563"/>
      <c r="V258" s="563"/>
      <c r="W258" s="563"/>
      <c r="X258" s="563"/>
      <c r="Y258" s="563"/>
      <c r="Z258" s="563"/>
      <c r="AA258" s="563"/>
      <c r="AB258" s="563"/>
      <c r="AC258" s="563"/>
      <c r="AD258" s="563"/>
      <c r="AE258" s="563"/>
      <c r="AF258" s="563"/>
      <c r="AG258" s="563"/>
      <c r="AH258" s="563"/>
      <c r="AI258" s="563"/>
      <c r="AJ258" s="563"/>
      <c r="AK258" s="563"/>
      <c r="AL258" s="563"/>
      <c r="AM258" s="563"/>
      <c r="AN258" s="563"/>
      <c r="AO258" s="563"/>
      <c r="AP258" s="563"/>
      <c r="AQ258" s="563"/>
      <c r="AR258" s="563"/>
      <c r="AS258" s="563"/>
      <c r="AT258" s="563"/>
      <c r="AU258" s="563"/>
      <c r="AV258" s="563"/>
      <c r="AW258" s="563"/>
      <c r="AX258" s="563"/>
      <c r="AY258" s="563"/>
      <c r="AZ258" s="563"/>
    </row>
    <row r="259" spans="1:52" ht="18" customHeight="1">
      <c r="A259" s="563"/>
      <c r="B259" s="564"/>
      <c r="C259" s="564"/>
      <c r="D259" s="564"/>
      <c r="E259" s="564"/>
      <c r="F259" s="564"/>
      <c r="G259" s="564"/>
      <c r="H259" s="563"/>
      <c r="I259" s="563"/>
      <c r="J259" s="563"/>
      <c r="K259" s="563"/>
      <c r="L259" s="563"/>
      <c r="M259" s="563"/>
      <c r="N259" s="567"/>
      <c r="O259" s="568"/>
      <c r="P259" s="568"/>
      <c r="Q259" s="568"/>
      <c r="R259" s="568"/>
      <c r="S259" s="568"/>
      <c r="T259" s="568"/>
      <c r="U259" s="563"/>
      <c r="V259" s="563"/>
      <c r="W259" s="563"/>
      <c r="X259" s="563"/>
      <c r="Y259" s="563"/>
      <c r="Z259" s="563"/>
      <c r="AA259" s="563"/>
      <c r="AB259" s="563"/>
      <c r="AC259" s="563"/>
      <c r="AD259" s="563"/>
      <c r="AE259" s="563"/>
      <c r="AF259" s="563"/>
      <c r="AG259" s="563"/>
      <c r="AH259" s="563"/>
      <c r="AI259" s="563"/>
      <c r="AJ259" s="563"/>
      <c r="AK259" s="563"/>
      <c r="AL259" s="563"/>
      <c r="AM259" s="563"/>
      <c r="AN259" s="563"/>
      <c r="AO259" s="563"/>
      <c r="AP259" s="563"/>
      <c r="AQ259" s="563"/>
      <c r="AR259" s="563"/>
      <c r="AS259" s="563"/>
      <c r="AT259" s="563"/>
      <c r="AU259" s="563"/>
      <c r="AV259" s="563"/>
      <c r="AW259" s="563"/>
      <c r="AX259" s="563"/>
      <c r="AY259" s="563"/>
      <c r="AZ259" s="563"/>
    </row>
    <row r="260" spans="1:52" ht="18" customHeight="1">
      <c r="A260" s="563"/>
      <c r="B260" s="564"/>
      <c r="C260" s="564"/>
      <c r="D260" s="564"/>
      <c r="E260" s="564"/>
      <c r="F260" s="564"/>
      <c r="G260" s="564"/>
      <c r="H260" s="563"/>
      <c r="I260" s="563"/>
      <c r="J260" s="563"/>
      <c r="K260" s="563"/>
      <c r="L260" s="563"/>
      <c r="M260" s="563"/>
      <c r="N260" s="567"/>
      <c r="O260" s="568"/>
      <c r="P260" s="568"/>
      <c r="Q260" s="568"/>
      <c r="R260" s="568"/>
      <c r="S260" s="568"/>
      <c r="T260" s="568"/>
      <c r="U260" s="563"/>
      <c r="V260" s="563"/>
      <c r="W260" s="563"/>
      <c r="X260" s="563"/>
      <c r="Y260" s="563"/>
      <c r="Z260" s="563"/>
      <c r="AA260" s="563"/>
      <c r="AB260" s="563"/>
      <c r="AC260" s="563"/>
      <c r="AD260" s="563"/>
      <c r="AE260" s="563"/>
      <c r="AF260" s="563"/>
      <c r="AG260" s="563"/>
      <c r="AH260" s="563"/>
      <c r="AI260" s="563"/>
      <c r="AJ260" s="563"/>
      <c r="AK260" s="563"/>
      <c r="AL260" s="563"/>
      <c r="AM260" s="563"/>
      <c r="AN260" s="563"/>
      <c r="AO260" s="563"/>
      <c r="AP260" s="563"/>
      <c r="AQ260" s="563"/>
      <c r="AR260" s="563"/>
      <c r="AS260" s="563"/>
      <c r="AT260" s="563"/>
      <c r="AU260" s="563"/>
      <c r="AV260" s="563"/>
      <c r="AW260" s="563"/>
      <c r="AX260" s="563"/>
      <c r="AY260" s="563"/>
      <c r="AZ260" s="563"/>
    </row>
    <row r="261" spans="1:52" ht="18" customHeight="1">
      <c r="A261" s="563"/>
      <c r="B261" s="564"/>
      <c r="C261" s="564"/>
      <c r="D261" s="564"/>
      <c r="E261" s="564"/>
      <c r="F261" s="564"/>
      <c r="G261" s="564"/>
      <c r="H261" s="563"/>
      <c r="I261" s="563"/>
      <c r="J261" s="563"/>
      <c r="K261" s="563"/>
      <c r="L261" s="563"/>
      <c r="M261" s="563"/>
      <c r="N261" s="567"/>
      <c r="O261" s="568"/>
      <c r="P261" s="568"/>
      <c r="Q261" s="568"/>
      <c r="R261" s="568"/>
      <c r="S261" s="568"/>
      <c r="T261" s="568"/>
      <c r="U261" s="563"/>
      <c r="V261" s="563"/>
      <c r="W261" s="563"/>
      <c r="X261" s="563"/>
      <c r="Y261" s="563"/>
      <c r="Z261" s="563"/>
      <c r="AA261" s="563"/>
      <c r="AB261" s="563"/>
      <c r="AC261" s="563"/>
      <c r="AD261" s="563"/>
      <c r="AE261" s="563"/>
      <c r="AF261" s="563"/>
      <c r="AG261" s="563"/>
      <c r="AH261" s="563"/>
      <c r="AI261" s="563"/>
      <c r="AJ261" s="563"/>
      <c r="AK261" s="563"/>
      <c r="AL261" s="563"/>
      <c r="AM261" s="563"/>
      <c r="AN261" s="563"/>
      <c r="AO261" s="563"/>
      <c r="AP261" s="563"/>
      <c r="AQ261" s="563"/>
      <c r="AR261" s="563"/>
      <c r="AS261" s="563"/>
      <c r="AT261" s="563"/>
      <c r="AU261" s="563"/>
      <c r="AV261" s="563"/>
      <c r="AW261" s="563"/>
      <c r="AX261" s="563"/>
      <c r="AY261" s="563"/>
      <c r="AZ261" s="563"/>
    </row>
    <row r="262" spans="1:52" ht="18" customHeight="1">
      <c r="A262" s="563"/>
      <c r="B262" s="564"/>
      <c r="C262" s="564"/>
      <c r="D262" s="564"/>
      <c r="E262" s="564"/>
      <c r="F262" s="564"/>
      <c r="G262" s="564"/>
      <c r="H262" s="563"/>
      <c r="I262" s="563"/>
      <c r="J262" s="563"/>
      <c r="K262" s="563"/>
      <c r="L262" s="563"/>
      <c r="M262" s="563"/>
      <c r="N262" s="567"/>
      <c r="O262" s="568"/>
      <c r="P262" s="568"/>
      <c r="Q262" s="568"/>
      <c r="R262" s="568"/>
      <c r="S262" s="568"/>
      <c r="T262" s="568"/>
      <c r="U262" s="563"/>
      <c r="V262" s="563"/>
      <c r="W262" s="563"/>
      <c r="X262" s="563"/>
      <c r="Y262" s="563"/>
      <c r="Z262" s="563"/>
      <c r="AA262" s="563"/>
      <c r="AB262" s="563"/>
      <c r="AC262" s="563"/>
      <c r="AD262" s="563"/>
      <c r="AE262" s="563"/>
      <c r="AF262" s="563"/>
      <c r="AG262" s="563"/>
      <c r="AH262" s="563"/>
      <c r="AI262" s="563"/>
      <c r="AJ262" s="563"/>
      <c r="AK262" s="563"/>
      <c r="AL262" s="563"/>
      <c r="AM262" s="563"/>
      <c r="AN262" s="563"/>
      <c r="AO262" s="563"/>
      <c r="AP262" s="563"/>
      <c r="AQ262" s="563"/>
      <c r="AR262" s="563"/>
      <c r="AS262" s="563"/>
      <c r="AT262" s="563"/>
      <c r="AU262" s="563"/>
      <c r="AV262" s="563"/>
      <c r="AW262" s="563"/>
      <c r="AX262" s="563"/>
      <c r="AY262" s="563"/>
      <c r="AZ262" s="563"/>
    </row>
    <row r="263" spans="1:52" ht="18" customHeight="1">
      <c r="A263" s="563"/>
      <c r="B263" s="564"/>
      <c r="C263" s="564"/>
      <c r="D263" s="564"/>
      <c r="E263" s="564"/>
      <c r="F263" s="564"/>
      <c r="G263" s="564"/>
      <c r="H263" s="563"/>
      <c r="I263" s="563"/>
      <c r="J263" s="563"/>
      <c r="K263" s="563"/>
      <c r="L263" s="563"/>
      <c r="M263" s="563"/>
      <c r="N263" s="567"/>
      <c r="O263" s="568"/>
      <c r="P263" s="568"/>
      <c r="Q263" s="568"/>
      <c r="R263" s="568"/>
      <c r="S263" s="568"/>
      <c r="T263" s="568"/>
      <c r="U263" s="563"/>
      <c r="V263" s="563"/>
      <c r="W263" s="563"/>
      <c r="X263" s="563"/>
      <c r="Y263" s="563"/>
      <c r="Z263" s="563"/>
      <c r="AA263" s="563"/>
      <c r="AB263" s="563"/>
      <c r="AC263" s="563"/>
      <c r="AD263" s="563"/>
      <c r="AE263" s="563"/>
      <c r="AF263" s="563"/>
      <c r="AG263" s="563"/>
      <c r="AH263" s="563"/>
      <c r="AI263" s="563"/>
      <c r="AJ263" s="563"/>
      <c r="AK263" s="563"/>
      <c r="AL263" s="563"/>
      <c r="AM263" s="563"/>
      <c r="AN263" s="563"/>
      <c r="AO263" s="563"/>
      <c r="AP263" s="563"/>
      <c r="AQ263" s="563"/>
      <c r="AR263" s="563"/>
      <c r="AS263" s="563"/>
      <c r="AT263" s="563"/>
      <c r="AU263" s="563"/>
      <c r="AV263" s="563"/>
      <c r="AW263" s="563"/>
      <c r="AX263" s="563"/>
      <c r="AY263" s="563"/>
      <c r="AZ263" s="563"/>
    </row>
    <row r="264" spans="1:52" ht="18" customHeight="1">
      <c r="A264" s="563"/>
      <c r="B264" s="564"/>
      <c r="C264" s="564"/>
      <c r="D264" s="564"/>
      <c r="E264" s="564"/>
      <c r="F264" s="564"/>
      <c r="G264" s="564"/>
      <c r="H264" s="563"/>
      <c r="I264" s="563"/>
      <c r="J264" s="563"/>
      <c r="K264" s="563"/>
      <c r="L264" s="563"/>
      <c r="M264" s="563"/>
      <c r="N264" s="567"/>
      <c r="O264" s="568"/>
      <c r="P264" s="568"/>
      <c r="Q264" s="568"/>
      <c r="R264" s="568"/>
      <c r="S264" s="568"/>
      <c r="T264" s="568"/>
      <c r="U264" s="563"/>
      <c r="V264" s="563"/>
      <c r="W264" s="563"/>
      <c r="X264" s="563"/>
      <c r="Y264" s="563"/>
      <c r="Z264" s="563"/>
      <c r="AA264" s="563"/>
      <c r="AB264" s="563"/>
      <c r="AC264" s="563"/>
      <c r="AD264" s="563"/>
      <c r="AE264" s="563"/>
      <c r="AF264" s="563"/>
      <c r="AG264" s="563"/>
      <c r="AH264" s="563"/>
      <c r="AI264" s="563"/>
      <c r="AJ264" s="563"/>
      <c r="AK264" s="563"/>
      <c r="AL264" s="563"/>
      <c r="AM264" s="563"/>
      <c r="AN264" s="563"/>
      <c r="AO264" s="563"/>
      <c r="AP264" s="563"/>
      <c r="AQ264" s="563"/>
      <c r="AR264" s="563"/>
      <c r="AS264" s="563"/>
      <c r="AT264" s="563"/>
      <c r="AU264" s="563"/>
      <c r="AV264" s="563"/>
      <c r="AW264" s="563"/>
      <c r="AX264" s="563"/>
      <c r="AY264" s="563"/>
      <c r="AZ264" s="563"/>
    </row>
    <row r="265" spans="1:52" ht="18" customHeight="1">
      <c r="A265" s="563"/>
      <c r="B265" s="564"/>
      <c r="C265" s="564"/>
      <c r="D265" s="564"/>
      <c r="E265" s="564"/>
      <c r="F265" s="564"/>
      <c r="G265" s="564"/>
      <c r="H265" s="563"/>
      <c r="I265" s="563"/>
      <c r="J265" s="563"/>
      <c r="K265" s="563"/>
      <c r="L265" s="563"/>
      <c r="M265" s="563"/>
      <c r="N265" s="567"/>
      <c r="O265" s="568"/>
      <c r="P265" s="568"/>
      <c r="Q265" s="568"/>
      <c r="R265" s="568"/>
      <c r="S265" s="568"/>
      <c r="T265" s="568"/>
      <c r="U265" s="563"/>
      <c r="V265" s="563"/>
      <c r="W265" s="563"/>
      <c r="X265" s="563"/>
      <c r="Y265" s="563"/>
      <c r="Z265" s="563"/>
      <c r="AA265" s="563"/>
      <c r="AB265" s="563"/>
      <c r="AC265" s="563"/>
      <c r="AD265" s="563"/>
      <c r="AE265" s="563"/>
      <c r="AF265" s="563"/>
      <c r="AG265" s="563"/>
      <c r="AH265" s="563"/>
      <c r="AI265" s="563"/>
      <c r="AJ265" s="563"/>
      <c r="AK265" s="563"/>
      <c r="AL265" s="563"/>
      <c r="AM265" s="563"/>
      <c r="AN265" s="563"/>
      <c r="AO265" s="563"/>
      <c r="AP265" s="563"/>
      <c r="AQ265" s="563"/>
      <c r="AR265" s="563"/>
      <c r="AS265" s="563"/>
      <c r="AT265" s="563"/>
      <c r="AU265" s="563"/>
      <c r="AV265" s="563"/>
      <c r="AW265" s="563"/>
      <c r="AX265" s="563"/>
      <c r="AY265" s="563"/>
      <c r="AZ265" s="563"/>
    </row>
    <row r="266" spans="1:52" ht="18" customHeight="1">
      <c r="A266" s="563"/>
      <c r="B266" s="564"/>
      <c r="C266" s="564"/>
      <c r="D266" s="564"/>
      <c r="E266" s="564"/>
      <c r="F266" s="564"/>
      <c r="G266" s="564"/>
      <c r="H266" s="563"/>
      <c r="I266" s="563"/>
      <c r="J266" s="563"/>
      <c r="K266" s="563"/>
      <c r="L266" s="563"/>
      <c r="M266" s="563"/>
      <c r="N266" s="567"/>
      <c r="O266" s="568"/>
      <c r="P266" s="568"/>
      <c r="Q266" s="568"/>
      <c r="R266" s="568"/>
      <c r="S266" s="568"/>
      <c r="T266" s="568"/>
      <c r="U266" s="563"/>
      <c r="V266" s="563"/>
      <c r="W266" s="563"/>
      <c r="X266" s="563"/>
      <c r="Y266" s="563"/>
      <c r="Z266" s="563"/>
      <c r="AA266" s="563"/>
      <c r="AB266" s="563"/>
      <c r="AC266" s="563"/>
      <c r="AD266" s="563"/>
      <c r="AE266" s="563"/>
      <c r="AF266" s="563"/>
      <c r="AG266" s="563"/>
      <c r="AH266" s="563"/>
      <c r="AI266" s="563"/>
      <c r="AJ266" s="563"/>
      <c r="AK266" s="563"/>
      <c r="AL266" s="563"/>
      <c r="AM266" s="563"/>
      <c r="AN266" s="563"/>
      <c r="AO266" s="563"/>
      <c r="AP266" s="563"/>
      <c r="AQ266" s="563"/>
      <c r="AR266" s="563"/>
      <c r="AS266" s="563"/>
      <c r="AT266" s="563"/>
      <c r="AU266" s="563"/>
      <c r="AV266" s="563"/>
      <c r="AW266" s="563"/>
      <c r="AX266" s="563"/>
      <c r="AY266" s="563"/>
      <c r="AZ266" s="563"/>
    </row>
    <row r="267" spans="1:52" ht="18" customHeight="1">
      <c r="A267" s="563"/>
      <c r="B267" s="564"/>
      <c r="C267" s="564"/>
      <c r="D267" s="564"/>
      <c r="E267" s="564"/>
      <c r="F267" s="564"/>
      <c r="G267" s="564"/>
      <c r="H267" s="563"/>
      <c r="I267" s="563"/>
      <c r="J267" s="563"/>
      <c r="K267" s="563"/>
      <c r="L267" s="563"/>
      <c r="M267" s="563"/>
      <c r="N267" s="567"/>
      <c r="O267" s="568"/>
      <c r="P267" s="568"/>
      <c r="Q267" s="568"/>
      <c r="R267" s="568"/>
      <c r="S267" s="568"/>
      <c r="T267" s="568"/>
      <c r="U267" s="563"/>
      <c r="V267" s="563"/>
      <c r="W267" s="563"/>
      <c r="X267" s="563"/>
      <c r="Y267" s="563"/>
      <c r="Z267" s="563"/>
      <c r="AA267" s="563"/>
      <c r="AB267" s="563"/>
      <c r="AC267" s="563"/>
      <c r="AD267" s="563"/>
      <c r="AE267" s="563"/>
      <c r="AF267" s="563"/>
      <c r="AG267" s="563"/>
      <c r="AH267" s="563"/>
      <c r="AI267" s="563"/>
      <c r="AJ267" s="563"/>
      <c r="AK267" s="563"/>
      <c r="AL267" s="563"/>
      <c r="AM267" s="563"/>
      <c r="AN267" s="563"/>
      <c r="AO267" s="563"/>
      <c r="AP267" s="563"/>
      <c r="AQ267" s="563"/>
      <c r="AR267" s="563"/>
      <c r="AS267" s="563"/>
      <c r="AT267" s="563"/>
      <c r="AU267" s="563"/>
      <c r="AV267" s="563"/>
      <c r="AW267" s="563"/>
      <c r="AX267" s="563"/>
      <c r="AY267" s="563"/>
      <c r="AZ267" s="563"/>
    </row>
    <row r="268" spans="1:52" ht="18" customHeight="1">
      <c r="A268" s="563"/>
      <c r="B268" s="564"/>
      <c r="C268" s="564"/>
      <c r="D268" s="564"/>
      <c r="E268" s="564"/>
      <c r="F268" s="564"/>
      <c r="G268" s="564"/>
      <c r="H268" s="563"/>
      <c r="I268" s="563"/>
      <c r="J268" s="563"/>
      <c r="K268" s="563"/>
      <c r="L268" s="563"/>
      <c r="M268" s="563"/>
      <c r="N268" s="567"/>
      <c r="O268" s="568"/>
      <c r="P268" s="568"/>
      <c r="Q268" s="568"/>
      <c r="R268" s="568"/>
      <c r="S268" s="568"/>
      <c r="T268" s="568"/>
      <c r="U268" s="563"/>
      <c r="V268" s="563"/>
      <c r="W268" s="563"/>
      <c r="X268" s="563"/>
      <c r="Y268" s="563"/>
      <c r="Z268" s="563"/>
      <c r="AA268" s="563"/>
      <c r="AB268" s="563"/>
      <c r="AC268" s="563"/>
      <c r="AD268" s="563"/>
      <c r="AE268" s="563"/>
      <c r="AF268" s="563"/>
      <c r="AG268" s="563"/>
      <c r="AH268" s="563"/>
      <c r="AI268" s="563"/>
      <c r="AJ268" s="563"/>
      <c r="AK268" s="563"/>
      <c r="AL268" s="563"/>
      <c r="AM268" s="563"/>
      <c r="AN268" s="563"/>
      <c r="AO268" s="563"/>
      <c r="AP268" s="563"/>
      <c r="AQ268" s="563"/>
      <c r="AR268" s="563"/>
      <c r="AS268" s="563"/>
      <c r="AT268" s="563"/>
      <c r="AU268" s="563"/>
      <c r="AV268" s="563"/>
      <c r="AW268" s="563"/>
      <c r="AX268" s="563"/>
      <c r="AY268" s="563"/>
      <c r="AZ268" s="563"/>
    </row>
    <row r="269" spans="1:52" ht="18" customHeight="1">
      <c r="A269" s="563"/>
      <c r="B269" s="564"/>
      <c r="C269" s="564"/>
      <c r="D269" s="564"/>
      <c r="E269" s="564"/>
      <c r="F269" s="564"/>
      <c r="G269" s="564"/>
      <c r="H269" s="563"/>
      <c r="I269" s="563"/>
      <c r="J269" s="563"/>
      <c r="K269" s="563"/>
      <c r="L269" s="563"/>
      <c r="M269" s="563"/>
      <c r="N269" s="567"/>
      <c r="O269" s="568"/>
      <c r="P269" s="568"/>
      <c r="Q269" s="568"/>
      <c r="R269" s="568"/>
      <c r="S269" s="568"/>
      <c r="T269" s="568"/>
      <c r="U269" s="563"/>
      <c r="V269" s="563"/>
      <c r="W269" s="563"/>
      <c r="X269" s="563"/>
      <c r="Y269" s="563"/>
      <c r="Z269" s="563"/>
      <c r="AA269" s="563"/>
      <c r="AB269" s="563"/>
      <c r="AC269" s="563"/>
      <c r="AD269" s="563"/>
      <c r="AE269" s="563"/>
      <c r="AF269" s="563"/>
      <c r="AG269" s="563"/>
      <c r="AH269" s="563"/>
      <c r="AI269" s="563"/>
      <c r="AJ269" s="563"/>
      <c r="AK269" s="563"/>
      <c r="AL269" s="563"/>
      <c r="AM269" s="563"/>
      <c r="AN269" s="563"/>
      <c r="AO269" s="563"/>
      <c r="AP269" s="563"/>
      <c r="AQ269" s="563"/>
      <c r="AR269" s="563"/>
      <c r="AS269" s="563"/>
      <c r="AT269" s="563"/>
      <c r="AU269" s="563"/>
      <c r="AV269" s="563"/>
      <c r="AW269" s="563"/>
      <c r="AX269" s="563"/>
      <c r="AY269" s="563"/>
      <c r="AZ269" s="563"/>
    </row>
    <row r="270" spans="1:52" ht="18" customHeight="1">
      <c r="A270" s="563"/>
      <c r="B270" s="564"/>
      <c r="C270" s="564"/>
      <c r="D270" s="564"/>
      <c r="E270" s="564"/>
      <c r="F270" s="564"/>
      <c r="G270" s="564"/>
      <c r="H270" s="563"/>
      <c r="I270" s="563"/>
      <c r="J270" s="563"/>
      <c r="K270" s="563"/>
      <c r="L270" s="563"/>
      <c r="M270" s="563"/>
      <c r="N270" s="567"/>
      <c r="O270" s="568"/>
      <c r="P270" s="568"/>
      <c r="Q270" s="568"/>
      <c r="R270" s="568"/>
      <c r="S270" s="568"/>
      <c r="T270" s="568"/>
      <c r="U270" s="563"/>
      <c r="V270" s="563"/>
      <c r="W270" s="563"/>
      <c r="X270" s="563"/>
      <c r="Y270" s="563"/>
      <c r="Z270" s="563"/>
      <c r="AA270" s="563"/>
      <c r="AB270" s="563"/>
      <c r="AC270" s="563"/>
      <c r="AD270" s="563"/>
      <c r="AE270" s="563"/>
      <c r="AF270" s="563"/>
      <c r="AG270" s="563"/>
      <c r="AH270" s="563"/>
      <c r="AI270" s="563"/>
      <c r="AJ270" s="563"/>
      <c r="AK270" s="563"/>
      <c r="AL270" s="563"/>
      <c r="AM270" s="563"/>
      <c r="AN270" s="563"/>
      <c r="AO270" s="563"/>
      <c r="AP270" s="563"/>
      <c r="AQ270" s="563"/>
      <c r="AR270" s="563"/>
      <c r="AS270" s="563"/>
      <c r="AT270" s="563"/>
      <c r="AU270" s="563"/>
      <c r="AV270" s="563"/>
      <c r="AW270" s="563"/>
      <c r="AX270" s="563"/>
      <c r="AY270" s="563"/>
      <c r="AZ270" s="563"/>
    </row>
    <row r="271" spans="1:52" ht="18" customHeight="1">
      <c r="A271" s="563"/>
      <c r="B271" s="564"/>
      <c r="C271" s="564"/>
      <c r="D271" s="564"/>
      <c r="E271" s="564"/>
      <c r="F271" s="564"/>
      <c r="G271" s="564"/>
      <c r="H271" s="563"/>
      <c r="I271" s="563"/>
      <c r="J271" s="563"/>
      <c r="K271" s="563"/>
      <c r="L271" s="563"/>
      <c r="M271" s="563"/>
      <c r="N271" s="567"/>
      <c r="O271" s="568"/>
      <c r="P271" s="568"/>
      <c r="Q271" s="568"/>
      <c r="R271" s="568"/>
      <c r="S271" s="568"/>
      <c r="T271" s="568"/>
      <c r="U271" s="563"/>
      <c r="V271" s="563"/>
      <c r="W271" s="563"/>
      <c r="X271" s="563"/>
      <c r="Y271" s="563"/>
      <c r="Z271" s="563"/>
      <c r="AA271" s="563"/>
      <c r="AB271" s="563"/>
      <c r="AC271" s="563"/>
      <c r="AD271" s="563"/>
      <c r="AE271" s="563"/>
      <c r="AF271" s="563"/>
      <c r="AG271" s="563"/>
      <c r="AH271" s="563"/>
      <c r="AI271" s="563"/>
      <c r="AJ271" s="563"/>
      <c r="AK271" s="563"/>
      <c r="AL271" s="563"/>
      <c r="AM271" s="563"/>
      <c r="AN271" s="563"/>
      <c r="AO271" s="563"/>
      <c r="AP271" s="563"/>
      <c r="AQ271" s="563"/>
      <c r="AR271" s="563"/>
      <c r="AS271" s="563"/>
      <c r="AT271" s="563"/>
      <c r="AU271" s="563"/>
      <c r="AV271" s="563"/>
      <c r="AW271" s="563"/>
      <c r="AX271" s="563"/>
      <c r="AY271" s="563"/>
      <c r="AZ271" s="563"/>
    </row>
    <row r="272" spans="1:52" ht="18" customHeight="1">
      <c r="A272" s="563"/>
      <c r="B272" s="564"/>
      <c r="C272" s="564"/>
      <c r="D272" s="564"/>
      <c r="E272" s="564"/>
      <c r="F272" s="564"/>
      <c r="G272" s="564"/>
      <c r="H272" s="563"/>
      <c r="I272" s="563"/>
      <c r="J272" s="563"/>
      <c r="K272" s="563"/>
      <c r="L272" s="563"/>
      <c r="M272" s="563"/>
      <c r="N272" s="567"/>
      <c r="O272" s="568"/>
      <c r="P272" s="568"/>
      <c r="Q272" s="568"/>
      <c r="R272" s="568"/>
      <c r="S272" s="568"/>
      <c r="T272" s="568"/>
      <c r="U272" s="563"/>
      <c r="V272" s="563"/>
      <c r="W272" s="563"/>
      <c r="X272" s="563"/>
      <c r="Y272" s="563"/>
      <c r="Z272" s="563"/>
      <c r="AA272" s="563"/>
      <c r="AB272" s="563"/>
      <c r="AC272" s="563"/>
      <c r="AD272" s="563"/>
      <c r="AE272" s="563"/>
      <c r="AF272" s="563"/>
      <c r="AG272" s="563"/>
      <c r="AH272" s="563"/>
      <c r="AI272" s="563"/>
      <c r="AJ272" s="563"/>
      <c r="AK272" s="563"/>
      <c r="AL272" s="563"/>
      <c r="AM272" s="563"/>
      <c r="AN272" s="563"/>
      <c r="AO272" s="563"/>
      <c r="AP272" s="563"/>
      <c r="AQ272" s="563"/>
      <c r="AR272" s="563"/>
      <c r="AS272" s="563"/>
      <c r="AT272" s="563"/>
      <c r="AU272" s="563"/>
      <c r="AV272" s="563"/>
      <c r="AW272" s="563"/>
      <c r="AX272" s="563"/>
      <c r="AY272" s="563"/>
      <c r="AZ272" s="563"/>
    </row>
    <row r="273" spans="1:52" ht="18" customHeight="1">
      <c r="A273" s="563"/>
      <c r="B273" s="564"/>
      <c r="C273" s="564"/>
      <c r="D273" s="564"/>
      <c r="E273" s="564"/>
      <c r="F273" s="564"/>
      <c r="G273" s="564"/>
      <c r="H273" s="563"/>
      <c r="I273" s="563"/>
      <c r="J273" s="563"/>
      <c r="K273" s="563"/>
      <c r="L273" s="563"/>
      <c r="M273" s="563"/>
      <c r="N273" s="567"/>
      <c r="O273" s="568"/>
      <c r="P273" s="568"/>
      <c r="Q273" s="568"/>
      <c r="R273" s="568"/>
      <c r="S273" s="568"/>
      <c r="T273" s="568"/>
      <c r="U273" s="563"/>
      <c r="V273" s="563"/>
      <c r="W273" s="563"/>
      <c r="X273" s="563"/>
      <c r="Y273" s="563"/>
      <c r="Z273" s="563"/>
      <c r="AA273" s="563"/>
      <c r="AB273" s="563"/>
      <c r="AC273" s="563"/>
      <c r="AD273" s="563"/>
      <c r="AE273" s="563"/>
      <c r="AF273" s="563"/>
      <c r="AG273" s="563"/>
      <c r="AH273" s="563"/>
      <c r="AI273" s="563"/>
      <c r="AJ273" s="563"/>
      <c r="AK273" s="563"/>
      <c r="AL273" s="563"/>
      <c r="AM273" s="563"/>
      <c r="AN273" s="563"/>
      <c r="AO273" s="563"/>
      <c r="AP273" s="563"/>
      <c r="AQ273" s="563"/>
      <c r="AR273" s="563"/>
      <c r="AS273" s="563"/>
      <c r="AT273" s="563"/>
      <c r="AU273" s="563"/>
      <c r="AV273" s="563"/>
      <c r="AW273" s="563"/>
      <c r="AX273" s="563"/>
      <c r="AY273" s="563"/>
      <c r="AZ273" s="563"/>
    </row>
    <row r="274" spans="1:52" ht="18" customHeight="1">
      <c r="A274" s="563"/>
      <c r="B274" s="564"/>
      <c r="C274" s="564"/>
      <c r="D274" s="564"/>
      <c r="E274" s="564"/>
      <c r="F274" s="564"/>
      <c r="G274" s="564"/>
      <c r="H274" s="563"/>
      <c r="I274" s="563"/>
      <c r="J274" s="563"/>
      <c r="K274" s="563"/>
      <c r="L274" s="563"/>
      <c r="M274" s="563"/>
      <c r="N274" s="567"/>
      <c r="O274" s="568"/>
      <c r="P274" s="568"/>
      <c r="Q274" s="568"/>
      <c r="R274" s="568"/>
      <c r="S274" s="568"/>
      <c r="T274" s="568"/>
      <c r="U274" s="563"/>
      <c r="V274" s="563"/>
      <c r="W274" s="563"/>
      <c r="X274" s="563"/>
      <c r="Y274" s="563"/>
      <c r="Z274" s="563"/>
      <c r="AA274" s="563"/>
      <c r="AB274" s="563"/>
      <c r="AC274" s="563"/>
      <c r="AD274" s="563"/>
      <c r="AE274" s="563"/>
      <c r="AF274" s="563"/>
      <c r="AG274" s="563"/>
      <c r="AH274" s="563"/>
      <c r="AI274" s="563"/>
      <c r="AJ274" s="563"/>
      <c r="AK274" s="563"/>
      <c r="AL274" s="563"/>
      <c r="AM274" s="563"/>
      <c r="AN274" s="563"/>
      <c r="AO274" s="563"/>
      <c r="AP274" s="563"/>
      <c r="AQ274" s="563"/>
      <c r="AR274" s="563"/>
      <c r="AS274" s="563"/>
      <c r="AT274" s="563"/>
      <c r="AU274" s="563"/>
      <c r="AV274" s="563"/>
      <c r="AW274" s="563"/>
      <c r="AX274" s="563"/>
      <c r="AY274" s="563"/>
      <c r="AZ274" s="563"/>
    </row>
    <row r="275" spans="1:52" ht="18" customHeight="1">
      <c r="A275" s="563"/>
      <c r="B275" s="564"/>
      <c r="C275" s="564"/>
      <c r="D275" s="564"/>
      <c r="E275" s="564"/>
      <c r="F275" s="564"/>
      <c r="G275" s="564"/>
      <c r="H275" s="563"/>
      <c r="I275" s="563"/>
      <c r="J275" s="563"/>
      <c r="K275" s="563"/>
      <c r="L275" s="563"/>
      <c r="M275" s="563"/>
      <c r="N275" s="567"/>
      <c r="O275" s="568"/>
      <c r="P275" s="568"/>
      <c r="Q275" s="568"/>
      <c r="R275" s="568"/>
      <c r="S275" s="568"/>
      <c r="T275" s="568"/>
      <c r="U275" s="563"/>
      <c r="V275" s="563"/>
      <c r="W275" s="563"/>
      <c r="X275" s="563"/>
      <c r="Y275" s="563"/>
      <c r="Z275" s="563"/>
      <c r="AA275" s="563"/>
      <c r="AB275" s="563"/>
      <c r="AC275" s="563"/>
      <c r="AD275" s="563"/>
      <c r="AE275" s="563"/>
      <c r="AF275" s="563"/>
      <c r="AG275" s="563"/>
      <c r="AH275" s="563"/>
      <c r="AI275" s="563"/>
      <c r="AJ275" s="563"/>
      <c r="AK275" s="563"/>
      <c r="AL275" s="563"/>
      <c r="AM275" s="563"/>
      <c r="AN275" s="563"/>
      <c r="AO275" s="563"/>
      <c r="AP275" s="563"/>
      <c r="AQ275" s="563"/>
      <c r="AR275" s="563"/>
      <c r="AS275" s="563"/>
      <c r="AT275" s="563"/>
      <c r="AU275" s="563"/>
      <c r="AV275" s="563"/>
      <c r="AW275" s="563"/>
      <c r="AX275" s="563"/>
      <c r="AY275" s="563"/>
      <c r="AZ275" s="563"/>
    </row>
    <row r="276" spans="1:52" ht="18" customHeight="1">
      <c r="A276" s="563"/>
      <c r="B276" s="564"/>
      <c r="C276" s="564"/>
      <c r="D276" s="564"/>
      <c r="E276" s="564"/>
      <c r="F276" s="564"/>
      <c r="G276" s="564"/>
      <c r="H276" s="563"/>
      <c r="I276" s="563"/>
      <c r="J276" s="563"/>
      <c r="K276" s="563"/>
      <c r="L276" s="563"/>
      <c r="M276" s="563"/>
      <c r="N276" s="567"/>
      <c r="O276" s="568"/>
      <c r="P276" s="568"/>
      <c r="Q276" s="568"/>
      <c r="R276" s="568"/>
      <c r="S276" s="568"/>
      <c r="T276" s="568"/>
      <c r="U276" s="563"/>
      <c r="V276" s="563"/>
      <c r="W276" s="563"/>
      <c r="X276" s="563"/>
      <c r="Y276" s="563"/>
      <c r="Z276" s="563"/>
      <c r="AA276" s="563"/>
      <c r="AB276" s="563"/>
      <c r="AC276" s="563"/>
      <c r="AD276" s="563"/>
      <c r="AE276" s="563"/>
      <c r="AF276" s="563"/>
      <c r="AG276" s="563"/>
      <c r="AH276" s="563"/>
      <c r="AI276" s="563"/>
      <c r="AJ276" s="563"/>
      <c r="AK276" s="563"/>
      <c r="AL276" s="563"/>
      <c r="AM276" s="563"/>
      <c r="AN276" s="563"/>
      <c r="AO276" s="563"/>
      <c r="AP276" s="563"/>
      <c r="AQ276" s="563"/>
      <c r="AR276" s="563"/>
      <c r="AS276" s="563"/>
      <c r="AT276" s="563"/>
      <c r="AU276" s="563"/>
      <c r="AV276" s="563"/>
      <c r="AW276" s="563"/>
      <c r="AX276" s="563"/>
      <c r="AY276" s="563"/>
      <c r="AZ276" s="563"/>
    </row>
    <row r="277" spans="1:52" ht="18" customHeight="1">
      <c r="A277" s="563"/>
      <c r="B277" s="564"/>
      <c r="C277" s="564"/>
      <c r="D277" s="564"/>
      <c r="E277" s="564"/>
      <c r="F277" s="564"/>
      <c r="G277" s="564"/>
      <c r="H277" s="563"/>
      <c r="I277" s="563"/>
      <c r="J277" s="563"/>
      <c r="K277" s="563"/>
      <c r="L277" s="563"/>
      <c r="M277" s="563"/>
      <c r="N277" s="567"/>
      <c r="O277" s="568"/>
      <c r="P277" s="568"/>
      <c r="Q277" s="568"/>
      <c r="R277" s="568"/>
      <c r="S277" s="568"/>
      <c r="T277" s="568"/>
      <c r="U277" s="563"/>
      <c r="V277" s="563"/>
      <c r="W277" s="563"/>
      <c r="X277" s="563"/>
      <c r="Y277" s="563"/>
      <c r="Z277" s="563"/>
      <c r="AA277" s="563"/>
      <c r="AB277" s="563"/>
      <c r="AC277" s="563"/>
      <c r="AD277" s="563"/>
      <c r="AE277" s="563"/>
      <c r="AF277" s="563"/>
      <c r="AG277" s="563"/>
      <c r="AH277" s="563"/>
      <c r="AI277" s="563"/>
      <c r="AJ277" s="563"/>
      <c r="AK277" s="563"/>
      <c r="AL277" s="563"/>
      <c r="AM277" s="563"/>
      <c r="AN277" s="563"/>
      <c r="AO277" s="563"/>
      <c r="AP277" s="563"/>
      <c r="AQ277" s="563"/>
      <c r="AR277" s="563"/>
      <c r="AS277" s="563"/>
      <c r="AT277" s="563"/>
      <c r="AU277" s="563"/>
      <c r="AV277" s="563"/>
      <c r="AW277" s="563"/>
      <c r="AX277" s="563"/>
      <c r="AY277" s="563"/>
      <c r="AZ277" s="563"/>
    </row>
    <row r="278" spans="1:52" ht="18" customHeight="1">
      <c r="A278" s="563"/>
      <c r="B278" s="564"/>
      <c r="C278" s="564"/>
      <c r="D278" s="564"/>
      <c r="E278" s="564"/>
      <c r="F278" s="564"/>
      <c r="G278" s="564"/>
      <c r="H278" s="563"/>
      <c r="I278" s="563"/>
      <c r="J278" s="563"/>
      <c r="K278" s="563"/>
      <c r="L278" s="563"/>
      <c r="M278" s="563"/>
      <c r="N278" s="567"/>
      <c r="O278" s="568"/>
      <c r="P278" s="568"/>
      <c r="Q278" s="568"/>
      <c r="R278" s="568"/>
      <c r="S278" s="568"/>
      <c r="T278" s="568"/>
      <c r="U278" s="563"/>
      <c r="V278" s="563"/>
      <c r="W278" s="563"/>
      <c r="X278" s="563"/>
      <c r="Y278" s="563"/>
      <c r="Z278" s="563"/>
      <c r="AA278" s="563"/>
      <c r="AB278" s="563"/>
      <c r="AC278" s="563"/>
      <c r="AD278" s="563"/>
      <c r="AE278" s="563"/>
      <c r="AF278" s="563"/>
      <c r="AG278" s="563"/>
      <c r="AH278" s="563"/>
      <c r="AI278" s="563"/>
      <c r="AJ278" s="563"/>
      <c r="AK278" s="563"/>
      <c r="AL278" s="563"/>
      <c r="AM278" s="563"/>
      <c r="AN278" s="563"/>
      <c r="AO278" s="563"/>
      <c r="AP278" s="563"/>
      <c r="AQ278" s="563"/>
      <c r="AR278" s="563"/>
      <c r="AS278" s="563"/>
      <c r="AT278" s="563"/>
      <c r="AU278" s="563"/>
      <c r="AV278" s="563"/>
      <c r="AW278" s="563"/>
      <c r="AX278" s="563"/>
      <c r="AY278" s="563"/>
      <c r="AZ278" s="563"/>
    </row>
    <row r="279" spans="1:52" ht="18" customHeight="1">
      <c r="A279" s="563"/>
      <c r="B279" s="564"/>
      <c r="C279" s="564"/>
      <c r="D279" s="564"/>
      <c r="E279" s="564"/>
      <c r="F279" s="564"/>
      <c r="G279" s="564"/>
      <c r="H279" s="563"/>
      <c r="I279" s="563"/>
      <c r="J279" s="563"/>
      <c r="K279" s="563"/>
      <c r="L279" s="563"/>
      <c r="M279" s="563"/>
      <c r="N279" s="567"/>
      <c r="O279" s="568"/>
      <c r="P279" s="568"/>
      <c r="Q279" s="568"/>
      <c r="R279" s="568"/>
      <c r="S279" s="568"/>
      <c r="T279" s="568"/>
      <c r="U279" s="563"/>
      <c r="V279" s="563"/>
      <c r="W279" s="563"/>
      <c r="X279" s="563"/>
      <c r="Y279" s="563"/>
      <c r="Z279" s="563"/>
      <c r="AA279" s="563"/>
      <c r="AB279" s="563"/>
      <c r="AC279" s="563"/>
      <c r="AD279" s="563"/>
      <c r="AE279" s="563"/>
      <c r="AF279" s="563"/>
      <c r="AG279" s="563"/>
      <c r="AH279" s="563"/>
      <c r="AI279" s="563"/>
      <c r="AJ279" s="563"/>
      <c r="AK279" s="563"/>
      <c r="AL279" s="563"/>
      <c r="AM279" s="563"/>
      <c r="AN279" s="563"/>
      <c r="AO279" s="563"/>
      <c r="AP279" s="563"/>
      <c r="AQ279" s="563"/>
      <c r="AR279" s="563"/>
      <c r="AS279" s="563"/>
      <c r="AT279" s="563"/>
      <c r="AU279" s="563"/>
      <c r="AV279" s="563"/>
      <c r="AW279" s="563"/>
      <c r="AX279" s="563"/>
      <c r="AY279" s="563"/>
      <c r="AZ279" s="563"/>
    </row>
    <row r="280" spans="1:52" ht="18" customHeight="1">
      <c r="A280" s="563"/>
      <c r="B280" s="564"/>
      <c r="C280" s="564"/>
      <c r="D280" s="564"/>
      <c r="E280" s="564"/>
      <c r="F280" s="564"/>
      <c r="G280" s="564"/>
      <c r="H280" s="563"/>
      <c r="I280" s="563"/>
      <c r="J280" s="563"/>
      <c r="K280" s="563"/>
      <c r="L280" s="563"/>
      <c r="M280" s="563"/>
      <c r="N280" s="567"/>
      <c r="O280" s="568"/>
      <c r="P280" s="568"/>
      <c r="Q280" s="568"/>
      <c r="R280" s="568"/>
      <c r="S280" s="568"/>
      <c r="T280" s="568"/>
      <c r="U280" s="563"/>
      <c r="V280" s="563"/>
      <c r="W280" s="563"/>
      <c r="X280" s="563"/>
      <c r="Y280" s="563"/>
      <c r="Z280" s="563"/>
      <c r="AA280" s="563"/>
      <c r="AB280" s="563"/>
      <c r="AC280" s="563"/>
      <c r="AD280" s="563"/>
      <c r="AE280" s="563"/>
      <c r="AF280" s="563"/>
      <c r="AG280" s="563"/>
      <c r="AH280" s="563"/>
      <c r="AI280" s="563"/>
      <c r="AJ280" s="563"/>
      <c r="AK280" s="563"/>
      <c r="AL280" s="563"/>
      <c r="AM280" s="563"/>
      <c r="AN280" s="563"/>
      <c r="AO280" s="563"/>
      <c r="AP280" s="563"/>
      <c r="AQ280" s="563"/>
      <c r="AR280" s="563"/>
      <c r="AS280" s="563"/>
      <c r="AT280" s="563"/>
      <c r="AU280" s="563"/>
      <c r="AV280" s="563"/>
      <c r="AW280" s="563"/>
      <c r="AX280" s="563"/>
      <c r="AY280" s="563"/>
      <c r="AZ280" s="563"/>
    </row>
    <row r="281" spans="1:52" ht="18" customHeight="1">
      <c r="A281" s="563"/>
      <c r="B281" s="564"/>
      <c r="C281" s="564"/>
      <c r="D281" s="564"/>
      <c r="E281" s="564"/>
      <c r="F281" s="564"/>
      <c r="G281" s="564"/>
      <c r="H281" s="563"/>
      <c r="I281" s="563"/>
      <c r="J281" s="563"/>
      <c r="K281" s="563"/>
      <c r="L281" s="563"/>
      <c r="M281" s="563"/>
      <c r="N281" s="567"/>
      <c r="O281" s="568"/>
      <c r="P281" s="568"/>
      <c r="Q281" s="568"/>
      <c r="R281" s="568"/>
      <c r="S281" s="568"/>
      <c r="T281" s="568"/>
      <c r="U281" s="563"/>
      <c r="V281" s="563"/>
      <c r="W281" s="563"/>
      <c r="X281" s="563"/>
      <c r="Y281" s="563"/>
      <c r="Z281" s="563"/>
      <c r="AA281" s="563"/>
      <c r="AB281" s="563"/>
      <c r="AC281" s="563"/>
      <c r="AD281" s="563"/>
      <c r="AE281" s="563"/>
      <c r="AF281" s="563"/>
      <c r="AG281" s="563"/>
      <c r="AH281" s="563"/>
      <c r="AI281" s="563"/>
      <c r="AJ281" s="563"/>
      <c r="AK281" s="563"/>
      <c r="AL281" s="563"/>
      <c r="AM281" s="563"/>
      <c r="AN281" s="563"/>
      <c r="AO281" s="563"/>
      <c r="AP281" s="563"/>
      <c r="AQ281" s="563"/>
      <c r="AR281" s="563"/>
      <c r="AS281" s="563"/>
      <c r="AT281" s="563"/>
      <c r="AU281" s="563"/>
      <c r="AV281" s="563"/>
      <c r="AW281" s="563"/>
      <c r="AX281" s="563"/>
      <c r="AY281" s="563"/>
      <c r="AZ281" s="563"/>
    </row>
    <row r="282" spans="1:52" ht="18" customHeight="1">
      <c r="A282" s="563"/>
      <c r="B282" s="564"/>
      <c r="C282" s="564"/>
      <c r="D282" s="564"/>
      <c r="E282" s="564"/>
      <c r="F282" s="564"/>
      <c r="G282" s="564"/>
      <c r="H282" s="563"/>
      <c r="I282" s="563"/>
      <c r="J282" s="563"/>
      <c r="K282" s="563"/>
      <c r="L282" s="563"/>
      <c r="M282" s="563"/>
      <c r="N282" s="567"/>
      <c r="O282" s="568"/>
      <c r="P282" s="568"/>
      <c r="Q282" s="568"/>
      <c r="R282" s="568"/>
      <c r="S282" s="568"/>
      <c r="T282" s="568"/>
      <c r="U282" s="563"/>
      <c r="V282" s="563"/>
      <c r="W282" s="563"/>
      <c r="X282" s="563"/>
      <c r="Y282" s="563"/>
      <c r="Z282" s="563"/>
      <c r="AA282" s="563"/>
      <c r="AB282" s="563"/>
      <c r="AC282" s="563"/>
      <c r="AD282" s="563"/>
      <c r="AE282" s="563"/>
      <c r="AF282" s="563"/>
      <c r="AG282" s="563"/>
      <c r="AH282" s="563"/>
      <c r="AI282" s="563"/>
      <c r="AJ282" s="563"/>
      <c r="AK282" s="563"/>
      <c r="AL282" s="563"/>
      <c r="AM282" s="563"/>
      <c r="AN282" s="563"/>
      <c r="AO282" s="563"/>
      <c r="AP282" s="563"/>
      <c r="AQ282" s="563"/>
      <c r="AR282" s="563"/>
      <c r="AS282" s="563"/>
      <c r="AT282" s="563"/>
      <c r="AU282" s="563"/>
      <c r="AV282" s="563"/>
      <c r="AW282" s="563"/>
      <c r="AX282" s="563"/>
      <c r="AY282" s="563"/>
      <c r="AZ282" s="563"/>
    </row>
    <row r="283" spans="1:52" ht="18" customHeight="1">
      <c r="A283" s="563"/>
      <c r="B283" s="564"/>
      <c r="C283" s="564"/>
      <c r="D283" s="564"/>
      <c r="E283" s="564"/>
      <c r="F283" s="564"/>
      <c r="G283" s="564"/>
      <c r="H283" s="563"/>
      <c r="I283" s="563"/>
      <c r="J283" s="563"/>
      <c r="K283" s="563"/>
      <c r="L283" s="563"/>
      <c r="M283" s="563"/>
      <c r="N283" s="567"/>
      <c r="O283" s="568"/>
      <c r="P283" s="568"/>
      <c r="Q283" s="568"/>
      <c r="R283" s="568"/>
      <c r="S283" s="568"/>
      <c r="T283" s="568"/>
      <c r="U283" s="563"/>
      <c r="V283" s="563"/>
      <c r="W283" s="563"/>
      <c r="X283" s="563"/>
      <c r="Y283" s="563"/>
      <c r="Z283" s="563"/>
      <c r="AA283" s="563"/>
      <c r="AB283" s="563"/>
      <c r="AC283" s="563"/>
      <c r="AD283" s="563"/>
      <c r="AE283" s="563"/>
      <c r="AF283" s="563"/>
      <c r="AG283" s="563"/>
      <c r="AH283" s="563"/>
      <c r="AI283" s="563"/>
      <c r="AJ283" s="563"/>
      <c r="AK283" s="563"/>
      <c r="AL283" s="563"/>
      <c r="AM283" s="563"/>
      <c r="AN283" s="563"/>
      <c r="AO283" s="563"/>
      <c r="AP283" s="563"/>
      <c r="AQ283" s="563"/>
      <c r="AR283" s="563"/>
      <c r="AS283" s="563"/>
      <c r="AT283" s="563"/>
      <c r="AU283" s="563"/>
      <c r="AV283" s="563"/>
      <c r="AW283" s="563"/>
      <c r="AX283" s="563"/>
      <c r="AY283" s="563"/>
      <c r="AZ283" s="563"/>
    </row>
    <row r="284" spans="1:52" ht="18" customHeight="1">
      <c r="A284" s="563"/>
      <c r="B284" s="564"/>
      <c r="C284" s="564"/>
      <c r="D284" s="564"/>
      <c r="E284" s="564"/>
      <c r="F284" s="564"/>
      <c r="G284" s="564"/>
      <c r="H284" s="563"/>
      <c r="I284" s="563"/>
      <c r="J284" s="563"/>
      <c r="K284" s="563"/>
      <c r="L284" s="563"/>
      <c r="M284" s="563"/>
      <c r="N284" s="567"/>
      <c r="O284" s="568"/>
      <c r="P284" s="568"/>
      <c r="Q284" s="568"/>
      <c r="R284" s="568"/>
      <c r="S284" s="568"/>
      <c r="T284" s="568"/>
      <c r="U284" s="563"/>
      <c r="V284" s="563"/>
      <c r="W284" s="563"/>
      <c r="X284" s="563"/>
      <c r="Y284" s="563"/>
      <c r="Z284" s="563"/>
      <c r="AA284" s="563"/>
      <c r="AB284" s="563"/>
      <c r="AC284" s="563"/>
      <c r="AD284" s="563"/>
      <c r="AE284" s="563"/>
      <c r="AF284" s="563"/>
      <c r="AG284" s="563"/>
      <c r="AH284" s="563"/>
      <c r="AI284" s="563"/>
      <c r="AJ284" s="563"/>
      <c r="AK284" s="563"/>
      <c r="AL284" s="563"/>
      <c r="AM284" s="563"/>
      <c r="AN284" s="563"/>
      <c r="AO284" s="563"/>
      <c r="AP284" s="563"/>
      <c r="AQ284" s="563"/>
      <c r="AR284" s="563"/>
      <c r="AS284" s="563"/>
      <c r="AT284" s="563"/>
      <c r="AU284" s="563"/>
      <c r="AV284" s="563"/>
      <c r="AW284" s="563"/>
      <c r="AX284" s="563"/>
      <c r="AY284" s="563"/>
      <c r="AZ284" s="563"/>
    </row>
    <row r="285" spans="1:52" ht="18" customHeight="1">
      <c r="A285" s="563"/>
      <c r="B285" s="564"/>
      <c r="C285" s="564"/>
      <c r="D285" s="564"/>
      <c r="E285" s="564"/>
      <c r="F285" s="564"/>
      <c r="G285" s="564"/>
      <c r="H285" s="563"/>
      <c r="I285" s="563"/>
      <c r="J285" s="563"/>
      <c r="K285" s="563"/>
      <c r="L285" s="563"/>
      <c r="M285" s="563"/>
      <c r="N285" s="567"/>
      <c r="O285" s="568"/>
      <c r="P285" s="568"/>
      <c r="Q285" s="568"/>
      <c r="R285" s="568"/>
      <c r="S285" s="568"/>
      <c r="T285" s="568"/>
      <c r="U285" s="563"/>
      <c r="V285" s="563"/>
      <c r="W285" s="563"/>
      <c r="X285" s="563"/>
      <c r="Y285" s="563"/>
      <c r="Z285" s="563"/>
      <c r="AA285" s="563"/>
      <c r="AB285" s="563"/>
      <c r="AC285" s="563"/>
      <c r="AD285" s="563"/>
      <c r="AE285" s="563"/>
      <c r="AF285" s="563"/>
      <c r="AG285" s="563"/>
      <c r="AH285" s="563"/>
      <c r="AI285" s="563"/>
      <c r="AJ285" s="563"/>
      <c r="AK285" s="563"/>
      <c r="AL285" s="563"/>
      <c r="AM285" s="563"/>
      <c r="AN285" s="563"/>
      <c r="AO285" s="563"/>
      <c r="AP285" s="563"/>
      <c r="AQ285" s="563"/>
      <c r="AR285" s="563"/>
      <c r="AS285" s="563"/>
      <c r="AT285" s="563"/>
      <c r="AU285" s="563"/>
      <c r="AV285" s="563"/>
      <c r="AW285" s="563"/>
      <c r="AX285" s="563"/>
      <c r="AY285" s="563"/>
      <c r="AZ285" s="563"/>
    </row>
    <row r="286" spans="1:52" ht="18" customHeight="1">
      <c r="A286" s="563"/>
      <c r="B286" s="564"/>
      <c r="C286" s="564"/>
      <c r="D286" s="564"/>
      <c r="E286" s="564"/>
      <c r="F286" s="564"/>
      <c r="G286" s="564"/>
      <c r="H286" s="563"/>
      <c r="I286" s="563"/>
      <c r="J286" s="563"/>
      <c r="K286" s="563"/>
      <c r="L286" s="563"/>
      <c r="M286" s="563"/>
      <c r="N286" s="567"/>
      <c r="O286" s="568"/>
      <c r="P286" s="568"/>
      <c r="Q286" s="568"/>
      <c r="R286" s="568"/>
      <c r="S286" s="568"/>
      <c r="T286" s="568"/>
      <c r="U286" s="563"/>
      <c r="V286" s="563"/>
      <c r="W286" s="563"/>
      <c r="X286" s="563"/>
      <c r="Y286" s="563"/>
      <c r="Z286" s="563"/>
      <c r="AA286" s="563"/>
      <c r="AB286" s="563"/>
      <c r="AC286" s="563"/>
      <c r="AD286" s="563"/>
      <c r="AE286" s="563"/>
      <c r="AF286" s="563"/>
      <c r="AG286" s="563"/>
      <c r="AH286" s="563"/>
      <c r="AI286" s="563"/>
      <c r="AJ286" s="563"/>
      <c r="AK286" s="563"/>
      <c r="AL286" s="563"/>
      <c r="AM286" s="563"/>
      <c r="AN286" s="563"/>
      <c r="AO286" s="563"/>
      <c r="AP286" s="563"/>
      <c r="AQ286" s="563"/>
      <c r="AR286" s="563"/>
      <c r="AS286" s="563"/>
      <c r="AT286" s="563"/>
      <c r="AU286" s="563"/>
      <c r="AV286" s="563"/>
      <c r="AW286" s="563"/>
      <c r="AX286" s="563"/>
      <c r="AY286" s="563"/>
      <c r="AZ286" s="563"/>
    </row>
    <row r="287" spans="1:52" ht="18" customHeight="1">
      <c r="A287" s="563"/>
      <c r="B287" s="564"/>
      <c r="C287" s="564"/>
      <c r="D287" s="564"/>
      <c r="E287" s="564"/>
      <c r="F287" s="564"/>
      <c r="G287" s="564"/>
      <c r="H287" s="563"/>
      <c r="I287" s="563"/>
      <c r="J287" s="563"/>
      <c r="K287" s="563"/>
      <c r="L287" s="563"/>
      <c r="M287" s="563"/>
      <c r="N287" s="567"/>
      <c r="O287" s="568"/>
      <c r="P287" s="568"/>
      <c r="Q287" s="568"/>
      <c r="R287" s="568"/>
      <c r="S287" s="568"/>
      <c r="T287" s="568"/>
      <c r="U287" s="563"/>
      <c r="V287" s="563"/>
      <c r="W287" s="563"/>
      <c r="X287" s="563"/>
      <c r="Y287" s="563"/>
      <c r="Z287" s="563"/>
      <c r="AA287" s="563"/>
      <c r="AB287" s="563"/>
      <c r="AC287" s="563"/>
      <c r="AD287" s="563"/>
      <c r="AE287" s="563"/>
      <c r="AF287" s="563"/>
      <c r="AG287" s="563"/>
      <c r="AH287" s="563"/>
      <c r="AI287" s="563"/>
      <c r="AJ287" s="563"/>
      <c r="AK287" s="563"/>
      <c r="AL287" s="563"/>
      <c r="AM287" s="563"/>
      <c r="AN287" s="563"/>
      <c r="AO287" s="563"/>
      <c r="AP287" s="563"/>
      <c r="AQ287" s="563"/>
      <c r="AR287" s="563"/>
      <c r="AS287" s="563"/>
      <c r="AT287" s="563"/>
      <c r="AU287" s="563"/>
      <c r="AV287" s="563"/>
      <c r="AW287" s="563"/>
      <c r="AX287" s="563"/>
      <c r="AY287" s="563"/>
      <c r="AZ287" s="563"/>
    </row>
    <row r="288" spans="1:52" ht="18" customHeight="1">
      <c r="A288" s="563"/>
      <c r="B288" s="564"/>
      <c r="C288" s="564"/>
      <c r="D288" s="564"/>
      <c r="E288" s="564"/>
      <c r="F288" s="564"/>
      <c r="G288" s="564"/>
      <c r="H288" s="563"/>
      <c r="I288" s="563"/>
      <c r="J288" s="563"/>
      <c r="K288" s="563"/>
      <c r="L288" s="563"/>
      <c r="M288" s="563"/>
      <c r="N288" s="567"/>
      <c r="O288" s="568"/>
      <c r="P288" s="568"/>
      <c r="Q288" s="568"/>
      <c r="R288" s="568"/>
      <c r="S288" s="568"/>
      <c r="T288" s="568"/>
      <c r="U288" s="563"/>
      <c r="V288" s="563"/>
      <c r="W288" s="563"/>
      <c r="X288" s="563"/>
      <c r="Y288" s="563"/>
      <c r="Z288" s="563"/>
      <c r="AA288" s="563"/>
      <c r="AB288" s="563"/>
      <c r="AC288" s="563"/>
      <c r="AD288" s="563"/>
      <c r="AE288" s="563"/>
      <c r="AF288" s="563"/>
      <c r="AG288" s="563"/>
      <c r="AH288" s="563"/>
      <c r="AI288" s="563"/>
      <c r="AJ288" s="563"/>
      <c r="AK288" s="563"/>
      <c r="AL288" s="563"/>
      <c r="AM288" s="563"/>
      <c r="AN288" s="563"/>
      <c r="AO288" s="563"/>
      <c r="AP288" s="563"/>
      <c r="AQ288" s="563"/>
      <c r="AR288" s="563"/>
      <c r="AS288" s="563"/>
      <c r="AT288" s="563"/>
      <c r="AU288" s="563"/>
      <c r="AV288" s="563"/>
      <c r="AW288" s="563"/>
      <c r="AX288" s="563"/>
      <c r="AY288" s="563"/>
      <c r="AZ288" s="563"/>
    </row>
    <row r="289" spans="1:52" ht="18" customHeight="1">
      <c r="A289" s="563"/>
      <c r="B289" s="564"/>
      <c r="C289" s="564"/>
      <c r="D289" s="564"/>
      <c r="E289" s="564"/>
      <c r="F289" s="564"/>
      <c r="G289" s="564"/>
      <c r="H289" s="563"/>
      <c r="I289" s="563"/>
      <c r="J289" s="563"/>
      <c r="K289" s="563"/>
      <c r="L289" s="563"/>
      <c r="M289" s="563"/>
      <c r="N289" s="567"/>
      <c r="O289" s="568"/>
      <c r="P289" s="568"/>
      <c r="Q289" s="568"/>
      <c r="R289" s="568"/>
      <c r="S289" s="568"/>
      <c r="T289" s="568"/>
      <c r="U289" s="563"/>
      <c r="V289" s="563"/>
      <c r="W289" s="563"/>
      <c r="X289" s="563"/>
      <c r="Y289" s="563"/>
      <c r="Z289" s="563"/>
      <c r="AA289" s="563"/>
      <c r="AB289" s="563"/>
      <c r="AC289" s="563"/>
      <c r="AD289" s="563"/>
      <c r="AE289" s="563"/>
      <c r="AF289" s="563"/>
      <c r="AG289" s="563"/>
      <c r="AH289" s="563"/>
      <c r="AI289" s="563"/>
      <c r="AJ289" s="563"/>
      <c r="AK289" s="563"/>
      <c r="AL289" s="563"/>
      <c r="AM289" s="563"/>
      <c r="AN289" s="563"/>
      <c r="AO289" s="563"/>
      <c r="AP289" s="563"/>
      <c r="AQ289" s="563"/>
      <c r="AR289" s="563"/>
      <c r="AS289" s="563"/>
      <c r="AT289" s="563"/>
      <c r="AU289" s="563"/>
      <c r="AV289" s="563"/>
      <c r="AW289" s="563"/>
      <c r="AX289" s="563"/>
      <c r="AY289" s="563"/>
      <c r="AZ289" s="563"/>
    </row>
    <row r="290" spans="1:52" ht="18" customHeight="1">
      <c r="A290" s="563"/>
      <c r="B290" s="564"/>
      <c r="C290" s="564"/>
      <c r="D290" s="564"/>
      <c r="E290" s="564"/>
      <c r="F290" s="564"/>
      <c r="G290" s="564"/>
      <c r="H290" s="563"/>
      <c r="I290" s="563"/>
      <c r="J290" s="563"/>
      <c r="K290" s="563"/>
      <c r="L290" s="563"/>
      <c r="M290" s="563"/>
      <c r="N290" s="567"/>
      <c r="O290" s="568"/>
      <c r="P290" s="568"/>
      <c r="Q290" s="568"/>
      <c r="R290" s="568"/>
      <c r="S290" s="568"/>
      <c r="T290" s="568"/>
      <c r="U290" s="563"/>
      <c r="V290" s="563"/>
      <c r="W290" s="563"/>
      <c r="X290" s="563"/>
      <c r="Y290" s="563"/>
      <c r="Z290" s="563"/>
      <c r="AA290" s="563"/>
      <c r="AB290" s="563"/>
      <c r="AC290" s="563"/>
      <c r="AD290" s="563"/>
      <c r="AE290" s="563"/>
      <c r="AF290" s="563"/>
      <c r="AG290" s="563"/>
      <c r="AH290" s="563"/>
      <c r="AI290" s="563"/>
      <c r="AJ290" s="563"/>
      <c r="AK290" s="563"/>
      <c r="AL290" s="563"/>
      <c r="AM290" s="563"/>
      <c r="AN290" s="563"/>
      <c r="AO290" s="563"/>
      <c r="AP290" s="563"/>
      <c r="AQ290" s="563"/>
      <c r="AR290" s="563"/>
      <c r="AS290" s="563"/>
      <c r="AT290" s="563"/>
      <c r="AU290" s="563"/>
      <c r="AV290" s="563"/>
      <c r="AW290" s="563"/>
      <c r="AX290" s="563"/>
      <c r="AY290" s="563"/>
      <c r="AZ290" s="563"/>
    </row>
    <row r="291" spans="1:52" ht="18" customHeight="1">
      <c r="A291" s="563"/>
      <c r="B291" s="564"/>
      <c r="C291" s="564"/>
      <c r="D291" s="564"/>
      <c r="E291" s="564"/>
      <c r="F291" s="564"/>
      <c r="G291" s="564"/>
      <c r="H291" s="563"/>
      <c r="I291" s="563"/>
      <c r="J291" s="563"/>
      <c r="K291" s="563"/>
      <c r="L291" s="563"/>
      <c r="M291" s="563"/>
      <c r="N291" s="567"/>
      <c r="O291" s="568"/>
      <c r="P291" s="568"/>
      <c r="Q291" s="568"/>
      <c r="R291" s="568"/>
      <c r="S291" s="568"/>
      <c r="T291" s="568"/>
      <c r="U291" s="563"/>
      <c r="V291" s="563"/>
      <c r="W291" s="563"/>
      <c r="X291" s="563"/>
      <c r="Y291" s="563"/>
      <c r="Z291" s="563"/>
      <c r="AA291" s="563"/>
      <c r="AB291" s="563"/>
      <c r="AC291" s="563"/>
      <c r="AD291" s="563"/>
      <c r="AE291" s="563"/>
      <c r="AF291" s="563"/>
      <c r="AG291" s="563"/>
      <c r="AH291" s="563"/>
      <c r="AI291" s="563"/>
      <c r="AJ291" s="563"/>
      <c r="AK291" s="563"/>
      <c r="AL291" s="563"/>
      <c r="AM291" s="563"/>
      <c r="AN291" s="563"/>
      <c r="AO291" s="563"/>
      <c r="AP291" s="563"/>
      <c r="AQ291" s="563"/>
      <c r="AR291" s="563"/>
      <c r="AS291" s="563"/>
      <c r="AT291" s="563"/>
      <c r="AU291" s="563"/>
      <c r="AV291" s="563"/>
      <c r="AW291" s="563"/>
      <c r="AX291" s="563"/>
      <c r="AY291" s="563"/>
      <c r="AZ291" s="563"/>
    </row>
    <row r="292" spans="1:52" ht="18" customHeight="1">
      <c r="A292" s="563"/>
      <c r="B292" s="564"/>
      <c r="C292" s="564"/>
      <c r="D292" s="564"/>
      <c r="E292" s="564"/>
      <c r="F292" s="564"/>
      <c r="G292" s="564"/>
      <c r="H292" s="563"/>
      <c r="I292" s="563"/>
      <c r="J292" s="563"/>
      <c r="K292" s="563"/>
      <c r="L292" s="563"/>
      <c r="M292" s="563"/>
      <c r="N292" s="567"/>
      <c r="O292" s="568"/>
      <c r="P292" s="568"/>
      <c r="Q292" s="568"/>
      <c r="R292" s="568"/>
      <c r="S292" s="568"/>
      <c r="T292" s="568"/>
      <c r="U292" s="563"/>
      <c r="V292" s="563"/>
      <c r="W292" s="563"/>
      <c r="X292" s="563"/>
      <c r="Y292" s="563"/>
      <c r="Z292" s="563"/>
      <c r="AA292" s="563"/>
      <c r="AB292" s="563"/>
      <c r="AC292" s="563"/>
      <c r="AD292" s="563"/>
      <c r="AE292" s="563"/>
      <c r="AF292" s="563"/>
      <c r="AG292" s="563"/>
      <c r="AH292" s="563"/>
      <c r="AI292" s="563"/>
      <c r="AJ292" s="563"/>
      <c r="AK292" s="563"/>
      <c r="AL292" s="563"/>
      <c r="AM292" s="563"/>
      <c r="AN292" s="563"/>
      <c r="AO292" s="563"/>
      <c r="AP292" s="563"/>
      <c r="AQ292" s="563"/>
      <c r="AR292" s="563"/>
      <c r="AS292" s="563"/>
      <c r="AT292" s="563"/>
      <c r="AU292" s="563"/>
      <c r="AV292" s="563"/>
      <c r="AW292" s="563"/>
      <c r="AX292" s="563"/>
      <c r="AY292" s="563"/>
      <c r="AZ292" s="563"/>
    </row>
    <row r="293" spans="1:52" ht="18" customHeight="1">
      <c r="A293" s="563"/>
      <c r="B293" s="564"/>
      <c r="C293" s="564"/>
      <c r="D293" s="564"/>
      <c r="E293" s="564"/>
      <c r="F293" s="564"/>
      <c r="G293" s="564"/>
      <c r="H293" s="563"/>
      <c r="I293" s="563"/>
      <c r="J293" s="563"/>
      <c r="K293" s="563"/>
      <c r="L293" s="563"/>
      <c r="M293" s="563"/>
      <c r="N293" s="567"/>
      <c r="O293" s="568"/>
      <c r="P293" s="568"/>
      <c r="Q293" s="568"/>
      <c r="R293" s="568"/>
      <c r="S293" s="568"/>
      <c r="T293" s="568"/>
      <c r="U293" s="563"/>
      <c r="V293" s="563"/>
      <c r="W293" s="563"/>
      <c r="X293" s="563"/>
      <c r="Y293" s="563"/>
      <c r="Z293" s="563"/>
      <c r="AA293" s="563"/>
      <c r="AB293" s="563"/>
      <c r="AC293" s="563"/>
      <c r="AD293" s="563"/>
      <c r="AE293" s="563"/>
      <c r="AF293" s="563"/>
      <c r="AG293" s="563"/>
      <c r="AH293" s="563"/>
      <c r="AI293" s="563"/>
      <c r="AJ293" s="563"/>
      <c r="AK293" s="563"/>
      <c r="AL293" s="563"/>
      <c r="AM293" s="563"/>
      <c r="AN293" s="563"/>
      <c r="AO293" s="563"/>
      <c r="AP293" s="563"/>
      <c r="AQ293" s="563"/>
      <c r="AR293" s="563"/>
      <c r="AS293" s="563"/>
      <c r="AT293" s="563"/>
      <c r="AU293" s="563"/>
      <c r="AV293" s="563"/>
      <c r="AW293" s="563"/>
      <c r="AX293" s="563"/>
      <c r="AY293" s="563"/>
      <c r="AZ293" s="563"/>
    </row>
    <row r="294" spans="1:52" ht="18" customHeight="1">
      <c r="A294" s="563"/>
      <c r="B294" s="564"/>
      <c r="C294" s="564"/>
      <c r="D294" s="564"/>
      <c r="E294" s="564"/>
      <c r="F294" s="564"/>
      <c r="G294" s="564"/>
      <c r="H294" s="563"/>
      <c r="I294" s="563"/>
      <c r="J294" s="563"/>
      <c r="K294" s="563"/>
      <c r="L294" s="563"/>
      <c r="M294" s="563"/>
      <c r="N294" s="567"/>
      <c r="O294" s="568"/>
      <c r="P294" s="568"/>
      <c r="Q294" s="568"/>
      <c r="R294" s="568"/>
      <c r="S294" s="568"/>
      <c r="T294" s="568"/>
      <c r="U294" s="563"/>
      <c r="V294" s="563"/>
      <c r="W294" s="563"/>
      <c r="X294" s="563"/>
      <c r="Y294" s="563"/>
      <c r="Z294" s="563"/>
      <c r="AA294" s="563"/>
      <c r="AB294" s="563"/>
      <c r="AC294" s="563"/>
      <c r="AD294" s="563"/>
      <c r="AE294" s="563"/>
      <c r="AF294" s="563"/>
      <c r="AG294" s="563"/>
      <c r="AH294" s="563"/>
      <c r="AI294" s="563"/>
      <c r="AJ294" s="563"/>
      <c r="AK294" s="563"/>
      <c r="AL294" s="563"/>
      <c r="AM294" s="563"/>
      <c r="AN294" s="563"/>
      <c r="AO294" s="563"/>
      <c r="AP294" s="563"/>
      <c r="AQ294" s="563"/>
      <c r="AR294" s="563"/>
      <c r="AS294" s="563"/>
      <c r="AT294" s="563"/>
      <c r="AU294" s="563"/>
      <c r="AV294" s="563"/>
      <c r="AW294" s="563"/>
      <c r="AX294" s="563"/>
      <c r="AY294" s="563"/>
      <c r="AZ294" s="563"/>
    </row>
    <row r="295" spans="1:52" ht="18" customHeight="1">
      <c r="A295" s="563"/>
      <c r="B295" s="564"/>
      <c r="C295" s="564"/>
      <c r="D295" s="564"/>
      <c r="E295" s="564"/>
      <c r="F295" s="564"/>
      <c r="G295" s="564"/>
      <c r="H295" s="563"/>
      <c r="I295" s="563"/>
      <c r="J295" s="563"/>
      <c r="K295" s="563"/>
      <c r="L295" s="563"/>
      <c r="M295" s="563"/>
      <c r="N295" s="567"/>
      <c r="O295" s="568"/>
      <c r="P295" s="568"/>
      <c r="Q295" s="568"/>
      <c r="R295" s="568"/>
      <c r="S295" s="568"/>
      <c r="T295" s="568"/>
      <c r="U295" s="563"/>
      <c r="V295" s="563"/>
      <c r="W295" s="563"/>
      <c r="X295" s="563"/>
      <c r="Y295" s="563"/>
      <c r="Z295" s="563"/>
      <c r="AA295" s="563"/>
      <c r="AB295" s="563"/>
      <c r="AC295" s="563"/>
      <c r="AD295" s="563"/>
      <c r="AE295" s="563"/>
      <c r="AF295" s="563"/>
      <c r="AG295" s="563"/>
      <c r="AH295" s="563"/>
      <c r="AI295" s="563"/>
      <c r="AJ295" s="563"/>
      <c r="AK295" s="563"/>
      <c r="AL295" s="563"/>
      <c r="AM295" s="563"/>
      <c r="AN295" s="563"/>
      <c r="AO295" s="563"/>
      <c r="AP295" s="563"/>
      <c r="AQ295" s="563"/>
      <c r="AR295" s="563"/>
      <c r="AS295" s="563"/>
      <c r="AT295" s="563"/>
      <c r="AU295" s="563"/>
      <c r="AV295" s="563"/>
      <c r="AW295" s="563"/>
      <c r="AX295" s="563"/>
      <c r="AY295" s="563"/>
      <c r="AZ295" s="563"/>
    </row>
    <row r="296" spans="1:52" ht="18" customHeight="1">
      <c r="A296" s="563"/>
      <c r="B296" s="564"/>
      <c r="C296" s="564"/>
      <c r="D296" s="564"/>
      <c r="E296" s="564"/>
      <c r="F296" s="564"/>
      <c r="G296" s="564"/>
      <c r="H296" s="563"/>
      <c r="I296" s="563"/>
      <c r="J296" s="563"/>
      <c r="K296" s="563"/>
      <c r="L296" s="563"/>
      <c r="M296" s="563"/>
      <c r="N296" s="567"/>
      <c r="O296" s="568"/>
      <c r="P296" s="568"/>
      <c r="Q296" s="568"/>
      <c r="R296" s="568"/>
      <c r="S296" s="568"/>
      <c r="T296" s="568"/>
      <c r="U296" s="563"/>
      <c r="V296" s="563"/>
      <c r="W296" s="563"/>
      <c r="X296" s="563"/>
      <c r="Y296" s="563"/>
      <c r="Z296" s="563"/>
      <c r="AA296" s="563"/>
      <c r="AB296" s="563"/>
      <c r="AC296" s="563"/>
      <c r="AD296" s="563"/>
      <c r="AE296" s="563"/>
      <c r="AF296" s="563"/>
      <c r="AG296" s="563"/>
      <c r="AH296" s="563"/>
      <c r="AI296" s="563"/>
      <c r="AJ296" s="563"/>
      <c r="AK296" s="563"/>
      <c r="AL296" s="563"/>
      <c r="AM296" s="563"/>
      <c r="AN296" s="563"/>
      <c r="AO296" s="563"/>
      <c r="AP296" s="563"/>
      <c r="AQ296" s="563"/>
      <c r="AR296" s="563"/>
      <c r="AS296" s="563"/>
      <c r="AT296" s="563"/>
      <c r="AU296" s="563"/>
      <c r="AV296" s="563"/>
      <c r="AW296" s="563"/>
      <c r="AX296" s="563"/>
      <c r="AY296" s="563"/>
      <c r="AZ296" s="563"/>
    </row>
    <row r="297" spans="1:52" ht="18" customHeight="1">
      <c r="A297" s="563"/>
      <c r="B297" s="564"/>
      <c r="C297" s="564"/>
      <c r="D297" s="564"/>
      <c r="E297" s="564"/>
      <c r="F297" s="564"/>
      <c r="G297" s="564"/>
      <c r="H297" s="563"/>
      <c r="I297" s="563"/>
      <c r="J297" s="563"/>
      <c r="K297" s="563"/>
      <c r="L297" s="563"/>
      <c r="M297" s="563"/>
      <c r="N297" s="567"/>
      <c r="O297" s="568"/>
      <c r="P297" s="568"/>
      <c r="Q297" s="568"/>
      <c r="R297" s="568"/>
      <c r="S297" s="568"/>
      <c r="T297" s="568"/>
      <c r="U297" s="563"/>
      <c r="V297" s="563"/>
      <c r="W297" s="563"/>
      <c r="X297" s="563"/>
      <c r="Y297" s="563"/>
      <c r="Z297" s="563"/>
      <c r="AA297" s="563"/>
      <c r="AB297" s="563"/>
      <c r="AC297" s="563"/>
      <c r="AD297" s="563"/>
      <c r="AE297" s="563"/>
      <c r="AF297" s="563"/>
      <c r="AG297" s="563"/>
      <c r="AH297" s="563"/>
      <c r="AI297" s="563"/>
      <c r="AJ297" s="563"/>
      <c r="AK297" s="563"/>
      <c r="AL297" s="563"/>
      <c r="AM297" s="563"/>
      <c r="AN297" s="563"/>
      <c r="AO297" s="563"/>
      <c r="AP297" s="563"/>
      <c r="AQ297" s="563"/>
      <c r="AR297" s="563"/>
      <c r="AS297" s="563"/>
      <c r="AT297" s="563"/>
      <c r="AU297" s="563"/>
      <c r="AV297" s="563"/>
      <c r="AW297" s="563"/>
      <c r="AX297" s="563"/>
      <c r="AY297" s="563"/>
      <c r="AZ297" s="563"/>
    </row>
    <row r="298" spans="1:52" ht="18" customHeight="1">
      <c r="A298" s="563"/>
      <c r="B298" s="564"/>
      <c r="C298" s="564"/>
      <c r="D298" s="564"/>
      <c r="E298" s="564"/>
      <c r="F298" s="564"/>
      <c r="G298" s="564"/>
      <c r="H298" s="563"/>
      <c r="I298" s="563"/>
      <c r="J298" s="563"/>
      <c r="K298" s="563"/>
      <c r="L298" s="563"/>
      <c r="M298" s="563"/>
      <c r="N298" s="567"/>
      <c r="O298" s="568"/>
      <c r="P298" s="568"/>
      <c r="Q298" s="568"/>
      <c r="R298" s="568"/>
      <c r="S298" s="568"/>
      <c r="T298" s="568"/>
      <c r="U298" s="563"/>
      <c r="V298" s="563"/>
      <c r="W298" s="563"/>
      <c r="X298" s="563"/>
      <c r="Y298" s="563"/>
      <c r="Z298" s="563"/>
      <c r="AA298" s="563"/>
      <c r="AB298" s="563"/>
      <c r="AC298" s="563"/>
      <c r="AD298" s="563"/>
      <c r="AE298" s="563"/>
      <c r="AF298" s="563"/>
      <c r="AG298" s="563"/>
      <c r="AH298" s="563"/>
      <c r="AI298" s="563"/>
      <c r="AJ298" s="563"/>
      <c r="AK298" s="563"/>
      <c r="AL298" s="563"/>
      <c r="AM298" s="563"/>
      <c r="AN298" s="563"/>
      <c r="AO298" s="563"/>
      <c r="AP298" s="563"/>
      <c r="AQ298" s="563"/>
      <c r="AR298" s="563"/>
      <c r="AS298" s="563"/>
      <c r="AT298" s="563"/>
      <c r="AU298" s="563"/>
      <c r="AV298" s="563"/>
      <c r="AW298" s="563"/>
      <c r="AX298" s="563"/>
      <c r="AY298" s="563"/>
      <c r="AZ298" s="563"/>
    </row>
    <row r="299" spans="1:52" ht="18" customHeight="1">
      <c r="A299" s="563"/>
      <c r="B299" s="564"/>
      <c r="C299" s="564"/>
      <c r="D299" s="564"/>
      <c r="E299" s="564"/>
      <c r="F299" s="564"/>
      <c r="G299" s="564"/>
      <c r="H299" s="563"/>
      <c r="I299" s="563"/>
      <c r="J299" s="563"/>
      <c r="K299" s="563"/>
      <c r="L299" s="563"/>
      <c r="M299" s="563"/>
      <c r="N299" s="567"/>
      <c r="O299" s="568"/>
      <c r="P299" s="568"/>
      <c r="Q299" s="568"/>
      <c r="R299" s="568"/>
      <c r="S299" s="568"/>
      <c r="T299" s="568"/>
      <c r="U299" s="563"/>
      <c r="V299" s="563"/>
      <c r="W299" s="563"/>
      <c r="X299" s="563"/>
      <c r="Y299" s="563"/>
      <c r="Z299" s="563"/>
      <c r="AA299" s="563"/>
      <c r="AB299" s="563"/>
      <c r="AC299" s="563"/>
      <c r="AD299" s="563"/>
      <c r="AE299" s="563"/>
      <c r="AF299" s="563"/>
      <c r="AG299" s="563"/>
      <c r="AH299" s="563"/>
      <c r="AI299" s="563"/>
      <c r="AJ299" s="563"/>
      <c r="AK299" s="563"/>
      <c r="AL299" s="563"/>
      <c r="AM299" s="563"/>
      <c r="AN299" s="563"/>
      <c r="AO299" s="563"/>
      <c r="AP299" s="563"/>
      <c r="AQ299" s="563"/>
      <c r="AR299" s="563"/>
      <c r="AS299" s="563"/>
      <c r="AT299" s="563"/>
      <c r="AU299" s="563"/>
      <c r="AV299" s="563"/>
      <c r="AW299" s="563"/>
      <c r="AX299" s="563"/>
      <c r="AY299" s="563"/>
      <c r="AZ299" s="563"/>
    </row>
    <row r="300" spans="1:52" ht="18" customHeight="1">
      <c r="A300" s="563"/>
      <c r="B300" s="564"/>
      <c r="C300" s="564"/>
      <c r="D300" s="564"/>
      <c r="E300" s="564"/>
      <c r="F300" s="564"/>
      <c r="G300" s="564"/>
      <c r="H300" s="563"/>
      <c r="I300" s="563"/>
      <c r="J300" s="563"/>
      <c r="K300" s="563"/>
      <c r="L300" s="563"/>
      <c r="M300" s="563"/>
      <c r="N300" s="567"/>
      <c r="O300" s="568"/>
      <c r="P300" s="568"/>
      <c r="Q300" s="568"/>
      <c r="R300" s="568"/>
      <c r="S300" s="568"/>
      <c r="T300" s="568"/>
      <c r="U300" s="563"/>
      <c r="V300" s="563"/>
      <c r="W300" s="563"/>
      <c r="X300" s="563"/>
      <c r="Y300" s="563"/>
      <c r="Z300" s="563"/>
      <c r="AA300" s="563"/>
      <c r="AB300" s="563"/>
      <c r="AC300" s="563"/>
      <c r="AD300" s="563"/>
      <c r="AE300" s="563"/>
      <c r="AF300" s="563"/>
      <c r="AG300" s="563"/>
      <c r="AH300" s="563"/>
      <c r="AI300" s="563"/>
      <c r="AJ300" s="563"/>
      <c r="AK300" s="563"/>
      <c r="AL300" s="563"/>
      <c r="AM300" s="563"/>
      <c r="AN300" s="563"/>
      <c r="AO300" s="563"/>
      <c r="AP300" s="563"/>
      <c r="AQ300" s="563"/>
      <c r="AR300" s="563"/>
      <c r="AS300" s="563"/>
      <c r="AT300" s="563"/>
      <c r="AU300" s="563"/>
      <c r="AV300" s="563"/>
      <c r="AW300" s="563"/>
      <c r="AX300" s="563"/>
      <c r="AY300" s="563"/>
      <c r="AZ300" s="563"/>
    </row>
    <row r="301" spans="1:52" ht="18" customHeight="1">
      <c r="A301" s="563"/>
      <c r="B301" s="564"/>
      <c r="C301" s="564"/>
      <c r="D301" s="564"/>
      <c r="E301" s="564"/>
      <c r="F301" s="564"/>
      <c r="G301" s="564"/>
      <c r="H301" s="563"/>
      <c r="I301" s="563"/>
      <c r="J301" s="563"/>
      <c r="K301" s="563"/>
      <c r="L301" s="563"/>
      <c r="M301" s="563"/>
      <c r="N301" s="567"/>
      <c r="O301" s="568"/>
      <c r="P301" s="568"/>
      <c r="Q301" s="568"/>
      <c r="R301" s="568"/>
      <c r="S301" s="568"/>
      <c r="T301" s="568"/>
      <c r="U301" s="563"/>
      <c r="V301" s="563"/>
      <c r="W301" s="563"/>
      <c r="X301" s="563"/>
      <c r="Y301" s="563"/>
      <c r="Z301" s="563"/>
      <c r="AA301" s="563"/>
      <c r="AB301" s="563"/>
      <c r="AC301" s="563"/>
      <c r="AD301" s="563"/>
      <c r="AE301" s="563"/>
      <c r="AF301" s="563"/>
      <c r="AG301" s="563"/>
      <c r="AH301" s="563"/>
      <c r="AI301" s="563"/>
      <c r="AJ301" s="563"/>
      <c r="AK301" s="563"/>
      <c r="AL301" s="563"/>
      <c r="AM301" s="563"/>
      <c r="AN301" s="563"/>
      <c r="AO301" s="563"/>
      <c r="AP301" s="563"/>
      <c r="AQ301" s="563"/>
      <c r="AR301" s="563"/>
      <c r="AS301" s="563"/>
      <c r="AT301" s="563"/>
      <c r="AU301" s="563"/>
      <c r="AV301" s="563"/>
      <c r="AW301" s="563"/>
      <c r="AX301" s="563"/>
      <c r="AY301" s="563"/>
      <c r="AZ301" s="563"/>
    </row>
    <row r="302" spans="1:52" ht="18" customHeight="1">
      <c r="A302" s="563"/>
      <c r="B302" s="564"/>
      <c r="C302" s="564"/>
      <c r="D302" s="564"/>
      <c r="E302" s="564"/>
      <c r="F302" s="564"/>
      <c r="G302" s="564"/>
      <c r="H302" s="563"/>
      <c r="I302" s="563"/>
      <c r="J302" s="563"/>
      <c r="K302" s="563"/>
      <c r="L302" s="563"/>
      <c r="M302" s="563"/>
      <c r="N302" s="567"/>
      <c r="O302" s="568"/>
      <c r="P302" s="568"/>
      <c r="Q302" s="568"/>
      <c r="R302" s="568"/>
      <c r="S302" s="568"/>
      <c r="T302" s="568"/>
      <c r="U302" s="563"/>
      <c r="V302" s="563"/>
      <c r="W302" s="563"/>
      <c r="X302" s="563"/>
      <c r="Y302" s="563"/>
      <c r="Z302" s="563"/>
      <c r="AA302" s="563"/>
      <c r="AB302" s="563"/>
      <c r="AC302" s="563"/>
      <c r="AD302" s="563"/>
      <c r="AE302" s="563"/>
      <c r="AF302" s="563"/>
      <c r="AG302" s="563"/>
      <c r="AH302" s="563"/>
      <c r="AI302" s="563"/>
      <c r="AJ302" s="563"/>
      <c r="AK302" s="563"/>
      <c r="AL302" s="563"/>
      <c r="AM302" s="563"/>
      <c r="AN302" s="563"/>
      <c r="AO302" s="563"/>
      <c r="AP302" s="563"/>
      <c r="AQ302" s="563"/>
      <c r="AR302" s="563"/>
      <c r="AS302" s="563"/>
      <c r="AT302" s="563"/>
      <c r="AU302" s="563"/>
      <c r="AV302" s="563"/>
      <c r="AW302" s="563"/>
      <c r="AX302" s="563"/>
      <c r="AY302" s="563"/>
      <c r="AZ302" s="563"/>
    </row>
    <row r="303" spans="1:52" ht="18" customHeight="1">
      <c r="A303" s="563"/>
      <c r="B303" s="564"/>
      <c r="C303" s="564"/>
      <c r="D303" s="564"/>
      <c r="E303" s="564"/>
      <c r="F303" s="564"/>
      <c r="G303" s="564"/>
      <c r="H303" s="563"/>
      <c r="I303" s="563"/>
      <c r="J303" s="563"/>
      <c r="K303" s="563"/>
      <c r="L303" s="563"/>
      <c r="M303" s="563"/>
      <c r="N303" s="567"/>
      <c r="O303" s="568"/>
      <c r="P303" s="568"/>
      <c r="Q303" s="568"/>
      <c r="R303" s="568"/>
      <c r="S303" s="568"/>
      <c r="T303" s="568"/>
      <c r="U303" s="563"/>
      <c r="V303" s="563"/>
      <c r="W303" s="563"/>
      <c r="X303" s="563"/>
      <c r="Y303" s="563"/>
      <c r="Z303" s="563"/>
      <c r="AA303" s="563"/>
      <c r="AB303" s="563"/>
      <c r="AC303" s="563"/>
      <c r="AD303" s="563"/>
      <c r="AE303" s="563"/>
      <c r="AF303" s="563"/>
      <c r="AG303" s="563"/>
      <c r="AH303" s="563"/>
      <c r="AI303" s="563"/>
      <c r="AJ303" s="563"/>
      <c r="AK303" s="563"/>
      <c r="AL303" s="563"/>
      <c r="AM303" s="563"/>
      <c r="AN303" s="563"/>
      <c r="AO303" s="563"/>
      <c r="AP303" s="563"/>
      <c r="AQ303" s="563"/>
      <c r="AR303" s="563"/>
      <c r="AS303" s="563"/>
      <c r="AT303" s="563"/>
      <c r="AU303" s="563"/>
      <c r="AV303" s="563"/>
      <c r="AW303" s="563"/>
      <c r="AX303" s="563"/>
      <c r="AY303" s="563"/>
      <c r="AZ303" s="563"/>
    </row>
    <row r="304" spans="1:52" ht="18" customHeight="1">
      <c r="A304" s="563"/>
      <c r="B304" s="564"/>
      <c r="C304" s="564"/>
      <c r="D304" s="564"/>
      <c r="E304" s="564"/>
      <c r="F304" s="564"/>
      <c r="G304" s="564"/>
      <c r="H304" s="563"/>
      <c r="I304" s="563"/>
      <c r="J304" s="563"/>
      <c r="K304" s="563"/>
      <c r="L304" s="563"/>
      <c r="M304" s="563"/>
      <c r="N304" s="567"/>
      <c r="O304" s="568"/>
      <c r="P304" s="568"/>
      <c r="Q304" s="568"/>
      <c r="R304" s="568"/>
      <c r="S304" s="568"/>
      <c r="T304" s="568"/>
      <c r="U304" s="563"/>
      <c r="V304" s="563"/>
      <c r="W304" s="563"/>
      <c r="X304" s="563"/>
      <c r="Y304" s="563"/>
      <c r="Z304" s="563"/>
      <c r="AA304" s="563"/>
      <c r="AB304" s="563"/>
      <c r="AC304" s="563"/>
      <c r="AD304" s="563"/>
      <c r="AE304" s="563"/>
      <c r="AF304" s="563"/>
      <c r="AG304" s="563"/>
      <c r="AH304" s="563"/>
      <c r="AI304" s="563"/>
      <c r="AJ304" s="563"/>
      <c r="AK304" s="563"/>
      <c r="AL304" s="563"/>
      <c r="AM304" s="563"/>
      <c r="AN304" s="563"/>
      <c r="AO304" s="563"/>
      <c r="AP304" s="563"/>
      <c r="AQ304" s="563"/>
      <c r="AR304" s="563"/>
      <c r="AS304" s="563"/>
      <c r="AT304" s="563"/>
      <c r="AU304" s="563"/>
      <c r="AV304" s="563"/>
      <c r="AW304" s="563"/>
      <c r="AX304" s="563"/>
      <c r="AY304" s="563"/>
      <c r="AZ304" s="563"/>
    </row>
    <row r="305" spans="1:52" ht="18" customHeight="1">
      <c r="A305" s="563"/>
      <c r="B305" s="564"/>
      <c r="C305" s="564"/>
      <c r="D305" s="564"/>
      <c r="E305" s="564"/>
      <c r="F305" s="564"/>
      <c r="G305" s="564"/>
      <c r="H305" s="563"/>
      <c r="I305" s="563"/>
      <c r="J305" s="563"/>
      <c r="K305" s="563"/>
      <c r="L305" s="563"/>
      <c r="M305" s="563"/>
      <c r="N305" s="567"/>
      <c r="O305" s="568"/>
      <c r="P305" s="568"/>
      <c r="Q305" s="568"/>
      <c r="R305" s="568"/>
      <c r="S305" s="568"/>
      <c r="T305" s="568"/>
      <c r="U305" s="563"/>
      <c r="V305" s="563"/>
      <c r="W305" s="563"/>
      <c r="X305" s="563"/>
      <c r="Y305" s="563"/>
      <c r="Z305" s="563"/>
      <c r="AA305" s="563"/>
      <c r="AB305" s="563"/>
      <c r="AC305" s="563"/>
      <c r="AD305" s="563"/>
      <c r="AE305" s="563"/>
      <c r="AF305" s="563"/>
      <c r="AG305" s="563"/>
      <c r="AH305" s="563"/>
      <c r="AI305" s="563"/>
      <c r="AJ305" s="563"/>
      <c r="AK305" s="563"/>
      <c r="AL305" s="563"/>
      <c r="AM305" s="563"/>
      <c r="AN305" s="563"/>
      <c r="AO305" s="563"/>
      <c r="AP305" s="563"/>
      <c r="AQ305" s="563"/>
      <c r="AR305" s="563"/>
      <c r="AS305" s="563"/>
      <c r="AT305" s="563"/>
      <c r="AU305" s="563"/>
      <c r="AV305" s="563"/>
      <c r="AW305" s="563"/>
      <c r="AX305" s="563"/>
      <c r="AY305" s="563"/>
      <c r="AZ305" s="563"/>
    </row>
    <row r="306" spans="1:52" ht="18" customHeight="1">
      <c r="A306" s="563"/>
      <c r="B306" s="564"/>
      <c r="C306" s="564"/>
      <c r="D306" s="564"/>
      <c r="E306" s="564"/>
      <c r="F306" s="564"/>
      <c r="G306" s="564"/>
      <c r="H306" s="563"/>
      <c r="I306" s="563"/>
      <c r="J306" s="563"/>
      <c r="K306" s="563"/>
      <c r="L306" s="563"/>
      <c r="M306" s="563"/>
      <c r="N306" s="567"/>
      <c r="O306" s="568"/>
      <c r="P306" s="568"/>
      <c r="Q306" s="568"/>
      <c r="R306" s="568"/>
      <c r="S306" s="568"/>
      <c r="T306" s="568"/>
      <c r="U306" s="563"/>
      <c r="V306" s="563"/>
      <c r="W306" s="563"/>
      <c r="X306" s="563"/>
      <c r="Y306" s="563"/>
      <c r="Z306" s="563"/>
      <c r="AA306" s="563"/>
      <c r="AB306" s="563"/>
      <c r="AC306" s="563"/>
      <c r="AD306" s="563"/>
      <c r="AE306" s="563"/>
      <c r="AF306" s="563"/>
      <c r="AG306" s="563"/>
      <c r="AH306" s="563"/>
      <c r="AI306" s="563"/>
      <c r="AJ306" s="563"/>
      <c r="AK306" s="563"/>
      <c r="AL306" s="563"/>
      <c r="AM306" s="563"/>
      <c r="AN306" s="563"/>
      <c r="AO306" s="563"/>
      <c r="AP306" s="563"/>
      <c r="AQ306" s="563"/>
      <c r="AR306" s="563"/>
      <c r="AS306" s="563"/>
      <c r="AT306" s="563"/>
      <c r="AU306" s="563"/>
      <c r="AV306" s="563"/>
      <c r="AW306" s="563"/>
      <c r="AX306" s="563"/>
      <c r="AY306" s="563"/>
      <c r="AZ306" s="563"/>
    </row>
    <row r="307" spans="1:52" ht="18" customHeight="1">
      <c r="A307" s="563"/>
      <c r="B307" s="564"/>
      <c r="C307" s="564"/>
      <c r="D307" s="564"/>
      <c r="E307" s="564"/>
      <c r="F307" s="564"/>
      <c r="G307" s="564"/>
      <c r="H307" s="563"/>
      <c r="I307" s="563"/>
      <c r="J307" s="563"/>
      <c r="K307" s="563"/>
      <c r="L307" s="563"/>
      <c r="M307" s="563"/>
      <c r="N307" s="567"/>
      <c r="O307" s="568"/>
      <c r="P307" s="568"/>
      <c r="Q307" s="568"/>
      <c r="R307" s="568"/>
      <c r="S307" s="568"/>
      <c r="T307" s="568"/>
      <c r="U307" s="563"/>
      <c r="V307" s="563"/>
      <c r="W307" s="563"/>
      <c r="X307" s="563"/>
      <c r="Y307" s="563"/>
      <c r="Z307" s="563"/>
      <c r="AA307" s="563"/>
      <c r="AB307" s="563"/>
      <c r="AC307" s="563"/>
      <c r="AD307" s="563"/>
      <c r="AE307" s="563"/>
      <c r="AF307" s="563"/>
      <c r="AG307" s="563"/>
      <c r="AH307" s="563"/>
      <c r="AI307" s="563"/>
      <c r="AJ307" s="563"/>
      <c r="AK307" s="563"/>
      <c r="AL307" s="563"/>
      <c r="AM307" s="563"/>
      <c r="AN307" s="563"/>
      <c r="AO307" s="563"/>
      <c r="AP307" s="563"/>
      <c r="AQ307" s="563"/>
      <c r="AR307" s="563"/>
      <c r="AS307" s="563"/>
      <c r="AT307" s="563"/>
      <c r="AU307" s="563"/>
      <c r="AV307" s="563"/>
      <c r="AW307" s="563"/>
      <c r="AX307" s="563"/>
      <c r="AY307" s="563"/>
      <c r="AZ307" s="563"/>
    </row>
    <row r="308" spans="1:52" ht="18" customHeight="1">
      <c r="A308" s="563"/>
      <c r="B308" s="564"/>
      <c r="C308" s="564"/>
      <c r="D308" s="564"/>
      <c r="E308" s="564"/>
      <c r="F308" s="564"/>
      <c r="G308" s="564"/>
      <c r="H308" s="563"/>
      <c r="I308" s="563"/>
      <c r="J308" s="563"/>
      <c r="K308" s="563"/>
      <c r="L308" s="563"/>
      <c r="M308" s="563"/>
      <c r="N308" s="567"/>
      <c r="O308" s="568"/>
      <c r="P308" s="568"/>
      <c r="Q308" s="568"/>
      <c r="R308" s="568"/>
      <c r="S308" s="568"/>
      <c r="T308" s="568"/>
      <c r="U308" s="563"/>
      <c r="V308" s="563"/>
      <c r="W308" s="563"/>
      <c r="X308" s="563"/>
      <c r="Y308" s="563"/>
      <c r="Z308" s="563"/>
      <c r="AA308" s="563"/>
      <c r="AB308" s="563"/>
      <c r="AC308" s="563"/>
      <c r="AD308" s="563"/>
      <c r="AE308" s="563"/>
      <c r="AF308" s="563"/>
      <c r="AG308" s="563"/>
      <c r="AH308" s="563"/>
      <c r="AI308" s="563"/>
      <c r="AJ308" s="563"/>
      <c r="AK308" s="563"/>
      <c r="AL308" s="563"/>
      <c r="AM308" s="563"/>
      <c r="AN308" s="563"/>
      <c r="AO308" s="563"/>
      <c r="AP308" s="563"/>
      <c r="AQ308" s="563"/>
      <c r="AR308" s="563"/>
      <c r="AS308" s="563"/>
      <c r="AT308" s="563"/>
      <c r="AU308" s="563"/>
      <c r="AV308" s="563"/>
      <c r="AW308" s="563"/>
      <c r="AX308" s="563"/>
      <c r="AY308" s="563"/>
      <c r="AZ308" s="563"/>
    </row>
    <row r="309" spans="1:52" ht="18" customHeight="1">
      <c r="A309" s="563"/>
      <c r="B309" s="564"/>
      <c r="C309" s="564"/>
      <c r="D309" s="564"/>
      <c r="E309" s="564"/>
      <c r="F309" s="564"/>
      <c r="G309" s="564"/>
      <c r="H309" s="563"/>
      <c r="I309" s="563"/>
      <c r="J309" s="563"/>
      <c r="K309" s="563"/>
      <c r="L309" s="563"/>
      <c r="M309" s="563"/>
      <c r="N309" s="567"/>
      <c r="O309" s="568"/>
      <c r="P309" s="568"/>
      <c r="Q309" s="568"/>
      <c r="R309" s="568"/>
      <c r="S309" s="568"/>
      <c r="T309" s="568"/>
      <c r="U309" s="563"/>
      <c r="V309" s="563"/>
      <c r="W309" s="563"/>
      <c r="X309" s="563"/>
      <c r="Y309" s="563"/>
      <c r="Z309" s="563"/>
      <c r="AA309" s="563"/>
      <c r="AB309" s="563"/>
      <c r="AC309" s="563"/>
      <c r="AD309" s="563"/>
      <c r="AE309" s="563"/>
      <c r="AF309" s="563"/>
      <c r="AG309" s="563"/>
      <c r="AH309" s="563"/>
      <c r="AI309" s="563"/>
      <c r="AJ309" s="563"/>
      <c r="AK309" s="563"/>
      <c r="AL309" s="563"/>
      <c r="AM309" s="563"/>
      <c r="AN309" s="563"/>
      <c r="AO309" s="563"/>
      <c r="AP309" s="563"/>
      <c r="AQ309" s="563"/>
      <c r="AR309" s="563"/>
      <c r="AS309" s="563"/>
      <c r="AT309" s="563"/>
      <c r="AU309" s="563"/>
      <c r="AV309" s="563"/>
      <c r="AW309" s="563"/>
      <c r="AX309" s="563"/>
      <c r="AY309" s="563"/>
      <c r="AZ309" s="563"/>
    </row>
    <row r="310" spans="1:52" ht="18" customHeight="1">
      <c r="A310" s="563"/>
      <c r="B310" s="564"/>
      <c r="C310" s="564"/>
      <c r="D310" s="564"/>
      <c r="E310" s="564"/>
      <c r="F310" s="564"/>
      <c r="G310" s="564"/>
      <c r="H310" s="563"/>
      <c r="I310" s="563"/>
      <c r="J310" s="563"/>
      <c r="K310" s="563"/>
      <c r="L310" s="563"/>
      <c r="M310" s="563"/>
      <c r="N310" s="567"/>
      <c r="O310" s="568"/>
      <c r="P310" s="568"/>
      <c r="Q310" s="568"/>
      <c r="R310" s="568"/>
      <c r="S310" s="568"/>
      <c r="T310" s="568"/>
      <c r="U310" s="563"/>
      <c r="V310" s="563"/>
      <c r="W310" s="563"/>
      <c r="X310" s="563"/>
      <c r="Y310" s="563"/>
      <c r="Z310" s="563"/>
      <c r="AA310" s="563"/>
      <c r="AB310" s="563"/>
      <c r="AC310" s="563"/>
      <c r="AD310" s="563"/>
      <c r="AE310" s="563"/>
      <c r="AF310" s="563"/>
      <c r="AG310" s="563"/>
      <c r="AH310" s="563"/>
      <c r="AI310" s="563"/>
      <c r="AJ310" s="563"/>
      <c r="AK310" s="563"/>
      <c r="AL310" s="563"/>
      <c r="AM310" s="563"/>
      <c r="AN310" s="563"/>
      <c r="AO310" s="563"/>
      <c r="AP310" s="563"/>
      <c r="AQ310" s="563"/>
      <c r="AR310" s="563"/>
      <c r="AS310" s="563"/>
      <c r="AT310" s="563"/>
      <c r="AU310" s="563"/>
      <c r="AV310" s="563"/>
      <c r="AW310" s="563"/>
      <c r="AX310" s="563"/>
      <c r="AY310" s="563"/>
      <c r="AZ310" s="563"/>
    </row>
    <row r="311" spans="1:52" ht="18" customHeight="1">
      <c r="A311" s="563"/>
      <c r="B311" s="564"/>
      <c r="C311" s="564"/>
      <c r="D311" s="564"/>
      <c r="E311" s="564"/>
      <c r="F311" s="564"/>
      <c r="G311" s="564"/>
      <c r="H311" s="563"/>
      <c r="I311" s="563"/>
      <c r="J311" s="563"/>
      <c r="K311" s="563"/>
      <c r="L311" s="563"/>
      <c r="M311" s="563"/>
      <c r="N311" s="567"/>
      <c r="O311" s="568"/>
      <c r="P311" s="568"/>
      <c r="Q311" s="568"/>
      <c r="R311" s="568"/>
      <c r="S311" s="568"/>
      <c r="T311" s="568"/>
      <c r="U311" s="563"/>
      <c r="V311" s="563"/>
      <c r="W311" s="563"/>
      <c r="X311" s="563"/>
      <c r="Y311" s="563"/>
      <c r="Z311" s="563"/>
      <c r="AA311" s="563"/>
      <c r="AB311" s="563"/>
      <c r="AC311" s="563"/>
      <c r="AD311" s="563"/>
      <c r="AE311" s="563"/>
      <c r="AF311" s="563"/>
      <c r="AG311" s="563"/>
      <c r="AH311" s="563"/>
      <c r="AI311" s="563"/>
      <c r="AJ311" s="563"/>
      <c r="AK311" s="563"/>
      <c r="AL311" s="563"/>
      <c r="AM311" s="563"/>
      <c r="AN311" s="563"/>
      <c r="AO311" s="563"/>
      <c r="AP311" s="563"/>
      <c r="AQ311" s="563"/>
      <c r="AR311" s="563"/>
      <c r="AS311" s="563"/>
      <c r="AT311" s="563"/>
      <c r="AU311" s="563"/>
      <c r="AV311" s="563"/>
      <c r="AW311" s="563"/>
      <c r="AX311" s="563"/>
      <c r="AY311" s="563"/>
      <c r="AZ311" s="563"/>
    </row>
    <row r="312" spans="1:52" ht="18" customHeight="1">
      <c r="A312" s="563"/>
      <c r="B312" s="564"/>
      <c r="C312" s="564"/>
      <c r="D312" s="564"/>
      <c r="E312" s="564"/>
      <c r="F312" s="564"/>
      <c r="G312" s="564"/>
      <c r="H312" s="563"/>
      <c r="I312" s="563"/>
      <c r="J312" s="563"/>
      <c r="K312" s="563"/>
      <c r="L312" s="563"/>
      <c r="M312" s="563"/>
      <c r="N312" s="567"/>
      <c r="O312" s="568"/>
      <c r="P312" s="568"/>
      <c r="Q312" s="568"/>
      <c r="R312" s="568"/>
      <c r="S312" s="568"/>
      <c r="T312" s="568"/>
      <c r="U312" s="563"/>
      <c r="V312" s="563"/>
      <c r="W312" s="563"/>
      <c r="X312" s="563"/>
      <c r="Y312" s="563"/>
      <c r="Z312" s="563"/>
      <c r="AA312" s="563"/>
      <c r="AB312" s="563"/>
      <c r="AC312" s="563"/>
      <c r="AD312" s="563"/>
      <c r="AE312" s="563"/>
      <c r="AF312" s="563"/>
      <c r="AG312" s="563"/>
      <c r="AH312" s="563"/>
      <c r="AI312" s="563"/>
      <c r="AJ312" s="563"/>
      <c r="AK312" s="563"/>
      <c r="AL312" s="563"/>
      <c r="AM312" s="563"/>
      <c r="AN312" s="563"/>
      <c r="AO312" s="563"/>
      <c r="AP312" s="563"/>
      <c r="AQ312" s="563"/>
      <c r="AR312" s="563"/>
      <c r="AS312" s="563"/>
      <c r="AT312" s="563"/>
      <c r="AU312" s="563"/>
      <c r="AV312" s="563"/>
      <c r="AW312" s="563"/>
      <c r="AX312" s="563"/>
      <c r="AY312" s="563"/>
      <c r="AZ312" s="563"/>
    </row>
    <row r="313" spans="1:52" ht="18" customHeight="1">
      <c r="A313" s="563"/>
      <c r="N313" s="567"/>
      <c r="O313" s="568"/>
      <c r="P313" s="568"/>
      <c r="Q313" s="568"/>
      <c r="R313" s="568"/>
      <c r="S313" s="568"/>
      <c r="T313" s="568"/>
      <c r="U313" s="563"/>
      <c r="V313" s="563"/>
      <c r="W313" s="563"/>
      <c r="X313" s="563"/>
      <c r="Y313" s="563"/>
      <c r="Z313" s="563"/>
      <c r="AA313" s="563"/>
      <c r="AB313" s="563"/>
      <c r="AC313" s="563"/>
      <c r="AD313" s="563"/>
      <c r="AE313" s="563"/>
      <c r="AF313" s="563"/>
      <c r="AG313" s="563"/>
      <c r="AH313" s="563"/>
      <c r="AI313" s="563"/>
      <c r="AJ313" s="563"/>
      <c r="AK313" s="563"/>
      <c r="AL313" s="563"/>
      <c r="AM313" s="563"/>
      <c r="AN313" s="563"/>
      <c r="AO313" s="563"/>
      <c r="AP313" s="563"/>
      <c r="AQ313" s="563"/>
      <c r="AR313" s="563"/>
      <c r="AS313" s="563"/>
      <c r="AT313" s="563"/>
      <c r="AU313" s="563"/>
      <c r="AV313" s="563"/>
      <c r="AW313" s="563"/>
      <c r="AX313" s="563"/>
      <c r="AY313" s="563"/>
      <c r="AZ313" s="563"/>
    </row>
  </sheetData>
  <mergeCells count="8">
    <mergeCell ref="B96:G96"/>
    <mergeCell ref="B122:G122"/>
    <mergeCell ref="B4:G4"/>
    <mergeCell ref="B39:G39"/>
    <mergeCell ref="B42:G42"/>
    <mergeCell ref="B62:G62"/>
    <mergeCell ref="B66:G66"/>
    <mergeCell ref="B93:G93"/>
  </mergeCells>
  <phoneticPr fontId="64" type="noConversion"/>
  <pageMargins left="0.74791666666666667" right="0.47222222222222221" top="0.50972222222222219" bottom="0.59027777777777779" header="0.38958333333333334" footer="0.51111111111111107"/>
  <pageSetup paperSize="9" firstPageNumber="4294963191"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CCECFF"/>
  </sheetPr>
  <dimension ref="A1:AZ325"/>
  <sheetViews>
    <sheetView showGridLines="0" workbookViewId="0">
      <pane ySplit="3" topLeftCell="A4" activePane="bottomLeft" state="frozen"/>
      <selection pane="bottomLeft" activeCell="M3" sqref="M3"/>
    </sheetView>
  </sheetViews>
  <sheetFormatPr defaultRowHeight="17.100000000000001" customHeight="1"/>
  <cols>
    <col min="1" max="1" width="2.375" style="634" customWidth="1"/>
    <col min="2" max="2" width="23.625" style="634" customWidth="1"/>
    <col min="3" max="12" width="9.625" style="893" customWidth="1"/>
    <col min="13" max="16384" width="9" style="634"/>
  </cols>
  <sheetData>
    <row r="1" spans="1:52" ht="12" customHeight="1" thickBot="1"/>
    <row r="2" spans="1:52" ht="18" customHeight="1">
      <c r="A2" s="662"/>
      <c r="B2" s="1929" t="s">
        <v>1321</v>
      </c>
      <c r="C2" s="794"/>
      <c r="D2" s="794"/>
      <c r="E2" s="794"/>
      <c r="F2" s="794"/>
      <c r="G2" s="794"/>
      <c r="H2" s="874">
        <v>27</v>
      </c>
      <c r="I2" s="874">
        <v>11</v>
      </c>
      <c r="J2" s="794"/>
      <c r="K2" s="794"/>
      <c r="L2" s="795"/>
      <c r="M2" s="662"/>
      <c r="N2" s="662"/>
      <c r="O2" s="662"/>
      <c r="P2" s="662"/>
      <c r="Q2" s="662"/>
      <c r="R2" s="662"/>
      <c r="S2" s="662"/>
      <c r="T2" s="662"/>
      <c r="U2" s="662"/>
      <c r="V2" s="662"/>
      <c r="W2" s="662"/>
      <c r="X2" s="662"/>
      <c r="Y2" s="662"/>
      <c r="Z2" s="662"/>
      <c r="AA2" s="662"/>
      <c r="AB2" s="662"/>
      <c r="AC2" s="662"/>
      <c r="AD2" s="662"/>
      <c r="AE2" s="662"/>
      <c r="AF2" s="662"/>
      <c r="AG2" s="662"/>
      <c r="AH2" s="662"/>
      <c r="AI2" s="662"/>
      <c r="AJ2" s="662"/>
      <c r="AK2" s="662"/>
      <c r="AL2" s="662"/>
      <c r="AM2" s="662"/>
      <c r="AN2" s="662"/>
      <c r="AO2" s="662"/>
      <c r="AP2" s="662"/>
      <c r="AQ2" s="662"/>
      <c r="AR2" s="662"/>
      <c r="AS2" s="662"/>
      <c r="AT2" s="662"/>
      <c r="AU2" s="662"/>
      <c r="AV2" s="662"/>
      <c r="AW2" s="662"/>
      <c r="AX2" s="662"/>
      <c r="AY2" s="662"/>
      <c r="AZ2" s="662"/>
    </row>
    <row r="3" spans="1:52" ht="18" customHeight="1">
      <c r="A3" s="662"/>
      <c r="B3" s="800"/>
      <c r="C3" s="875">
        <f t="shared" ref="C3:L3" si="0">C20</f>
        <v>2015</v>
      </c>
      <c r="D3" s="876">
        <f t="shared" si="0"/>
        <v>2016</v>
      </c>
      <c r="E3" s="876">
        <f t="shared" si="0"/>
        <v>2017</v>
      </c>
      <c r="F3" s="876">
        <f t="shared" si="0"/>
        <v>2018</v>
      </c>
      <c r="G3" s="876">
        <f t="shared" si="0"/>
        <v>2019</v>
      </c>
      <c r="H3" s="876" t="str">
        <f t="shared" si="0"/>
        <v>2020E</v>
      </c>
      <c r="I3" s="876" t="str">
        <f t="shared" si="0"/>
        <v>2021E</v>
      </c>
      <c r="J3" s="876" t="str">
        <f t="shared" si="0"/>
        <v>2022E</v>
      </c>
      <c r="K3" s="876" t="str">
        <f t="shared" si="0"/>
        <v>2023E</v>
      </c>
      <c r="L3" s="877" t="str">
        <f t="shared" si="0"/>
        <v>2024E</v>
      </c>
      <c r="M3" s="662"/>
      <c r="N3" s="662"/>
      <c r="O3" s="662"/>
      <c r="P3" s="662"/>
      <c r="Q3" s="662"/>
      <c r="R3" s="662"/>
      <c r="S3" s="662"/>
      <c r="T3" s="662"/>
      <c r="U3" s="662"/>
      <c r="V3" s="662"/>
      <c r="W3" s="662"/>
      <c r="X3" s="662"/>
      <c r="Y3" s="662"/>
      <c r="Z3" s="662"/>
      <c r="AA3" s="662"/>
      <c r="AB3" s="662"/>
      <c r="AC3" s="662"/>
      <c r="AD3" s="662"/>
      <c r="AE3" s="662"/>
      <c r="AF3" s="662"/>
      <c r="AG3" s="662"/>
      <c r="AH3" s="662"/>
      <c r="AI3" s="662"/>
      <c r="AJ3" s="662"/>
      <c r="AK3" s="662"/>
      <c r="AL3" s="662"/>
      <c r="AM3" s="662"/>
      <c r="AN3" s="662"/>
      <c r="AO3" s="662"/>
      <c r="AP3" s="662"/>
      <c r="AQ3" s="662"/>
      <c r="AR3" s="662"/>
      <c r="AS3" s="662"/>
      <c r="AT3" s="662"/>
      <c r="AU3" s="662"/>
      <c r="AV3" s="662"/>
      <c r="AW3" s="662"/>
      <c r="AX3" s="662"/>
      <c r="AY3" s="662"/>
      <c r="AZ3" s="662"/>
    </row>
    <row r="4" spans="1:52" s="668" customFormat="1" ht="18" customHeight="1">
      <c r="A4" s="667"/>
      <c r="B4" s="878" t="str">
        <f t="shared" ref="B4:L4" ca="1" si="1">OFFSET(B20,$H$2,0)</f>
        <v>EBIT 率</v>
      </c>
      <c r="C4" s="879">
        <f t="shared" ca="1" si="1"/>
        <v>0.23519312542451326</v>
      </c>
      <c r="D4" s="880">
        <f t="shared" ca="1" si="1"/>
        <v>0.25165477881368331</v>
      </c>
      <c r="E4" s="880">
        <f t="shared" ca="1" si="1"/>
        <v>0.15035430588482976</v>
      </c>
      <c r="F4" s="880">
        <f t="shared" ca="1" si="1"/>
        <v>0.17678213690108988</v>
      </c>
      <c r="G4" s="880">
        <f t="shared" ca="1" si="1"/>
        <v>0.17121196349259182</v>
      </c>
      <c r="H4" s="881">
        <f t="shared" ca="1" si="1"/>
        <v>0.15434907879221951</v>
      </c>
      <c r="I4" s="881">
        <f t="shared" ca="1" si="1"/>
        <v>0.15234758394101894</v>
      </c>
      <c r="J4" s="881">
        <f t="shared" ca="1" si="1"/>
        <v>0.15384309779593056</v>
      </c>
      <c r="K4" s="881">
        <f t="shared" ca="1" si="1"/>
        <v>0.15351325350972297</v>
      </c>
      <c r="L4" s="882">
        <f t="shared" ca="1" si="1"/>
        <v>0.15323464508222415</v>
      </c>
      <c r="M4" s="667"/>
      <c r="N4" s="667"/>
      <c r="O4" s="667"/>
      <c r="P4" s="667"/>
      <c r="Q4" s="667"/>
      <c r="R4" s="667"/>
      <c r="S4" s="667"/>
      <c r="T4" s="667"/>
      <c r="U4" s="667"/>
      <c r="V4" s="667"/>
      <c r="W4" s="667"/>
      <c r="X4" s="667"/>
      <c r="Y4" s="667"/>
      <c r="Z4" s="667"/>
      <c r="AA4" s="667"/>
      <c r="AB4" s="667"/>
      <c r="AC4" s="667"/>
      <c r="AD4" s="667"/>
      <c r="AE4" s="667"/>
      <c r="AF4" s="667"/>
      <c r="AG4" s="667"/>
      <c r="AH4" s="667"/>
      <c r="AI4" s="667"/>
      <c r="AJ4" s="667"/>
      <c r="AK4" s="667"/>
      <c r="AL4" s="667"/>
      <c r="AM4" s="667"/>
      <c r="AN4" s="667"/>
      <c r="AO4" s="667"/>
      <c r="AP4" s="667"/>
      <c r="AQ4" s="667"/>
      <c r="AR4" s="667"/>
      <c r="AS4" s="667"/>
      <c r="AT4" s="667"/>
      <c r="AU4" s="667"/>
      <c r="AV4" s="667"/>
      <c r="AW4" s="667"/>
      <c r="AX4" s="667"/>
      <c r="AY4" s="667"/>
      <c r="AZ4" s="667"/>
    </row>
    <row r="5" spans="1:52" s="668" customFormat="1" ht="18" customHeight="1" thickBot="1">
      <c r="A5" s="667"/>
      <c r="B5" s="883" t="str">
        <f t="shared" ref="B5:L5" ca="1" si="2">OFFSET(B20,$I$2,0)</f>
        <v>EV/EBITDA</v>
      </c>
      <c r="C5" s="884">
        <f t="shared" ca="1" si="2"/>
        <v>27.681534963676803</v>
      </c>
      <c r="D5" s="885">
        <f t="shared" ca="1" si="2"/>
        <v>21.718886916383738</v>
      </c>
      <c r="E5" s="885">
        <f t="shared" ca="1" si="2"/>
        <v>29.893676932267155</v>
      </c>
      <c r="F5" s="885">
        <f t="shared" ca="1" si="2"/>
        <v>24.251476271727832</v>
      </c>
      <c r="G5" s="885">
        <f t="shared" ca="1" si="2"/>
        <v>19.744998333349795</v>
      </c>
      <c r="H5" s="886">
        <f t="shared" ca="1" si="2"/>
        <v>22.85896802918089</v>
      </c>
      <c r="I5" s="886">
        <f t="shared" ca="1" si="2"/>
        <v>25.427530019344719</v>
      </c>
      <c r="J5" s="886">
        <f t="shared" ca="1" si="2"/>
        <v>27.339414051528376</v>
      </c>
      <c r="K5" s="886">
        <f t="shared" ca="1" si="2"/>
        <v>29.470226581232303</v>
      </c>
      <c r="L5" s="887">
        <f t="shared" ca="1" si="2"/>
        <v>31.689412401851037</v>
      </c>
      <c r="M5" s="667"/>
      <c r="N5" s="667"/>
      <c r="O5" s="667"/>
      <c r="P5" s="667"/>
      <c r="Q5" s="667"/>
      <c r="R5" s="667"/>
      <c r="S5" s="667"/>
      <c r="T5" s="667"/>
      <c r="U5" s="667"/>
      <c r="V5" s="667"/>
      <c r="W5" s="667"/>
      <c r="X5" s="667"/>
      <c r="Y5" s="667"/>
      <c r="Z5" s="667"/>
      <c r="AA5" s="667"/>
      <c r="AB5" s="667"/>
      <c r="AC5" s="667"/>
      <c r="AD5" s="667"/>
      <c r="AE5" s="667"/>
      <c r="AF5" s="667"/>
      <c r="AG5" s="667"/>
      <c r="AH5" s="667"/>
      <c r="AI5" s="667"/>
      <c r="AJ5" s="667"/>
      <c r="AK5" s="667"/>
      <c r="AL5" s="667"/>
      <c r="AM5" s="667"/>
      <c r="AN5" s="667"/>
      <c r="AO5" s="667"/>
      <c r="AP5" s="667"/>
      <c r="AQ5" s="667"/>
      <c r="AR5" s="667"/>
      <c r="AS5" s="667"/>
      <c r="AT5" s="667"/>
      <c r="AU5" s="667"/>
      <c r="AV5" s="667"/>
      <c r="AW5" s="667"/>
      <c r="AX5" s="667"/>
      <c r="AY5" s="667"/>
      <c r="AZ5" s="667"/>
    </row>
    <row r="6" spans="1:52" ht="18" customHeight="1">
      <c r="A6" s="662"/>
      <c r="B6" s="888"/>
      <c r="C6" s="658"/>
      <c r="D6" s="658"/>
      <c r="E6" s="658"/>
      <c r="F6" s="658"/>
      <c r="G6" s="658"/>
      <c r="H6" s="658"/>
      <c r="I6" s="658"/>
      <c r="J6" s="658"/>
      <c r="K6" s="658"/>
      <c r="L6" s="889"/>
      <c r="M6" s="662"/>
      <c r="N6" s="662"/>
      <c r="O6" s="662"/>
      <c r="P6" s="662"/>
      <c r="Q6" s="662"/>
      <c r="R6" s="662"/>
      <c r="S6" s="662"/>
      <c r="T6" s="662"/>
      <c r="U6" s="662"/>
      <c r="V6" s="662"/>
      <c r="W6" s="662"/>
      <c r="X6" s="662"/>
      <c r="Y6" s="662"/>
      <c r="Z6" s="662"/>
      <c r="AA6" s="662"/>
      <c r="AB6" s="662"/>
      <c r="AC6" s="662"/>
      <c r="AD6" s="662"/>
      <c r="AE6" s="662"/>
      <c r="AF6" s="662"/>
      <c r="AG6" s="662"/>
      <c r="AH6" s="662"/>
      <c r="AI6" s="662"/>
      <c r="AJ6" s="662"/>
      <c r="AK6" s="662"/>
      <c r="AL6" s="662"/>
      <c r="AM6" s="662"/>
      <c r="AN6" s="662"/>
      <c r="AO6" s="662"/>
      <c r="AP6" s="662"/>
      <c r="AQ6" s="662"/>
      <c r="AR6" s="662"/>
      <c r="AS6" s="662"/>
      <c r="AT6" s="662"/>
      <c r="AU6" s="662"/>
      <c r="AV6" s="662"/>
      <c r="AW6" s="662"/>
      <c r="AX6" s="662"/>
      <c r="AY6" s="662"/>
      <c r="AZ6" s="662"/>
    </row>
    <row r="7" spans="1:52" ht="18" customHeight="1">
      <c r="A7" s="662"/>
      <c r="B7" s="888"/>
      <c r="C7" s="658"/>
      <c r="D7" s="658"/>
      <c r="E7" s="658"/>
      <c r="F7" s="658"/>
      <c r="G7" s="658"/>
      <c r="H7" s="658"/>
      <c r="I7" s="658"/>
      <c r="J7" s="658"/>
      <c r="K7" s="658"/>
      <c r="L7" s="889"/>
      <c r="M7" s="662"/>
      <c r="N7" s="662"/>
      <c r="O7" s="662"/>
      <c r="P7" s="662"/>
      <c r="Q7" s="662"/>
      <c r="R7" s="662"/>
      <c r="S7" s="662"/>
      <c r="T7" s="662"/>
      <c r="U7" s="662"/>
      <c r="V7" s="662"/>
      <c r="W7" s="662"/>
      <c r="X7" s="662"/>
      <c r="Y7" s="662"/>
      <c r="Z7" s="662"/>
      <c r="AA7" s="662"/>
      <c r="AB7" s="662"/>
      <c r="AC7" s="662"/>
      <c r="AD7" s="662"/>
      <c r="AE7" s="662"/>
      <c r="AF7" s="662"/>
      <c r="AG7" s="662"/>
      <c r="AH7" s="662"/>
      <c r="AI7" s="662"/>
      <c r="AJ7" s="662"/>
      <c r="AK7" s="662"/>
      <c r="AL7" s="662"/>
      <c r="AM7" s="662"/>
      <c r="AN7" s="662"/>
      <c r="AO7" s="662"/>
      <c r="AP7" s="662"/>
      <c r="AQ7" s="662"/>
      <c r="AR7" s="662"/>
      <c r="AS7" s="662"/>
      <c r="AT7" s="662"/>
      <c r="AU7" s="662"/>
      <c r="AV7" s="662"/>
      <c r="AW7" s="662"/>
      <c r="AX7" s="662"/>
      <c r="AY7" s="662"/>
      <c r="AZ7" s="662"/>
    </row>
    <row r="8" spans="1:52" ht="18" customHeight="1">
      <c r="A8" s="662"/>
      <c r="B8" s="888"/>
      <c r="C8" s="658"/>
      <c r="D8" s="658"/>
      <c r="E8" s="658"/>
      <c r="F8" s="658"/>
      <c r="G8" s="658"/>
      <c r="H8" s="658"/>
      <c r="I8" s="658"/>
      <c r="J8" s="658"/>
      <c r="K8" s="658"/>
      <c r="L8" s="889"/>
      <c r="M8" s="662"/>
      <c r="N8" s="662"/>
      <c r="O8" s="662"/>
      <c r="P8" s="662"/>
      <c r="Q8" s="662"/>
      <c r="R8" s="662"/>
      <c r="S8" s="662"/>
      <c r="T8" s="662"/>
      <c r="U8" s="662"/>
      <c r="V8" s="662"/>
      <c r="W8" s="662"/>
      <c r="X8" s="662"/>
      <c r="Y8" s="662"/>
      <c r="Z8" s="662"/>
      <c r="AA8" s="662"/>
      <c r="AB8" s="662"/>
      <c r="AC8" s="662"/>
      <c r="AD8" s="662"/>
      <c r="AE8" s="662"/>
      <c r="AF8" s="662"/>
      <c r="AG8" s="662"/>
      <c r="AH8" s="662"/>
      <c r="AI8" s="662"/>
      <c r="AJ8" s="662"/>
      <c r="AK8" s="662"/>
      <c r="AL8" s="662"/>
      <c r="AM8" s="662"/>
      <c r="AN8" s="662"/>
      <c r="AO8" s="662"/>
      <c r="AP8" s="662"/>
      <c r="AQ8" s="662"/>
      <c r="AR8" s="662"/>
      <c r="AS8" s="662"/>
      <c r="AT8" s="662"/>
      <c r="AU8" s="662"/>
      <c r="AV8" s="662"/>
      <c r="AW8" s="662"/>
      <c r="AX8" s="662"/>
      <c r="AY8" s="662"/>
      <c r="AZ8" s="662"/>
    </row>
    <row r="9" spans="1:52" ht="18" customHeight="1">
      <c r="A9" s="662"/>
      <c r="B9" s="888"/>
      <c r="C9" s="658"/>
      <c r="D9" s="658"/>
      <c r="E9" s="658"/>
      <c r="F9" s="658"/>
      <c r="G9" s="658"/>
      <c r="H9" s="658"/>
      <c r="I9" s="658"/>
      <c r="J9" s="658"/>
      <c r="K9" s="658"/>
      <c r="L9" s="889"/>
      <c r="M9" s="662"/>
      <c r="N9" s="662"/>
      <c r="O9" s="662"/>
      <c r="P9" s="662"/>
      <c r="Q9" s="662"/>
      <c r="R9" s="662"/>
      <c r="S9" s="662"/>
      <c r="T9" s="662"/>
      <c r="U9" s="662"/>
      <c r="V9" s="662"/>
      <c r="W9" s="662"/>
      <c r="X9" s="662"/>
      <c r="Y9" s="662"/>
      <c r="Z9" s="662"/>
      <c r="AA9" s="662"/>
      <c r="AB9" s="662"/>
      <c r="AC9" s="662"/>
      <c r="AD9" s="662"/>
      <c r="AE9" s="662"/>
      <c r="AF9" s="662"/>
      <c r="AG9" s="662"/>
      <c r="AH9" s="662"/>
      <c r="AI9" s="662"/>
      <c r="AJ9" s="662"/>
      <c r="AK9" s="662"/>
      <c r="AL9" s="662"/>
      <c r="AM9" s="662"/>
      <c r="AN9" s="662"/>
      <c r="AO9" s="662"/>
      <c r="AP9" s="662"/>
      <c r="AQ9" s="662"/>
      <c r="AR9" s="662"/>
      <c r="AS9" s="662"/>
      <c r="AT9" s="662"/>
      <c r="AU9" s="662"/>
      <c r="AV9" s="662"/>
      <c r="AW9" s="662"/>
      <c r="AX9" s="662"/>
      <c r="AY9" s="662"/>
      <c r="AZ9" s="662"/>
    </row>
    <row r="10" spans="1:52" ht="18" customHeight="1">
      <c r="A10" s="662"/>
      <c r="B10" s="888"/>
      <c r="C10" s="658"/>
      <c r="D10" s="658"/>
      <c r="E10" s="658"/>
      <c r="F10" s="658"/>
      <c r="G10" s="658"/>
      <c r="H10" s="658"/>
      <c r="I10" s="658"/>
      <c r="J10" s="658"/>
      <c r="K10" s="658"/>
      <c r="L10" s="889"/>
      <c r="M10" s="662"/>
      <c r="N10" s="662"/>
      <c r="O10" s="662"/>
      <c r="P10" s="662"/>
      <c r="Q10" s="662"/>
      <c r="R10" s="662"/>
      <c r="S10" s="662"/>
      <c r="T10" s="662"/>
      <c r="U10" s="662"/>
      <c r="V10" s="662"/>
      <c r="W10" s="662"/>
      <c r="X10" s="662"/>
      <c r="Y10" s="662"/>
      <c r="Z10" s="662"/>
      <c r="AA10" s="662"/>
      <c r="AB10" s="662"/>
      <c r="AC10" s="662"/>
      <c r="AD10" s="662"/>
      <c r="AE10" s="662"/>
      <c r="AF10" s="662"/>
      <c r="AG10" s="662"/>
      <c r="AH10" s="662"/>
      <c r="AI10" s="662"/>
      <c r="AJ10" s="662"/>
      <c r="AK10" s="662"/>
      <c r="AL10" s="662"/>
      <c r="AM10" s="662"/>
      <c r="AN10" s="662"/>
      <c r="AO10" s="662"/>
      <c r="AP10" s="662"/>
      <c r="AQ10" s="662"/>
      <c r="AR10" s="662"/>
      <c r="AS10" s="662"/>
      <c r="AT10" s="662"/>
      <c r="AU10" s="662"/>
      <c r="AV10" s="662"/>
      <c r="AW10" s="662"/>
      <c r="AX10" s="662"/>
      <c r="AY10" s="662"/>
      <c r="AZ10" s="662"/>
    </row>
    <row r="11" spans="1:52" ht="18" customHeight="1">
      <c r="A11" s="662"/>
      <c r="B11" s="888"/>
      <c r="C11" s="658"/>
      <c r="D11" s="658"/>
      <c r="E11" s="658"/>
      <c r="F11" s="658"/>
      <c r="G11" s="658"/>
      <c r="H11" s="658"/>
      <c r="I11" s="658"/>
      <c r="J11" s="658"/>
      <c r="K11" s="658"/>
      <c r="L11" s="889"/>
      <c r="M11" s="662"/>
      <c r="N11" s="662"/>
      <c r="O11" s="662"/>
      <c r="P11" s="662"/>
      <c r="Q11" s="662"/>
      <c r="R11" s="662"/>
      <c r="S11" s="662"/>
      <c r="T11" s="662"/>
      <c r="U11" s="662"/>
      <c r="V11" s="662"/>
      <c r="W11" s="662"/>
      <c r="X11" s="662"/>
      <c r="Y11" s="662"/>
      <c r="Z11" s="662"/>
      <c r="AA11" s="662"/>
      <c r="AB11" s="662"/>
      <c r="AC11" s="662"/>
      <c r="AD11" s="662"/>
      <c r="AE11" s="662"/>
      <c r="AF11" s="662"/>
      <c r="AG11" s="662"/>
      <c r="AH11" s="662"/>
      <c r="AI11" s="662"/>
      <c r="AJ11" s="662"/>
      <c r="AK11" s="662"/>
      <c r="AL11" s="662"/>
      <c r="AM11" s="662"/>
      <c r="AN11" s="662"/>
      <c r="AO11" s="662"/>
      <c r="AP11" s="662"/>
      <c r="AQ11" s="662"/>
      <c r="AR11" s="662"/>
      <c r="AS11" s="662"/>
      <c r="AT11" s="662"/>
      <c r="AU11" s="662"/>
      <c r="AV11" s="662"/>
      <c r="AW11" s="662"/>
      <c r="AX11" s="662"/>
      <c r="AY11" s="662"/>
      <c r="AZ11" s="662"/>
    </row>
    <row r="12" spans="1:52" ht="18" customHeight="1">
      <c r="A12" s="662"/>
      <c r="B12" s="888"/>
      <c r="C12" s="658"/>
      <c r="D12" s="658"/>
      <c r="E12" s="658"/>
      <c r="F12" s="658"/>
      <c r="G12" s="658"/>
      <c r="H12" s="658"/>
      <c r="I12" s="658"/>
      <c r="J12" s="658"/>
      <c r="K12" s="658"/>
      <c r="L12" s="889"/>
      <c r="M12" s="662"/>
      <c r="N12" s="662"/>
      <c r="O12" s="662"/>
      <c r="P12" s="662"/>
      <c r="Q12" s="662"/>
      <c r="R12" s="662"/>
      <c r="S12" s="662"/>
      <c r="T12" s="662"/>
      <c r="U12" s="662"/>
      <c r="V12" s="662"/>
      <c r="W12" s="662"/>
      <c r="X12" s="662"/>
      <c r="Y12" s="662"/>
      <c r="Z12" s="662"/>
      <c r="AA12" s="662"/>
      <c r="AB12" s="662"/>
      <c r="AC12" s="662"/>
      <c r="AD12" s="662"/>
      <c r="AE12" s="662"/>
      <c r="AF12" s="662"/>
      <c r="AG12" s="662"/>
      <c r="AH12" s="662"/>
      <c r="AI12" s="662"/>
      <c r="AJ12" s="662"/>
      <c r="AK12" s="662"/>
      <c r="AL12" s="662"/>
      <c r="AM12" s="662"/>
      <c r="AN12" s="662"/>
      <c r="AO12" s="662"/>
      <c r="AP12" s="662"/>
      <c r="AQ12" s="662"/>
      <c r="AR12" s="662"/>
      <c r="AS12" s="662"/>
      <c r="AT12" s="662"/>
      <c r="AU12" s="662"/>
      <c r="AV12" s="662"/>
      <c r="AW12" s="662"/>
      <c r="AX12" s="662"/>
      <c r="AY12" s="662"/>
      <c r="AZ12" s="662"/>
    </row>
    <row r="13" spans="1:52" ht="18" customHeight="1">
      <c r="A13" s="662"/>
      <c r="B13" s="888"/>
      <c r="C13" s="658"/>
      <c r="D13" s="658"/>
      <c r="E13" s="658"/>
      <c r="F13" s="658"/>
      <c r="G13" s="658"/>
      <c r="H13" s="658"/>
      <c r="I13" s="658"/>
      <c r="J13" s="658"/>
      <c r="K13" s="658"/>
      <c r="L13" s="889"/>
      <c r="M13" s="662"/>
      <c r="N13" s="662"/>
      <c r="O13" s="662"/>
      <c r="P13" s="662"/>
      <c r="Q13" s="662"/>
      <c r="R13" s="662"/>
      <c r="S13" s="662"/>
      <c r="T13" s="662"/>
      <c r="U13" s="662"/>
      <c r="V13" s="662"/>
      <c r="W13" s="662"/>
      <c r="X13" s="662"/>
      <c r="Y13" s="662"/>
      <c r="Z13" s="662"/>
      <c r="AA13" s="662"/>
      <c r="AB13" s="662"/>
      <c r="AC13" s="662"/>
      <c r="AD13" s="662"/>
      <c r="AE13" s="662"/>
      <c r="AF13" s="662"/>
      <c r="AG13" s="662"/>
      <c r="AH13" s="662"/>
      <c r="AI13" s="662"/>
      <c r="AJ13" s="662"/>
      <c r="AK13" s="662"/>
      <c r="AL13" s="662"/>
      <c r="AM13" s="662"/>
      <c r="AN13" s="662"/>
      <c r="AO13" s="662"/>
      <c r="AP13" s="662"/>
      <c r="AQ13" s="662"/>
      <c r="AR13" s="662"/>
      <c r="AS13" s="662"/>
      <c r="AT13" s="662"/>
      <c r="AU13" s="662"/>
      <c r="AV13" s="662"/>
      <c r="AW13" s="662"/>
      <c r="AX13" s="662"/>
      <c r="AY13" s="662"/>
      <c r="AZ13" s="662"/>
    </row>
    <row r="14" spans="1:52" ht="18" customHeight="1">
      <c r="A14" s="662"/>
      <c r="B14" s="888"/>
      <c r="C14" s="658"/>
      <c r="D14" s="658"/>
      <c r="E14" s="658"/>
      <c r="F14" s="658"/>
      <c r="G14" s="658"/>
      <c r="H14" s="658"/>
      <c r="I14" s="658"/>
      <c r="J14" s="658"/>
      <c r="K14" s="658"/>
      <c r="L14" s="889"/>
      <c r="M14" s="662"/>
      <c r="N14" s="662"/>
      <c r="O14" s="662"/>
      <c r="P14" s="662"/>
      <c r="Q14" s="662"/>
      <c r="R14" s="662"/>
      <c r="S14" s="662"/>
      <c r="T14" s="662"/>
      <c r="U14" s="662"/>
      <c r="V14" s="662"/>
      <c r="W14" s="662"/>
      <c r="X14" s="662"/>
      <c r="Y14" s="662"/>
      <c r="Z14" s="662"/>
      <c r="AA14" s="662"/>
      <c r="AB14" s="662"/>
      <c r="AC14" s="662"/>
      <c r="AD14" s="662"/>
      <c r="AE14" s="662"/>
      <c r="AF14" s="662"/>
      <c r="AG14" s="662"/>
      <c r="AH14" s="662"/>
      <c r="AI14" s="662"/>
      <c r="AJ14" s="662"/>
      <c r="AK14" s="662"/>
      <c r="AL14" s="662"/>
      <c r="AM14" s="662"/>
      <c r="AN14" s="662"/>
      <c r="AO14" s="662"/>
      <c r="AP14" s="662"/>
      <c r="AQ14" s="662"/>
      <c r="AR14" s="662"/>
      <c r="AS14" s="662"/>
      <c r="AT14" s="662"/>
      <c r="AU14" s="662"/>
      <c r="AV14" s="662"/>
      <c r="AW14" s="662"/>
      <c r="AX14" s="662"/>
      <c r="AY14" s="662"/>
      <c r="AZ14" s="662"/>
    </row>
    <row r="15" spans="1:52" ht="18" customHeight="1">
      <c r="A15" s="662"/>
      <c r="B15" s="888"/>
      <c r="C15" s="658"/>
      <c r="D15" s="658"/>
      <c r="E15" s="658"/>
      <c r="F15" s="658"/>
      <c r="G15" s="658"/>
      <c r="H15" s="658"/>
      <c r="I15" s="658"/>
      <c r="J15" s="658"/>
      <c r="K15" s="658"/>
      <c r="L15" s="889"/>
      <c r="M15" s="662"/>
      <c r="N15" s="662"/>
      <c r="O15" s="662"/>
      <c r="P15" s="662"/>
      <c r="Q15" s="662"/>
      <c r="R15" s="662"/>
      <c r="S15" s="662"/>
      <c r="T15" s="662"/>
      <c r="U15" s="662"/>
      <c r="V15" s="662"/>
      <c r="W15" s="662"/>
      <c r="X15" s="662"/>
      <c r="Y15" s="662"/>
      <c r="Z15" s="662"/>
      <c r="AA15" s="662"/>
      <c r="AB15" s="662"/>
      <c r="AC15" s="662"/>
      <c r="AD15" s="662"/>
      <c r="AE15" s="662"/>
      <c r="AF15" s="662"/>
      <c r="AG15" s="662"/>
      <c r="AH15" s="662"/>
      <c r="AI15" s="662"/>
      <c r="AJ15" s="662"/>
      <c r="AK15" s="662"/>
      <c r="AL15" s="662"/>
      <c r="AM15" s="662"/>
      <c r="AN15" s="662"/>
      <c r="AO15" s="662"/>
      <c r="AP15" s="662"/>
      <c r="AQ15" s="662"/>
      <c r="AR15" s="662"/>
      <c r="AS15" s="662"/>
      <c r="AT15" s="662"/>
      <c r="AU15" s="662"/>
      <c r="AV15" s="662"/>
      <c r="AW15" s="662"/>
      <c r="AX15" s="662"/>
      <c r="AY15" s="662"/>
      <c r="AZ15" s="662"/>
    </row>
    <row r="16" spans="1:52" ht="18" customHeight="1">
      <c r="A16" s="662"/>
      <c r="B16" s="888"/>
      <c r="C16" s="658"/>
      <c r="D16" s="658"/>
      <c r="E16" s="658"/>
      <c r="F16" s="658"/>
      <c r="G16" s="658"/>
      <c r="H16" s="658"/>
      <c r="I16" s="658"/>
      <c r="J16" s="658"/>
      <c r="K16" s="658"/>
      <c r="L16" s="889"/>
      <c r="M16" s="662"/>
      <c r="N16" s="662"/>
      <c r="O16" s="662"/>
      <c r="P16" s="662"/>
      <c r="Q16" s="662"/>
      <c r="R16" s="662"/>
      <c r="S16" s="662"/>
      <c r="T16" s="662"/>
      <c r="U16" s="662"/>
      <c r="V16" s="662"/>
      <c r="W16" s="662"/>
      <c r="X16" s="662"/>
      <c r="Y16" s="662"/>
      <c r="Z16" s="662"/>
      <c r="AA16" s="662"/>
      <c r="AB16" s="662"/>
      <c r="AC16" s="662"/>
      <c r="AD16" s="662"/>
      <c r="AE16" s="662"/>
      <c r="AF16" s="662"/>
      <c r="AG16" s="662"/>
      <c r="AH16" s="662"/>
      <c r="AI16" s="662"/>
      <c r="AJ16" s="662"/>
      <c r="AK16" s="662"/>
      <c r="AL16" s="662"/>
      <c r="AM16" s="662"/>
      <c r="AN16" s="662"/>
      <c r="AO16" s="662"/>
      <c r="AP16" s="662"/>
      <c r="AQ16" s="662"/>
      <c r="AR16" s="662"/>
      <c r="AS16" s="662"/>
      <c r="AT16" s="662"/>
      <c r="AU16" s="662"/>
      <c r="AV16" s="662"/>
      <c r="AW16" s="662"/>
      <c r="AX16" s="662"/>
      <c r="AY16" s="662"/>
      <c r="AZ16" s="662"/>
    </row>
    <row r="17" spans="1:52" ht="18" customHeight="1" thickBot="1">
      <c r="A17" s="662"/>
      <c r="B17" s="890"/>
      <c r="C17" s="891"/>
      <c r="D17" s="891"/>
      <c r="E17" s="891"/>
      <c r="F17" s="891"/>
      <c r="G17" s="891"/>
      <c r="H17" s="891"/>
      <c r="I17" s="891"/>
      <c r="J17" s="891"/>
      <c r="K17" s="891"/>
      <c r="L17" s="892"/>
      <c r="M17" s="662"/>
      <c r="N17" s="662"/>
      <c r="O17" s="662"/>
      <c r="P17" s="662"/>
      <c r="Q17" s="662"/>
      <c r="R17" s="662"/>
      <c r="S17" s="662"/>
      <c r="T17" s="662"/>
      <c r="U17" s="662"/>
      <c r="V17" s="662"/>
      <c r="W17" s="662"/>
      <c r="X17" s="662"/>
      <c r="Y17" s="662"/>
      <c r="Z17" s="662"/>
      <c r="AA17" s="662"/>
      <c r="AB17" s="662"/>
      <c r="AC17" s="662"/>
      <c r="AD17" s="662"/>
      <c r="AE17" s="662"/>
      <c r="AF17" s="662"/>
      <c r="AG17" s="662"/>
      <c r="AH17" s="662"/>
      <c r="AI17" s="662"/>
      <c r="AJ17" s="662"/>
      <c r="AK17" s="662"/>
      <c r="AL17" s="662"/>
      <c r="AM17" s="662"/>
      <c r="AN17" s="662"/>
      <c r="AO17" s="662"/>
      <c r="AP17" s="662"/>
      <c r="AQ17" s="662"/>
      <c r="AR17" s="662"/>
      <c r="AS17" s="662"/>
      <c r="AT17" s="662"/>
      <c r="AU17" s="662"/>
      <c r="AV17" s="662"/>
      <c r="AW17" s="662"/>
      <c r="AX17" s="662"/>
      <c r="AY17" s="662"/>
      <c r="AZ17" s="662"/>
    </row>
    <row r="18" spans="1:52" ht="17.100000000000001" customHeight="1" thickBot="1">
      <c r="A18" s="631"/>
      <c r="B18" s="631"/>
      <c r="C18" s="631"/>
      <c r="D18" s="631"/>
      <c r="E18" s="631"/>
      <c r="F18" s="631"/>
      <c r="G18" s="631"/>
      <c r="H18" s="631"/>
      <c r="I18" s="631"/>
      <c r="J18" s="631"/>
      <c r="K18" s="631"/>
      <c r="L18" s="632"/>
      <c r="M18" s="633"/>
      <c r="N18" s="631"/>
      <c r="O18" s="631"/>
      <c r="P18" s="631"/>
      <c r="Q18" s="631"/>
      <c r="R18" s="631"/>
      <c r="S18" s="631"/>
      <c r="T18" s="631"/>
      <c r="U18" s="631"/>
      <c r="V18" s="631"/>
      <c r="W18" s="631"/>
      <c r="X18" s="631"/>
      <c r="Y18" s="631"/>
      <c r="Z18" s="631"/>
      <c r="AA18" s="631"/>
      <c r="AB18" s="631"/>
      <c r="AC18" s="631"/>
      <c r="AD18" s="631"/>
      <c r="AE18" s="631"/>
      <c r="AF18" s="631"/>
      <c r="AG18" s="631"/>
      <c r="AH18" s="631"/>
      <c r="AI18" s="631"/>
      <c r="AJ18" s="631"/>
      <c r="AK18" s="631"/>
      <c r="AL18" s="631"/>
      <c r="AM18" s="631"/>
      <c r="AN18" s="631"/>
      <c r="AO18" s="631"/>
      <c r="AP18" s="631"/>
      <c r="AQ18" s="631"/>
      <c r="AR18" s="631"/>
      <c r="AS18" s="631"/>
      <c r="AT18" s="631"/>
      <c r="AU18" s="631"/>
      <c r="AV18" s="631"/>
      <c r="AW18" s="631"/>
      <c r="AX18" s="631"/>
      <c r="AY18" s="631"/>
      <c r="AZ18" s="631"/>
    </row>
    <row r="19" spans="1:52" s="639" customFormat="1" ht="18" customHeight="1">
      <c r="A19" s="106"/>
      <c r="B19" s="186" t="s">
        <v>698</v>
      </c>
      <c r="C19" s="635">
        <f>C20</f>
        <v>2015</v>
      </c>
      <c r="D19" s="635">
        <f>D20</f>
        <v>2016</v>
      </c>
      <c r="E19" s="635">
        <f>E20</f>
        <v>2017</v>
      </c>
      <c r="F19" s="635">
        <f>F20</f>
        <v>2018</v>
      </c>
      <c r="G19" s="635">
        <f>G20</f>
        <v>2019</v>
      </c>
      <c r="H19" s="636">
        <f>G19+1</f>
        <v>2020</v>
      </c>
      <c r="I19" s="636">
        <f>H19+1</f>
        <v>2021</v>
      </c>
      <c r="J19" s="636">
        <f>I19+1</f>
        <v>2022</v>
      </c>
      <c r="K19" s="636">
        <f>J19+1</f>
        <v>2023</v>
      </c>
      <c r="L19" s="636">
        <f>K19+1</f>
        <v>2024</v>
      </c>
      <c r="M19" s="2346"/>
      <c r="N19" s="638"/>
      <c r="O19" s="638"/>
      <c r="P19" s="638"/>
      <c r="Q19" s="638"/>
      <c r="R19" s="638"/>
      <c r="S19" s="638"/>
      <c r="T19" s="638"/>
      <c r="U19" s="638"/>
      <c r="V19" s="638"/>
      <c r="W19" s="638"/>
      <c r="X19" s="638"/>
      <c r="Y19" s="638"/>
      <c r="Z19" s="638"/>
      <c r="AA19" s="638"/>
      <c r="AB19" s="638"/>
      <c r="AC19" s="638"/>
      <c r="AD19" s="638"/>
      <c r="AE19" s="638"/>
      <c r="AF19" s="638"/>
      <c r="AG19" s="638"/>
      <c r="AH19" s="638"/>
      <c r="AI19" s="638"/>
      <c r="AJ19" s="638"/>
      <c r="AK19" s="638"/>
      <c r="AL19" s="638"/>
      <c r="AM19" s="638"/>
      <c r="AN19" s="638"/>
      <c r="AO19" s="638"/>
      <c r="AP19" s="638"/>
      <c r="AQ19" s="638"/>
      <c r="AR19" s="638"/>
      <c r="AS19" s="638"/>
      <c r="AT19" s="638"/>
      <c r="AU19" s="638"/>
      <c r="AV19" s="638"/>
      <c r="AW19" s="638"/>
      <c r="AX19" s="638"/>
      <c r="AY19" s="638"/>
      <c r="AZ19" s="638"/>
    </row>
    <row r="20" spans="1:52" s="646" customFormat="1" ht="18" customHeight="1">
      <c r="A20" s="640"/>
      <c r="B20" s="641"/>
      <c r="C20" s="642">
        <f>利润表!I3</f>
        <v>2015</v>
      </c>
      <c r="D20" s="643">
        <f>利润表!J3</f>
        <v>2016</v>
      </c>
      <c r="E20" s="643">
        <f>利润表!K3</f>
        <v>2017</v>
      </c>
      <c r="F20" s="643">
        <f>利润表!L3</f>
        <v>2018</v>
      </c>
      <c r="G20" s="643">
        <f>利润表!M3</f>
        <v>2019</v>
      </c>
      <c r="H20" s="643" t="str">
        <f>利润表!N3</f>
        <v>2020E</v>
      </c>
      <c r="I20" s="643" t="str">
        <f>利润表!O3</f>
        <v>2021E</v>
      </c>
      <c r="J20" s="643" t="str">
        <f>利润表!P3</f>
        <v>2022E</v>
      </c>
      <c r="K20" s="643" t="str">
        <f>利润表!Q3</f>
        <v>2023E</v>
      </c>
      <c r="L20" s="2328" t="str">
        <f>利润表!R3</f>
        <v>2024E</v>
      </c>
      <c r="M20" s="2347"/>
      <c r="N20" s="645"/>
      <c r="O20" s="645"/>
      <c r="P20" s="645"/>
      <c r="Q20" s="645"/>
      <c r="R20" s="645"/>
      <c r="S20" s="645"/>
      <c r="T20" s="645"/>
      <c r="U20" s="645"/>
      <c r="V20" s="645"/>
      <c r="W20" s="645"/>
      <c r="X20" s="645"/>
      <c r="Y20" s="645"/>
      <c r="Z20" s="645"/>
      <c r="AA20" s="645"/>
      <c r="AB20" s="645"/>
      <c r="AC20" s="645"/>
      <c r="AD20" s="645"/>
      <c r="AE20" s="645"/>
      <c r="AF20" s="645"/>
      <c r="AG20" s="645"/>
      <c r="AH20" s="645"/>
      <c r="AI20" s="645"/>
      <c r="AJ20" s="645"/>
      <c r="AK20" s="645"/>
      <c r="AL20" s="645"/>
      <c r="AM20" s="645"/>
      <c r="AN20" s="645"/>
      <c r="AO20" s="645"/>
      <c r="AP20" s="645"/>
      <c r="AQ20" s="645"/>
      <c r="AR20" s="645"/>
      <c r="AS20" s="645"/>
      <c r="AT20" s="645"/>
      <c r="AU20" s="645"/>
      <c r="AV20" s="645"/>
      <c r="AW20" s="645"/>
      <c r="AX20" s="645"/>
      <c r="AY20" s="645"/>
      <c r="AZ20" s="645"/>
    </row>
    <row r="21" spans="1:52" s="639" customFormat="1" ht="18" customHeight="1">
      <c r="A21" s="106"/>
      <c r="B21" s="647" t="s">
        <v>699</v>
      </c>
      <c r="C21" s="648"/>
      <c r="D21" s="649"/>
      <c r="E21" s="649"/>
      <c r="F21" s="649"/>
      <c r="G21" s="649"/>
      <c r="H21" s="649"/>
      <c r="I21" s="649"/>
      <c r="J21" s="649"/>
      <c r="K21" s="649"/>
      <c r="L21" s="2329"/>
      <c r="M21" s="2346"/>
      <c r="N21" s="638"/>
      <c r="O21" s="638"/>
      <c r="P21" s="638"/>
      <c r="Q21" s="638"/>
      <c r="R21" s="638"/>
      <c r="S21" s="638"/>
      <c r="T21" s="638"/>
      <c r="U21" s="638"/>
      <c r="V21" s="638"/>
      <c r="W21" s="638"/>
      <c r="X21" s="638"/>
      <c r="Y21" s="638"/>
      <c r="Z21" s="638"/>
      <c r="AA21" s="638"/>
      <c r="AB21" s="638"/>
      <c r="AC21" s="638"/>
      <c r="AD21" s="638"/>
      <c r="AE21" s="638"/>
      <c r="AF21" s="638"/>
      <c r="AG21" s="638"/>
      <c r="AH21" s="638"/>
      <c r="AI21" s="638"/>
      <c r="AJ21" s="638"/>
      <c r="AK21" s="638"/>
      <c r="AL21" s="638"/>
      <c r="AM21" s="638"/>
      <c r="AN21" s="638"/>
      <c r="AO21" s="638"/>
      <c r="AP21" s="638"/>
      <c r="AQ21" s="638"/>
      <c r="AR21" s="638"/>
      <c r="AS21" s="638"/>
      <c r="AT21" s="638"/>
      <c r="AU21" s="638"/>
      <c r="AV21" s="638"/>
      <c r="AW21" s="638"/>
      <c r="AX21" s="638"/>
      <c r="AY21" s="638"/>
      <c r="AZ21" s="638"/>
    </row>
    <row r="22" spans="1:52" s="639" customFormat="1" ht="18" customHeight="1">
      <c r="A22" s="106"/>
      <c r="B22" s="650" t="s">
        <v>835</v>
      </c>
      <c r="C22" s="651">
        <f>利润表!I37</f>
        <v>1.2386042383275928</v>
      </c>
      <c r="D22" s="652">
        <f>利润表!J37</f>
        <v>1.6221505842326829</v>
      </c>
      <c r="E22" s="652">
        <f>利润表!K37</f>
        <v>1.1197704026215076</v>
      </c>
      <c r="F22" s="652">
        <f>利润表!L37</f>
        <v>1.4375382534825869</v>
      </c>
      <c r="G22" s="652">
        <f>利润表!M37</f>
        <v>1.8313486324339838</v>
      </c>
      <c r="H22" s="653">
        <f ca="1">利润表!N37</f>
        <v>-2.6505477547709941</v>
      </c>
      <c r="I22" s="653">
        <f ca="1">利润表!O37</f>
        <v>-3.1488041495362493</v>
      </c>
      <c r="J22" s="653">
        <f ca="1">利润表!P37</f>
        <v>-3.1305131839214311</v>
      </c>
      <c r="K22" s="653">
        <f ca="1">利润表!Q37</f>
        <v>-3.1345473628609661</v>
      </c>
      <c r="L22" s="2330">
        <f ca="1">利润表!R37</f>
        <v>-3.1379548987728825</v>
      </c>
      <c r="M22" s="2346"/>
      <c r="N22" s="638"/>
      <c r="O22" s="638"/>
      <c r="P22" s="638"/>
      <c r="Q22" s="638"/>
      <c r="R22" s="638"/>
      <c r="S22" s="638"/>
      <c r="T22" s="638"/>
      <c r="U22" s="638"/>
      <c r="V22" s="638"/>
      <c r="W22" s="638"/>
      <c r="X22" s="638"/>
      <c r="Y22" s="638"/>
      <c r="Z22" s="638"/>
      <c r="AA22" s="638"/>
      <c r="AB22" s="638"/>
      <c r="AC22" s="638"/>
      <c r="AD22" s="638"/>
      <c r="AE22" s="638"/>
      <c r="AF22" s="638"/>
      <c r="AG22" s="638"/>
      <c r="AH22" s="638"/>
      <c r="AI22" s="638"/>
      <c r="AJ22" s="638"/>
      <c r="AK22" s="638"/>
      <c r="AL22" s="638"/>
      <c r="AM22" s="638"/>
      <c r="AN22" s="638"/>
      <c r="AO22" s="638"/>
      <c r="AP22" s="638"/>
      <c r="AQ22" s="638"/>
      <c r="AR22" s="638"/>
      <c r="AS22" s="638"/>
      <c r="AT22" s="638"/>
      <c r="AU22" s="638"/>
      <c r="AV22" s="638"/>
      <c r="AW22" s="638"/>
      <c r="AX22" s="638"/>
      <c r="AY22" s="638"/>
      <c r="AZ22" s="638"/>
    </row>
    <row r="23" spans="1:52" s="639" customFormat="1" ht="18" customHeight="1">
      <c r="A23" s="106"/>
      <c r="B23" s="650" t="s">
        <v>836</v>
      </c>
      <c r="C23" s="651">
        <f>现金流量!I19/公司说明!$C$6</f>
        <v>0.79591678771526975</v>
      </c>
      <c r="D23" s="652">
        <f>现金流量!J19/公司说明!$C$6</f>
        <v>0.56465357611940292</v>
      </c>
      <c r="E23" s="652">
        <f>现金流量!K19/公司说明!$C$6</f>
        <v>0.46491015901262916</v>
      </c>
      <c r="F23" s="652">
        <f>现金流量!L19/公司说明!$C$6</f>
        <v>0.32448151622655946</v>
      </c>
      <c r="G23" s="652">
        <f>现金流量!M19/公司说明!$C$6</f>
        <v>0.83226492726750867</v>
      </c>
      <c r="H23" s="653">
        <f ca="1">现金流量!N19/利润表!N38</f>
        <v>2.4938015149074961</v>
      </c>
      <c r="I23" s="653">
        <f ca="1">现金流量!O19/利润表!O38</f>
        <v>1.5496890923485946</v>
      </c>
      <c r="J23" s="653">
        <f ca="1">现金流量!P19/利润表!P38</f>
        <v>1.8040049541425591</v>
      </c>
      <c r="K23" s="653">
        <f ca="1">现金流量!Q19/利润表!Q38</f>
        <v>1.9454419308161759</v>
      </c>
      <c r="L23" s="2330">
        <f ca="1">现金流量!R19/利润表!R38</f>
        <v>1.765357269018295</v>
      </c>
      <c r="M23" s="2346"/>
      <c r="N23" s="638"/>
      <c r="O23" s="638"/>
      <c r="P23" s="638"/>
      <c r="Q23" s="638"/>
      <c r="R23" s="638"/>
      <c r="S23" s="638"/>
      <c r="T23" s="638"/>
      <c r="U23" s="638"/>
      <c r="V23" s="638"/>
      <c r="W23" s="638"/>
      <c r="X23" s="638"/>
      <c r="Y23" s="638"/>
      <c r="Z23" s="638"/>
      <c r="AA23" s="638"/>
      <c r="AB23" s="638"/>
      <c r="AC23" s="638"/>
      <c r="AD23" s="638"/>
      <c r="AE23" s="638"/>
      <c r="AF23" s="638"/>
      <c r="AG23" s="638"/>
      <c r="AH23" s="638"/>
      <c r="AI23" s="638"/>
      <c r="AJ23" s="638"/>
      <c r="AK23" s="638"/>
      <c r="AL23" s="638"/>
      <c r="AM23" s="638"/>
      <c r="AN23" s="638"/>
      <c r="AO23" s="638"/>
      <c r="AP23" s="638"/>
      <c r="AQ23" s="638"/>
      <c r="AR23" s="638"/>
      <c r="AS23" s="638"/>
      <c r="AT23" s="638"/>
      <c r="AU23" s="638"/>
      <c r="AV23" s="638"/>
      <c r="AW23" s="638"/>
      <c r="AX23" s="638"/>
      <c r="AY23" s="638"/>
      <c r="AZ23" s="638"/>
    </row>
    <row r="24" spans="1:52" s="639" customFormat="1" ht="18" customHeight="1">
      <c r="A24" s="106"/>
      <c r="B24" s="650" t="s">
        <v>837</v>
      </c>
      <c r="C24" s="654">
        <f>资产负债!I307/公司说明!$C$6</f>
        <v>0</v>
      </c>
      <c r="D24" s="655">
        <f>资产负债!J307/公司说明!$C$6</f>
        <v>0</v>
      </c>
      <c r="E24" s="655">
        <f>资产负债!K307/公司说明!$C$6</f>
        <v>0</v>
      </c>
      <c r="F24" s="655">
        <f>资产负债!L307/公司说明!$C$6</f>
        <v>0</v>
      </c>
      <c r="G24" s="655">
        <f>资产负债!M307/公司说明!$C$6</f>
        <v>0</v>
      </c>
      <c r="H24" s="656">
        <f>资产负债!N307/利润表!N38</f>
        <v>0</v>
      </c>
      <c r="I24" s="656">
        <f ca="1">资产负债!O307/利润表!O38</f>
        <v>0</v>
      </c>
      <c r="J24" s="656">
        <f ca="1">资产负债!P307/利润表!P38</f>
        <v>0</v>
      </c>
      <c r="K24" s="656">
        <f ca="1">资产负债!Q307/利润表!Q38</f>
        <v>0</v>
      </c>
      <c r="L24" s="2331">
        <f ca="1">资产负债!R307/利润表!R38</f>
        <v>0</v>
      </c>
      <c r="M24" s="2346"/>
      <c r="N24" s="638"/>
      <c r="O24" s="638"/>
      <c r="P24" s="638"/>
      <c r="Q24" s="638"/>
      <c r="R24" s="638"/>
      <c r="S24" s="638"/>
      <c r="T24" s="638"/>
      <c r="U24" s="638"/>
      <c r="V24" s="638"/>
      <c r="W24" s="638"/>
      <c r="X24" s="638"/>
      <c r="Y24" s="638"/>
      <c r="Z24" s="638"/>
      <c r="AA24" s="638"/>
      <c r="AB24" s="638"/>
      <c r="AC24" s="638"/>
      <c r="AD24" s="638"/>
      <c r="AE24" s="638"/>
      <c r="AF24" s="638"/>
      <c r="AG24" s="638"/>
      <c r="AH24" s="638"/>
      <c r="AI24" s="638"/>
      <c r="AJ24" s="638"/>
      <c r="AK24" s="638"/>
      <c r="AL24" s="638"/>
      <c r="AM24" s="638"/>
      <c r="AN24" s="638"/>
      <c r="AO24" s="638"/>
      <c r="AP24" s="638"/>
      <c r="AQ24" s="638"/>
      <c r="AR24" s="638"/>
      <c r="AS24" s="638"/>
      <c r="AT24" s="638"/>
      <c r="AU24" s="638"/>
      <c r="AV24" s="638"/>
      <c r="AW24" s="638"/>
      <c r="AX24" s="638"/>
      <c r="AY24" s="638"/>
      <c r="AZ24" s="638"/>
    </row>
    <row r="25" spans="1:52" s="639" customFormat="1" ht="18" customHeight="1">
      <c r="A25" s="106"/>
      <c r="B25" s="650" t="s">
        <v>838</v>
      </c>
      <c r="C25" s="651">
        <f>资产负债!I75/公司说明!$C$6</f>
        <v>8.1678949869307313</v>
      </c>
      <c r="D25" s="652">
        <f>资产负债!J75/公司说明!$C$6</f>
        <v>9.2614007277076151</v>
      </c>
      <c r="E25" s="652">
        <f>资产负债!K75/公司说明!$C$6</f>
        <v>9.6190015596058149</v>
      </c>
      <c r="F25" s="652">
        <f>资产负债!L75/公司说明!$C$6</f>
        <v>10.627418460543437</v>
      </c>
      <c r="G25" s="652">
        <f>资产负债!M75/公司说明!$C$6</f>
        <v>12.485619350784539</v>
      </c>
      <c r="H25" s="653">
        <f ca="1">资产负债!N75/利润表!N38</f>
        <v>9.4381196543755799</v>
      </c>
      <c r="I25" s="653">
        <f ca="1">资产负债!O75/利润表!O38</f>
        <v>6.2893155048393297</v>
      </c>
      <c r="J25" s="653">
        <f ca="1">资产负债!P75/利润表!P38</f>
        <v>3.158802320917899</v>
      </c>
      <c r="K25" s="653">
        <f ca="1">资产负债!Q75/利润表!Q38</f>
        <v>2.4254958056932684E-2</v>
      </c>
      <c r="L25" s="2330">
        <f ca="1">资产负债!R75/利润表!R38</f>
        <v>-3.1136999407159491</v>
      </c>
      <c r="M25" s="2346"/>
      <c r="N25" s="638"/>
      <c r="O25" s="638"/>
      <c r="P25" s="638"/>
      <c r="Q25" s="638"/>
      <c r="R25" s="638"/>
      <c r="S25" s="638"/>
      <c r="T25" s="638"/>
      <c r="U25" s="638"/>
      <c r="V25" s="638"/>
      <c r="W25" s="638"/>
      <c r="X25" s="638"/>
      <c r="Y25" s="638"/>
      <c r="Z25" s="638"/>
      <c r="AA25" s="638"/>
      <c r="AB25" s="638"/>
      <c r="AC25" s="638"/>
      <c r="AD25" s="638"/>
      <c r="AE25" s="638"/>
      <c r="AF25" s="638"/>
      <c r="AG25" s="638"/>
      <c r="AH25" s="638"/>
      <c r="AI25" s="638"/>
      <c r="AJ25" s="638"/>
      <c r="AK25" s="638"/>
      <c r="AL25" s="638"/>
      <c r="AM25" s="638"/>
      <c r="AN25" s="638"/>
      <c r="AO25" s="638"/>
      <c r="AP25" s="638"/>
      <c r="AQ25" s="638"/>
      <c r="AR25" s="638"/>
      <c r="AS25" s="638"/>
      <c r="AT25" s="638"/>
      <c r="AU25" s="638"/>
      <c r="AV25" s="638"/>
      <c r="AW25" s="638"/>
      <c r="AX25" s="638"/>
      <c r="AY25" s="638"/>
      <c r="AZ25" s="638"/>
    </row>
    <row r="26" spans="1:52" s="639" customFormat="1" ht="18" customHeight="1">
      <c r="A26" s="106"/>
      <c r="B26" s="647" t="s">
        <v>839</v>
      </c>
      <c r="C26" s="648"/>
      <c r="D26" s="649"/>
      <c r="E26" s="649"/>
      <c r="F26" s="649"/>
      <c r="G26" s="649"/>
      <c r="H26" s="657"/>
      <c r="I26" s="657"/>
      <c r="J26" s="657"/>
      <c r="K26" s="657"/>
      <c r="L26" s="2332"/>
      <c r="M26" s="2346"/>
      <c r="N26" s="638"/>
      <c r="O26" s="638"/>
      <c r="P26" s="638"/>
      <c r="Q26" s="638"/>
      <c r="R26" s="638"/>
      <c r="S26" s="638"/>
      <c r="T26" s="638"/>
      <c r="U26" s="638"/>
      <c r="V26" s="638"/>
      <c r="W26" s="638"/>
      <c r="X26" s="638"/>
      <c r="Y26" s="638"/>
      <c r="Z26" s="638"/>
      <c r="AA26" s="638"/>
      <c r="AB26" s="638"/>
      <c r="AC26" s="638"/>
      <c r="AD26" s="638"/>
      <c r="AE26" s="638"/>
      <c r="AF26" s="638"/>
      <c r="AG26" s="638"/>
      <c r="AH26" s="638"/>
      <c r="AI26" s="638"/>
      <c r="AJ26" s="638"/>
      <c r="AK26" s="638"/>
      <c r="AL26" s="638"/>
      <c r="AM26" s="638"/>
      <c r="AN26" s="638"/>
      <c r="AO26" s="638"/>
      <c r="AP26" s="638"/>
      <c r="AQ26" s="638"/>
      <c r="AR26" s="638"/>
      <c r="AS26" s="638"/>
      <c r="AT26" s="638"/>
      <c r="AU26" s="638"/>
      <c r="AV26" s="638"/>
      <c r="AW26" s="638"/>
      <c r="AX26" s="638"/>
      <c r="AY26" s="638"/>
      <c r="AZ26" s="638"/>
    </row>
    <row r="27" spans="1:52" ht="18" customHeight="1">
      <c r="A27" s="658"/>
      <c r="B27" s="99" t="s">
        <v>1396</v>
      </c>
      <c r="C27" s="659">
        <f>公司说明!$E$6+财务分析!C147+财务分析!C140</f>
        <v>22846.251356890003</v>
      </c>
      <c r="D27" s="660">
        <f>公司说明!$E$6+财务分析!D147+财务分析!D140</f>
        <v>22845.351346830001</v>
      </c>
      <c r="E27" s="660">
        <f>公司说明!$E$6+财务分析!E147+财务分析!E140</f>
        <v>22843.513842960001</v>
      </c>
      <c r="F27" s="660">
        <f>公司说明!$E$6+财务分析!F147+财务分析!F140</f>
        <v>22859.462755470002</v>
      </c>
      <c r="G27" s="660">
        <f>公司说明!$E$6+财务分析!G147+财务分析!G140</f>
        <v>23765.662404930001</v>
      </c>
      <c r="H27" s="661">
        <f ca="1">公司说明!$E$6+财务分析!H147+财务分析!H140</f>
        <v>24154.762822826262</v>
      </c>
      <c r="I27" s="661">
        <f ca="1">公司说明!$E$6+财务分析!I147+财务分析!I140</f>
        <v>26544.323885227077</v>
      </c>
      <c r="J27" s="661">
        <f ca="1">公司说明!$E$6+财务分析!J147+财务分析!J140</f>
        <v>28800.959233345562</v>
      </c>
      <c r="K27" s="661">
        <f ca="1">公司说明!$E$6+财务分析!K147+财务分析!K140</f>
        <v>30983.684082586904</v>
      </c>
      <c r="L27" s="2333">
        <f ca="1">公司说明!$E$6+财务分析!L147+财务分析!L140</f>
        <v>33260.524947631755</v>
      </c>
      <c r="M27" s="888"/>
      <c r="N27" s="662"/>
      <c r="O27" s="662"/>
      <c r="P27" s="662"/>
      <c r="Q27" s="662"/>
      <c r="R27" s="662"/>
      <c r="S27" s="662"/>
      <c r="T27" s="662"/>
      <c r="U27" s="662"/>
      <c r="V27" s="662"/>
      <c r="W27" s="662"/>
      <c r="X27" s="662"/>
      <c r="Y27" s="662"/>
      <c r="Z27" s="662"/>
      <c r="AA27" s="662"/>
      <c r="AB27" s="662"/>
      <c r="AC27" s="662"/>
      <c r="AD27" s="662"/>
      <c r="AE27" s="662"/>
      <c r="AF27" s="662"/>
      <c r="AG27" s="662"/>
      <c r="AH27" s="662"/>
      <c r="AI27" s="662"/>
      <c r="AJ27" s="662"/>
      <c r="AK27" s="662"/>
      <c r="AL27" s="662"/>
      <c r="AM27" s="662"/>
      <c r="AN27" s="662"/>
      <c r="AO27" s="662"/>
      <c r="AP27" s="662"/>
      <c r="AQ27" s="662"/>
      <c r="AR27" s="662"/>
      <c r="AS27" s="662"/>
      <c r="AT27" s="662"/>
      <c r="AU27" s="662"/>
      <c r="AV27" s="662"/>
      <c r="AW27" s="662"/>
      <c r="AX27" s="662"/>
      <c r="AY27" s="662"/>
      <c r="AZ27" s="662"/>
    </row>
    <row r="28" spans="1:52" ht="18" customHeight="1">
      <c r="A28" s="658"/>
      <c r="B28" s="99" t="s">
        <v>1397</v>
      </c>
      <c r="C28" s="659">
        <f t="shared" ref="C28:L28" si="3">C27-C156-C157-C161</f>
        <v>22176.521127430002</v>
      </c>
      <c r="D28" s="660">
        <f t="shared" si="3"/>
        <v>22521.1282068</v>
      </c>
      <c r="E28" s="660">
        <f t="shared" si="3"/>
        <v>22503.889918380002</v>
      </c>
      <c r="F28" s="660">
        <f t="shared" si="3"/>
        <v>22369.473995180004</v>
      </c>
      <c r="G28" s="660">
        <f t="shared" si="3"/>
        <v>21209.8976822</v>
      </c>
      <c r="H28" s="661">
        <f t="shared" ca="1" si="3"/>
        <v>22390.177853736259</v>
      </c>
      <c r="I28" s="661">
        <f t="shared" ca="1" si="3"/>
        <v>24104.027047407075</v>
      </c>
      <c r="J28" s="661">
        <f t="shared" ca="1" si="3"/>
        <v>25684.950526795561</v>
      </c>
      <c r="K28" s="661">
        <f t="shared" ca="1" si="3"/>
        <v>27191.963507306904</v>
      </c>
      <c r="L28" s="2333">
        <f t="shared" ca="1" si="3"/>
        <v>28793.092503621752</v>
      </c>
      <c r="M28" s="888"/>
      <c r="N28" s="662"/>
      <c r="O28" s="662"/>
      <c r="P28" s="662"/>
      <c r="Q28" s="662"/>
      <c r="R28" s="662"/>
      <c r="S28" s="662"/>
      <c r="T28" s="662"/>
      <c r="U28" s="662"/>
      <c r="V28" s="662"/>
      <c r="W28" s="662"/>
      <c r="X28" s="662"/>
      <c r="Y28" s="662"/>
      <c r="Z28" s="662"/>
      <c r="AA28" s="662"/>
      <c r="AB28" s="662"/>
      <c r="AC28" s="662"/>
      <c r="AD28" s="662"/>
      <c r="AE28" s="662"/>
      <c r="AF28" s="662"/>
      <c r="AG28" s="662"/>
      <c r="AH28" s="662"/>
      <c r="AI28" s="662"/>
      <c r="AJ28" s="662"/>
      <c r="AK28" s="662"/>
      <c r="AL28" s="662"/>
      <c r="AM28" s="662"/>
      <c r="AN28" s="662"/>
      <c r="AO28" s="662"/>
      <c r="AP28" s="662"/>
      <c r="AQ28" s="662"/>
      <c r="AR28" s="662"/>
      <c r="AS28" s="662"/>
      <c r="AT28" s="662"/>
      <c r="AU28" s="662"/>
      <c r="AV28" s="662"/>
      <c r="AW28" s="662"/>
      <c r="AX28" s="662"/>
      <c r="AY28" s="662"/>
      <c r="AZ28" s="662"/>
    </row>
    <row r="29" spans="1:52" s="668" customFormat="1" ht="18" customHeight="1">
      <c r="A29" s="663"/>
      <c r="B29" s="650" t="s">
        <v>702</v>
      </c>
      <c r="C29" s="664">
        <f t="shared" ref="C29:L29" si="4">C27/C154</f>
        <v>5.3284160533160083</v>
      </c>
      <c r="D29" s="665">
        <f t="shared" si="4"/>
        <v>4.7024395748177374</v>
      </c>
      <c r="E29" s="665">
        <f t="shared" si="4"/>
        <v>4.529534921665709</v>
      </c>
      <c r="F29" s="665">
        <f t="shared" si="4"/>
        <v>4.0921430831081986</v>
      </c>
      <c r="G29" s="665">
        <f t="shared" si="4"/>
        <v>3.1842606052314433</v>
      </c>
      <c r="H29" s="666">
        <f t="shared" ca="1" si="4"/>
        <v>3.8586153365640956</v>
      </c>
      <c r="I29" s="666">
        <f t="shared" ca="1" si="4"/>
        <v>3.7899065054001131</v>
      </c>
      <c r="J29" s="666">
        <f t="shared" ca="1" si="4"/>
        <v>3.7773823900548957</v>
      </c>
      <c r="K29" s="666">
        <f t="shared" ca="1" si="4"/>
        <v>3.7927478177335736</v>
      </c>
      <c r="L29" s="2334">
        <f t="shared" ca="1" si="4"/>
        <v>3.7769709457346177</v>
      </c>
      <c r="M29" s="2348"/>
      <c r="N29" s="667"/>
      <c r="O29" s="667"/>
      <c r="P29" s="667"/>
      <c r="Q29" s="667"/>
      <c r="R29" s="667"/>
      <c r="S29" s="667"/>
      <c r="T29" s="667"/>
      <c r="U29" s="667"/>
      <c r="V29" s="667"/>
      <c r="W29" s="667"/>
      <c r="X29" s="667"/>
      <c r="Y29" s="667"/>
      <c r="Z29" s="667"/>
      <c r="AA29" s="667"/>
      <c r="AB29" s="667"/>
      <c r="AC29" s="667"/>
      <c r="AD29" s="667"/>
      <c r="AE29" s="667"/>
      <c r="AF29" s="667"/>
      <c r="AG29" s="667"/>
      <c r="AH29" s="667"/>
      <c r="AI29" s="667"/>
      <c r="AJ29" s="667"/>
      <c r="AK29" s="667"/>
      <c r="AL29" s="667"/>
      <c r="AM29" s="667"/>
      <c r="AN29" s="667"/>
      <c r="AO29" s="667"/>
      <c r="AP29" s="667"/>
      <c r="AQ29" s="667"/>
      <c r="AR29" s="667"/>
      <c r="AS29" s="667"/>
      <c r="AT29" s="667"/>
      <c r="AU29" s="667"/>
      <c r="AV29" s="667"/>
      <c r="AW29" s="667"/>
      <c r="AX29" s="667"/>
      <c r="AY29" s="667"/>
      <c r="AZ29" s="667"/>
    </row>
    <row r="30" spans="1:52" s="668" customFormat="1" ht="18" customHeight="1">
      <c r="A30" s="667"/>
      <c r="B30" s="669" t="s">
        <v>840</v>
      </c>
      <c r="C30" s="670">
        <f t="shared" ref="C30:L30" si="5">C28/C135</f>
        <v>6.1296750833447264</v>
      </c>
      <c r="D30" s="671">
        <f t="shared" si="5"/>
        <v>4.9672002710978154</v>
      </c>
      <c r="E30" s="671">
        <f t="shared" si="5"/>
        <v>4.7843846983976484</v>
      </c>
      <c r="F30" s="671">
        <f t="shared" si="5"/>
        <v>4.3894463438384212</v>
      </c>
      <c r="G30" s="671">
        <f t="shared" si="5"/>
        <v>4.321746570465538</v>
      </c>
      <c r="H30" s="672">
        <f t="shared" ca="1" si="5"/>
        <v>4.9807183726862228</v>
      </c>
      <c r="I30" s="672">
        <f t="shared" ca="1" si="5"/>
        <v>5.2817369637246463</v>
      </c>
      <c r="J30" s="672">
        <f t="shared" ca="1" si="5"/>
        <v>5.6969140109943037</v>
      </c>
      <c r="K30" s="672">
        <f t="shared" ca="1" si="5"/>
        <v>6.2117973107198488</v>
      </c>
      <c r="L30" s="2335">
        <f t="shared" ca="1" si="5"/>
        <v>6.6363334382818664</v>
      </c>
      <c r="M30" s="2348"/>
      <c r="N30" s="667"/>
      <c r="O30" s="667"/>
      <c r="P30" s="667"/>
      <c r="Q30" s="667"/>
      <c r="R30" s="667"/>
      <c r="S30" s="667"/>
      <c r="T30" s="667"/>
      <c r="U30" s="667"/>
      <c r="V30" s="667"/>
      <c r="W30" s="667"/>
      <c r="X30" s="667"/>
      <c r="Y30" s="667"/>
      <c r="Z30" s="667"/>
      <c r="AA30" s="667"/>
      <c r="AB30" s="667"/>
      <c r="AC30" s="667"/>
      <c r="AD30" s="667"/>
      <c r="AE30" s="667"/>
      <c r="AF30" s="667"/>
      <c r="AG30" s="667"/>
      <c r="AH30" s="667"/>
      <c r="AI30" s="667"/>
      <c r="AJ30" s="667"/>
      <c r="AK30" s="667"/>
      <c r="AL30" s="667"/>
      <c r="AM30" s="667"/>
      <c r="AN30" s="667"/>
      <c r="AO30" s="667"/>
      <c r="AP30" s="667"/>
      <c r="AQ30" s="667"/>
      <c r="AR30" s="667"/>
      <c r="AS30" s="667"/>
      <c r="AT30" s="667"/>
      <c r="AU30" s="667"/>
      <c r="AV30" s="667"/>
      <c r="AW30" s="667"/>
      <c r="AX30" s="667"/>
      <c r="AY30" s="667"/>
      <c r="AZ30" s="667"/>
    </row>
    <row r="31" spans="1:52" s="668" customFormat="1" ht="18" customHeight="1">
      <c r="A31" s="667"/>
      <c r="B31" s="669" t="s">
        <v>85</v>
      </c>
      <c r="C31" s="670">
        <f t="shared" ref="C31:L31" si="6">C27/C217</f>
        <v>27.681534963676803</v>
      </c>
      <c r="D31" s="671">
        <f t="shared" si="6"/>
        <v>21.718886916383738</v>
      </c>
      <c r="E31" s="671">
        <f t="shared" si="6"/>
        <v>29.893676932267155</v>
      </c>
      <c r="F31" s="671">
        <f t="shared" si="6"/>
        <v>24.251476271727832</v>
      </c>
      <c r="G31" s="671">
        <f t="shared" si="6"/>
        <v>19.744998333349795</v>
      </c>
      <c r="H31" s="672">
        <f t="shared" ca="1" si="6"/>
        <v>22.85896802918089</v>
      </c>
      <c r="I31" s="672">
        <f t="shared" ca="1" si="6"/>
        <v>25.427530019344719</v>
      </c>
      <c r="J31" s="672">
        <f t="shared" ca="1" si="6"/>
        <v>27.339414051528376</v>
      </c>
      <c r="K31" s="672">
        <f t="shared" ca="1" si="6"/>
        <v>29.470226581232303</v>
      </c>
      <c r="L31" s="2335">
        <f t="shared" ca="1" si="6"/>
        <v>31.689412401851037</v>
      </c>
      <c r="M31" s="2348"/>
      <c r="N31" s="667"/>
      <c r="O31" s="667"/>
      <c r="P31" s="667"/>
      <c r="Q31" s="667"/>
      <c r="R31" s="667"/>
      <c r="S31" s="667"/>
      <c r="T31" s="667"/>
      <c r="U31" s="667"/>
      <c r="V31" s="667"/>
      <c r="W31" s="667"/>
      <c r="X31" s="667"/>
      <c r="Y31" s="667"/>
      <c r="Z31" s="667"/>
      <c r="AA31" s="667"/>
      <c r="AB31" s="667"/>
      <c r="AC31" s="667"/>
      <c r="AD31" s="667"/>
      <c r="AE31" s="667"/>
      <c r="AF31" s="667"/>
      <c r="AG31" s="667"/>
      <c r="AH31" s="667"/>
      <c r="AI31" s="667"/>
      <c r="AJ31" s="667"/>
      <c r="AK31" s="667"/>
      <c r="AL31" s="667"/>
      <c r="AM31" s="667"/>
      <c r="AN31" s="667"/>
      <c r="AO31" s="667"/>
      <c r="AP31" s="667"/>
      <c r="AQ31" s="667"/>
      <c r="AR31" s="667"/>
      <c r="AS31" s="667"/>
      <c r="AT31" s="667"/>
      <c r="AU31" s="667"/>
      <c r="AV31" s="667"/>
      <c r="AW31" s="667"/>
      <c r="AX31" s="667"/>
      <c r="AY31" s="667"/>
      <c r="AZ31" s="667"/>
    </row>
    <row r="32" spans="1:52" s="668" customFormat="1" ht="18" customHeight="1">
      <c r="A32" s="667"/>
      <c r="B32" s="669" t="s">
        <v>841</v>
      </c>
      <c r="C32" s="670">
        <f t="shared" ref="C32:L32" si="7">C28/C217</f>
        <v>26.870060009934022</v>
      </c>
      <c r="D32" s="671">
        <f t="shared" si="7"/>
        <v>21.410650653912619</v>
      </c>
      <c r="E32" s="671">
        <f t="shared" si="7"/>
        <v>29.449235330609095</v>
      </c>
      <c r="F32" s="671">
        <f t="shared" si="7"/>
        <v>23.731649934569372</v>
      </c>
      <c r="G32" s="671">
        <f t="shared" si="7"/>
        <v>17.621616736366839</v>
      </c>
      <c r="H32" s="672">
        <f t="shared" ca="1" si="7"/>
        <v>21.189045136993204</v>
      </c>
      <c r="I32" s="672">
        <f t="shared" ca="1" si="7"/>
        <v>23.089903287238965</v>
      </c>
      <c r="J32" s="672">
        <f t="shared" ca="1" si="7"/>
        <v>24.381531589130887</v>
      </c>
      <c r="K32" s="672">
        <f t="shared" ca="1" si="7"/>
        <v>25.863719873109027</v>
      </c>
      <c r="L32" s="2335">
        <f t="shared" ca="1" si="7"/>
        <v>27.433006066757326</v>
      </c>
      <c r="M32" s="2348"/>
      <c r="N32" s="667"/>
      <c r="O32" s="667"/>
      <c r="P32" s="667"/>
      <c r="Q32" s="667"/>
      <c r="R32" s="667"/>
      <c r="S32" s="667"/>
      <c r="T32" s="667"/>
      <c r="U32" s="667"/>
      <c r="V32" s="667"/>
      <c r="W32" s="667"/>
      <c r="X32" s="667"/>
      <c r="Y32" s="667"/>
      <c r="Z32" s="667"/>
      <c r="AA32" s="667"/>
      <c r="AB32" s="667"/>
      <c r="AC32" s="667"/>
      <c r="AD32" s="667"/>
      <c r="AE32" s="667"/>
      <c r="AF32" s="667"/>
      <c r="AG32" s="667"/>
      <c r="AH32" s="667"/>
      <c r="AI32" s="667"/>
      <c r="AJ32" s="667"/>
      <c r="AK32" s="667"/>
      <c r="AL32" s="667"/>
      <c r="AM32" s="667"/>
      <c r="AN32" s="667"/>
      <c r="AO32" s="667"/>
      <c r="AP32" s="667"/>
      <c r="AQ32" s="667"/>
      <c r="AR32" s="667"/>
      <c r="AS32" s="667"/>
      <c r="AT32" s="667"/>
      <c r="AU32" s="667"/>
      <c r="AV32" s="667"/>
      <c r="AW32" s="667"/>
      <c r="AX32" s="667"/>
      <c r="AY32" s="667"/>
      <c r="AZ32" s="667"/>
    </row>
    <row r="33" spans="1:52" s="668" customFormat="1" ht="18" customHeight="1">
      <c r="A33" s="667"/>
      <c r="B33" s="669" t="s">
        <v>703</v>
      </c>
      <c r="C33" s="670">
        <f t="shared" ref="C33:L33" si="8">C27/C228</f>
        <v>29.146100151970391</v>
      </c>
      <c r="D33" s="671">
        <f t="shared" si="8"/>
        <v>22.973061991793376</v>
      </c>
      <c r="E33" s="671">
        <f t="shared" si="8"/>
        <v>33.137161100619515</v>
      </c>
      <c r="F33" s="671">
        <f t="shared" si="8"/>
        <v>26.884774127319645</v>
      </c>
      <c r="G33" s="671">
        <f t="shared" si="8"/>
        <v>21.763111882429527</v>
      </c>
      <c r="H33" s="672">
        <f t="shared" ca="1" si="8"/>
        <v>24.536008570190965</v>
      </c>
      <c r="I33" s="672">
        <f t="shared" ca="1" si="8"/>
        <v>27.317520372741093</v>
      </c>
      <c r="J33" s="672">
        <f t="shared" ca="1" si="8"/>
        <v>29.351757800890269</v>
      </c>
      <c r="K33" s="672">
        <f t="shared" ca="1" si="8"/>
        <v>31.64407161709423</v>
      </c>
      <c r="L33" s="2335">
        <f t="shared" ca="1" si="8"/>
        <v>34.031203779560606</v>
      </c>
      <c r="M33" s="2348"/>
      <c r="N33" s="667"/>
      <c r="O33" s="667"/>
      <c r="P33" s="667"/>
      <c r="Q33" s="667"/>
      <c r="R33" s="667"/>
      <c r="S33" s="667"/>
      <c r="T33" s="667"/>
      <c r="U33" s="667"/>
      <c r="V33" s="667"/>
      <c r="W33" s="667"/>
      <c r="X33" s="667"/>
      <c r="Y33" s="667"/>
      <c r="Z33" s="667"/>
      <c r="AA33" s="667"/>
      <c r="AB33" s="667"/>
      <c r="AC33" s="667"/>
      <c r="AD33" s="667"/>
      <c r="AE33" s="667"/>
      <c r="AF33" s="667"/>
      <c r="AG33" s="667"/>
      <c r="AH33" s="667"/>
      <c r="AI33" s="667"/>
      <c r="AJ33" s="667"/>
      <c r="AK33" s="667"/>
      <c r="AL33" s="667"/>
      <c r="AM33" s="667"/>
      <c r="AN33" s="667"/>
      <c r="AO33" s="667"/>
      <c r="AP33" s="667"/>
      <c r="AQ33" s="667"/>
      <c r="AR33" s="667"/>
      <c r="AS33" s="667"/>
      <c r="AT33" s="667"/>
      <c r="AU33" s="667"/>
      <c r="AV33" s="667"/>
      <c r="AW33" s="667"/>
      <c r="AX33" s="667"/>
      <c r="AY33" s="667"/>
      <c r="AZ33" s="667"/>
    </row>
    <row r="34" spans="1:52" s="668" customFormat="1" ht="18" customHeight="1">
      <c r="A34" s="667"/>
      <c r="B34" s="669" t="s">
        <v>842</v>
      </c>
      <c r="C34" s="670">
        <f t="shared" ref="C34:L34" si="9">C28/C228</f>
        <v>28.291691958796221</v>
      </c>
      <c r="D34" s="671">
        <f t="shared" si="9"/>
        <v>22.647026371591952</v>
      </c>
      <c r="E34" s="671">
        <f t="shared" si="9"/>
        <v>32.644497284544627</v>
      </c>
      <c r="F34" s="671">
        <f t="shared" si="9"/>
        <v>26.308503491118021</v>
      </c>
      <c r="G34" s="671">
        <f t="shared" si="9"/>
        <v>19.422701896869803</v>
      </c>
      <c r="H34" s="672">
        <f t="shared" ca="1" si="9"/>
        <v>22.743572343762452</v>
      </c>
      <c r="I34" s="672">
        <f t="shared" ca="1" si="9"/>
        <v>24.806141334762131</v>
      </c>
      <c r="J34" s="672">
        <f t="shared" ca="1" si="9"/>
        <v>26.17615756760954</v>
      </c>
      <c r="K34" s="672">
        <f t="shared" ca="1" si="9"/>
        <v>27.771534151363909</v>
      </c>
      <c r="L34" s="2335">
        <f t="shared" ca="1" si="9"/>
        <v>29.460256564719668</v>
      </c>
      <c r="M34" s="2348"/>
      <c r="N34" s="667"/>
      <c r="O34" s="667"/>
      <c r="P34" s="667"/>
      <c r="Q34" s="667"/>
      <c r="R34" s="667"/>
      <c r="S34" s="667"/>
      <c r="T34" s="667"/>
      <c r="U34" s="667"/>
      <c r="V34" s="667"/>
      <c r="W34" s="667"/>
      <c r="X34" s="667"/>
      <c r="Y34" s="667"/>
      <c r="Z34" s="667"/>
      <c r="AA34" s="667"/>
      <c r="AB34" s="667"/>
      <c r="AC34" s="667"/>
      <c r="AD34" s="667"/>
      <c r="AE34" s="667"/>
      <c r="AF34" s="667"/>
      <c r="AG34" s="667"/>
      <c r="AH34" s="667"/>
      <c r="AI34" s="667"/>
      <c r="AJ34" s="667"/>
      <c r="AK34" s="667"/>
      <c r="AL34" s="667"/>
      <c r="AM34" s="667"/>
      <c r="AN34" s="667"/>
      <c r="AO34" s="667"/>
      <c r="AP34" s="667"/>
      <c r="AQ34" s="667"/>
      <c r="AR34" s="667"/>
      <c r="AS34" s="667"/>
      <c r="AT34" s="667"/>
      <c r="AU34" s="667"/>
      <c r="AV34" s="667"/>
      <c r="AW34" s="667"/>
      <c r="AX34" s="667"/>
      <c r="AY34" s="667"/>
      <c r="AZ34" s="667"/>
    </row>
    <row r="35" spans="1:52" s="668" customFormat="1" ht="18" customHeight="1">
      <c r="A35" s="667"/>
      <c r="B35" s="669" t="s">
        <v>704</v>
      </c>
      <c r="C35" s="670">
        <f t="shared" ref="C35:L35" si="10">C27/C197</f>
        <v>6.8549623886777971</v>
      </c>
      <c r="D35" s="671">
        <f t="shared" si="10"/>
        <v>5.7812808342177968</v>
      </c>
      <c r="E35" s="671">
        <f t="shared" si="10"/>
        <v>4.9823148562774282</v>
      </c>
      <c r="F35" s="671">
        <f t="shared" si="10"/>
        <v>4.7527478203307005</v>
      </c>
      <c r="G35" s="671">
        <f t="shared" si="10"/>
        <v>3.7261051170997153</v>
      </c>
      <c r="H35" s="672">
        <f t="shared" ca="1" si="10"/>
        <v>3.7871103200469785</v>
      </c>
      <c r="I35" s="672">
        <f t="shared" ca="1" si="10"/>
        <v>4.1617582280466685</v>
      </c>
      <c r="J35" s="672">
        <f t="shared" ca="1" si="10"/>
        <v>4.5155653458448288</v>
      </c>
      <c r="K35" s="672">
        <f t="shared" ca="1" si="10"/>
        <v>4.8577843882348164</v>
      </c>
      <c r="L35" s="2335">
        <f t="shared" ca="1" si="10"/>
        <v>5.2147594328818139</v>
      </c>
      <c r="M35" s="2348"/>
      <c r="N35" s="667"/>
      <c r="O35" s="667"/>
      <c r="P35" s="667"/>
      <c r="Q35" s="667"/>
      <c r="R35" s="667"/>
      <c r="S35" s="667"/>
      <c r="T35" s="667"/>
      <c r="U35" s="667"/>
      <c r="V35" s="667"/>
      <c r="W35" s="667"/>
      <c r="X35" s="667"/>
      <c r="Y35" s="667"/>
      <c r="Z35" s="667"/>
      <c r="AA35" s="667"/>
      <c r="AB35" s="667"/>
      <c r="AC35" s="667"/>
      <c r="AD35" s="667"/>
      <c r="AE35" s="667"/>
      <c r="AF35" s="667"/>
      <c r="AG35" s="667"/>
      <c r="AH35" s="667"/>
      <c r="AI35" s="667"/>
      <c r="AJ35" s="667"/>
      <c r="AK35" s="667"/>
      <c r="AL35" s="667"/>
      <c r="AM35" s="667"/>
      <c r="AN35" s="667"/>
      <c r="AO35" s="667"/>
      <c r="AP35" s="667"/>
      <c r="AQ35" s="667"/>
      <c r="AR35" s="667"/>
      <c r="AS35" s="667"/>
      <c r="AT35" s="667"/>
      <c r="AU35" s="667"/>
      <c r="AV35" s="667"/>
      <c r="AW35" s="667"/>
      <c r="AX35" s="667"/>
      <c r="AY35" s="667"/>
      <c r="AZ35" s="667"/>
    </row>
    <row r="36" spans="1:52" s="668" customFormat="1" ht="18" customHeight="1">
      <c r="A36" s="667"/>
      <c r="B36" s="669" t="s">
        <v>843</v>
      </c>
      <c r="C36" s="670">
        <f t="shared" ref="C36:L36" si="11">C28/C197</f>
        <v>6.6540114553368523</v>
      </c>
      <c r="D36" s="671">
        <f t="shared" si="11"/>
        <v>5.6992324123306259</v>
      </c>
      <c r="E36" s="671">
        <f t="shared" si="11"/>
        <v>4.9082407301769182</v>
      </c>
      <c r="F36" s="671">
        <f t="shared" si="11"/>
        <v>4.6508734658296271</v>
      </c>
      <c r="G36" s="671">
        <f t="shared" si="11"/>
        <v>3.3253989280943665</v>
      </c>
      <c r="H36" s="672">
        <f t="shared" ca="1" si="11"/>
        <v>3.510449439703935</v>
      </c>
      <c r="I36" s="672">
        <f t="shared" ca="1" si="11"/>
        <v>3.7791556992504534</v>
      </c>
      <c r="J36" s="672">
        <f t="shared" ca="1" si="11"/>
        <v>4.027021168595442</v>
      </c>
      <c r="K36" s="672">
        <f t="shared" ca="1" si="11"/>
        <v>4.263298562532257</v>
      </c>
      <c r="L36" s="2335">
        <f t="shared" ca="1" si="11"/>
        <v>4.514331958726082</v>
      </c>
      <c r="M36" s="2348"/>
      <c r="N36" s="667"/>
      <c r="O36" s="667"/>
      <c r="P36" s="667"/>
      <c r="Q36" s="667"/>
      <c r="R36" s="667"/>
      <c r="S36" s="667"/>
      <c r="T36" s="667"/>
      <c r="U36" s="667"/>
      <c r="V36" s="667"/>
      <c r="W36" s="667"/>
      <c r="X36" s="667"/>
      <c r="Y36" s="667"/>
      <c r="Z36" s="667"/>
      <c r="AA36" s="667"/>
      <c r="AB36" s="667"/>
      <c r="AC36" s="667"/>
      <c r="AD36" s="667"/>
      <c r="AE36" s="667"/>
      <c r="AF36" s="667"/>
      <c r="AG36" s="667"/>
      <c r="AH36" s="667"/>
      <c r="AI36" s="667"/>
      <c r="AJ36" s="667"/>
      <c r="AK36" s="667"/>
      <c r="AL36" s="667"/>
      <c r="AM36" s="667"/>
      <c r="AN36" s="667"/>
      <c r="AO36" s="667"/>
      <c r="AP36" s="667"/>
      <c r="AQ36" s="667"/>
      <c r="AR36" s="667"/>
      <c r="AS36" s="667"/>
      <c r="AT36" s="667"/>
      <c r="AU36" s="667"/>
      <c r="AV36" s="667"/>
      <c r="AW36" s="667"/>
      <c r="AX36" s="667"/>
      <c r="AY36" s="667"/>
      <c r="AZ36" s="667"/>
    </row>
    <row r="37" spans="1:52" s="668" customFormat="1" ht="18" customHeight="1">
      <c r="A37" s="667"/>
      <c r="B37" s="669" t="s">
        <v>844</v>
      </c>
      <c r="C37" s="670"/>
      <c r="D37" s="671">
        <f t="shared" ref="D37:L37" si="12">D30/D78</f>
        <v>1.4739781109525467</v>
      </c>
      <c r="E37" s="671">
        <f t="shared" si="12"/>
        <v>2.1197059180329996</v>
      </c>
      <c r="F37" s="671">
        <f t="shared" si="12"/>
        <v>1.6880692908001551</v>
      </c>
      <c r="G37" s="671">
        <f t="shared" si="12"/>
        <v>1.2401196570016881</v>
      </c>
      <c r="H37" s="672">
        <f t="shared" ca="1" si="12"/>
        <v>1.452153839548209</v>
      </c>
      <c r="I37" s="672">
        <f t="shared" ca="1" si="12"/>
        <v>1.5838467607103808</v>
      </c>
      <c r="J37" s="672">
        <f t="shared" ca="1" si="12"/>
        <v>1.6713208963783586</v>
      </c>
      <c r="K37" s="672">
        <f t="shared" ca="1" si="12"/>
        <v>1.7731840600277395</v>
      </c>
      <c r="L37" s="2335">
        <f t="shared" ca="1" si="12"/>
        <v>1.8810072594539384</v>
      </c>
      <c r="M37" s="2348"/>
      <c r="N37" s="667"/>
      <c r="O37" s="667"/>
      <c r="P37" s="667"/>
      <c r="Q37" s="667"/>
      <c r="R37" s="667"/>
      <c r="S37" s="667"/>
      <c r="T37" s="667"/>
      <c r="U37" s="667"/>
      <c r="V37" s="667"/>
      <c r="W37" s="667"/>
      <c r="X37" s="667"/>
      <c r="Y37" s="667"/>
      <c r="Z37" s="667"/>
      <c r="AA37" s="667"/>
      <c r="AB37" s="667"/>
      <c r="AC37" s="667"/>
      <c r="AD37" s="667"/>
      <c r="AE37" s="667"/>
      <c r="AF37" s="667"/>
      <c r="AG37" s="667"/>
      <c r="AH37" s="667"/>
      <c r="AI37" s="667"/>
      <c r="AJ37" s="667"/>
      <c r="AK37" s="667"/>
      <c r="AL37" s="667"/>
      <c r="AM37" s="667"/>
      <c r="AN37" s="667"/>
      <c r="AO37" s="667"/>
      <c r="AP37" s="667"/>
      <c r="AQ37" s="667"/>
      <c r="AR37" s="667"/>
      <c r="AS37" s="667"/>
      <c r="AT37" s="667"/>
      <c r="AU37" s="667"/>
      <c r="AV37" s="667"/>
      <c r="AW37" s="667"/>
      <c r="AX37" s="667"/>
      <c r="AY37" s="667"/>
      <c r="AZ37" s="667"/>
    </row>
    <row r="38" spans="1:52" ht="18" customHeight="1">
      <c r="A38" s="662"/>
      <c r="B38" s="647" t="s">
        <v>845</v>
      </c>
      <c r="C38" s="677">
        <f>公司说明!$E$6</f>
        <v>22827.168000000001</v>
      </c>
      <c r="D38" s="660">
        <f>公司说明!$E$6</f>
        <v>22827.168000000001</v>
      </c>
      <c r="E38" s="660">
        <f>公司说明!$E$6</f>
        <v>22827.168000000001</v>
      </c>
      <c r="F38" s="660">
        <f>公司说明!$E$6</f>
        <v>22827.168000000001</v>
      </c>
      <c r="G38" s="660">
        <f>公司说明!$E$6</f>
        <v>22827.168000000001</v>
      </c>
      <c r="H38" s="678">
        <f>公司说明!$E$6</f>
        <v>22827.168000000001</v>
      </c>
      <c r="I38" s="678">
        <f>公司说明!$E$6</f>
        <v>22827.168000000001</v>
      </c>
      <c r="J38" s="678">
        <f>公司说明!$E$6</f>
        <v>22827.168000000001</v>
      </c>
      <c r="K38" s="678">
        <f>公司说明!$E$6</f>
        <v>22827.168000000001</v>
      </c>
      <c r="L38" s="2336">
        <f>公司说明!$E$6</f>
        <v>22827.168000000001</v>
      </c>
      <c r="M38" s="888"/>
      <c r="N38" s="662"/>
      <c r="O38" s="662"/>
      <c r="P38" s="662"/>
      <c r="Q38" s="662"/>
      <c r="R38" s="662"/>
      <c r="S38" s="662"/>
      <c r="T38" s="662"/>
      <c r="U38" s="662"/>
      <c r="V38" s="662"/>
      <c r="W38" s="662"/>
      <c r="X38" s="662"/>
      <c r="Y38" s="662"/>
      <c r="Z38" s="662"/>
      <c r="AA38" s="662"/>
      <c r="AB38" s="662"/>
      <c r="AC38" s="662"/>
      <c r="AD38" s="662"/>
      <c r="AE38" s="662"/>
      <c r="AF38" s="662"/>
      <c r="AG38" s="662"/>
      <c r="AH38" s="662"/>
      <c r="AI38" s="662"/>
      <c r="AJ38" s="662"/>
      <c r="AK38" s="662"/>
      <c r="AL38" s="662"/>
      <c r="AM38" s="662"/>
      <c r="AN38" s="662"/>
      <c r="AO38" s="662"/>
      <c r="AP38" s="662"/>
      <c r="AQ38" s="662"/>
      <c r="AR38" s="662"/>
      <c r="AS38" s="662"/>
      <c r="AT38" s="662"/>
      <c r="AU38" s="662"/>
      <c r="AV38" s="662"/>
      <c r="AW38" s="662"/>
      <c r="AX38" s="662"/>
      <c r="AY38" s="662"/>
      <c r="AZ38" s="662"/>
    </row>
    <row r="39" spans="1:52" ht="18" customHeight="1">
      <c r="A39" s="662"/>
      <c r="B39" s="669" t="s">
        <v>706</v>
      </c>
      <c r="C39" s="670">
        <f>C38/资产负债!I77</f>
        <v>5.3477694798970639</v>
      </c>
      <c r="D39" s="671">
        <f>D38/资产负债!J77</f>
        <v>4.7149435508429551</v>
      </c>
      <c r="E39" s="671">
        <f>E38/资产负债!K77</f>
        <v>4.5392507323898155</v>
      </c>
      <c r="F39" s="671">
        <f>F38/资产负债!L77</f>
        <v>4.1087651410013359</v>
      </c>
      <c r="G39" s="671">
        <f>G38/资产负债!M77</f>
        <v>3.4961428498278604</v>
      </c>
      <c r="H39" s="672">
        <f ca="1">H38/资产负债!N77</f>
        <v>4.6213015690380903</v>
      </c>
      <c r="I39" s="672">
        <f ca="1">I38/资产负债!O77</f>
        <v>6.922622615133772</v>
      </c>
      <c r="J39" s="672">
        <f ca="1">J38/资产负债!P77</f>
        <v>13.710564751604942</v>
      </c>
      <c r="K39" s="672">
        <f ca="1">K38/资产负债!Q77</f>
        <v>753.6784448491785</v>
      </c>
      <c r="L39" s="2335">
        <f ca="1">L38/资产负债!R77</f>
        <v>-14.212489439478444</v>
      </c>
      <c r="M39" s="888"/>
      <c r="N39" s="662"/>
      <c r="O39" s="662"/>
      <c r="P39" s="662"/>
      <c r="Q39" s="662"/>
      <c r="R39" s="662"/>
      <c r="S39" s="662"/>
      <c r="T39" s="662"/>
      <c r="U39" s="662"/>
      <c r="V39" s="662"/>
      <c r="W39" s="662"/>
      <c r="X39" s="662"/>
      <c r="Y39" s="662"/>
      <c r="Z39" s="662"/>
      <c r="AA39" s="662"/>
      <c r="AB39" s="662"/>
      <c r="AC39" s="662"/>
      <c r="AD39" s="662"/>
      <c r="AE39" s="662"/>
      <c r="AF39" s="662"/>
      <c r="AG39" s="662"/>
      <c r="AH39" s="662"/>
      <c r="AI39" s="662"/>
      <c r="AJ39" s="662"/>
      <c r="AK39" s="662"/>
      <c r="AL39" s="662"/>
      <c r="AM39" s="662"/>
      <c r="AN39" s="662"/>
      <c r="AO39" s="662"/>
      <c r="AP39" s="662"/>
      <c r="AQ39" s="662"/>
      <c r="AR39" s="662"/>
      <c r="AS39" s="662"/>
      <c r="AT39" s="662"/>
      <c r="AU39" s="662"/>
      <c r="AV39" s="662"/>
      <c r="AW39" s="662"/>
      <c r="AX39" s="662"/>
      <c r="AY39" s="662"/>
      <c r="AZ39" s="662"/>
    </row>
    <row r="40" spans="1:52" ht="18" customHeight="1">
      <c r="A40" s="662"/>
      <c r="B40" s="669" t="s">
        <v>707</v>
      </c>
      <c r="C40" s="670">
        <f>C38/利润表!I32</f>
        <v>35.265501803044266</v>
      </c>
      <c r="D40" s="671">
        <f>D38/利润表!J32</f>
        <v>26.92721651403388</v>
      </c>
      <c r="E40" s="671">
        <f>E38/利润表!K32</f>
        <v>39.007996547988981</v>
      </c>
      <c r="F40" s="671">
        <f>F38/利润表!L32</f>
        <v>30.385278370283803</v>
      </c>
      <c r="G40" s="671">
        <f>G38/利润表!M32</f>
        <v>23.851275080237663</v>
      </c>
      <c r="H40" s="672">
        <f ca="1">H38/利润表!N32</f>
        <v>-16.479612533437994</v>
      </c>
      <c r="I40" s="672">
        <f ca="1">I38/利润表!O32</f>
        <v>-13.871932938869227</v>
      </c>
      <c r="J40" s="672">
        <f ca="1">J38/利润表!P32</f>
        <v>-13.95298388275252</v>
      </c>
      <c r="K40" s="672">
        <f ca="1">K38/利润表!Q32</f>
        <v>-13.935026319121356</v>
      </c>
      <c r="L40" s="2335">
        <f ca="1">L38/利润表!R32</f>
        <v>-13.919894137765125</v>
      </c>
      <c r="M40" s="888"/>
      <c r="N40" s="662"/>
      <c r="O40" s="662"/>
      <c r="P40" s="662"/>
      <c r="Q40" s="662"/>
      <c r="R40" s="662"/>
      <c r="S40" s="662"/>
      <c r="T40" s="662"/>
      <c r="U40" s="662"/>
      <c r="V40" s="662"/>
      <c r="W40" s="662"/>
      <c r="X40" s="662"/>
      <c r="Y40" s="662"/>
      <c r="Z40" s="662"/>
      <c r="AA40" s="662"/>
      <c r="AB40" s="662"/>
      <c r="AC40" s="662"/>
      <c r="AD40" s="662"/>
      <c r="AE40" s="662"/>
      <c r="AF40" s="662"/>
      <c r="AG40" s="662"/>
      <c r="AH40" s="662"/>
      <c r="AI40" s="662"/>
      <c r="AJ40" s="662"/>
      <c r="AK40" s="662"/>
      <c r="AL40" s="662"/>
      <c r="AM40" s="662"/>
      <c r="AN40" s="662"/>
      <c r="AO40" s="662"/>
      <c r="AP40" s="662"/>
      <c r="AQ40" s="662"/>
      <c r="AR40" s="662"/>
      <c r="AS40" s="662"/>
      <c r="AT40" s="662"/>
      <c r="AU40" s="662"/>
      <c r="AV40" s="662"/>
      <c r="AW40" s="662"/>
      <c r="AX40" s="662"/>
      <c r="AY40" s="662"/>
      <c r="AZ40" s="662"/>
    </row>
    <row r="41" spans="1:52" s="639" customFormat="1" ht="18" hidden="1" customHeight="1">
      <c r="A41" s="638"/>
      <c r="B41" s="679" t="s">
        <v>708</v>
      </c>
      <c r="C41" s="680"/>
      <c r="D41" s="681"/>
      <c r="E41" s="681"/>
      <c r="F41" s="681"/>
      <c r="G41" s="681"/>
      <c r="H41" s="681"/>
      <c r="I41" s="681"/>
      <c r="J41" s="681"/>
      <c r="K41" s="681"/>
      <c r="L41" s="2337"/>
      <c r="M41" s="2346"/>
      <c r="N41" s="638"/>
      <c r="O41" s="638"/>
      <c r="P41" s="638"/>
      <c r="Q41" s="638"/>
      <c r="R41" s="638"/>
      <c r="S41" s="638"/>
      <c r="T41" s="638"/>
      <c r="U41" s="638"/>
      <c r="V41" s="638"/>
      <c r="W41" s="638"/>
      <c r="X41" s="638"/>
      <c r="Y41" s="638"/>
      <c r="Z41" s="638"/>
      <c r="AA41" s="638"/>
      <c r="AB41" s="638"/>
      <c r="AC41" s="638"/>
      <c r="AD41" s="638"/>
      <c r="AE41" s="638"/>
      <c r="AF41" s="638"/>
      <c r="AG41" s="638"/>
      <c r="AH41" s="638"/>
      <c r="AI41" s="638"/>
      <c r="AJ41" s="638"/>
      <c r="AK41" s="638"/>
      <c r="AL41" s="638"/>
      <c r="AM41" s="638"/>
      <c r="AN41" s="638"/>
      <c r="AO41" s="638"/>
      <c r="AP41" s="638"/>
      <c r="AQ41" s="638"/>
      <c r="AR41" s="638"/>
      <c r="AS41" s="638"/>
      <c r="AT41" s="638"/>
      <c r="AU41" s="638"/>
      <c r="AV41" s="638"/>
      <c r="AW41" s="638"/>
      <c r="AX41" s="638"/>
      <c r="AY41" s="638"/>
      <c r="AZ41" s="638"/>
    </row>
    <row r="42" spans="1:52" ht="18" customHeight="1">
      <c r="A42" s="662"/>
      <c r="B42" s="682" t="s">
        <v>846</v>
      </c>
      <c r="C42" s="683"/>
      <c r="D42" s="684"/>
      <c r="E42" s="684"/>
      <c r="F42" s="684"/>
      <c r="G42" s="684"/>
      <c r="H42" s="685"/>
      <c r="I42" s="685"/>
      <c r="J42" s="685"/>
      <c r="K42" s="685"/>
      <c r="L42" s="2338"/>
      <c r="M42" s="888"/>
      <c r="N42" s="662"/>
      <c r="O42" s="662"/>
      <c r="P42" s="662"/>
      <c r="Q42" s="662"/>
      <c r="R42" s="662"/>
      <c r="S42" s="662"/>
      <c r="T42" s="662"/>
      <c r="U42" s="662"/>
      <c r="V42" s="662"/>
      <c r="W42" s="662"/>
      <c r="X42" s="662"/>
      <c r="Y42" s="662"/>
      <c r="Z42" s="662"/>
      <c r="AA42" s="662"/>
      <c r="AB42" s="662"/>
      <c r="AC42" s="662"/>
      <c r="AD42" s="662"/>
      <c r="AE42" s="662"/>
      <c r="AF42" s="662"/>
      <c r="AG42" s="662"/>
      <c r="AH42" s="662"/>
      <c r="AI42" s="662"/>
      <c r="AJ42" s="662"/>
      <c r="AK42" s="662"/>
      <c r="AL42" s="662"/>
      <c r="AM42" s="662"/>
      <c r="AN42" s="662"/>
      <c r="AO42" s="662"/>
      <c r="AP42" s="662"/>
      <c r="AQ42" s="662"/>
      <c r="AR42" s="662"/>
      <c r="AS42" s="662"/>
      <c r="AT42" s="662"/>
      <c r="AU42" s="662"/>
      <c r="AV42" s="662"/>
      <c r="AW42" s="662"/>
      <c r="AX42" s="662"/>
      <c r="AY42" s="662"/>
      <c r="AZ42" s="662"/>
    </row>
    <row r="43" spans="1:52" s="668" customFormat="1" ht="18" customHeight="1">
      <c r="A43" s="667"/>
      <c r="B43" s="669" t="s">
        <v>157</v>
      </c>
      <c r="C43" s="686"/>
      <c r="D43" s="687">
        <f t="shared" ref="D43:L43" si="13">D76</f>
        <v>0.1874455113181587</v>
      </c>
      <c r="E43" s="687">
        <f t="shared" si="13"/>
        <v>0.12554658069074154</v>
      </c>
      <c r="F43" s="687">
        <f t="shared" si="13"/>
        <v>0.14463516119506797</v>
      </c>
      <c r="G43" s="687">
        <f t="shared" si="13"/>
        <v>0.19384299582042461</v>
      </c>
      <c r="H43" s="688">
        <f t="shared" ca="1" si="13"/>
        <v>0.19078040528413892</v>
      </c>
      <c r="I43" s="688">
        <f t="shared" ca="1" si="13"/>
        <v>0.18548893896874735</v>
      </c>
      <c r="J43" s="688">
        <f t="shared" ca="1" si="13"/>
        <v>0.18959820865053079</v>
      </c>
      <c r="K43" s="688">
        <f t="shared" ca="1" si="13"/>
        <v>0.19485783207907073</v>
      </c>
      <c r="L43" s="2339">
        <f t="shared" ca="1" si="13"/>
        <v>0.19624207880235003</v>
      </c>
      <c r="M43" s="2348"/>
      <c r="N43" s="667"/>
      <c r="O43" s="667"/>
      <c r="P43" s="667"/>
      <c r="Q43" s="667"/>
      <c r="R43" s="667"/>
      <c r="S43" s="667"/>
      <c r="T43" s="667"/>
      <c r="U43" s="667"/>
      <c r="V43" s="667"/>
      <c r="W43" s="667"/>
      <c r="X43" s="667"/>
      <c r="Y43" s="667"/>
      <c r="Z43" s="667"/>
      <c r="AA43" s="667"/>
      <c r="AB43" s="667"/>
      <c r="AC43" s="667"/>
      <c r="AD43" s="667"/>
      <c r="AE43" s="667"/>
      <c r="AF43" s="667"/>
      <c r="AG43" s="667"/>
      <c r="AH43" s="667"/>
      <c r="AI43" s="667"/>
      <c r="AJ43" s="667"/>
      <c r="AK43" s="667"/>
      <c r="AL43" s="667"/>
      <c r="AM43" s="667"/>
      <c r="AN43" s="667"/>
      <c r="AO43" s="667"/>
      <c r="AP43" s="667"/>
      <c r="AQ43" s="667"/>
      <c r="AR43" s="667"/>
      <c r="AS43" s="667"/>
      <c r="AT43" s="667"/>
      <c r="AU43" s="667"/>
      <c r="AV43" s="667"/>
      <c r="AW43" s="667"/>
      <c r="AX43" s="667"/>
      <c r="AY43" s="667"/>
      <c r="AZ43" s="667"/>
    </row>
    <row r="44" spans="1:52" s="668" customFormat="1" ht="18" customHeight="1">
      <c r="A44" s="667"/>
      <c r="B44" s="669" t="s">
        <v>158</v>
      </c>
      <c r="C44" s="686">
        <f t="shared" ref="C44:L44" si="14">C99</f>
        <v>0.1516430169963566</v>
      </c>
      <c r="D44" s="687">
        <f t="shared" si="14"/>
        <v>0.17515175424594742</v>
      </c>
      <c r="E44" s="687">
        <f t="shared" si="14"/>
        <v>0.11641233195385778</v>
      </c>
      <c r="F44" s="687">
        <f t="shared" si="14"/>
        <v>0.1352669285414661</v>
      </c>
      <c r="G44" s="687">
        <f t="shared" si="14"/>
        <v>0.1466766350136175</v>
      </c>
      <c r="H44" s="688">
        <f t="shared" ca="1" si="14"/>
        <v>-0.28083430300040552</v>
      </c>
      <c r="I44" s="688">
        <f t="shared" ca="1" si="14"/>
        <v>-0.50065927637330232</v>
      </c>
      <c r="J44" s="688">
        <f t="shared" ca="1" si="14"/>
        <v>-0.99104434715362388</v>
      </c>
      <c r="K44" s="688">
        <f t="shared" ca="1" si="14"/>
        <v>-129.23326255619037</v>
      </c>
      <c r="L44" s="2339">
        <f t="shared" ca="1" si="14"/>
        <v>1.0077897544781904</v>
      </c>
      <c r="M44" s="2348"/>
      <c r="N44" s="667"/>
      <c r="O44" s="667"/>
      <c r="P44" s="667"/>
      <c r="Q44" s="667"/>
      <c r="R44" s="667"/>
      <c r="S44" s="667"/>
      <c r="T44" s="667"/>
      <c r="U44" s="667"/>
      <c r="V44" s="667"/>
      <c r="W44" s="667"/>
      <c r="X44" s="667"/>
      <c r="Y44" s="667"/>
      <c r="Z44" s="667"/>
      <c r="AA44" s="667"/>
      <c r="AB44" s="667"/>
      <c r="AC44" s="667"/>
      <c r="AD44" s="667"/>
      <c r="AE44" s="667"/>
      <c r="AF44" s="667"/>
      <c r="AG44" s="667"/>
      <c r="AH44" s="667"/>
      <c r="AI44" s="667"/>
      <c r="AJ44" s="667"/>
      <c r="AK44" s="667"/>
      <c r="AL44" s="667"/>
      <c r="AM44" s="667"/>
      <c r="AN44" s="667"/>
      <c r="AO44" s="667"/>
      <c r="AP44" s="667"/>
      <c r="AQ44" s="667"/>
      <c r="AR44" s="667"/>
      <c r="AS44" s="667"/>
      <c r="AT44" s="667"/>
      <c r="AU44" s="667"/>
      <c r="AV44" s="667"/>
      <c r="AW44" s="667"/>
      <c r="AX44" s="667"/>
      <c r="AY44" s="667"/>
      <c r="AZ44" s="667"/>
    </row>
    <row r="45" spans="1:52" s="668" customFormat="1" ht="18" customHeight="1">
      <c r="A45" s="667"/>
      <c r="B45" s="669" t="s">
        <v>709</v>
      </c>
      <c r="C45" s="686">
        <f>利润表!I28/资产负债!I39</f>
        <v>0.13387681587549785</v>
      </c>
      <c r="D45" s="687">
        <f>利润表!J28/资产负债!J39</f>
        <v>0.15423503195419952</v>
      </c>
      <c r="E45" s="687">
        <f>利润表!K28/资产负债!K39</f>
        <v>0.10260598413149666</v>
      </c>
      <c r="F45" s="687">
        <f>利润表!L28/资产负债!L39</f>
        <v>0.11618102338106669</v>
      </c>
      <c r="G45" s="687">
        <f>利润表!M28/资产负债!M39</f>
        <v>0.11499380062091169</v>
      </c>
      <c r="H45" s="688">
        <f ca="1">利润表!N28/资产负债!N39</f>
        <v>-0.19463862696329734</v>
      </c>
      <c r="I45" s="688">
        <f ca="1">利润表!O28/资产负债!O39</f>
        <v>-0.20929999628261872</v>
      </c>
      <c r="J45" s="688">
        <f ca="1">利润表!P28/资产负债!P39</f>
        <v>-0.19283025272999774</v>
      </c>
      <c r="K45" s="688">
        <f ca="1">利润表!Q28/资产负债!Q39</f>
        <v>-0.18140914249804174</v>
      </c>
      <c r="L45" s="2339">
        <f ca="1">利润表!R28/资产负债!R39</f>
        <v>-0.16961669604966495</v>
      </c>
      <c r="M45" s="2348"/>
      <c r="N45" s="667"/>
      <c r="O45" s="667"/>
      <c r="P45" s="667"/>
      <c r="Q45" s="667"/>
      <c r="R45" s="667"/>
      <c r="S45" s="667"/>
      <c r="T45" s="667"/>
      <c r="U45" s="667"/>
      <c r="V45" s="667"/>
      <c r="W45" s="667"/>
      <c r="X45" s="667"/>
      <c r="Y45" s="667"/>
      <c r="Z45" s="667"/>
      <c r="AA45" s="667"/>
      <c r="AB45" s="667"/>
      <c r="AC45" s="667"/>
      <c r="AD45" s="667"/>
      <c r="AE45" s="667"/>
      <c r="AF45" s="667"/>
      <c r="AG45" s="667"/>
      <c r="AH45" s="667"/>
      <c r="AI45" s="667"/>
      <c r="AJ45" s="667"/>
      <c r="AK45" s="667"/>
      <c r="AL45" s="667"/>
      <c r="AM45" s="667"/>
      <c r="AN45" s="667"/>
      <c r="AO45" s="667"/>
      <c r="AP45" s="667"/>
      <c r="AQ45" s="667"/>
      <c r="AR45" s="667"/>
      <c r="AS45" s="667"/>
      <c r="AT45" s="667"/>
      <c r="AU45" s="667"/>
      <c r="AV45" s="667"/>
      <c r="AW45" s="667"/>
      <c r="AX45" s="667"/>
      <c r="AY45" s="667"/>
      <c r="AZ45" s="667"/>
    </row>
    <row r="46" spans="1:52" s="668" customFormat="1" ht="18" customHeight="1">
      <c r="A46" s="667"/>
      <c r="B46" s="669" t="s">
        <v>847</v>
      </c>
      <c r="C46" s="686">
        <f>1-利润表!I50/利润表!I45</f>
        <v>0.32840772502364768</v>
      </c>
      <c r="D46" s="686">
        <f>1-利润表!J50/利润表!J45</f>
        <v>0.30276952224409948</v>
      </c>
      <c r="E46" s="686">
        <f>1-利润表!K50/利润表!K45</f>
        <v>0.20916627549650246</v>
      </c>
      <c r="F46" s="686">
        <f>1-利润表!L50/利润表!L45</f>
        <v>0.19667375452696501</v>
      </c>
      <c r="G46" s="686">
        <f>1-利润表!M50/利润表!M45</f>
        <v>0.2036453428052345</v>
      </c>
      <c r="H46" s="688">
        <f>1-利润表!N50/利润表!N45</f>
        <v>0.20316179094290066</v>
      </c>
      <c r="I46" s="688">
        <f>1-利润表!O50/利润表!O45</f>
        <v>0.20116029609170005</v>
      </c>
      <c r="J46" s="688">
        <f>1-利润表!P50/利润表!P45</f>
        <v>0.2026558099466117</v>
      </c>
      <c r="K46" s="688">
        <f>1-利润表!Q50/利润表!Q45</f>
        <v>0.20232596566040417</v>
      </c>
      <c r="L46" s="2339">
        <f>1-利润表!R50/利润表!R45</f>
        <v>0.20204735723290534</v>
      </c>
      <c r="M46" s="2348"/>
      <c r="N46" s="667"/>
      <c r="O46" s="667"/>
      <c r="P46" s="667"/>
      <c r="Q46" s="667"/>
      <c r="R46" s="667"/>
      <c r="S46" s="667"/>
      <c r="T46" s="667"/>
      <c r="U46" s="667"/>
      <c r="V46" s="667"/>
      <c r="W46" s="667"/>
      <c r="X46" s="667"/>
      <c r="Y46" s="667"/>
      <c r="Z46" s="667"/>
      <c r="AA46" s="667"/>
      <c r="AB46" s="667"/>
      <c r="AC46" s="667"/>
      <c r="AD46" s="667"/>
      <c r="AE46" s="667"/>
      <c r="AF46" s="667"/>
      <c r="AG46" s="667"/>
      <c r="AH46" s="667"/>
      <c r="AI46" s="667"/>
      <c r="AJ46" s="667"/>
      <c r="AK46" s="667"/>
      <c r="AL46" s="667"/>
      <c r="AM46" s="667"/>
      <c r="AN46" s="667"/>
      <c r="AO46" s="667"/>
      <c r="AP46" s="667"/>
      <c r="AQ46" s="667"/>
      <c r="AR46" s="667"/>
      <c r="AS46" s="667"/>
      <c r="AT46" s="667"/>
      <c r="AU46" s="667"/>
      <c r="AV46" s="667"/>
      <c r="AW46" s="667"/>
      <c r="AX46" s="667"/>
      <c r="AY46" s="667"/>
      <c r="AZ46" s="667"/>
    </row>
    <row r="47" spans="1:52" s="668" customFormat="1" ht="18" customHeight="1">
      <c r="A47" s="667"/>
      <c r="B47" s="669" t="s">
        <v>848</v>
      </c>
      <c r="C47" s="686">
        <f>C214/利润表!I4</f>
        <v>0.23519312542451326</v>
      </c>
      <c r="D47" s="686">
        <f>D214/利润表!J4</f>
        <v>0.25165477881368331</v>
      </c>
      <c r="E47" s="686">
        <f>E214/利润表!K4</f>
        <v>0.15035430588482976</v>
      </c>
      <c r="F47" s="686">
        <f>F214/利润表!L4</f>
        <v>0.17678213690108988</v>
      </c>
      <c r="G47" s="686">
        <f>G214/利润表!M4</f>
        <v>0.17121196349259182</v>
      </c>
      <c r="H47" s="688">
        <f>H214/利润表!N4</f>
        <v>0.15434907879221951</v>
      </c>
      <c r="I47" s="688">
        <f>I214/利润表!O4</f>
        <v>0.15234758394101894</v>
      </c>
      <c r="J47" s="688">
        <f>J214/利润表!P4</f>
        <v>0.15384309779593056</v>
      </c>
      <c r="K47" s="688">
        <f>K214/利润表!Q4</f>
        <v>0.15351325350972297</v>
      </c>
      <c r="L47" s="2339">
        <f>L214/利润表!R4</f>
        <v>0.15323464508222415</v>
      </c>
      <c r="M47" s="2348"/>
      <c r="N47" s="667"/>
      <c r="O47" s="667"/>
      <c r="P47" s="667"/>
      <c r="Q47" s="667"/>
      <c r="R47" s="667"/>
      <c r="S47" s="667"/>
      <c r="T47" s="667"/>
      <c r="U47" s="667"/>
      <c r="V47" s="667"/>
      <c r="W47" s="667"/>
      <c r="X47" s="667"/>
      <c r="Y47" s="667"/>
      <c r="Z47" s="667"/>
      <c r="AA47" s="667"/>
      <c r="AB47" s="667"/>
      <c r="AC47" s="667"/>
      <c r="AD47" s="667"/>
      <c r="AE47" s="667"/>
      <c r="AF47" s="667"/>
      <c r="AG47" s="667"/>
      <c r="AH47" s="667"/>
      <c r="AI47" s="667"/>
      <c r="AJ47" s="667"/>
      <c r="AK47" s="667"/>
      <c r="AL47" s="667"/>
      <c r="AM47" s="667"/>
      <c r="AN47" s="667"/>
      <c r="AO47" s="667"/>
      <c r="AP47" s="667"/>
      <c r="AQ47" s="667"/>
      <c r="AR47" s="667"/>
      <c r="AS47" s="667"/>
      <c r="AT47" s="667"/>
      <c r="AU47" s="667"/>
      <c r="AV47" s="667"/>
      <c r="AW47" s="667"/>
      <c r="AX47" s="667"/>
      <c r="AY47" s="667"/>
      <c r="AZ47" s="667"/>
    </row>
    <row r="48" spans="1:52" s="668" customFormat="1" ht="18" customHeight="1">
      <c r="A48" s="667"/>
      <c r="B48" s="669" t="s">
        <v>849</v>
      </c>
      <c r="C48" s="686">
        <f>C217/利润表!I4</f>
        <v>0.24763664289833462</v>
      </c>
      <c r="D48" s="686">
        <f>D217/利润表!J4</f>
        <v>0.26618679200620826</v>
      </c>
      <c r="E48" s="686">
        <f>E217/利润表!K4</f>
        <v>0.1666678497786109</v>
      </c>
      <c r="F48" s="686">
        <f>F217/利润表!L4</f>
        <v>0.19597767026955853</v>
      </c>
      <c r="G48" s="686">
        <f>G217/利润表!M4</f>
        <v>0.18871134118083113</v>
      </c>
      <c r="H48" s="688">
        <f>H217/利润表!N4</f>
        <v>0.16567284731368878</v>
      </c>
      <c r="I48" s="688">
        <f>I217/利润表!O4</f>
        <v>0.16367135246248821</v>
      </c>
      <c r="J48" s="688">
        <f>J217/利润表!P4</f>
        <v>0.16516686631739982</v>
      </c>
      <c r="K48" s="688">
        <f>K217/利润表!Q4</f>
        <v>0.16483702203119224</v>
      </c>
      <c r="L48" s="2339">
        <f>L217/利润表!R4</f>
        <v>0.16455841360369342</v>
      </c>
      <c r="M48" s="2348"/>
      <c r="N48" s="667"/>
      <c r="O48" s="667"/>
      <c r="P48" s="667"/>
      <c r="Q48" s="667"/>
      <c r="R48" s="667"/>
      <c r="S48" s="667"/>
      <c r="T48" s="667"/>
      <c r="U48" s="667"/>
      <c r="V48" s="667"/>
      <c r="W48" s="667"/>
      <c r="X48" s="667"/>
      <c r="Y48" s="667"/>
      <c r="Z48" s="667"/>
      <c r="AA48" s="667"/>
      <c r="AB48" s="667"/>
      <c r="AC48" s="667"/>
      <c r="AD48" s="667"/>
      <c r="AE48" s="667"/>
      <c r="AF48" s="667"/>
      <c r="AG48" s="667"/>
      <c r="AH48" s="667"/>
      <c r="AI48" s="667"/>
      <c r="AJ48" s="667"/>
      <c r="AK48" s="667"/>
      <c r="AL48" s="667"/>
      <c r="AM48" s="667"/>
      <c r="AN48" s="667"/>
      <c r="AO48" s="667"/>
      <c r="AP48" s="667"/>
      <c r="AQ48" s="667"/>
      <c r="AR48" s="667"/>
      <c r="AS48" s="667"/>
      <c r="AT48" s="667"/>
      <c r="AU48" s="667"/>
      <c r="AV48" s="667"/>
      <c r="AW48" s="667"/>
      <c r="AX48" s="667"/>
      <c r="AY48" s="667"/>
      <c r="AZ48" s="667"/>
    </row>
    <row r="49" spans="1:52" s="668" customFormat="1" ht="18" customHeight="1">
      <c r="A49" s="667"/>
      <c r="B49" s="669" t="s">
        <v>850</v>
      </c>
      <c r="C49" s="686">
        <f>利润表!I32/利润表!I4</f>
        <v>0.19421916954175772</v>
      </c>
      <c r="D49" s="686">
        <f>利润表!J32/利润表!J4</f>
        <v>0.21452938979518207</v>
      </c>
      <c r="E49" s="686">
        <f>利润表!K32/利润表!K4</f>
        <v>0.12763407929484422</v>
      </c>
      <c r="F49" s="686">
        <f>利润表!L32/利润表!L4</f>
        <v>0.15619515831736747</v>
      </c>
      <c r="G49" s="686">
        <f>利润表!M32/利润表!M4</f>
        <v>0.1500533213940877</v>
      </c>
      <c r="H49" s="689">
        <f ca="1">利润表!N32/利润表!N4</f>
        <v>-0.21717519377423433</v>
      </c>
      <c r="I49" s="689">
        <f ca="1">利润表!O32/利润表!O4</f>
        <v>-0.25800031336984219</v>
      </c>
      <c r="J49" s="689">
        <f ca="1">利润表!P32/利润表!P4</f>
        <v>-0.25650162541201693</v>
      </c>
      <c r="K49" s="689">
        <f ca="1">利润表!Q32/利润表!Q4</f>
        <v>-0.25683216976509887</v>
      </c>
      <c r="L49" s="2340">
        <f ca="1">利润表!R32/利润表!R4</f>
        <v>-0.25711136951565272</v>
      </c>
      <c r="M49" s="2348"/>
      <c r="N49" s="667"/>
      <c r="O49" s="667"/>
      <c r="P49" s="667"/>
      <c r="Q49" s="667"/>
      <c r="R49" s="667"/>
      <c r="S49" s="667"/>
      <c r="T49" s="667"/>
      <c r="U49" s="667"/>
      <c r="V49" s="667"/>
      <c r="W49" s="667"/>
      <c r="X49" s="667"/>
      <c r="Y49" s="667"/>
      <c r="Z49" s="667"/>
      <c r="AA49" s="667"/>
      <c r="AB49" s="667"/>
      <c r="AC49" s="667"/>
      <c r="AD49" s="667"/>
      <c r="AE49" s="667"/>
      <c r="AF49" s="667"/>
      <c r="AG49" s="667"/>
      <c r="AH49" s="667"/>
      <c r="AI49" s="667"/>
      <c r="AJ49" s="667"/>
      <c r="AK49" s="667"/>
      <c r="AL49" s="667"/>
      <c r="AM49" s="667"/>
      <c r="AN49" s="667"/>
      <c r="AO49" s="667"/>
      <c r="AP49" s="667"/>
      <c r="AQ49" s="667"/>
      <c r="AR49" s="667"/>
      <c r="AS49" s="667"/>
      <c r="AT49" s="667"/>
      <c r="AU49" s="667"/>
      <c r="AV49" s="667"/>
      <c r="AW49" s="667"/>
      <c r="AX49" s="667"/>
      <c r="AY49" s="667"/>
      <c r="AZ49" s="667"/>
    </row>
    <row r="50" spans="1:52" ht="18" customHeight="1">
      <c r="A50" s="662"/>
      <c r="B50" s="691" t="s">
        <v>851</v>
      </c>
      <c r="C50" s="692"/>
      <c r="D50" s="693"/>
      <c r="E50" s="693"/>
      <c r="F50" s="693"/>
      <c r="G50" s="693"/>
      <c r="H50" s="694"/>
      <c r="I50" s="694"/>
      <c r="J50" s="694"/>
      <c r="K50" s="694"/>
      <c r="L50" s="2341"/>
      <c r="M50" s="888"/>
      <c r="N50" s="662"/>
      <c r="O50" s="662"/>
      <c r="P50" s="662"/>
      <c r="Q50" s="662"/>
      <c r="R50" s="662"/>
      <c r="S50" s="662"/>
      <c r="T50" s="662"/>
      <c r="U50" s="662"/>
      <c r="V50" s="662"/>
      <c r="W50" s="662"/>
      <c r="X50" s="662"/>
      <c r="Y50" s="662"/>
      <c r="Z50" s="662"/>
      <c r="AA50" s="662"/>
      <c r="AB50" s="662"/>
      <c r="AC50" s="662"/>
      <c r="AD50" s="662"/>
      <c r="AE50" s="662"/>
      <c r="AF50" s="662"/>
      <c r="AG50" s="662"/>
      <c r="AH50" s="662"/>
      <c r="AI50" s="662"/>
      <c r="AJ50" s="662"/>
      <c r="AK50" s="662"/>
      <c r="AL50" s="662"/>
      <c r="AM50" s="662"/>
      <c r="AN50" s="662"/>
      <c r="AO50" s="662"/>
      <c r="AP50" s="662"/>
      <c r="AQ50" s="662"/>
      <c r="AR50" s="662"/>
      <c r="AS50" s="662"/>
      <c r="AT50" s="662"/>
      <c r="AU50" s="662"/>
      <c r="AV50" s="662"/>
      <c r="AW50" s="662"/>
      <c r="AX50" s="662"/>
      <c r="AY50" s="662"/>
      <c r="AZ50" s="662"/>
    </row>
    <row r="51" spans="1:52" s="668" customFormat="1" ht="18" customHeight="1">
      <c r="A51" s="667"/>
      <c r="B51" s="99" t="s">
        <v>1217</v>
      </c>
      <c r="C51" s="686"/>
      <c r="D51" s="687">
        <f t="shared" ref="D51:L51" si="15">D197/C197-1</f>
        <v>0.1856701896001991</v>
      </c>
      <c r="E51" s="687">
        <f t="shared" si="15"/>
        <v>0.16026706447335659</v>
      </c>
      <c r="F51" s="687">
        <f t="shared" si="15"/>
        <v>4.9033864924721504E-2</v>
      </c>
      <c r="G51" s="687">
        <f t="shared" si="15"/>
        <v>0.32609174934937424</v>
      </c>
      <c r="H51" s="688">
        <f t="shared" si="15"/>
        <v>0</v>
      </c>
      <c r="I51" s="688">
        <f t="shared" si="15"/>
        <v>0</v>
      </c>
      <c r="J51" s="688">
        <f t="shared" si="15"/>
        <v>0</v>
      </c>
      <c r="K51" s="688">
        <f t="shared" si="15"/>
        <v>0</v>
      </c>
      <c r="L51" s="2339">
        <f t="shared" si="15"/>
        <v>0</v>
      </c>
      <c r="M51" s="2348"/>
      <c r="N51" s="667"/>
      <c r="O51" s="667"/>
      <c r="P51" s="667"/>
      <c r="Q51" s="667"/>
      <c r="R51" s="667"/>
      <c r="S51" s="667"/>
      <c r="T51" s="667"/>
      <c r="U51" s="667"/>
      <c r="V51" s="667"/>
      <c r="W51" s="667"/>
      <c r="X51" s="667"/>
      <c r="Y51" s="667"/>
      <c r="Z51" s="667"/>
      <c r="AA51" s="667"/>
      <c r="AB51" s="667"/>
      <c r="AC51" s="667"/>
      <c r="AD51" s="667"/>
      <c r="AE51" s="667"/>
      <c r="AF51" s="667"/>
      <c r="AG51" s="667"/>
      <c r="AH51" s="667"/>
      <c r="AI51" s="667"/>
      <c r="AJ51" s="667"/>
      <c r="AK51" s="667"/>
      <c r="AL51" s="667"/>
      <c r="AM51" s="667"/>
      <c r="AN51" s="667"/>
      <c r="AO51" s="667"/>
      <c r="AP51" s="667"/>
      <c r="AQ51" s="667"/>
      <c r="AR51" s="667"/>
      <c r="AS51" s="667"/>
      <c r="AT51" s="667"/>
      <c r="AU51" s="667"/>
      <c r="AV51" s="667"/>
      <c r="AW51" s="667"/>
      <c r="AX51" s="667"/>
      <c r="AY51" s="667"/>
      <c r="AZ51" s="667"/>
    </row>
    <row r="52" spans="1:52" s="668" customFormat="1" ht="18" customHeight="1">
      <c r="A52" s="667"/>
      <c r="B52" s="650" t="s">
        <v>853</v>
      </c>
      <c r="C52" s="686"/>
      <c r="D52" s="687">
        <f t="shared" ref="D52:L52" si="16">IF(C214&lt;0,"_",(D214/C214-1))</f>
        <v>0.26865769894955061</v>
      </c>
      <c r="E52" s="687">
        <f t="shared" si="16"/>
        <v>-0.30678388090901987</v>
      </c>
      <c r="F52" s="687">
        <f t="shared" si="16"/>
        <v>0.23342292880561155</v>
      </c>
      <c r="G52" s="687">
        <f t="shared" si="16"/>
        <v>0.28430833656266619</v>
      </c>
      <c r="H52" s="688">
        <f t="shared" si="16"/>
        <v>-9.849127570516969E-2</v>
      </c>
      <c r="I52" s="688">
        <f t="shared" si="16"/>
        <v>-1.2967326185956307E-2</v>
      </c>
      <c r="J52" s="688">
        <f t="shared" si="16"/>
        <v>9.8164592849112609E-3</v>
      </c>
      <c r="K52" s="688">
        <f t="shared" si="16"/>
        <v>-2.1440304500699447E-3</v>
      </c>
      <c r="L52" s="2339">
        <f t="shared" si="16"/>
        <v>-1.8148819149429452E-3</v>
      </c>
      <c r="M52" s="2348"/>
      <c r="N52" s="667"/>
      <c r="O52" s="667"/>
      <c r="P52" s="667"/>
      <c r="Q52" s="667"/>
      <c r="R52" s="667"/>
      <c r="S52" s="667"/>
      <c r="T52" s="667"/>
      <c r="U52" s="667"/>
      <c r="V52" s="667"/>
      <c r="W52" s="667"/>
      <c r="X52" s="667"/>
      <c r="Y52" s="667"/>
      <c r="Z52" s="667"/>
      <c r="AA52" s="667"/>
      <c r="AB52" s="667"/>
      <c r="AC52" s="667"/>
      <c r="AD52" s="667"/>
      <c r="AE52" s="667"/>
      <c r="AF52" s="667"/>
      <c r="AG52" s="667"/>
      <c r="AH52" s="667"/>
      <c r="AI52" s="667"/>
      <c r="AJ52" s="667"/>
      <c r="AK52" s="667"/>
      <c r="AL52" s="667"/>
      <c r="AM52" s="667"/>
      <c r="AN52" s="667"/>
      <c r="AO52" s="667"/>
      <c r="AP52" s="667"/>
      <c r="AQ52" s="667"/>
      <c r="AR52" s="667"/>
      <c r="AS52" s="667"/>
      <c r="AT52" s="667"/>
      <c r="AU52" s="667"/>
      <c r="AV52" s="667"/>
      <c r="AW52" s="667"/>
      <c r="AX52" s="667"/>
      <c r="AY52" s="667"/>
      <c r="AZ52" s="667"/>
    </row>
    <row r="53" spans="1:52" s="668" customFormat="1" ht="18" customHeight="1">
      <c r="A53" s="667"/>
      <c r="B53" s="650" t="s">
        <v>854</v>
      </c>
      <c r="C53" s="686"/>
      <c r="D53" s="687">
        <f t="shared" ref="D53:L53" si="17">IF(C217&lt;0,"_",(D217/C217-1))</f>
        <v>0.27448725056671419</v>
      </c>
      <c r="E53" s="687">
        <f t="shared" si="17"/>
        <v>-0.27352061555253626</v>
      </c>
      <c r="F53" s="687">
        <f t="shared" si="17"/>
        <v>0.23351452097632697</v>
      </c>
      <c r="G53" s="687">
        <f t="shared" si="17"/>
        <v>0.2769238056782144</v>
      </c>
      <c r="H53" s="688">
        <f t="shared" si="17"/>
        <v>-0.12208325012679511</v>
      </c>
      <c r="I53" s="688">
        <f t="shared" si="17"/>
        <v>-1.2081007139394973E-2</v>
      </c>
      <c r="J53" s="688">
        <f t="shared" si="17"/>
        <v>9.1372975930799072E-3</v>
      </c>
      <c r="K53" s="688">
        <f t="shared" si="17"/>
        <v>-1.9970366548802687E-3</v>
      </c>
      <c r="L53" s="2339">
        <f t="shared" si="17"/>
        <v>-1.6902054166334501E-3</v>
      </c>
      <c r="M53" s="2348"/>
      <c r="N53" s="667"/>
      <c r="O53" s="667"/>
      <c r="P53" s="667"/>
      <c r="Q53" s="667"/>
      <c r="R53" s="667"/>
      <c r="S53" s="667"/>
      <c r="T53" s="667"/>
      <c r="U53" s="667"/>
      <c r="V53" s="667"/>
      <c r="W53" s="667"/>
      <c r="X53" s="667"/>
      <c r="Y53" s="667"/>
      <c r="Z53" s="667"/>
      <c r="AA53" s="667"/>
      <c r="AB53" s="667"/>
      <c r="AC53" s="667"/>
      <c r="AD53" s="667"/>
      <c r="AE53" s="667"/>
      <c r="AF53" s="667"/>
      <c r="AG53" s="667"/>
      <c r="AH53" s="667"/>
      <c r="AI53" s="667"/>
      <c r="AJ53" s="667"/>
      <c r="AK53" s="667"/>
      <c r="AL53" s="667"/>
      <c r="AM53" s="667"/>
      <c r="AN53" s="667"/>
      <c r="AO53" s="667"/>
      <c r="AP53" s="667"/>
      <c r="AQ53" s="667"/>
      <c r="AR53" s="667"/>
      <c r="AS53" s="667"/>
      <c r="AT53" s="667"/>
      <c r="AU53" s="667"/>
      <c r="AV53" s="667"/>
      <c r="AW53" s="667"/>
      <c r="AX53" s="667"/>
      <c r="AY53" s="667"/>
      <c r="AZ53" s="667"/>
    </row>
    <row r="54" spans="1:52" s="668" customFormat="1" ht="18" customHeight="1">
      <c r="A54" s="667"/>
      <c r="B54" s="99" t="s">
        <v>1473</v>
      </c>
      <c r="C54" s="686"/>
      <c r="D54" s="687">
        <f>IF(利润表!I32&lt;=0,"_",(利润表!J32-利润表!I32)/利润表!I32)</f>
        <v>0.30966012713065444</v>
      </c>
      <c r="E54" s="687">
        <f>IF(利润表!J32&lt;=0,"_",(利润表!K32-利润表!J32)/利润表!J32)</f>
        <v>-0.30970008980319991</v>
      </c>
      <c r="F54" s="687">
        <f>IF(利润表!K32&lt;=0,"_",(利润表!L32-利润表!K32)/利润表!K32)</f>
        <v>0.28377946953870997</v>
      </c>
      <c r="G54" s="687">
        <f>IF(利润表!L32&lt;=0,"_",(利润表!M32-利润表!L32)/利润表!L32)</f>
        <v>0.27394775617090539</v>
      </c>
      <c r="H54" s="689">
        <f ca="1">IF(利润表!M32&lt;=0,"_",(利润表!N32-利润表!M32)/利润表!M32)</f>
        <v>-2.4473201376453595</v>
      </c>
      <c r="I54" s="689" t="str">
        <f ca="1">IF(利润表!N32&lt;=0,"_",(利润表!O32-利润表!N32)/利润表!N32)</f>
        <v>_</v>
      </c>
      <c r="J54" s="689" t="str">
        <f ca="1">IF(利润表!O32&lt;=0,"_",(利润表!P32-利润表!O32)/利润表!O32)</f>
        <v>_</v>
      </c>
      <c r="K54" s="689" t="str">
        <f ca="1">IF(利润表!P32&lt;=0,"_",(利润表!Q32-利润表!P32)/利润表!P32)</f>
        <v>_</v>
      </c>
      <c r="L54" s="2340" t="str">
        <f ca="1">IF(利润表!Q32&lt;=0,"_",(利润表!R32-利润表!Q32)/利润表!Q32)</f>
        <v>_</v>
      </c>
      <c r="M54" s="2348"/>
      <c r="N54" s="667"/>
      <c r="O54" s="667"/>
      <c r="P54" s="667"/>
      <c r="Q54" s="667"/>
      <c r="R54" s="667"/>
      <c r="S54" s="667"/>
      <c r="T54" s="667"/>
      <c r="U54" s="667"/>
      <c r="V54" s="667"/>
      <c r="W54" s="667"/>
      <c r="X54" s="667"/>
      <c r="Y54" s="667"/>
      <c r="Z54" s="667"/>
      <c r="AA54" s="667"/>
      <c r="AB54" s="667"/>
      <c r="AC54" s="667"/>
      <c r="AD54" s="667"/>
      <c r="AE54" s="667"/>
      <c r="AF54" s="667"/>
      <c r="AG54" s="667"/>
      <c r="AH54" s="667"/>
      <c r="AI54" s="667"/>
      <c r="AJ54" s="667"/>
      <c r="AK54" s="667"/>
      <c r="AL54" s="667"/>
      <c r="AM54" s="667"/>
      <c r="AN54" s="667"/>
      <c r="AO54" s="667"/>
      <c r="AP54" s="667"/>
      <c r="AQ54" s="667"/>
      <c r="AR54" s="667"/>
      <c r="AS54" s="667"/>
      <c r="AT54" s="667"/>
      <c r="AU54" s="667"/>
      <c r="AV54" s="667"/>
      <c r="AW54" s="667"/>
      <c r="AX54" s="667"/>
      <c r="AY54" s="667"/>
      <c r="AZ54" s="667"/>
    </row>
    <row r="55" spans="1:52" s="639" customFormat="1" ht="18" customHeight="1">
      <c r="A55" s="106"/>
      <c r="B55" s="682" t="s">
        <v>855</v>
      </c>
      <c r="C55" s="695"/>
      <c r="D55" s="696"/>
      <c r="E55" s="696"/>
      <c r="F55" s="696"/>
      <c r="G55" s="696"/>
      <c r="H55" s="697"/>
      <c r="I55" s="697"/>
      <c r="J55" s="697"/>
      <c r="K55" s="697"/>
      <c r="L55" s="2342"/>
      <c r="M55" s="2346"/>
      <c r="N55" s="638"/>
      <c r="O55" s="638"/>
      <c r="P55" s="638"/>
      <c r="Q55" s="638"/>
      <c r="R55" s="638"/>
      <c r="S55" s="638"/>
      <c r="T55" s="638"/>
      <c r="U55" s="638"/>
      <c r="V55" s="638"/>
      <c r="W55" s="638"/>
      <c r="X55" s="638"/>
      <c r="Y55" s="638"/>
      <c r="Z55" s="638"/>
      <c r="AA55" s="638"/>
      <c r="AB55" s="638"/>
      <c r="AC55" s="638"/>
      <c r="AD55" s="638"/>
      <c r="AE55" s="638"/>
      <c r="AF55" s="638"/>
      <c r="AG55" s="638"/>
      <c r="AH55" s="638"/>
      <c r="AI55" s="638"/>
      <c r="AJ55" s="638"/>
      <c r="AK55" s="638"/>
      <c r="AL55" s="638"/>
      <c r="AM55" s="638"/>
      <c r="AN55" s="638"/>
      <c r="AO55" s="638"/>
      <c r="AP55" s="638"/>
      <c r="AQ55" s="638"/>
      <c r="AR55" s="638"/>
      <c r="AS55" s="638"/>
      <c r="AT55" s="638"/>
      <c r="AU55" s="638"/>
      <c r="AV55" s="638"/>
      <c r="AW55" s="638"/>
      <c r="AX55" s="638"/>
      <c r="AY55" s="638"/>
      <c r="AZ55" s="638"/>
    </row>
    <row r="56" spans="1:52" s="676" customFormat="1" ht="18" customHeight="1">
      <c r="A56" s="698"/>
      <c r="B56" s="650" t="s">
        <v>856</v>
      </c>
      <c r="C56" s="670">
        <f>资产负债!I17/资产负债!I54</f>
        <v>7.552537021191017</v>
      </c>
      <c r="D56" s="671">
        <f>资产负债!J17/资产负债!J54</f>
        <v>7.0792370315655857</v>
      </c>
      <c r="E56" s="671">
        <f>资产负债!K17/资产负债!K54</f>
        <v>6.8490378398639935</v>
      </c>
      <c r="F56" s="671">
        <f>资产负债!L17/资产负债!L54</f>
        <v>5.6645871297735688</v>
      </c>
      <c r="G56" s="671">
        <f>资产负债!M17/资产负债!M54</f>
        <v>7.8286337940525996</v>
      </c>
      <c r="H56" s="672">
        <f ca="1">资产负债!N17/资产负债!N54</f>
        <v>4.4989405191350365</v>
      </c>
      <c r="I56" s="672">
        <f ca="1">资产负债!O17/资产负债!O54</f>
        <v>1.7693845716422516</v>
      </c>
      <c r="J56" s="672">
        <f ca="1">资产负债!P17/资产负债!P54</f>
        <v>1.2098633346192249</v>
      </c>
      <c r="K56" s="672">
        <f ca="1">资产负债!Q17/资产负债!Q54</f>
        <v>0.95946464760854488</v>
      </c>
      <c r="L56" s="2335">
        <f ca="1">资产负债!R17/资产负债!R54</f>
        <v>0.81709453314540026</v>
      </c>
      <c r="M56" s="2349"/>
      <c r="N56" s="673"/>
      <c r="O56" s="673"/>
      <c r="P56" s="673"/>
      <c r="Q56" s="673"/>
      <c r="R56" s="673"/>
      <c r="S56" s="673"/>
      <c r="T56" s="673"/>
      <c r="U56" s="673"/>
      <c r="V56" s="673"/>
      <c r="W56" s="673"/>
      <c r="X56" s="673"/>
      <c r="Y56" s="673"/>
      <c r="Z56" s="673"/>
      <c r="AA56" s="673"/>
      <c r="AB56" s="673"/>
      <c r="AC56" s="673"/>
      <c r="AD56" s="673"/>
      <c r="AE56" s="673"/>
      <c r="AF56" s="673"/>
      <c r="AG56" s="673"/>
      <c r="AH56" s="673"/>
      <c r="AI56" s="673"/>
      <c r="AJ56" s="673"/>
      <c r="AK56" s="673"/>
      <c r="AL56" s="673"/>
      <c r="AM56" s="673"/>
      <c r="AN56" s="673"/>
      <c r="AO56" s="673"/>
      <c r="AP56" s="673"/>
      <c r="AQ56" s="673"/>
      <c r="AR56" s="673"/>
      <c r="AS56" s="673"/>
      <c r="AT56" s="673"/>
      <c r="AU56" s="673"/>
      <c r="AV56" s="673"/>
      <c r="AW56" s="673"/>
      <c r="AX56" s="673"/>
      <c r="AY56" s="673"/>
      <c r="AZ56" s="673"/>
    </row>
    <row r="57" spans="1:52" s="676" customFormat="1" ht="18" customHeight="1">
      <c r="A57" s="698"/>
      <c r="B57" s="650" t="s">
        <v>857</v>
      </c>
      <c r="C57" s="670">
        <f>(资产负债!I17-资产负债!I13)/资产负债!I54</f>
        <v>6.7520474383907523</v>
      </c>
      <c r="D57" s="671">
        <f>(资产负债!J17-资产负债!J13)/资产负债!J54</f>
        <v>6.3305693941235148</v>
      </c>
      <c r="E57" s="671">
        <f>(资产负债!K17-资产负债!K13)/资产负债!K54</f>
        <v>6.1235271499158612</v>
      </c>
      <c r="F57" s="671">
        <f>(资产负债!L17-资产负债!L13)/资产负债!L54</f>
        <v>4.7832517176248199</v>
      </c>
      <c r="G57" s="671">
        <f>(资产负债!M17-资产负债!M13)/资产负债!M54</f>
        <v>6.7733301883109576</v>
      </c>
      <c r="H57" s="672">
        <f ca="1">(资产负债!N17-资产负债!N13)/资产负债!N54</f>
        <v>3.9196833450987847</v>
      </c>
      <c r="I57" s="672">
        <f ca="1">(资产负债!O17-资产负债!O13)/资产负债!O54</f>
        <v>1.5481248195543245</v>
      </c>
      <c r="J57" s="672">
        <f ca="1">(资产负债!P17-资产负债!P13)/资产负债!P54</f>
        <v>1.0719352468463148</v>
      </c>
      <c r="K57" s="672">
        <f ca="1">(资产负债!Q17-资产负债!Q13)/资产负债!Q54</f>
        <v>0.86281765841072533</v>
      </c>
      <c r="L57" s="2335">
        <f ca="1">(资产负债!R17-资产负债!R13)/资产负债!R54</f>
        <v>0.73986509035301018</v>
      </c>
      <c r="M57" s="2349"/>
      <c r="N57" s="673"/>
      <c r="O57" s="673"/>
      <c r="P57" s="673"/>
      <c r="Q57" s="673"/>
      <c r="R57" s="673"/>
      <c r="S57" s="673"/>
      <c r="T57" s="673"/>
      <c r="U57" s="673"/>
      <c r="V57" s="673"/>
      <c r="W57" s="673"/>
      <c r="X57" s="673"/>
      <c r="Y57" s="673"/>
      <c r="Z57" s="673"/>
      <c r="AA57" s="673"/>
      <c r="AB57" s="673"/>
      <c r="AC57" s="673"/>
      <c r="AD57" s="673"/>
      <c r="AE57" s="673"/>
      <c r="AF57" s="673"/>
      <c r="AG57" s="673"/>
      <c r="AH57" s="673"/>
      <c r="AI57" s="673"/>
      <c r="AJ57" s="673"/>
      <c r="AK57" s="673"/>
      <c r="AL57" s="673"/>
      <c r="AM57" s="673"/>
      <c r="AN57" s="673"/>
      <c r="AO57" s="673"/>
      <c r="AP57" s="673"/>
      <c r="AQ57" s="673"/>
      <c r="AR57" s="673"/>
      <c r="AS57" s="673"/>
      <c r="AT57" s="673"/>
      <c r="AU57" s="673"/>
      <c r="AV57" s="673"/>
      <c r="AW57" s="673"/>
      <c r="AX57" s="673"/>
      <c r="AY57" s="673"/>
      <c r="AZ57" s="673"/>
    </row>
    <row r="58" spans="1:52" s="676" customFormat="1" ht="18" customHeight="1">
      <c r="A58" s="698"/>
      <c r="B58" s="650" t="s">
        <v>858</v>
      </c>
      <c r="C58" s="686">
        <f>资产负债!I65/资产负债!I39</f>
        <v>0.11715584841784456</v>
      </c>
      <c r="D58" s="687">
        <f>资产负债!J65/资产负债!J39</f>
        <v>0.1191783245315494</v>
      </c>
      <c r="E58" s="687">
        <f>资产负债!K65/资产负债!K39</f>
        <v>0.11826779685764155</v>
      </c>
      <c r="F58" s="687">
        <f>资产负债!L65/资产负债!L39</f>
        <v>0.13943688879460628</v>
      </c>
      <c r="G58" s="687">
        <f>资产负债!M65/资产负债!M39</f>
        <v>0.21382788296565858</v>
      </c>
      <c r="H58" s="688">
        <f ca="1">资产负债!N65/资产负债!N39</f>
        <v>0.30444336832627567</v>
      </c>
      <c r="I58" s="688">
        <f ca="1">资产负债!O65/资产负债!O39</f>
        <v>0.57970296979575875</v>
      </c>
      <c r="J58" s="688">
        <f ca="1">资产负债!P65/资产负债!P39</f>
        <v>0.80334377612644048</v>
      </c>
      <c r="K58" s="688">
        <f ca="1">资产负债!Q65/资产负债!Q39</f>
        <v>0.99663874357029603</v>
      </c>
      <c r="L58" s="2339">
        <f ca="1">资产负债!R65/资产负债!R39</f>
        <v>1.1664773498304022</v>
      </c>
      <c r="M58" s="2349"/>
      <c r="N58" s="673"/>
      <c r="O58" s="673"/>
      <c r="P58" s="673"/>
      <c r="Q58" s="673"/>
      <c r="R58" s="673"/>
      <c r="S58" s="673"/>
      <c r="T58" s="673"/>
      <c r="U58" s="673"/>
      <c r="V58" s="673"/>
      <c r="W58" s="673"/>
      <c r="X58" s="673"/>
      <c r="Y58" s="673"/>
      <c r="Z58" s="673"/>
      <c r="AA58" s="673"/>
      <c r="AB58" s="673"/>
      <c r="AC58" s="673"/>
      <c r="AD58" s="673"/>
      <c r="AE58" s="673"/>
      <c r="AF58" s="673"/>
      <c r="AG58" s="673"/>
      <c r="AH58" s="673"/>
      <c r="AI58" s="673"/>
      <c r="AJ58" s="673"/>
      <c r="AK58" s="673"/>
      <c r="AL58" s="673"/>
      <c r="AM58" s="673"/>
      <c r="AN58" s="673"/>
      <c r="AO58" s="673"/>
      <c r="AP58" s="673"/>
      <c r="AQ58" s="673"/>
      <c r="AR58" s="673"/>
      <c r="AS58" s="673"/>
      <c r="AT58" s="673"/>
      <c r="AU58" s="673"/>
      <c r="AV58" s="673"/>
      <c r="AW58" s="673"/>
      <c r="AX58" s="673"/>
      <c r="AY58" s="673"/>
      <c r="AZ58" s="673"/>
    </row>
    <row r="59" spans="1:52" s="676" customFormat="1" ht="18" customHeight="1">
      <c r="A59" s="698"/>
      <c r="B59" s="650" t="s">
        <v>859</v>
      </c>
      <c r="C59" s="670">
        <f>IF(利润表!I68&gt;0,C214/利润表!I68,"-")</f>
        <v>26.049439324165203</v>
      </c>
      <c r="D59" s="670">
        <f>IF(利润表!J68&gt;0,D214/利润表!J68,"-")</f>
        <v>93.623788642299687</v>
      </c>
      <c r="E59" s="670">
        <f>IF(利润表!K68&gt;0,E214/利润表!K68,"-")</f>
        <v>48.479169606705767</v>
      </c>
      <c r="F59" s="670" t="str">
        <f>IF(利润表!L68&gt;0,F214/利润表!L68,"-")</f>
        <v>-</v>
      </c>
      <c r="G59" s="670" t="str">
        <f>IF(利润表!M68&gt;0,G214/利润表!M68,"-")</f>
        <v>-</v>
      </c>
      <c r="H59" s="675">
        <f ca="1">IF(利润表!N68&gt;0,H214/利润表!N68,"-")</f>
        <v>0.41596314584266403</v>
      </c>
      <c r="I59" s="675">
        <f ca="1">IF(利润表!O68&gt;0,I214/利润表!O68,"-")</f>
        <v>0.37175948350960303</v>
      </c>
      <c r="J59" s="675">
        <f ca="1">IF(利润表!P68&gt;0,J214/利润表!P68,"-")</f>
        <v>0.37540884534325464</v>
      </c>
      <c r="K59" s="675">
        <f ca="1">IF(利润表!Q68&gt;0,K214/利润表!Q68,"-")</f>
        <v>0.37460395734761315</v>
      </c>
      <c r="L59" s="2343">
        <f ca="1">IF(利润表!R68&gt;0,L214/利润表!R68,"-")</f>
        <v>0.37392409540015692</v>
      </c>
      <c r="M59" s="2349"/>
      <c r="N59" s="673"/>
      <c r="O59" s="673"/>
      <c r="P59" s="673"/>
      <c r="Q59" s="673"/>
      <c r="R59" s="673"/>
      <c r="S59" s="673"/>
      <c r="T59" s="673"/>
      <c r="U59" s="673"/>
      <c r="V59" s="673"/>
      <c r="W59" s="673"/>
      <c r="X59" s="673"/>
      <c r="Y59" s="673"/>
      <c r="Z59" s="673"/>
      <c r="AA59" s="673"/>
      <c r="AB59" s="673"/>
      <c r="AC59" s="673"/>
      <c r="AD59" s="673"/>
      <c r="AE59" s="673"/>
      <c r="AF59" s="673"/>
      <c r="AG59" s="673"/>
      <c r="AH59" s="673"/>
      <c r="AI59" s="673"/>
      <c r="AJ59" s="673"/>
      <c r="AK59" s="673"/>
      <c r="AL59" s="673"/>
      <c r="AM59" s="673"/>
      <c r="AN59" s="673"/>
      <c r="AO59" s="673"/>
      <c r="AP59" s="673"/>
      <c r="AQ59" s="673"/>
      <c r="AR59" s="673"/>
      <c r="AS59" s="673"/>
      <c r="AT59" s="673"/>
      <c r="AU59" s="673"/>
      <c r="AV59" s="673"/>
      <c r="AW59" s="673"/>
      <c r="AX59" s="673"/>
      <c r="AY59" s="673"/>
      <c r="AZ59" s="673"/>
    </row>
    <row r="60" spans="1:52" s="639" customFormat="1" ht="18" customHeight="1">
      <c r="A60" s="106"/>
      <c r="B60" s="682" t="s">
        <v>860</v>
      </c>
      <c r="C60" s="674"/>
      <c r="D60" s="675"/>
      <c r="E60" s="675"/>
      <c r="F60" s="675"/>
      <c r="G60" s="675"/>
      <c r="H60" s="672"/>
      <c r="I60" s="672"/>
      <c r="J60" s="672"/>
      <c r="K60" s="672"/>
      <c r="L60" s="2335"/>
      <c r="M60" s="2346"/>
      <c r="N60" s="638"/>
      <c r="O60" s="638"/>
      <c r="P60" s="638"/>
      <c r="Q60" s="638"/>
      <c r="R60" s="638"/>
      <c r="S60" s="638"/>
      <c r="T60" s="638"/>
      <c r="U60" s="638"/>
      <c r="V60" s="638"/>
      <c r="W60" s="638"/>
      <c r="X60" s="638"/>
      <c r="Y60" s="638"/>
      <c r="Z60" s="638"/>
      <c r="AA60" s="638"/>
      <c r="AB60" s="638"/>
      <c r="AC60" s="638"/>
      <c r="AD60" s="638"/>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row>
    <row r="61" spans="1:52" s="676" customFormat="1" ht="18" customHeight="1">
      <c r="A61" s="698"/>
      <c r="B61" s="650" t="s">
        <v>861</v>
      </c>
      <c r="C61" s="670">
        <f>资产负债!I115</f>
        <v>4.0628680503383405</v>
      </c>
      <c r="D61" s="670">
        <f>资产负债!J115</f>
        <v>4.1709741862435505</v>
      </c>
      <c r="E61" s="670">
        <f>资产负债!K115</f>
        <v>4.8125764935486144</v>
      </c>
      <c r="F61" s="670">
        <f>资产负债!L115</f>
        <v>4.2216078888307091</v>
      </c>
      <c r="G61" s="670">
        <f>资产负债!M115</f>
        <v>3.9078038739323628</v>
      </c>
      <c r="H61" s="674">
        <f>资产负债!N115</f>
        <v>4.3139960854372283</v>
      </c>
      <c r="I61" s="674">
        <f>资产负债!O115</f>
        <v>4.1478026160667669</v>
      </c>
      <c r="J61" s="674">
        <f>资产负债!P115</f>
        <v>4.1232008584787856</v>
      </c>
      <c r="K61" s="674">
        <f>资产负债!Q115</f>
        <v>4.1949998533275936</v>
      </c>
      <c r="L61" s="2344">
        <f>资产负债!R115</f>
        <v>4.1553344426243823</v>
      </c>
      <c r="M61" s="2349"/>
      <c r="N61" s="673"/>
      <c r="O61" s="673"/>
      <c r="P61" s="673"/>
      <c r="Q61" s="673"/>
      <c r="R61" s="673"/>
      <c r="S61" s="673"/>
      <c r="T61" s="673"/>
      <c r="U61" s="673"/>
      <c r="V61" s="673"/>
      <c r="W61" s="673"/>
      <c r="X61" s="673"/>
      <c r="Y61" s="673"/>
      <c r="Z61" s="673"/>
      <c r="AA61" s="673"/>
      <c r="AB61" s="673"/>
      <c r="AC61" s="673"/>
      <c r="AD61" s="673"/>
      <c r="AE61" s="673"/>
      <c r="AF61" s="673"/>
      <c r="AG61" s="673"/>
      <c r="AH61" s="673"/>
      <c r="AI61" s="673"/>
      <c r="AJ61" s="673"/>
      <c r="AK61" s="673"/>
      <c r="AL61" s="673"/>
      <c r="AM61" s="673"/>
      <c r="AN61" s="673"/>
      <c r="AO61" s="673"/>
      <c r="AP61" s="673"/>
      <c r="AQ61" s="673"/>
      <c r="AR61" s="673"/>
      <c r="AS61" s="673"/>
      <c r="AT61" s="673"/>
      <c r="AU61" s="673"/>
      <c r="AV61" s="673"/>
      <c r="AW61" s="673"/>
      <c r="AX61" s="673"/>
      <c r="AY61" s="673"/>
      <c r="AZ61" s="673"/>
    </row>
    <row r="62" spans="1:52" s="676" customFormat="1" ht="18" customHeight="1">
      <c r="A62" s="698"/>
      <c r="B62" s="650" t="s">
        <v>862</v>
      </c>
      <c r="C62" s="670">
        <f>资产负债!I128</f>
        <v>5.0798799827409633</v>
      </c>
      <c r="D62" s="670">
        <f>资产负债!J128</f>
        <v>5.7652621937933901</v>
      </c>
      <c r="E62" s="670">
        <f>资产负债!K128</f>
        <v>7.5708454932637537</v>
      </c>
      <c r="F62" s="670">
        <f>资产负债!L128</f>
        <v>4.9528917075527223</v>
      </c>
      <c r="G62" s="670">
        <f>资产负债!M128</f>
        <v>5.5866595067141498</v>
      </c>
      <c r="H62" s="674">
        <f>资产负债!N128</f>
        <v>7.0320768391818422</v>
      </c>
      <c r="I62" s="674">
        <f>资产负债!O128</f>
        <v>6.3371499389825443</v>
      </c>
      <c r="J62" s="674">
        <f>资产负债!P128</f>
        <v>6.2632235737662576</v>
      </c>
      <c r="K62" s="674">
        <f>资产负债!Q128</f>
        <v>6.5262379225108242</v>
      </c>
      <c r="L62" s="2344">
        <f>资产负债!R128</f>
        <v>6.373626507201112</v>
      </c>
      <c r="M62" s="2349"/>
      <c r="N62" s="673"/>
      <c r="O62" s="673"/>
      <c r="P62" s="673"/>
      <c r="Q62" s="673"/>
      <c r="R62" s="673"/>
      <c r="S62" s="673"/>
      <c r="T62" s="673"/>
      <c r="U62" s="673"/>
      <c r="V62" s="673"/>
      <c r="W62" s="673"/>
      <c r="X62" s="673"/>
      <c r="Y62" s="673"/>
      <c r="Z62" s="673"/>
      <c r="AA62" s="673"/>
      <c r="AB62" s="673"/>
      <c r="AC62" s="673"/>
      <c r="AD62" s="673"/>
      <c r="AE62" s="673"/>
      <c r="AF62" s="673"/>
      <c r="AG62" s="673"/>
      <c r="AH62" s="673"/>
      <c r="AI62" s="673"/>
      <c r="AJ62" s="673"/>
      <c r="AK62" s="673"/>
      <c r="AL62" s="673"/>
      <c r="AM62" s="673"/>
      <c r="AN62" s="673"/>
      <c r="AO62" s="673"/>
      <c r="AP62" s="673"/>
      <c r="AQ62" s="673"/>
      <c r="AR62" s="673"/>
      <c r="AS62" s="673"/>
      <c r="AT62" s="673"/>
      <c r="AU62" s="673"/>
      <c r="AV62" s="673"/>
      <c r="AW62" s="673"/>
      <c r="AX62" s="673"/>
      <c r="AY62" s="673"/>
      <c r="AZ62" s="673"/>
    </row>
    <row r="63" spans="1:52" s="676" customFormat="1" ht="18" customHeight="1">
      <c r="A63" s="698"/>
      <c r="B63" s="99" t="s">
        <v>1449</v>
      </c>
      <c r="C63" s="670" t="e">
        <f>资产负债!I133</f>
        <v>#DIV/0!</v>
      </c>
      <c r="D63" s="670" t="e">
        <f>资产负债!J133</f>
        <v>#DIV/0!</v>
      </c>
      <c r="E63" s="670" t="e">
        <f>资产负债!K133</f>
        <v>#DIV/0!</v>
      </c>
      <c r="F63" s="670" t="e">
        <f>资产负债!L133</f>
        <v>#DIV/0!</v>
      </c>
      <c r="G63" s="670" t="e">
        <f>资产负债!M133</f>
        <v>#DIV/0!</v>
      </c>
      <c r="H63" s="674" t="e">
        <f>资产负债!N133</f>
        <v>#DIV/0!</v>
      </c>
      <c r="I63" s="674" t="e">
        <f>资产负债!O133</f>
        <v>#DIV/0!</v>
      </c>
      <c r="J63" s="674" t="e">
        <f>资产负债!P133</f>
        <v>#DIV/0!</v>
      </c>
      <c r="K63" s="674" t="e">
        <f>资产负债!Q133</f>
        <v>#DIV/0!</v>
      </c>
      <c r="L63" s="2344" t="e">
        <f>资产负债!R133</f>
        <v>#DIV/0!</v>
      </c>
      <c r="M63" s="2349"/>
      <c r="N63" s="673"/>
      <c r="O63" s="673"/>
      <c r="P63" s="673"/>
      <c r="Q63" s="673"/>
      <c r="R63" s="673"/>
      <c r="S63" s="673"/>
      <c r="T63" s="673"/>
      <c r="U63" s="673"/>
      <c r="V63" s="673"/>
      <c r="W63" s="673"/>
      <c r="X63" s="673"/>
      <c r="Y63" s="673"/>
      <c r="Z63" s="673"/>
      <c r="AA63" s="673"/>
      <c r="AB63" s="673"/>
      <c r="AC63" s="673"/>
      <c r="AD63" s="673"/>
      <c r="AE63" s="673"/>
      <c r="AF63" s="673"/>
      <c r="AG63" s="673"/>
      <c r="AH63" s="673"/>
      <c r="AI63" s="673"/>
      <c r="AJ63" s="673"/>
      <c r="AK63" s="673"/>
      <c r="AL63" s="673"/>
      <c r="AM63" s="673"/>
      <c r="AN63" s="673"/>
      <c r="AO63" s="673"/>
      <c r="AP63" s="673"/>
      <c r="AQ63" s="673"/>
      <c r="AR63" s="673"/>
      <c r="AS63" s="673"/>
      <c r="AT63" s="673"/>
      <c r="AU63" s="673"/>
      <c r="AV63" s="673"/>
      <c r="AW63" s="673"/>
      <c r="AX63" s="673"/>
      <c r="AY63" s="673"/>
      <c r="AZ63" s="673"/>
    </row>
    <row r="64" spans="1:52" s="676" customFormat="1" ht="18" customHeight="1">
      <c r="A64" s="698"/>
      <c r="B64" s="650" t="s">
        <v>863</v>
      </c>
      <c r="C64" s="670">
        <f>资产负债!I227</f>
        <v>4.3054059106573366</v>
      </c>
      <c r="D64" s="670">
        <f>资产负债!J227</f>
        <v>4.8371270939592783</v>
      </c>
      <c r="E64" s="670">
        <f>资产负债!K227</f>
        <v>5.6739816390323128</v>
      </c>
      <c r="F64" s="670">
        <f>资产负债!L227</f>
        <v>4.8586503024103171</v>
      </c>
      <c r="G64" s="670">
        <f>资产负债!M227</f>
        <v>6.3531786297638764</v>
      </c>
      <c r="H64" s="674">
        <f>资产负债!N227</f>
        <v>6.3570363222259054</v>
      </c>
      <c r="I64" s="674">
        <f>资产负债!O227</f>
        <v>6.3730038992361573</v>
      </c>
      <c r="J64" s="674">
        <f>资产负债!P227</f>
        <v>6.3610729504086461</v>
      </c>
      <c r="K64" s="674">
        <f>资产负债!Q227</f>
        <v>6.3637043906235693</v>
      </c>
      <c r="L64" s="2344">
        <f>资产负债!R227</f>
        <v>6.3659270800894578</v>
      </c>
      <c r="M64" s="2349"/>
      <c r="N64" s="673"/>
      <c r="O64" s="673"/>
      <c r="P64" s="673"/>
      <c r="Q64" s="673"/>
      <c r="R64" s="673"/>
      <c r="S64" s="673"/>
      <c r="T64" s="673"/>
      <c r="U64" s="673"/>
      <c r="V64" s="673"/>
      <c r="W64" s="673"/>
      <c r="X64" s="673"/>
      <c r="Y64" s="673"/>
      <c r="Z64" s="673"/>
      <c r="AA64" s="673"/>
      <c r="AB64" s="673"/>
      <c r="AC64" s="673"/>
      <c r="AD64" s="673"/>
      <c r="AE64" s="673"/>
      <c r="AF64" s="673"/>
      <c r="AG64" s="673"/>
      <c r="AH64" s="673"/>
      <c r="AI64" s="673"/>
      <c r="AJ64" s="673"/>
      <c r="AK64" s="673"/>
      <c r="AL64" s="673"/>
      <c r="AM64" s="673"/>
      <c r="AN64" s="673"/>
      <c r="AO64" s="673"/>
      <c r="AP64" s="673"/>
      <c r="AQ64" s="673"/>
      <c r="AR64" s="673"/>
      <c r="AS64" s="673"/>
      <c r="AT64" s="673"/>
      <c r="AU64" s="673"/>
      <c r="AV64" s="673"/>
      <c r="AW64" s="673"/>
      <c r="AX64" s="673"/>
      <c r="AY64" s="673"/>
      <c r="AZ64" s="673"/>
    </row>
    <row r="65" spans="1:52" s="676" customFormat="1" ht="18" customHeight="1">
      <c r="A65" s="698"/>
      <c r="B65" s="650" t="s">
        <v>864</v>
      </c>
      <c r="C65" s="670">
        <f>资产负债!I175</f>
        <v>8.3709736575452158</v>
      </c>
      <c r="D65" s="670">
        <f>资产负债!J175</f>
        <v>5.685508653201504</v>
      </c>
      <c r="E65" s="670">
        <f>资产负债!K175</f>
        <v>5.6759649886292394</v>
      </c>
      <c r="F65" s="670">
        <f>资产负债!L175</f>
        <v>4.3351695512669988</v>
      </c>
      <c r="G65" s="670">
        <f>资产负债!M175</f>
        <v>5.8873215696938939</v>
      </c>
      <c r="H65" s="674">
        <f>资产负债!N175</f>
        <v>5.8873215696938939</v>
      </c>
      <c r="I65" s="674">
        <f>资产负债!O175</f>
        <v>5.8873215696938939</v>
      </c>
      <c r="J65" s="674">
        <f>资产负债!P175</f>
        <v>5.8873215696938939</v>
      </c>
      <c r="K65" s="674">
        <f>资产负债!Q175</f>
        <v>5.8873215696938939</v>
      </c>
      <c r="L65" s="2344">
        <f>资产负债!R175</f>
        <v>5.8873215696938939</v>
      </c>
      <c r="M65" s="2349"/>
      <c r="N65" s="673"/>
      <c r="O65" s="673"/>
      <c r="P65" s="673"/>
      <c r="Q65" s="673"/>
      <c r="R65" s="673"/>
      <c r="S65" s="673"/>
      <c r="T65" s="673"/>
      <c r="U65" s="673"/>
      <c r="V65" s="673"/>
      <c r="W65" s="673"/>
      <c r="X65" s="673"/>
      <c r="Y65" s="673"/>
      <c r="Z65" s="673"/>
      <c r="AA65" s="673"/>
      <c r="AB65" s="673"/>
      <c r="AC65" s="673"/>
      <c r="AD65" s="673"/>
      <c r="AE65" s="673"/>
      <c r="AF65" s="673"/>
      <c r="AG65" s="673"/>
      <c r="AH65" s="673"/>
      <c r="AI65" s="673"/>
      <c r="AJ65" s="673"/>
      <c r="AK65" s="673"/>
      <c r="AL65" s="673"/>
      <c r="AM65" s="673"/>
      <c r="AN65" s="673"/>
      <c r="AO65" s="673"/>
      <c r="AP65" s="673"/>
      <c r="AQ65" s="673"/>
      <c r="AR65" s="673"/>
      <c r="AS65" s="673"/>
      <c r="AT65" s="673"/>
      <c r="AU65" s="673"/>
      <c r="AV65" s="673"/>
      <c r="AW65" s="673"/>
      <c r="AX65" s="673"/>
      <c r="AY65" s="673"/>
      <c r="AZ65" s="673"/>
    </row>
    <row r="66" spans="1:52" s="676" customFormat="1" ht="18" customHeight="1">
      <c r="A66" s="698"/>
      <c r="B66" s="650" t="s">
        <v>865</v>
      </c>
      <c r="C66" s="670">
        <f>利润表!I5/资产负债!I75</f>
        <v>0.78078295440220646</v>
      </c>
      <c r="D66" s="670">
        <f>利润表!J5/资产负债!J75</f>
        <v>0.81644642914973231</v>
      </c>
      <c r="E66" s="670">
        <f>利润表!K5/资产负债!K75</f>
        <v>0.9120787535508964</v>
      </c>
      <c r="F66" s="670">
        <f>利润表!L5/资产负债!L75</f>
        <v>0.86601230152487807</v>
      </c>
      <c r="G66" s="670">
        <f>利润表!M5/资产负债!M75</f>
        <v>0.97749675682551584</v>
      </c>
      <c r="H66" s="674">
        <f ca="1">利润表!N5/资产负债!N75</f>
        <v>1.2931232988439201</v>
      </c>
      <c r="I66" s="674">
        <f ca="1">利润表!O5/资产负债!O75</f>
        <v>1.9405374739045751</v>
      </c>
      <c r="J66" s="674">
        <f ca="1">利润表!P5/资产负债!P75</f>
        <v>3.8636961678574768</v>
      </c>
      <c r="K66" s="674">
        <f ca="1">利润表!Q5/资产负债!Q75</f>
        <v>503.18175746592931</v>
      </c>
      <c r="L66" s="2344">
        <f ca="1">利润表!R5/资产负债!R75</f>
        <v>-3.9196623485638473</v>
      </c>
      <c r="M66" s="2349"/>
      <c r="N66" s="673"/>
      <c r="O66" s="673"/>
      <c r="P66" s="673"/>
      <c r="Q66" s="673"/>
      <c r="R66" s="673"/>
      <c r="S66" s="673"/>
      <c r="T66" s="673"/>
      <c r="U66" s="673"/>
      <c r="V66" s="673"/>
      <c r="W66" s="673"/>
      <c r="X66" s="673"/>
      <c r="Y66" s="673"/>
      <c r="Z66" s="673"/>
      <c r="AA66" s="673"/>
      <c r="AB66" s="673"/>
      <c r="AC66" s="673"/>
      <c r="AD66" s="673"/>
      <c r="AE66" s="673"/>
      <c r="AF66" s="673"/>
      <c r="AG66" s="673"/>
      <c r="AH66" s="673"/>
      <c r="AI66" s="673"/>
      <c r="AJ66" s="673"/>
      <c r="AK66" s="673"/>
      <c r="AL66" s="673"/>
      <c r="AM66" s="673"/>
      <c r="AN66" s="673"/>
      <c r="AO66" s="673"/>
      <c r="AP66" s="673"/>
      <c r="AQ66" s="673"/>
      <c r="AR66" s="673"/>
      <c r="AS66" s="673"/>
      <c r="AT66" s="673"/>
      <c r="AU66" s="673"/>
      <c r="AV66" s="673"/>
      <c r="AW66" s="673"/>
      <c r="AX66" s="673"/>
      <c r="AY66" s="673"/>
      <c r="AZ66" s="673"/>
    </row>
    <row r="67" spans="1:52" s="676" customFormat="1" ht="18" customHeight="1">
      <c r="A67" s="698"/>
      <c r="B67" s="650" t="s">
        <v>866</v>
      </c>
      <c r="C67" s="670">
        <f>利润表!I5/资产负债!I39</f>
        <v>0.68930997308863085</v>
      </c>
      <c r="D67" s="670">
        <f>利润表!J5/资产负债!J39</f>
        <v>0.71892937839263005</v>
      </c>
      <c r="E67" s="670">
        <f>利润表!K5/资产负债!K39</f>
        <v>0.80389731766567252</v>
      </c>
      <c r="F67" s="670">
        <f>利润表!L5/资产负债!L39</f>
        <v>0.74501197960549315</v>
      </c>
      <c r="G67" s="670">
        <f>利润表!M5/资产负债!M39</f>
        <v>0.76797943732147456</v>
      </c>
      <c r="H67" s="674">
        <f ca="1">利润表!N5/资产负债!N39</f>
        <v>0.8981308028741648</v>
      </c>
      <c r="I67" s="674">
        <f ca="1">利润表!O5/资产负债!O39</f>
        <v>0.81296109782629433</v>
      </c>
      <c r="J67" s="674">
        <f ca="1">利润表!P5/资产负债!P39</f>
        <v>0.75336566964143181</v>
      </c>
      <c r="K67" s="674">
        <f ca="1">利润表!Q5/资产负债!Q39</f>
        <v>0.70783254440812615</v>
      </c>
      <c r="L67" s="2344">
        <f ca="1">利润表!R5/资产负债!R39</f>
        <v>0.66110142699056873</v>
      </c>
      <c r="M67" s="2349"/>
      <c r="N67" s="673"/>
      <c r="O67" s="673"/>
      <c r="P67" s="673"/>
      <c r="Q67" s="673"/>
      <c r="R67" s="673"/>
      <c r="S67" s="673"/>
      <c r="T67" s="673"/>
      <c r="U67" s="673"/>
      <c r="V67" s="673"/>
      <c r="W67" s="673"/>
      <c r="X67" s="673"/>
      <c r="Y67" s="673"/>
      <c r="Z67" s="673"/>
      <c r="AA67" s="673"/>
      <c r="AB67" s="673"/>
      <c r="AC67" s="673"/>
      <c r="AD67" s="673"/>
      <c r="AE67" s="673"/>
      <c r="AF67" s="673"/>
      <c r="AG67" s="673"/>
      <c r="AH67" s="673"/>
      <c r="AI67" s="673"/>
      <c r="AJ67" s="673"/>
      <c r="AK67" s="673"/>
      <c r="AL67" s="673"/>
      <c r="AM67" s="673"/>
      <c r="AN67" s="673"/>
      <c r="AO67" s="673"/>
      <c r="AP67" s="673"/>
      <c r="AQ67" s="673"/>
      <c r="AR67" s="673"/>
      <c r="AS67" s="673"/>
      <c r="AT67" s="673"/>
      <c r="AU67" s="673"/>
      <c r="AV67" s="673"/>
      <c r="AW67" s="673"/>
      <c r="AX67" s="673"/>
      <c r="AY67" s="673"/>
      <c r="AZ67" s="673"/>
    </row>
    <row r="68" spans="1:52" ht="18" customHeight="1" thickBot="1">
      <c r="A68" s="662"/>
      <c r="B68" s="699"/>
      <c r="C68" s="700"/>
      <c r="D68" s="701"/>
      <c r="E68" s="701"/>
      <c r="F68" s="701"/>
      <c r="G68" s="701"/>
      <c r="H68" s="701"/>
      <c r="I68" s="701"/>
      <c r="J68" s="701"/>
      <c r="K68" s="701"/>
      <c r="L68" s="2345"/>
      <c r="M68" s="888"/>
      <c r="N68" s="662"/>
      <c r="O68" s="662"/>
      <c r="P68" s="662"/>
      <c r="Q68" s="662"/>
      <c r="R68" s="662"/>
      <c r="S68" s="662"/>
      <c r="T68" s="662"/>
      <c r="U68" s="662"/>
      <c r="V68" s="662"/>
      <c r="W68" s="662"/>
      <c r="X68" s="662"/>
      <c r="Y68" s="662"/>
      <c r="Z68" s="662"/>
      <c r="AA68" s="662"/>
      <c r="AB68" s="662"/>
      <c r="AC68" s="662"/>
      <c r="AD68" s="662"/>
      <c r="AE68" s="662"/>
      <c r="AF68" s="662"/>
      <c r="AG68" s="662"/>
      <c r="AH68" s="662"/>
      <c r="AI68" s="662"/>
      <c r="AJ68" s="662"/>
      <c r="AK68" s="662"/>
      <c r="AL68" s="662"/>
      <c r="AM68" s="662"/>
      <c r="AN68" s="662"/>
      <c r="AO68" s="662"/>
      <c r="AP68" s="662"/>
      <c r="AQ68" s="662"/>
      <c r="AR68" s="662"/>
      <c r="AS68" s="662"/>
      <c r="AT68" s="662"/>
      <c r="AU68" s="662"/>
      <c r="AV68" s="662"/>
      <c r="AW68" s="662"/>
      <c r="AX68" s="662"/>
      <c r="AY68" s="662"/>
      <c r="AZ68" s="662"/>
    </row>
    <row r="69" spans="1:52" s="704" customFormat="1" ht="18" customHeight="1" thickBot="1">
      <c r="A69" s="106"/>
      <c r="B69" s="702"/>
      <c r="C69" s="703"/>
      <c r="D69" s="703"/>
      <c r="E69" s="703"/>
      <c r="F69" s="703"/>
      <c r="G69" s="703"/>
      <c r="H69" s="703"/>
      <c r="I69" s="703"/>
      <c r="J69" s="703"/>
      <c r="K69" s="703"/>
      <c r="L69" s="2327"/>
      <c r="M69" s="106"/>
      <c r="N69" s="106"/>
      <c r="O69" s="106"/>
      <c r="P69" s="106"/>
      <c r="Q69" s="106"/>
      <c r="R69" s="106"/>
      <c r="S69" s="106"/>
      <c r="T69" s="106"/>
      <c r="U69" s="106"/>
      <c r="V69" s="106"/>
      <c r="W69" s="106"/>
      <c r="X69" s="106"/>
      <c r="Y69" s="106"/>
      <c r="Z69" s="106"/>
      <c r="AA69" s="106"/>
      <c r="AB69" s="106"/>
      <c r="AC69" s="106"/>
      <c r="AD69" s="106"/>
      <c r="AE69" s="106"/>
      <c r="AF69" s="106"/>
      <c r="AG69" s="106"/>
      <c r="AH69" s="106"/>
      <c r="AI69" s="106"/>
      <c r="AJ69" s="106"/>
      <c r="AK69" s="106"/>
      <c r="AL69" s="106"/>
      <c r="AM69" s="106"/>
      <c r="AN69" s="106"/>
      <c r="AO69" s="106"/>
      <c r="AP69" s="106"/>
      <c r="AQ69" s="106"/>
      <c r="AR69" s="106"/>
      <c r="AS69" s="106"/>
      <c r="AT69" s="106"/>
      <c r="AU69" s="106"/>
      <c r="AV69" s="106"/>
      <c r="AW69" s="106"/>
      <c r="AX69" s="106"/>
      <c r="AY69" s="106"/>
      <c r="AZ69" s="106"/>
    </row>
    <row r="70" spans="1:52" ht="18" customHeight="1">
      <c r="A70" s="106"/>
      <c r="B70" s="705" t="s">
        <v>867</v>
      </c>
      <c r="C70" s="706"/>
      <c r="D70" s="707"/>
      <c r="E70" s="707"/>
      <c r="F70" s="707"/>
      <c r="G70" s="707"/>
      <c r="H70" s="707"/>
      <c r="I70" s="708"/>
      <c r="J70" s="708"/>
      <c r="K70" s="708"/>
      <c r="L70" s="709"/>
      <c r="M70" s="662"/>
      <c r="N70" s="662"/>
      <c r="O70" s="662"/>
      <c r="P70" s="662"/>
      <c r="Q70" s="662"/>
      <c r="R70" s="662"/>
      <c r="S70" s="662"/>
      <c r="T70" s="662"/>
      <c r="U70" s="662"/>
      <c r="V70" s="662"/>
      <c r="W70" s="662"/>
      <c r="X70" s="662"/>
      <c r="Y70" s="662"/>
      <c r="Z70" s="662"/>
      <c r="AA70" s="662"/>
      <c r="AB70" s="662"/>
      <c r="AC70" s="662"/>
      <c r="AD70" s="662"/>
      <c r="AE70" s="662"/>
      <c r="AF70" s="662"/>
      <c r="AG70" s="662"/>
      <c r="AH70" s="662"/>
      <c r="AI70" s="662"/>
      <c r="AJ70" s="662"/>
      <c r="AK70" s="662"/>
      <c r="AL70" s="662"/>
      <c r="AM70" s="662"/>
      <c r="AN70" s="662"/>
      <c r="AO70" s="662"/>
      <c r="AP70" s="662"/>
      <c r="AQ70" s="662"/>
      <c r="AR70" s="662"/>
      <c r="AS70" s="662"/>
      <c r="AT70" s="662"/>
      <c r="AU70" s="662"/>
      <c r="AV70" s="662"/>
      <c r="AW70" s="662"/>
      <c r="AX70" s="662"/>
      <c r="AY70" s="662"/>
      <c r="AZ70" s="662"/>
    </row>
    <row r="71" spans="1:52" s="639" customFormat="1" ht="18" customHeight="1">
      <c r="A71" s="106"/>
      <c r="B71" s="710" t="s">
        <v>868</v>
      </c>
      <c r="C71" s="711">
        <f>利润表!I3</f>
        <v>2015</v>
      </c>
      <c r="D71" s="712">
        <f>利润表!J3</f>
        <v>2016</v>
      </c>
      <c r="E71" s="712">
        <f>利润表!K3</f>
        <v>2017</v>
      </c>
      <c r="F71" s="712">
        <f>利润表!L3</f>
        <v>2018</v>
      </c>
      <c r="G71" s="712">
        <f>利润表!M3</f>
        <v>2019</v>
      </c>
      <c r="H71" s="712" t="str">
        <f>利润表!N3</f>
        <v>2020E</v>
      </c>
      <c r="I71" s="712" t="str">
        <f>利润表!O3</f>
        <v>2021E</v>
      </c>
      <c r="J71" s="712" t="str">
        <f>利润表!P3</f>
        <v>2022E</v>
      </c>
      <c r="K71" s="712" t="str">
        <f>利润表!Q3</f>
        <v>2023E</v>
      </c>
      <c r="L71" s="713" t="str">
        <f>利润表!R3</f>
        <v>2024E</v>
      </c>
      <c r="M71" s="638"/>
      <c r="N71" s="638"/>
      <c r="O71" s="638"/>
      <c r="P71" s="638"/>
      <c r="Q71" s="638"/>
      <c r="R71" s="638"/>
      <c r="S71" s="638"/>
      <c r="T71" s="638"/>
      <c r="U71" s="638"/>
      <c r="V71" s="638"/>
      <c r="W71" s="638"/>
      <c r="X71" s="638"/>
      <c r="Y71" s="638"/>
      <c r="Z71" s="638"/>
      <c r="AA71" s="638"/>
      <c r="AB71" s="63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row>
    <row r="72" spans="1:52" s="639" customFormat="1" ht="18" customHeight="1">
      <c r="A72" s="106"/>
      <c r="B72" s="710"/>
      <c r="C72" s="714"/>
      <c r="D72" s="715"/>
      <c r="E72" s="715"/>
      <c r="F72" s="715"/>
      <c r="G72" s="715"/>
      <c r="H72" s="715"/>
      <c r="I72" s="715"/>
      <c r="J72" s="715"/>
      <c r="K72" s="715"/>
      <c r="L72" s="716"/>
      <c r="M72" s="638"/>
      <c r="N72" s="638"/>
      <c r="O72" s="638"/>
      <c r="P72" s="638"/>
      <c r="Q72" s="638"/>
      <c r="R72" s="638"/>
      <c r="S72" s="638"/>
      <c r="T72" s="638"/>
      <c r="U72" s="638"/>
      <c r="V72" s="638"/>
      <c r="W72" s="638"/>
      <c r="X72" s="638"/>
      <c r="Y72" s="638"/>
      <c r="Z72" s="638"/>
      <c r="AA72" s="638"/>
      <c r="AB72" s="63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row>
    <row r="73" spans="1:52" s="639" customFormat="1" ht="18" customHeight="1">
      <c r="A73" s="106"/>
      <c r="B73" s="710" t="s">
        <v>712</v>
      </c>
      <c r="C73" s="717">
        <f t="shared" ref="C73:L73" si="18">C232</f>
        <v>660.75926933205483</v>
      </c>
      <c r="D73" s="718">
        <f t="shared" si="18"/>
        <v>849.87199262904505</v>
      </c>
      <c r="E73" s="718">
        <f t="shared" si="18"/>
        <v>590.52242024762029</v>
      </c>
      <c r="F73" s="718">
        <f t="shared" si="18"/>
        <v>737.08896833500944</v>
      </c>
      <c r="G73" s="718">
        <f t="shared" si="18"/>
        <v>951.32605318859544</v>
      </c>
      <c r="H73" s="719">
        <f t="shared" si="18"/>
        <v>857.62873659848663</v>
      </c>
      <c r="I73" s="719">
        <f t="shared" si="18"/>
        <v>846.50758502456449</v>
      </c>
      <c r="J73" s="719">
        <f t="shared" si="18"/>
        <v>854.81729226732659</v>
      </c>
      <c r="K73" s="719">
        <f t="shared" si="18"/>
        <v>852.98453796345916</v>
      </c>
      <c r="L73" s="720">
        <f t="shared" si="18"/>
        <v>851.4364717517833</v>
      </c>
      <c r="M73" s="638"/>
      <c r="N73" s="638"/>
      <c r="O73" s="638"/>
      <c r="P73" s="638"/>
      <c r="Q73" s="638"/>
      <c r="R73" s="638"/>
      <c r="S73" s="638"/>
      <c r="T73" s="638"/>
      <c r="U73" s="638"/>
      <c r="V73" s="638"/>
      <c r="W73" s="638"/>
      <c r="X73" s="638"/>
      <c r="Y73" s="638"/>
      <c r="Z73" s="638"/>
      <c r="AA73" s="638"/>
      <c r="AB73" s="63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row>
    <row r="74" spans="1:52" ht="18" customHeight="1">
      <c r="A74" s="106"/>
      <c r="B74" s="721" t="s">
        <v>869</v>
      </c>
      <c r="C74" s="722">
        <f t="shared" ref="C74:L74" si="19">C135</f>
        <v>3617.8950476</v>
      </c>
      <c r="D74" s="723">
        <f t="shared" si="19"/>
        <v>4533.9682271000001</v>
      </c>
      <c r="E74" s="723">
        <f t="shared" si="19"/>
        <v>4703.6121334299987</v>
      </c>
      <c r="F74" s="723">
        <f t="shared" si="19"/>
        <v>5096.1948826599992</v>
      </c>
      <c r="G74" s="723">
        <f t="shared" si="19"/>
        <v>4907.71435492</v>
      </c>
      <c r="H74" s="724">
        <f t="shared" ca="1" si="19"/>
        <v>4495.3711851129401</v>
      </c>
      <c r="I74" s="724">
        <f t="shared" ca="1" si="19"/>
        <v>4563.6553302361108</v>
      </c>
      <c r="J74" s="724">
        <f t="shared" ca="1" si="19"/>
        <v>4508.5726197072563</v>
      </c>
      <c r="K74" s="724">
        <f t="shared" ca="1" si="19"/>
        <v>4377.4711483874526</v>
      </c>
      <c r="L74" s="725">
        <f t="shared" ca="1" si="19"/>
        <v>4338.7049146036015</v>
      </c>
      <c r="M74" s="662"/>
      <c r="N74" s="662"/>
      <c r="O74" s="662"/>
      <c r="P74" s="662"/>
      <c r="Q74" s="662"/>
      <c r="R74" s="662"/>
      <c r="S74" s="662"/>
      <c r="T74" s="662"/>
      <c r="U74" s="662"/>
      <c r="V74" s="662"/>
      <c r="W74" s="662"/>
      <c r="X74" s="662"/>
      <c r="Y74" s="662"/>
      <c r="Z74" s="662"/>
      <c r="AA74" s="662"/>
      <c r="AB74" s="662"/>
      <c r="AC74" s="662"/>
      <c r="AD74" s="662"/>
      <c r="AE74" s="662"/>
      <c r="AF74" s="662"/>
      <c r="AG74" s="662"/>
      <c r="AH74" s="662"/>
      <c r="AI74" s="662"/>
      <c r="AJ74" s="662"/>
      <c r="AK74" s="662"/>
      <c r="AL74" s="662"/>
      <c r="AM74" s="662"/>
      <c r="AN74" s="662"/>
      <c r="AO74" s="662"/>
      <c r="AP74" s="662"/>
      <c r="AQ74" s="662"/>
      <c r="AR74" s="662"/>
      <c r="AS74" s="662"/>
      <c r="AT74" s="662"/>
      <c r="AU74" s="662"/>
      <c r="AV74" s="662"/>
      <c r="AW74" s="662"/>
      <c r="AX74" s="662"/>
      <c r="AY74" s="662"/>
      <c r="AZ74" s="662"/>
    </row>
    <row r="75" spans="1:52" s="639" customFormat="1" ht="19.5" customHeight="1">
      <c r="A75" s="106"/>
      <c r="B75" s="710" t="s">
        <v>870</v>
      </c>
      <c r="C75" s="1912"/>
      <c r="D75" s="1913">
        <f>(D74+C74)/2</f>
        <v>4075.9316373500001</v>
      </c>
      <c r="E75" s="1913">
        <f t="shared" ref="E75:L75" si="20">(E74+D74)/2</f>
        <v>4618.7901802649994</v>
      </c>
      <c r="F75" s="1913">
        <f t="shared" si="20"/>
        <v>4899.9035080449994</v>
      </c>
      <c r="G75" s="1913">
        <f t="shared" si="20"/>
        <v>5001.9546187899996</v>
      </c>
      <c r="H75" s="715">
        <f t="shared" ca="1" si="20"/>
        <v>4701.5427700164701</v>
      </c>
      <c r="I75" s="715">
        <f t="shared" ca="1" si="20"/>
        <v>4529.5132576745254</v>
      </c>
      <c r="J75" s="715">
        <f t="shared" ca="1" si="20"/>
        <v>4536.113974971684</v>
      </c>
      <c r="K75" s="715">
        <f t="shared" ca="1" si="20"/>
        <v>4443.0218840473544</v>
      </c>
      <c r="L75" s="716">
        <f t="shared" ca="1" si="20"/>
        <v>4358.0880314955266</v>
      </c>
      <c r="M75" s="638"/>
      <c r="N75" s="638"/>
      <c r="O75" s="638"/>
      <c r="P75" s="638"/>
      <c r="Q75" s="638"/>
      <c r="R75" s="638"/>
      <c r="S75" s="638"/>
      <c r="T75" s="638"/>
      <c r="U75" s="638"/>
      <c r="V75" s="638"/>
      <c r="W75" s="638"/>
      <c r="X75" s="638"/>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row>
    <row r="76" spans="1:52" s="668" customFormat="1" ht="18" customHeight="1">
      <c r="A76" s="698"/>
      <c r="B76" s="710" t="s">
        <v>157</v>
      </c>
      <c r="C76" s="726">
        <f>C73/C74</f>
        <v>0.18263638404059901</v>
      </c>
      <c r="D76" s="726">
        <f t="shared" ref="D76:L76" si="21">D73/D74</f>
        <v>0.1874455113181587</v>
      </c>
      <c r="E76" s="726">
        <f t="shared" si="21"/>
        <v>0.12554658069074154</v>
      </c>
      <c r="F76" s="726">
        <f t="shared" si="21"/>
        <v>0.14463516119506797</v>
      </c>
      <c r="G76" s="726">
        <f t="shared" si="21"/>
        <v>0.19384299582042461</v>
      </c>
      <c r="H76" s="727">
        <f t="shared" ca="1" si="21"/>
        <v>0.19078040528413892</v>
      </c>
      <c r="I76" s="727">
        <f t="shared" ca="1" si="21"/>
        <v>0.18548893896874735</v>
      </c>
      <c r="J76" s="727">
        <f t="shared" ca="1" si="21"/>
        <v>0.18959820865053079</v>
      </c>
      <c r="K76" s="727">
        <f t="shared" ca="1" si="21"/>
        <v>0.19485783207907073</v>
      </c>
      <c r="L76" s="728">
        <f t="shared" ca="1" si="21"/>
        <v>0.19624207880235003</v>
      </c>
      <c r="M76" s="667"/>
      <c r="N76" s="667"/>
      <c r="O76" s="667"/>
      <c r="P76" s="667"/>
      <c r="Q76" s="667"/>
      <c r="R76" s="667"/>
      <c r="S76" s="667"/>
      <c r="T76" s="667"/>
      <c r="U76" s="667"/>
      <c r="V76" s="667"/>
      <c r="W76" s="667"/>
      <c r="X76" s="667"/>
      <c r="Y76" s="667"/>
      <c r="Z76" s="667"/>
      <c r="AA76" s="667"/>
      <c r="AB76" s="667"/>
      <c r="AC76" s="667"/>
      <c r="AD76" s="667"/>
      <c r="AE76" s="667"/>
      <c r="AF76" s="667"/>
      <c r="AG76" s="667"/>
      <c r="AH76" s="667"/>
      <c r="AI76" s="667"/>
      <c r="AJ76" s="667"/>
      <c r="AK76" s="667"/>
      <c r="AL76" s="667"/>
      <c r="AM76" s="667"/>
      <c r="AN76" s="667"/>
      <c r="AO76" s="667"/>
      <c r="AP76" s="667"/>
      <c r="AQ76" s="667"/>
      <c r="AR76" s="667"/>
      <c r="AS76" s="667"/>
      <c r="AT76" s="667"/>
      <c r="AU76" s="667"/>
      <c r="AV76" s="667"/>
      <c r="AW76" s="667"/>
      <c r="AX76" s="667"/>
      <c r="AY76" s="667"/>
      <c r="AZ76" s="667"/>
    </row>
    <row r="77" spans="1:52" s="668" customFormat="1" ht="18" customHeight="1">
      <c r="A77" s="698"/>
      <c r="B77" s="710" t="s">
        <v>713</v>
      </c>
      <c r="C77" s="729">
        <f>资金成本!$C$16</f>
        <v>5.5622999999999999E-2</v>
      </c>
      <c r="D77" s="730">
        <f>资金成本!$C$16</f>
        <v>5.5622999999999999E-2</v>
      </c>
      <c r="E77" s="730">
        <f>资金成本!$C$16</f>
        <v>5.5622999999999999E-2</v>
      </c>
      <c r="F77" s="730">
        <f>资金成本!$C$16</f>
        <v>5.5622999999999999E-2</v>
      </c>
      <c r="G77" s="730">
        <f>资金成本!$C$16</f>
        <v>5.5622999999999999E-2</v>
      </c>
      <c r="H77" s="731">
        <f>资金成本!$C$16</f>
        <v>5.5622999999999999E-2</v>
      </c>
      <c r="I77" s="731">
        <f>资金成本!$C$16</f>
        <v>5.5622999999999999E-2</v>
      </c>
      <c r="J77" s="731">
        <f>资金成本!$C$16</f>
        <v>5.5622999999999999E-2</v>
      </c>
      <c r="K77" s="731">
        <f>资金成本!$C$16</f>
        <v>5.5622999999999999E-2</v>
      </c>
      <c r="L77" s="732">
        <f>资金成本!$C$16</f>
        <v>5.5622999999999999E-2</v>
      </c>
      <c r="M77" s="667"/>
      <c r="N77" s="667"/>
      <c r="O77" s="667"/>
      <c r="P77" s="667"/>
      <c r="Q77" s="667"/>
      <c r="R77" s="667"/>
      <c r="S77" s="667"/>
      <c r="T77" s="667"/>
      <c r="U77" s="667"/>
      <c r="V77" s="667"/>
      <c r="W77" s="667"/>
      <c r="X77" s="667"/>
      <c r="Y77" s="667"/>
      <c r="Z77" s="667"/>
      <c r="AA77" s="667"/>
      <c r="AB77" s="667"/>
      <c r="AC77" s="667"/>
      <c r="AD77" s="667"/>
      <c r="AE77" s="667"/>
      <c r="AF77" s="667"/>
      <c r="AG77" s="667"/>
      <c r="AH77" s="667"/>
      <c r="AI77" s="667"/>
      <c r="AJ77" s="667"/>
      <c r="AK77" s="667"/>
      <c r="AL77" s="667"/>
      <c r="AM77" s="667"/>
      <c r="AN77" s="667"/>
      <c r="AO77" s="667"/>
      <c r="AP77" s="667"/>
      <c r="AQ77" s="667"/>
      <c r="AR77" s="667"/>
      <c r="AS77" s="667"/>
      <c r="AT77" s="667"/>
      <c r="AU77" s="667"/>
      <c r="AV77" s="667"/>
      <c r="AW77" s="667"/>
      <c r="AX77" s="667"/>
      <c r="AY77" s="667"/>
      <c r="AZ77" s="667"/>
    </row>
    <row r="78" spans="1:52" s="668" customFormat="1" ht="18" customHeight="1">
      <c r="A78" s="698"/>
      <c r="B78" s="721" t="s">
        <v>714</v>
      </c>
      <c r="C78" s="733"/>
      <c r="D78" s="734">
        <f t="shared" ref="D78:L78" si="22">D76/D77</f>
        <v>3.3699281110001027</v>
      </c>
      <c r="E78" s="735">
        <f t="shared" si="22"/>
        <v>2.2570983350545917</v>
      </c>
      <c r="F78" s="735">
        <f t="shared" si="22"/>
        <v>2.6002761662454015</v>
      </c>
      <c r="G78" s="735">
        <f t="shared" si="22"/>
        <v>3.4849432037183288</v>
      </c>
      <c r="H78" s="736">
        <f t="shared" ca="1" si="22"/>
        <v>3.4298834166466916</v>
      </c>
      <c r="I78" s="736">
        <f t="shared" ca="1" si="22"/>
        <v>3.3347525118880204</v>
      </c>
      <c r="J78" s="736">
        <f t="shared" ca="1" si="22"/>
        <v>3.4086296792789095</v>
      </c>
      <c r="K78" s="736">
        <f t="shared" ca="1" si="22"/>
        <v>3.5031881070613009</v>
      </c>
      <c r="L78" s="737">
        <f t="shared" ca="1" si="22"/>
        <v>3.5280743361981561</v>
      </c>
      <c r="M78" s="667"/>
      <c r="N78" s="667"/>
      <c r="O78" s="667"/>
      <c r="P78" s="667"/>
      <c r="Q78" s="667"/>
      <c r="R78" s="667"/>
      <c r="S78" s="667"/>
      <c r="T78" s="667"/>
      <c r="U78" s="667"/>
      <c r="V78" s="667"/>
      <c r="W78" s="667"/>
      <c r="X78" s="667"/>
      <c r="Y78" s="667"/>
      <c r="Z78" s="667"/>
      <c r="AA78" s="667"/>
      <c r="AB78" s="667"/>
      <c r="AC78" s="667"/>
      <c r="AD78" s="667"/>
      <c r="AE78" s="667"/>
      <c r="AF78" s="667"/>
      <c r="AG78" s="667"/>
      <c r="AH78" s="667"/>
      <c r="AI78" s="667"/>
      <c r="AJ78" s="667"/>
      <c r="AK78" s="667"/>
      <c r="AL78" s="667"/>
      <c r="AM78" s="667"/>
      <c r="AN78" s="667"/>
      <c r="AO78" s="667"/>
      <c r="AP78" s="667"/>
      <c r="AQ78" s="667"/>
      <c r="AR78" s="667"/>
      <c r="AS78" s="667"/>
      <c r="AT78" s="667"/>
      <c r="AU78" s="667"/>
      <c r="AV78" s="667"/>
      <c r="AW78" s="667"/>
      <c r="AX78" s="667"/>
      <c r="AY78" s="667"/>
      <c r="AZ78" s="667"/>
    </row>
    <row r="79" spans="1:52" ht="18" customHeight="1" thickBot="1">
      <c r="A79" s="106"/>
      <c r="B79" s="738" t="s">
        <v>871</v>
      </c>
      <c r="C79" s="739"/>
      <c r="D79" s="740">
        <f>D73-D75*D77</f>
        <v>623.15644716472605</v>
      </c>
      <c r="E79" s="740">
        <f t="shared" ref="E79:L79" si="23">E73-E75*E77</f>
        <v>333.61145405074024</v>
      </c>
      <c r="F79" s="740">
        <f t="shared" si="23"/>
        <v>464.54163550702242</v>
      </c>
      <c r="G79" s="740">
        <f t="shared" si="23"/>
        <v>673.10233142763923</v>
      </c>
      <c r="H79" s="741">
        <f t="shared" ca="1" si="23"/>
        <v>596.11482310186057</v>
      </c>
      <c r="I79" s="741">
        <f t="shared" ca="1" si="23"/>
        <v>594.56246909293441</v>
      </c>
      <c r="J79" s="741">
        <f t="shared" ca="1" si="23"/>
        <v>602.50502463747659</v>
      </c>
      <c r="K79" s="741">
        <f t="shared" ca="1" si="23"/>
        <v>605.85033170709312</v>
      </c>
      <c r="L79" s="742">
        <f t="shared" ca="1" si="23"/>
        <v>609.0265411759076</v>
      </c>
      <c r="M79" s="662"/>
      <c r="N79" s="662"/>
      <c r="O79" s="662"/>
      <c r="P79" s="662"/>
      <c r="Q79" s="662"/>
      <c r="R79" s="662"/>
      <c r="S79" s="662"/>
      <c r="T79" s="662"/>
      <c r="U79" s="662"/>
      <c r="V79" s="662"/>
      <c r="W79" s="662"/>
      <c r="X79" s="662"/>
      <c r="Y79" s="662"/>
      <c r="Z79" s="662"/>
      <c r="AA79" s="662"/>
      <c r="AB79" s="662"/>
      <c r="AC79" s="662"/>
      <c r="AD79" s="662"/>
      <c r="AE79" s="662"/>
      <c r="AF79" s="662"/>
      <c r="AG79" s="662"/>
      <c r="AH79" s="662"/>
      <c r="AI79" s="662"/>
      <c r="AJ79" s="662"/>
      <c r="AK79" s="662"/>
      <c r="AL79" s="662"/>
      <c r="AM79" s="662"/>
      <c r="AN79" s="662"/>
      <c r="AO79" s="662"/>
      <c r="AP79" s="662"/>
      <c r="AQ79" s="662"/>
      <c r="AR79" s="662"/>
      <c r="AS79" s="662"/>
      <c r="AT79" s="662"/>
      <c r="AU79" s="662"/>
      <c r="AV79" s="662"/>
      <c r="AW79" s="662"/>
      <c r="AX79" s="662"/>
      <c r="AY79" s="662"/>
      <c r="AZ79" s="662"/>
    </row>
    <row r="80" spans="1:52" s="639" customFormat="1" ht="18" customHeight="1" thickBot="1">
      <c r="A80" s="106"/>
      <c r="B80" s="702"/>
      <c r="C80" s="743"/>
      <c r="D80" s="743"/>
      <c r="E80" s="743"/>
      <c r="F80" s="743"/>
      <c r="G80" s="743"/>
      <c r="H80" s="743"/>
      <c r="I80" s="743"/>
      <c r="J80" s="743"/>
      <c r="K80" s="743"/>
      <c r="L80" s="2350"/>
      <c r="M80" s="106"/>
      <c r="N80" s="638"/>
      <c r="O80" s="638"/>
      <c r="P80" s="638"/>
      <c r="Q80" s="638"/>
      <c r="R80" s="638"/>
      <c r="S80" s="638"/>
      <c r="T80" s="638"/>
      <c r="U80" s="638"/>
      <c r="V80" s="638"/>
      <c r="W80" s="638"/>
      <c r="X80" s="638"/>
      <c r="Y80" s="638"/>
      <c r="Z80" s="638"/>
      <c r="AA80" s="638"/>
      <c r="AB80" s="638"/>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row>
    <row r="81" spans="1:52" s="639" customFormat="1" ht="18" hidden="1" customHeight="1" thickBot="1">
      <c r="A81" s="106"/>
      <c r="B81" s="702"/>
      <c r="C81" s="744"/>
      <c r="D81" s="744"/>
      <c r="E81" s="744"/>
      <c r="F81" s="744"/>
      <c r="G81" s="744"/>
      <c r="H81" s="745">
        <f>G82+1</f>
        <v>2020</v>
      </c>
      <c r="I81" s="745">
        <f>H81+1</f>
        <v>2021</v>
      </c>
      <c r="J81" s="745">
        <f>I81+1</f>
        <v>2022</v>
      </c>
      <c r="K81" s="745"/>
      <c r="L81" s="1914"/>
      <c r="M81" s="106"/>
      <c r="N81" s="638"/>
      <c r="O81" s="638"/>
      <c r="P81" s="638"/>
      <c r="Q81" s="638"/>
      <c r="R81" s="638"/>
      <c r="S81" s="638"/>
      <c r="T81" s="638"/>
      <c r="U81" s="638"/>
      <c r="V81" s="638"/>
      <c r="W81" s="638"/>
      <c r="X81" s="638"/>
      <c r="Y81" s="638"/>
      <c r="Z81" s="638"/>
      <c r="AA81" s="638"/>
      <c r="AB81" s="638"/>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row>
    <row r="82" spans="1:52" s="639" customFormat="1" ht="18" customHeight="1">
      <c r="A82" s="106"/>
      <c r="B82" s="746" t="s">
        <v>833</v>
      </c>
      <c r="C82" s="747">
        <f>利润表!I3</f>
        <v>2015</v>
      </c>
      <c r="D82" s="748">
        <f>利润表!J3</f>
        <v>2016</v>
      </c>
      <c r="E82" s="748">
        <f>利润表!K3</f>
        <v>2017</v>
      </c>
      <c r="F82" s="748">
        <f>利润表!L3</f>
        <v>2018</v>
      </c>
      <c r="G82" s="748">
        <f>利润表!M3</f>
        <v>2019</v>
      </c>
      <c r="H82" s="748" t="str">
        <f>利润表!N3</f>
        <v>2020E</v>
      </c>
      <c r="I82" s="748" t="str">
        <f>利润表!O3</f>
        <v>2021E</v>
      </c>
      <c r="J82" s="748" t="str">
        <f>利润表!P3</f>
        <v>2022E</v>
      </c>
      <c r="K82" s="748" t="str">
        <f>利润表!Q3</f>
        <v>2023E</v>
      </c>
      <c r="L82" s="749" t="str">
        <f>利润表!R3</f>
        <v>2024E</v>
      </c>
      <c r="M82" s="638"/>
      <c r="N82" s="638"/>
      <c r="O82" s="638"/>
      <c r="P82" s="638"/>
      <c r="Q82" s="638"/>
      <c r="R82" s="638"/>
      <c r="S82" s="638"/>
      <c r="T82" s="638"/>
      <c r="U82" s="638"/>
      <c r="V82" s="638"/>
      <c r="W82" s="638"/>
      <c r="X82" s="638"/>
      <c r="Y82" s="638"/>
      <c r="Z82" s="638"/>
      <c r="AA82" s="638"/>
      <c r="AB82" s="638"/>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row>
    <row r="83" spans="1:52" s="639" customFormat="1" ht="18" customHeight="1">
      <c r="A83" s="106"/>
      <c r="B83" s="750"/>
      <c r="C83" s="751"/>
      <c r="D83" s="752"/>
      <c r="E83" s="752"/>
      <c r="F83" s="752"/>
      <c r="G83" s="752"/>
      <c r="H83" s="752"/>
      <c r="I83" s="752"/>
      <c r="J83" s="752"/>
      <c r="K83" s="752"/>
      <c r="L83" s="753"/>
      <c r="M83" s="638"/>
      <c r="N83" s="638"/>
      <c r="O83" s="638"/>
      <c r="P83" s="638"/>
      <c r="Q83" s="638"/>
      <c r="R83" s="638"/>
      <c r="S83" s="638"/>
      <c r="T83" s="638"/>
      <c r="U83" s="638"/>
      <c r="V83" s="638"/>
      <c r="W83" s="638"/>
      <c r="X83" s="638"/>
      <c r="Y83" s="638"/>
      <c r="Z83" s="638"/>
      <c r="AA83" s="638"/>
      <c r="AB83" s="638"/>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row>
    <row r="84" spans="1:52" s="676" customFormat="1" ht="18" customHeight="1">
      <c r="A84" s="698"/>
      <c r="B84" s="750" t="s">
        <v>157</v>
      </c>
      <c r="C84" s="754"/>
      <c r="D84" s="726">
        <f t="shared" ref="D84:L84" si="24">D76</f>
        <v>0.1874455113181587</v>
      </c>
      <c r="E84" s="726">
        <f t="shared" si="24"/>
        <v>0.12554658069074154</v>
      </c>
      <c r="F84" s="726">
        <f t="shared" si="24"/>
        <v>0.14463516119506797</v>
      </c>
      <c r="G84" s="726">
        <f t="shared" si="24"/>
        <v>0.19384299582042461</v>
      </c>
      <c r="H84" s="727">
        <f t="shared" ca="1" si="24"/>
        <v>0.19078040528413892</v>
      </c>
      <c r="I84" s="727">
        <f t="shared" ca="1" si="24"/>
        <v>0.18548893896874735</v>
      </c>
      <c r="J84" s="727">
        <f t="shared" ca="1" si="24"/>
        <v>0.18959820865053079</v>
      </c>
      <c r="K84" s="727">
        <f t="shared" ca="1" si="24"/>
        <v>0.19485783207907073</v>
      </c>
      <c r="L84" s="728">
        <f t="shared" ca="1" si="24"/>
        <v>0.19624207880235003</v>
      </c>
      <c r="M84" s="673"/>
      <c r="N84" s="673"/>
      <c r="O84" s="673"/>
      <c r="P84" s="673"/>
      <c r="Q84" s="673"/>
      <c r="R84" s="673"/>
      <c r="S84" s="673"/>
      <c r="T84" s="673"/>
      <c r="U84" s="673"/>
      <c r="V84" s="673"/>
      <c r="W84" s="673"/>
      <c r="X84" s="673"/>
      <c r="Y84" s="673"/>
      <c r="Z84" s="673"/>
      <c r="AA84" s="673"/>
      <c r="AB84" s="673"/>
      <c r="AC84" s="673"/>
      <c r="AD84" s="673"/>
      <c r="AE84" s="673"/>
      <c r="AF84" s="673"/>
      <c r="AG84" s="673"/>
      <c r="AH84" s="673"/>
      <c r="AI84" s="673"/>
      <c r="AJ84" s="673"/>
      <c r="AK84" s="673"/>
      <c r="AL84" s="673"/>
      <c r="AM84" s="673"/>
      <c r="AN84" s="673"/>
      <c r="AO84" s="673"/>
      <c r="AP84" s="673"/>
      <c r="AQ84" s="673"/>
      <c r="AR84" s="673"/>
      <c r="AS84" s="673"/>
      <c r="AT84" s="673"/>
      <c r="AU84" s="673"/>
      <c r="AV84" s="673"/>
      <c r="AW84" s="673"/>
      <c r="AX84" s="673"/>
      <c r="AY84" s="673"/>
      <c r="AZ84" s="673"/>
    </row>
    <row r="85" spans="1:52" s="639" customFormat="1" ht="18" customHeight="1">
      <c r="A85" s="106"/>
      <c r="B85" s="750"/>
      <c r="C85" s="755"/>
      <c r="D85" s="756"/>
      <c r="E85" s="756"/>
      <c r="F85" s="756"/>
      <c r="G85" s="756"/>
      <c r="H85" s="756"/>
      <c r="I85" s="756"/>
      <c r="J85" s="756"/>
      <c r="K85" s="756"/>
      <c r="L85" s="757"/>
      <c r="M85" s="638"/>
      <c r="N85" s="638"/>
      <c r="O85" s="638"/>
      <c r="P85" s="638"/>
      <c r="Q85" s="638"/>
      <c r="R85" s="638"/>
      <c r="S85" s="638"/>
      <c r="T85" s="638"/>
      <c r="U85" s="638"/>
      <c r="V85" s="638"/>
      <c r="W85" s="638"/>
      <c r="X85" s="638"/>
      <c r="Y85" s="638"/>
      <c r="Z85" s="638"/>
      <c r="AA85" s="638"/>
      <c r="AB85" s="638"/>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row>
    <row r="86" spans="1:52" s="676" customFormat="1" ht="18" customHeight="1">
      <c r="A86" s="698"/>
      <c r="B86" s="750" t="s">
        <v>872</v>
      </c>
      <c r="C86" s="754"/>
      <c r="D86" s="726">
        <f t="shared" ref="D86:L86" si="25">D197/D74</f>
        <v>0.8715560117097495</v>
      </c>
      <c r="E86" s="726">
        <f t="shared" si="25"/>
        <v>0.97476569740808017</v>
      </c>
      <c r="F86" s="726">
        <f t="shared" si="25"/>
        <v>0.94378967221707188</v>
      </c>
      <c r="G86" s="726">
        <f t="shared" si="25"/>
        <v>1.2996174786590589</v>
      </c>
      <c r="H86" s="727">
        <f t="shared" ca="1" si="25"/>
        <v>1.4188264090498586</v>
      </c>
      <c r="I86" s="727">
        <f t="shared" ca="1" si="25"/>
        <v>1.3975970783030218</v>
      </c>
      <c r="J86" s="727">
        <f t="shared" ca="1" si="25"/>
        <v>1.4146719802273333</v>
      </c>
      <c r="K86" s="727">
        <f t="shared" ca="1" si="25"/>
        <v>1.4570401813543754</v>
      </c>
      <c r="L86" s="728">
        <f t="shared" ca="1" si="25"/>
        <v>1.470058803596402</v>
      </c>
      <c r="M86" s="673"/>
      <c r="N86" s="673"/>
      <c r="O86" s="673"/>
      <c r="P86" s="673"/>
      <c r="Q86" s="673"/>
      <c r="R86" s="673"/>
      <c r="S86" s="673"/>
      <c r="T86" s="673"/>
      <c r="U86" s="673"/>
      <c r="V86" s="673"/>
      <c r="W86" s="673"/>
      <c r="X86" s="673"/>
      <c r="Y86" s="673"/>
      <c r="Z86" s="673"/>
      <c r="AA86" s="673"/>
      <c r="AB86" s="673"/>
      <c r="AC86" s="673"/>
      <c r="AD86" s="673"/>
      <c r="AE86" s="673"/>
      <c r="AF86" s="673"/>
      <c r="AG86" s="673"/>
      <c r="AH86" s="673"/>
      <c r="AI86" s="673"/>
      <c r="AJ86" s="673"/>
      <c r="AK86" s="673"/>
      <c r="AL86" s="673"/>
      <c r="AM86" s="673"/>
      <c r="AN86" s="673"/>
      <c r="AO86" s="673"/>
      <c r="AP86" s="673"/>
      <c r="AQ86" s="673"/>
      <c r="AR86" s="673"/>
      <c r="AS86" s="673"/>
      <c r="AT86" s="673"/>
      <c r="AU86" s="673"/>
      <c r="AV86" s="673"/>
      <c r="AW86" s="673"/>
      <c r="AX86" s="673"/>
      <c r="AY86" s="673"/>
      <c r="AZ86" s="673"/>
    </row>
    <row r="87" spans="1:52" s="676" customFormat="1" ht="18" customHeight="1">
      <c r="A87" s="698"/>
      <c r="B87" s="650" t="s">
        <v>873</v>
      </c>
      <c r="C87" s="754"/>
      <c r="D87" s="726">
        <f t="shared" ref="D87:L87" si="26">(D74-C74)/C74</f>
        <v>0.25320612329749442</v>
      </c>
      <c r="E87" s="726">
        <f t="shared" si="26"/>
        <v>3.741620978197846E-2</v>
      </c>
      <c r="F87" s="726">
        <f t="shared" si="26"/>
        <v>8.3464099099455014E-2</v>
      </c>
      <c r="G87" s="726">
        <f t="shared" si="26"/>
        <v>-3.6984560457315213E-2</v>
      </c>
      <c r="H87" s="727">
        <f t="shared" ca="1" si="26"/>
        <v>-8.401939069532123E-2</v>
      </c>
      <c r="I87" s="727">
        <f t="shared" ca="1" si="26"/>
        <v>1.5189879169333851E-2</v>
      </c>
      <c r="J87" s="727">
        <f t="shared" ca="1" si="26"/>
        <v>-1.2069866487047928E-2</v>
      </c>
      <c r="K87" s="727">
        <f t="shared" ca="1" si="26"/>
        <v>-2.9078265424128009E-2</v>
      </c>
      <c r="L87" s="728">
        <f t="shared" ca="1" si="26"/>
        <v>-8.8558513511006239E-3</v>
      </c>
      <c r="M87" s="673"/>
      <c r="N87" s="673"/>
      <c r="O87" s="673"/>
      <c r="P87" s="673"/>
      <c r="Q87" s="673"/>
      <c r="R87" s="673"/>
      <c r="S87" s="673"/>
      <c r="T87" s="673"/>
      <c r="U87" s="673"/>
      <c r="V87" s="673"/>
      <c r="W87" s="673"/>
      <c r="X87" s="673"/>
      <c r="Y87" s="673"/>
      <c r="Z87" s="673"/>
      <c r="AA87" s="673"/>
      <c r="AB87" s="673"/>
      <c r="AC87" s="673"/>
      <c r="AD87" s="673"/>
      <c r="AE87" s="673"/>
      <c r="AF87" s="673"/>
      <c r="AG87" s="673"/>
      <c r="AH87" s="673"/>
      <c r="AI87" s="673"/>
      <c r="AJ87" s="673"/>
      <c r="AK87" s="673"/>
      <c r="AL87" s="673"/>
      <c r="AM87" s="673"/>
      <c r="AN87" s="673"/>
      <c r="AO87" s="673"/>
      <c r="AP87" s="673"/>
      <c r="AQ87" s="673"/>
      <c r="AR87" s="673"/>
      <c r="AS87" s="673"/>
      <c r="AT87" s="673"/>
      <c r="AU87" s="673"/>
      <c r="AV87" s="673"/>
      <c r="AW87" s="673"/>
      <c r="AX87" s="673"/>
      <c r="AY87" s="673"/>
      <c r="AZ87" s="673"/>
    </row>
    <row r="88" spans="1:52" s="676" customFormat="1" ht="18" customHeight="1">
      <c r="A88" s="698"/>
      <c r="B88" s="650" t="s">
        <v>852</v>
      </c>
      <c r="C88" s="754"/>
      <c r="D88" s="726">
        <f t="shared" ref="D88:L88" si="27">(D197-C197)/C197</f>
        <v>0.18567018960019913</v>
      </c>
      <c r="E88" s="726">
        <f t="shared" si="27"/>
        <v>0.16026706447335651</v>
      </c>
      <c r="F88" s="726">
        <f t="shared" si="27"/>
        <v>4.9033864924721414E-2</v>
      </c>
      <c r="G88" s="726">
        <f t="shared" si="27"/>
        <v>0.32609174934937418</v>
      </c>
      <c r="H88" s="727">
        <f t="shared" si="27"/>
        <v>0</v>
      </c>
      <c r="I88" s="727">
        <f t="shared" si="27"/>
        <v>0</v>
      </c>
      <c r="J88" s="727">
        <f t="shared" si="27"/>
        <v>0</v>
      </c>
      <c r="K88" s="727">
        <f t="shared" si="27"/>
        <v>0</v>
      </c>
      <c r="L88" s="728">
        <f t="shared" si="27"/>
        <v>0</v>
      </c>
      <c r="M88" s="673"/>
      <c r="N88" s="673"/>
      <c r="O88" s="673"/>
      <c r="P88" s="673"/>
      <c r="Q88" s="673"/>
      <c r="R88" s="673"/>
      <c r="S88" s="673"/>
      <c r="T88" s="673"/>
      <c r="U88" s="673"/>
      <c r="V88" s="673"/>
      <c r="W88" s="673"/>
      <c r="X88" s="673"/>
      <c r="Y88" s="673"/>
      <c r="Z88" s="673"/>
      <c r="AA88" s="673"/>
      <c r="AB88" s="673"/>
      <c r="AC88" s="673"/>
      <c r="AD88" s="673"/>
      <c r="AE88" s="673"/>
      <c r="AF88" s="673"/>
      <c r="AG88" s="673"/>
      <c r="AH88" s="673"/>
      <c r="AI88" s="673"/>
      <c r="AJ88" s="673"/>
      <c r="AK88" s="673"/>
      <c r="AL88" s="673"/>
      <c r="AM88" s="673"/>
      <c r="AN88" s="673"/>
      <c r="AO88" s="673"/>
      <c r="AP88" s="673"/>
      <c r="AQ88" s="673"/>
      <c r="AR88" s="673"/>
      <c r="AS88" s="673"/>
      <c r="AT88" s="673"/>
      <c r="AU88" s="673"/>
      <c r="AV88" s="673"/>
      <c r="AW88" s="673"/>
      <c r="AX88" s="673"/>
      <c r="AY88" s="673"/>
      <c r="AZ88" s="673"/>
    </row>
    <row r="89" spans="1:52" s="639" customFormat="1" ht="18" customHeight="1">
      <c r="A89" s="106"/>
      <c r="B89" s="750"/>
      <c r="C89" s="755"/>
      <c r="D89" s="756"/>
      <c r="E89" s="756"/>
      <c r="F89" s="756"/>
      <c r="G89" s="756"/>
      <c r="H89" s="756"/>
      <c r="I89" s="756"/>
      <c r="J89" s="756"/>
      <c r="K89" s="756"/>
      <c r="L89" s="757"/>
      <c r="M89" s="638"/>
      <c r="N89" s="638"/>
      <c r="O89" s="638"/>
      <c r="P89" s="638"/>
      <c r="Q89" s="638"/>
      <c r="R89" s="638"/>
      <c r="S89" s="638"/>
      <c r="T89" s="638"/>
      <c r="U89" s="638"/>
      <c r="V89" s="638"/>
      <c r="W89" s="638"/>
      <c r="X89" s="638"/>
      <c r="Y89" s="638"/>
      <c r="Z89" s="638"/>
      <c r="AA89" s="638"/>
      <c r="AB89" s="638"/>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row>
    <row r="90" spans="1:52" s="676" customFormat="1" ht="18" customHeight="1">
      <c r="A90" s="698"/>
      <c r="B90" s="750" t="s">
        <v>874</v>
      </c>
      <c r="C90" s="1826">
        <f>C232/利润表!I4</f>
        <v>0.19825921848117334</v>
      </c>
      <c r="D90" s="1826">
        <f>D232/利润表!J4</f>
        <v>0.21506995396709266</v>
      </c>
      <c r="E90" s="1826">
        <f>E232/利润表!K4</f>
        <v>0.12879667495950278</v>
      </c>
      <c r="F90" s="1826">
        <f>F232/利润表!L4</f>
        <v>0.1532493578312879</v>
      </c>
      <c r="G90" s="1826">
        <f>G232/利润表!M4</f>
        <v>0.14915388489575501</v>
      </c>
      <c r="H90" s="727">
        <f>H232/利润表!N4</f>
        <v>0.13446352849599005</v>
      </c>
      <c r="I90" s="727">
        <f>I232/利润表!O4</f>
        <v>0.13271989606186793</v>
      </c>
      <c r="J90" s="727">
        <f>J232/利润表!P4</f>
        <v>0.1340227355178569</v>
      </c>
      <c r="K90" s="727">
        <f>K232/利润表!Q4</f>
        <v>0.13373538669190496</v>
      </c>
      <c r="L90" s="728">
        <f>L232/利润表!R4</f>
        <v>0.13349267275720991</v>
      </c>
      <c r="M90" s="673"/>
      <c r="N90" s="673"/>
      <c r="O90" s="673"/>
      <c r="P90" s="673"/>
      <c r="Q90" s="673"/>
      <c r="R90" s="673"/>
      <c r="S90" s="673"/>
      <c r="T90" s="673"/>
      <c r="U90" s="673"/>
      <c r="V90" s="673"/>
      <c r="W90" s="673"/>
      <c r="X90" s="673"/>
      <c r="Y90" s="673"/>
      <c r="Z90" s="673"/>
      <c r="AA90" s="673"/>
      <c r="AB90" s="673"/>
      <c r="AC90" s="673"/>
      <c r="AD90" s="673"/>
      <c r="AE90" s="673"/>
      <c r="AF90" s="673"/>
      <c r="AG90" s="673"/>
      <c r="AH90" s="673"/>
      <c r="AI90" s="673"/>
      <c r="AJ90" s="673"/>
      <c r="AK90" s="673"/>
      <c r="AL90" s="673"/>
      <c r="AM90" s="673"/>
      <c r="AN90" s="673"/>
      <c r="AO90" s="673"/>
      <c r="AP90" s="673"/>
      <c r="AQ90" s="673"/>
      <c r="AR90" s="673"/>
      <c r="AS90" s="673"/>
      <c r="AT90" s="673"/>
      <c r="AU90" s="673"/>
      <c r="AV90" s="673"/>
      <c r="AW90" s="673"/>
      <c r="AX90" s="673"/>
      <c r="AY90" s="673"/>
      <c r="AZ90" s="673"/>
    </row>
    <row r="91" spans="1:52" s="668" customFormat="1" ht="18" customHeight="1">
      <c r="A91" s="698"/>
      <c r="B91" s="650" t="s">
        <v>847</v>
      </c>
      <c r="C91" s="758">
        <f>利润表!I51</f>
        <v>0.32840772502364768</v>
      </c>
      <c r="D91" s="758">
        <f>利润表!J51</f>
        <v>0.30276952224409948</v>
      </c>
      <c r="E91" s="759">
        <f>利润表!K51</f>
        <v>0.20916627549650246</v>
      </c>
      <c r="F91" s="759">
        <f>利润表!L51</f>
        <v>0.19667375452696501</v>
      </c>
      <c r="G91" s="759">
        <f>利润表!M51</f>
        <v>0.2036453428052345</v>
      </c>
      <c r="H91" s="760">
        <f>利润表!N51</f>
        <v>0.20316179094290066</v>
      </c>
      <c r="I91" s="760">
        <f>利润表!O51</f>
        <v>0.20116029609170005</v>
      </c>
      <c r="J91" s="760">
        <f>利润表!P51</f>
        <v>0.20265580994661173</v>
      </c>
      <c r="K91" s="760">
        <f>利润表!Q51</f>
        <v>0.20232596566040414</v>
      </c>
      <c r="L91" s="761">
        <f>利润表!R51</f>
        <v>0.20204735723290532</v>
      </c>
      <c r="M91" s="667"/>
      <c r="N91" s="667"/>
      <c r="O91" s="667"/>
      <c r="P91" s="667"/>
      <c r="Q91" s="667"/>
      <c r="R91" s="667"/>
      <c r="S91" s="667"/>
      <c r="T91" s="667"/>
      <c r="U91" s="667"/>
      <c r="V91" s="667"/>
      <c r="W91" s="667"/>
      <c r="X91" s="667"/>
      <c r="Y91" s="667"/>
      <c r="Z91" s="667"/>
      <c r="AA91" s="667"/>
      <c r="AB91" s="667"/>
      <c r="AC91" s="667"/>
      <c r="AD91" s="667"/>
      <c r="AE91" s="667"/>
      <c r="AF91" s="667"/>
      <c r="AG91" s="667"/>
      <c r="AH91" s="667"/>
      <c r="AI91" s="667"/>
      <c r="AJ91" s="667"/>
      <c r="AK91" s="667"/>
      <c r="AL91" s="667"/>
      <c r="AM91" s="667"/>
      <c r="AN91" s="667"/>
      <c r="AO91" s="667"/>
      <c r="AP91" s="667"/>
      <c r="AQ91" s="667"/>
      <c r="AR91" s="667"/>
      <c r="AS91" s="667"/>
      <c r="AT91" s="667"/>
      <c r="AU91" s="667"/>
      <c r="AV91" s="667"/>
      <c r="AW91" s="667"/>
      <c r="AX91" s="667"/>
      <c r="AY91" s="667"/>
      <c r="AZ91" s="667"/>
    </row>
    <row r="92" spans="1:52" s="668" customFormat="1" ht="18" customHeight="1">
      <c r="A92" s="698"/>
      <c r="B92" s="650" t="s">
        <v>849</v>
      </c>
      <c r="C92" s="758">
        <f>财务分析!C48</f>
        <v>0.24763664289833462</v>
      </c>
      <c r="D92" s="759">
        <f>财务分析!D48</f>
        <v>0.26618679200620826</v>
      </c>
      <c r="E92" s="759">
        <f>财务分析!E48</f>
        <v>0.1666678497786109</v>
      </c>
      <c r="F92" s="759">
        <f>财务分析!F48</f>
        <v>0.19597767026955853</v>
      </c>
      <c r="G92" s="759">
        <f>财务分析!G48</f>
        <v>0.18871134118083113</v>
      </c>
      <c r="H92" s="727">
        <f>财务分析!H48</f>
        <v>0.16567284731368878</v>
      </c>
      <c r="I92" s="727">
        <f>财务分析!I48</f>
        <v>0.16367135246248821</v>
      </c>
      <c r="J92" s="727">
        <f>财务分析!J48</f>
        <v>0.16516686631739982</v>
      </c>
      <c r="K92" s="727">
        <f>财务分析!K48</f>
        <v>0.16483702203119224</v>
      </c>
      <c r="L92" s="728">
        <f>财务分析!L48</f>
        <v>0.16455841360369342</v>
      </c>
      <c r="M92" s="667"/>
      <c r="N92" s="667"/>
      <c r="O92" s="667"/>
      <c r="P92" s="667"/>
      <c r="Q92" s="667"/>
      <c r="R92" s="667"/>
      <c r="S92" s="667"/>
      <c r="T92" s="667"/>
      <c r="U92" s="667"/>
      <c r="V92" s="667"/>
      <c r="W92" s="667"/>
      <c r="X92" s="667"/>
      <c r="Y92" s="667"/>
      <c r="Z92" s="667"/>
      <c r="AA92" s="667"/>
      <c r="AB92" s="667"/>
      <c r="AC92" s="667"/>
      <c r="AD92" s="667"/>
      <c r="AE92" s="667"/>
      <c r="AF92" s="667"/>
      <c r="AG92" s="667"/>
      <c r="AH92" s="667"/>
      <c r="AI92" s="667"/>
      <c r="AJ92" s="667"/>
      <c r="AK92" s="667"/>
      <c r="AL92" s="667"/>
      <c r="AM92" s="667"/>
      <c r="AN92" s="667"/>
      <c r="AO92" s="667"/>
      <c r="AP92" s="667"/>
      <c r="AQ92" s="667"/>
      <c r="AR92" s="667"/>
      <c r="AS92" s="667"/>
      <c r="AT92" s="667"/>
      <c r="AU92" s="667"/>
      <c r="AV92" s="667"/>
      <c r="AW92" s="667"/>
      <c r="AX92" s="667"/>
      <c r="AY92" s="667"/>
      <c r="AZ92" s="667"/>
    </row>
    <row r="93" spans="1:52" s="668" customFormat="1" ht="18" customHeight="1">
      <c r="A93" s="667"/>
      <c r="B93" s="650" t="s">
        <v>875</v>
      </c>
      <c r="C93" s="758">
        <f>财务分析!C47</f>
        <v>0.23519312542451326</v>
      </c>
      <c r="D93" s="759">
        <f>财务分析!D47</f>
        <v>0.25165477881368331</v>
      </c>
      <c r="E93" s="759">
        <f>财务分析!E47</f>
        <v>0.15035430588482976</v>
      </c>
      <c r="F93" s="759">
        <f>财务分析!F47</f>
        <v>0.17678213690108988</v>
      </c>
      <c r="G93" s="759">
        <f>财务分析!G47</f>
        <v>0.17121196349259182</v>
      </c>
      <c r="H93" s="727">
        <f>财务分析!H47</f>
        <v>0.15434907879221951</v>
      </c>
      <c r="I93" s="727">
        <f>财务分析!I47</f>
        <v>0.15234758394101894</v>
      </c>
      <c r="J93" s="727">
        <f>财务分析!J47</f>
        <v>0.15384309779593056</v>
      </c>
      <c r="K93" s="727">
        <f>财务分析!K47</f>
        <v>0.15351325350972297</v>
      </c>
      <c r="L93" s="728">
        <f>财务分析!L47</f>
        <v>0.15323464508222415</v>
      </c>
      <c r="M93" s="667"/>
      <c r="N93" s="667"/>
      <c r="O93" s="667"/>
      <c r="P93" s="667"/>
      <c r="Q93" s="667"/>
      <c r="R93" s="667"/>
      <c r="S93" s="667"/>
      <c r="T93" s="667"/>
      <c r="U93" s="667"/>
      <c r="V93" s="667"/>
      <c r="W93" s="667"/>
      <c r="X93" s="667"/>
      <c r="Y93" s="667"/>
      <c r="Z93" s="667"/>
      <c r="AA93" s="667"/>
      <c r="AB93" s="667"/>
      <c r="AC93" s="667"/>
      <c r="AD93" s="667"/>
      <c r="AE93" s="667"/>
      <c r="AF93" s="667"/>
      <c r="AG93" s="667"/>
      <c r="AH93" s="667"/>
      <c r="AI93" s="667"/>
      <c r="AJ93" s="667"/>
      <c r="AK93" s="667"/>
      <c r="AL93" s="667"/>
      <c r="AM93" s="667"/>
      <c r="AN93" s="667"/>
      <c r="AO93" s="667"/>
      <c r="AP93" s="667"/>
      <c r="AQ93" s="667"/>
      <c r="AR93" s="667"/>
      <c r="AS93" s="667"/>
      <c r="AT93" s="667"/>
      <c r="AU93" s="667"/>
      <c r="AV93" s="667"/>
      <c r="AW93" s="667"/>
      <c r="AX93" s="667"/>
      <c r="AY93" s="667"/>
      <c r="AZ93" s="667"/>
    </row>
    <row r="94" spans="1:52" s="668" customFormat="1" ht="18" customHeight="1" thickBot="1">
      <c r="A94" s="667"/>
      <c r="B94" s="762" t="s">
        <v>876</v>
      </c>
      <c r="C94" s="763">
        <f>利润表!I119</f>
        <v>0.15703650723921384</v>
      </c>
      <c r="D94" s="764">
        <f>利润表!J119</f>
        <v>0.14537703205579419</v>
      </c>
      <c r="E94" s="764">
        <f>利润表!K119</f>
        <v>0.14337887297913474</v>
      </c>
      <c r="F94" s="764">
        <f>利润表!L119</f>
        <v>0.13311740361509852</v>
      </c>
      <c r="G94" s="764">
        <f>利润表!M119</f>
        <v>0.1288349140262692</v>
      </c>
      <c r="H94" s="765">
        <f>利润表!N119</f>
        <v>0.1288349140262692</v>
      </c>
      <c r="I94" s="765">
        <f>利润表!O119</f>
        <v>0.1288349140262692</v>
      </c>
      <c r="J94" s="765">
        <f>利润表!P119</f>
        <v>0.1288349140262692</v>
      </c>
      <c r="K94" s="765">
        <f>利润表!Q119</f>
        <v>0.1288349140262692</v>
      </c>
      <c r="L94" s="766">
        <f>利润表!R119</f>
        <v>0.1288349140262692</v>
      </c>
      <c r="M94" s="667"/>
      <c r="N94" s="667"/>
      <c r="O94" s="667"/>
      <c r="P94" s="667"/>
      <c r="Q94" s="667"/>
      <c r="R94" s="667"/>
      <c r="S94" s="667"/>
      <c r="T94" s="667"/>
      <c r="U94" s="667"/>
      <c r="V94" s="667"/>
      <c r="W94" s="667"/>
      <c r="X94" s="667"/>
      <c r="Y94" s="667"/>
      <c r="Z94" s="667"/>
      <c r="AA94" s="667"/>
      <c r="AB94" s="667"/>
      <c r="AC94" s="667"/>
      <c r="AD94" s="667"/>
      <c r="AE94" s="667"/>
      <c r="AF94" s="667"/>
      <c r="AG94" s="667"/>
      <c r="AH94" s="667"/>
      <c r="AI94" s="667"/>
      <c r="AJ94" s="667"/>
      <c r="AK94" s="667"/>
      <c r="AL94" s="667"/>
      <c r="AM94" s="667"/>
      <c r="AN94" s="667"/>
      <c r="AO94" s="667"/>
      <c r="AP94" s="667"/>
      <c r="AQ94" s="667"/>
      <c r="AR94" s="667"/>
      <c r="AS94" s="667"/>
      <c r="AT94" s="667"/>
      <c r="AU94" s="667"/>
      <c r="AV94" s="667"/>
      <c r="AW94" s="667"/>
      <c r="AX94" s="667"/>
      <c r="AY94" s="667"/>
      <c r="AZ94" s="667"/>
    </row>
    <row r="95" spans="1:52" s="639" customFormat="1" ht="18" hidden="1" customHeight="1">
      <c r="A95" s="106"/>
      <c r="B95" s="619"/>
      <c r="C95" s="767"/>
      <c r="D95" s="767"/>
      <c r="E95" s="767"/>
      <c r="F95" s="767"/>
      <c r="G95" s="767"/>
      <c r="H95" s="768"/>
      <c r="I95" s="768"/>
      <c r="J95" s="768"/>
      <c r="K95" s="767"/>
      <c r="L95" s="1915"/>
      <c r="M95" s="106"/>
      <c r="N95" s="638"/>
      <c r="O95" s="638"/>
      <c r="P95" s="638"/>
      <c r="Q95" s="638"/>
      <c r="R95" s="638"/>
      <c r="S95" s="638"/>
      <c r="T95" s="638"/>
      <c r="U95" s="638"/>
      <c r="V95" s="638"/>
      <c r="W95" s="638"/>
      <c r="X95" s="638"/>
      <c r="Y95" s="638"/>
      <c r="Z95" s="638"/>
      <c r="AA95" s="638"/>
      <c r="AB95" s="638"/>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row>
    <row r="96" spans="1:52" s="639" customFormat="1" ht="18" customHeight="1" thickBot="1">
      <c r="A96" s="106"/>
      <c r="B96" s="618"/>
      <c r="C96" s="603"/>
      <c r="D96" s="603"/>
      <c r="E96" s="603"/>
      <c r="F96" s="603"/>
      <c r="G96" s="603"/>
      <c r="H96" s="745">
        <f>G97+1</f>
        <v>2020</v>
      </c>
      <c r="I96" s="745">
        <f>H96+1</f>
        <v>2021</v>
      </c>
      <c r="J96" s="745">
        <f>I96+1</f>
        <v>2022</v>
      </c>
      <c r="K96" s="745"/>
      <c r="L96" s="2351"/>
      <c r="M96" s="106"/>
      <c r="N96" s="638"/>
      <c r="O96" s="638"/>
      <c r="P96" s="638"/>
      <c r="Q96" s="638"/>
      <c r="R96" s="638"/>
      <c r="S96" s="638"/>
      <c r="T96" s="638"/>
      <c r="U96" s="638"/>
      <c r="V96" s="638"/>
      <c r="W96" s="638"/>
      <c r="X96" s="638"/>
      <c r="Y96" s="638"/>
      <c r="Z96" s="638"/>
      <c r="AA96" s="638"/>
      <c r="AB96" s="638"/>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row>
    <row r="97" spans="1:52" s="639" customFormat="1" ht="18" customHeight="1">
      <c r="A97" s="638"/>
      <c r="B97" s="746" t="s">
        <v>834</v>
      </c>
      <c r="C97" s="747">
        <f>利润表!I3</f>
        <v>2015</v>
      </c>
      <c r="D97" s="748">
        <f>利润表!J3</f>
        <v>2016</v>
      </c>
      <c r="E97" s="748">
        <f>利润表!K3</f>
        <v>2017</v>
      </c>
      <c r="F97" s="748">
        <f>利润表!L3</f>
        <v>2018</v>
      </c>
      <c r="G97" s="748">
        <f>利润表!M3</f>
        <v>2019</v>
      </c>
      <c r="H97" s="748" t="str">
        <f>利润表!N3</f>
        <v>2020E</v>
      </c>
      <c r="I97" s="748" t="str">
        <f>利润表!O3</f>
        <v>2021E</v>
      </c>
      <c r="J97" s="748" t="str">
        <f>利润表!P3</f>
        <v>2022E</v>
      </c>
      <c r="K97" s="748" t="str">
        <f>利润表!Q3</f>
        <v>2023E</v>
      </c>
      <c r="L97" s="749" t="str">
        <f>利润表!R3</f>
        <v>2024E</v>
      </c>
      <c r="M97" s="638"/>
      <c r="N97" s="638"/>
      <c r="O97" s="638"/>
      <c r="P97" s="638"/>
      <c r="Q97" s="638"/>
      <c r="R97" s="638"/>
      <c r="S97" s="638"/>
      <c r="T97" s="638"/>
      <c r="U97" s="638"/>
      <c r="V97" s="638"/>
      <c r="W97" s="638"/>
      <c r="X97" s="638"/>
      <c r="Y97" s="638"/>
      <c r="Z97" s="638"/>
      <c r="AA97" s="638"/>
      <c r="AB97" s="638"/>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row>
    <row r="98" spans="1:52" s="639" customFormat="1" ht="18" customHeight="1">
      <c r="A98" s="638"/>
      <c r="B98" s="750"/>
      <c r="C98" s="751"/>
      <c r="D98" s="752"/>
      <c r="E98" s="752"/>
      <c r="F98" s="752"/>
      <c r="G98" s="752"/>
      <c r="H98" s="752"/>
      <c r="I98" s="752"/>
      <c r="J98" s="752"/>
      <c r="K98" s="752"/>
      <c r="L98" s="753"/>
      <c r="M98" s="638"/>
      <c r="N98" s="638"/>
      <c r="O98" s="638"/>
      <c r="P98" s="638"/>
      <c r="Q98" s="638"/>
      <c r="R98" s="638"/>
      <c r="S98" s="638"/>
      <c r="T98" s="638"/>
      <c r="U98" s="638"/>
      <c r="V98" s="638"/>
      <c r="W98" s="638"/>
      <c r="X98" s="638"/>
      <c r="Y98" s="638"/>
      <c r="Z98" s="638"/>
      <c r="AA98" s="638"/>
      <c r="AB98" s="638"/>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row>
    <row r="99" spans="1:52" s="668" customFormat="1" ht="18" customHeight="1">
      <c r="A99" s="667"/>
      <c r="B99" s="682" t="s">
        <v>158</v>
      </c>
      <c r="C99" s="758">
        <f>财务分析!C101/财务分析!C100</f>
        <v>0.1516430169963566</v>
      </c>
      <c r="D99" s="759">
        <f>财务分析!D101/财务分析!D100</f>
        <v>0.17515175424594742</v>
      </c>
      <c r="E99" s="759">
        <f>财务分析!E101/财务分析!E100</f>
        <v>0.11641233195385778</v>
      </c>
      <c r="F99" s="759">
        <f>财务分析!F101/财务分析!F100</f>
        <v>0.1352669285414661</v>
      </c>
      <c r="G99" s="759">
        <f>财务分析!G101/财务分析!G100</f>
        <v>0.1466766350136175</v>
      </c>
      <c r="H99" s="760">
        <f ca="1">财务分析!H101/财务分析!H100</f>
        <v>-0.28083430300040552</v>
      </c>
      <c r="I99" s="760">
        <f ca="1">财务分析!I101/财务分析!I100</f>
        <v>-0.50065927637330232</v>
      </c>
      <c r="J99" s="760">
        <f ca="1">财务分析!J101/财务分析!J100</f>
        <v>-0.99104434715362388</v>
      </c>
      <c r="K99" s="760">
        <f ca="1">财务分析!K101/财务分析!K100</f>
        <v>-129.23326255619037</v>
      </c>
      <c r="L99" s="761">
        <f ca="1">财务分析!L101/财务分析!L100</f>
        <v>1.0077897544781904</v>
      </c>
      <c r="M99" s="667"/>
      <c r="N99" s="667"/>
      <c r="O99" s="667"/>
      <c r="P99" s="667"/>
      <c r="Q99" s="667"/>
      <c r="R99" s="667"/>
      <c r="S99" s="667"/>
      <c r="T99" s="667"/>
      <c r="U99" s="667"/>
      <c r="V99" s="667"/>
      <c r="W99" s="667"/>
      <c r="X99" s="667"/>
      <c r="Y99" s="667"/>
      <c r="Z99" s="667"/>
      <c r="AA99" s="667"/>
      <c r="AB99" s="667"/>
      <c r="AC99" s="667"/>
      <c r="AD99" s="667"/>
      <c r="AE99" s="667"/>
      <c r="AF99" s="667"/>
      <c r="AG99" s="667"/>
      <c r="AH99" s="667"/>
      <c r="AI99" s="667"/>
      <c r="AJ99" s="667"/>
      <c r="AK99" s="667"/>
      <c r="AL99" s="667"/>
      <c r="AM99" s="667"/>
      <c r="AN99" s="667"/>
      <c r="AO99" s="667"/>
      <c r="AP99" s="667"/>
      <c r="AQ99" s="667"/>
      <c r="AR99" s="667"/>
      <c r="AS99" s="667"/>
      <c r="AT99" s="667"/>
      <c r="AU99" s="667"/>
      <c r="AV99" s="667"/>
      <c r="AW99" s="667"/>
      <c r="AX99" s="667"/>
      <c r="AY99" s="667"/>
      <c r="AZ99" s="667"/>
    </row>
    <row r="100" spans="1:52" ht="18" customHeight="1">
      <c r="A100" s="662"/>
      <c r="B100" s="650" t="s">
        <v>877</v>
      </c>
      <c r="C100" s="769">
        <f>资产负债!I75</f>
        <v>4268.5419201700006</v>
      </c>
      <c r="D100" s="770">
        <f>资产负债!J75</f>
        <v>4840.0080202999998</v>
      </c>
      <c r="E100" s="770">
        <f>资产负债!K75</f>
        <v>5026.8902150499989</v>
      </c>
      <c r="F100" s="770">
        <f>资产负债!L75</f>
        <v>5553.8888874800004</v>
      </c>
      <c r="G100" s="770">
        <f>资产负债!M75</f>
        <v>6524.9846727200002</v>
      </c>
      <c r="H100" s="771">
        <f ca="1">资产负债!N75</f>
        <v>4932.3613313766782</v>
      </c>
      <c r="I100" s="771">
        <f ca="1">资产负债!O75</f>
        <v>3286.7962828290338</v>
      </c>
      <c r="J100" s="771">
        <f ca="1">资产负债!P75</f>
        <v>1650.790092911694</v>
      </c>
      <c r="K100" s="771">
        <f ca="1">资产负债!Q75</f>
        <v>12.675641080553021</v>
      </c>
      <c r="L100" s="772">
        <f ca="1">资产负债!R75</f>
        <v>-1627.2195890181551</v>
      </c>
      <c r="M100" s="662"/>
      <c r="N100" s="662"/>
      <c r="O100" s="662"/>
      <c r="P100" s="662"/>
      <c r="Q100" s="662"/>
      <c r="R100" s="662"/>
      <c r="S100" s="662"/>
      <c r="T100" s="662"/>
      <c r="U100" s="662"/>
      <c r="V100" s="662"/>
      <c r="W100" s="662"/>
      <c r="X100" s="662"/>
      <c r="Y100" s="662"/>
      <c r="Z100" s="662"/>
      <c r="AA100" s="662"/>
      <c r="AB100" s="662"/>
      <c r="AC100" s="662"/>
      <c r="AD100" s="662"/>
      <c r="AE100" s="662"/>
      <c r="AF100" s="662"/>
      <c r="AG100" s="662"/>
      <c r="AH100" s="662"/>
      <c r="AI100" s="662"/>
      <c r="AJ100" s="662"/>
      <c r="AK100" s="662"/>
      <c r="AL100" s="662"/>
      <c r="AM100" s="662"/>
      <c r="AN100" s="662"/>
      <c r="AO100" s="662"/>
      <c r="AP100" s="662"/>
      <c r="AQ100" s="662"/>
      <c r="AR100" s="662"/>
      <c r="AS100" s="662"/>
      <c r="AT100" s="662"/>
      <c r="AU100" s="662"/>
      <c r="AV100" s="662"/>
      <c r="AW100" s="662"/>
      <c r="AX100" s="662"/>
      <c r="AY100" s="662"/>
      <c r="AZ100" s="662"/>
    </row>
    <row r="101" spans="1:52" ht="18" customHeight="1">
      <c r="A101" s="662"/>
      <c r="B101" s="650" t="s">
        <v>878</v>
      </c>
      <c r="C101" s="717">
        <f>利润表!I32</f>
        <v>647.29457495000008</v>
      </c>
      <c r="D101" s="718">
        <f>利润表!J32</f>
        <v>847.73589532000005</v>
      </c>
      <c r="E101" s="718">
        <f>利润表!K32</f>
        <v>585.19201240999996</v>
      </c>
      <c r="F101" s="718">
        <f>利润表!L32</f>
        <v>751.25749126999995</v>
      </c>
      <c r="G101" s="718">
        <f>利润表!M32</f>
        <v>957.06279530999996</v>
      </c>
      <c r="H101" s="773">
        <f ca="1">利润表!N32</f>
        <v>-1385.1762566433215</v>
      </c>
      <c r="I101" s="773">
        <f ca="1">利润表!O32</f>
        <v>-1645.565048547644</v>
      </c>
      <c r="J101" s="773">
        <f ca="1">利润表!P32</f>
        <v>-1636.00618991734</v>
      </c>
      <c r="K101" s="773">
        <f ca="1">利润表!Q32</f>
        <v>-1638.114451831141</v>
      </c>
      <c r="L101" s="774">
        <f ca="1">利润表!R32</f>
        <v>-1639.8952300987085</v>
      </c>
      <c r="M101" s="662"/>
      <c r="N101" s="662"/>
      <c r="O101" s="662"/>
      <c r="P101" s="662"/>
      <c r="Q101" s="662"/>
      <c r="R101" s="662"/>
      <c r="S101" s="662"/>
      <c r="T101" s="662"/>
      <c r="U101" s="662"/>
      <c r="V101" s="662"/>
      <c r="W101" s="662"/>
      <c r="X101" s="662"/>
      <c r="Y101" s="662"/>
      <c r="Z101" s="662"/>
      <c r="AA101" s="662"/>
      <c r="AB101" s="662"/>
      <c r="AC101" s="662"/>
      <c r="AD101" s="662"/>
      <c r="AE101" s="662"/>
      <c r="AF101" s="662"/>
      <c r="AG101" s="662"/>
      <c r="AH101" s="662"/>
      <c r="AI101" s="662"/>
      <c r="AJ101" s="662"/>
      <c r="AK101" s="662"/>
      <c r="AL101" s="662"/>
      <c r="AM101" s="662"/>
      <c r="AN101" s="662"/>
      <c r="AO101" s="662"/>
      <c r="AP101" s="662"/>
      <c r="AQ101" s="662"/>
      <c r="AR101" s="662"/>
      <c r="AS101" s="662"/>
      <c r="AT101" s="662"/>
      <c r="AU101" s="662"/>
      <c r="AV101" s="662"/>
      <c r="AW101" s="662"/>
      <c r="AX101" s="662"/>
      <c r="AY101" s="662"/>
      <c r="AZ101" s="662"/>
    </row>
    <row r="102" spans="1:52" ht="18" customHeight="1">
      <c r="A102" s="662"/>
      <c r="B102" s="682"/>
      <c r="C102" s="751"/>
      <c r="D102" s="752"/>
      <c r="E102" s="752"/>
      <c r="F102" s="752"/>
      <c r="G102" s="752"/>
      <c r="H102" s="752"/>
      <c r="I102" s="775"/>
      <c r="J102" s="775"/>
      <c r="K102" s="775"/>
      <c r="L102" s="776"/>
      <c r="M102" s="662"/>
      <c r="N102" s="662"/>
      <c r="O102" s="662"/>
      <c r="P102" s="662"/>
      <c r="Q102" s="662"/>
      <c r="R102" s="662"/>
      <c r="S102" s="662"/>
      <c r="T102" s="662"/>
      <c r="U102" s="662"/>
      <c r="V102" s="662"/>
      <c r="W102" s="662"/>
      <c r="X102" s="662"/>
      <c r="Y102" s="662"/>
      <c r="Z102" s="662"/>
      <c r="AA102" s="662"/>
      <c r="AB102" s="662"/>
      <c r="AC102" s="662"/>
      <c r="AD102" s="662"/>
      <c r="AE102" s="662"/>
      <c r="AF102" s="662"/>
      <c r="AG102" s="662"/>
      <c r="AH102" s="662"/>
      <c r="AI102" s="662"/>
      <c r="AJ102" s="662"/>
      <c r="AK102" s="662"/>
      <c r="AL102" s="662"/>
      <c r="AM102" s="662"/>
      <c r="AN102" s="662"/>
      <c r="AO102" s="662"/>
      <c r="AP102" s="662"/>
      <c r="AQ102" s="662"/>
      <c r="AR102" s="662"/>
      <c r="AS102" s="662"/>
      <c r="AT102" s="662"/>
      <c r="AU102" s="662"/>
      <c r="AV102" s="662"/>
      <c r="AW102" s="662"/>
      <c r="AX102" s="662"/>
      <c r="AY102" s="662"/>
      <c r="AZ102" s="662"/>
    </row>
    <row r="103" spans="1:52" s="668" customFormat="1" ht="18" customHeight="1">
      <c r="A103" s="667"/>
      <c r="B103" s="682" t="s">
        <v>866</v>
      </c>
      <c r="C103" s="777">
        <f>C67</f>
        <v>0.68930997308863085</v>
      </c>
      <c r="D103" s="778">
        <f>D67</f>
        <v>0.71892937839263005</v>
      </c>
      <c r="E103" s="778">
        <f>E67</f>
        <v>0.80389731766567252</v>
      </c>
      <c r="F103" s="778">
        <f>F67</f>
        <v>0.74501197960549315</v>
      </c>
      <c r="G103" s="778">
        <f>G67</f>
        <v>0.76797943732147456</v>
      </c>
      <c r="H103" s="780">
        <f ca="1">H67</f>
        <v>0.8981308028741648</v>
      </c>
      <c r="I103" s="780">
        <f ca="1">I67</f>
        <v>0.81296109782629433</v>
      </c>
      <c r="J103" s="780">
        <f ca="1">J67</f>
        <v>0.75336566964143181</v>
      </c>
      <c r="K103" s="780">
        <f ca="1">K67</f>
        <v>0.70783254440812615</v>
      </c>
      <c r="L103" s="781">
        <f ca="1">L67</f>
        <v>0.66110142699056873</v>
      </c>
      <c r="M103" s="667"/>
      <c r="N103" s="667"/>
      <c r="O103" s="667"/>
      <c r="P103" s="667"/>
      <c r="Q103" s="667"/>
      <c r="R103" s="667"/>
      <c r="S103" s="667"/>
      <c r="T103" s="667"/>
      <c r="U103" s="667"/>
      <c r="V103" s="667"/>
      <c r="W103" s="667"/>
      <c r="X103" s="667"/>
      <c r="Y103" s="667"/>
      <c r="Z103" s="667"/>
      <c r="AA103" s="667"/>
      <c r="AB103" s="667"/>
      <c r="AC103" s="667"/>
      <c r="AD103" s="667"/>
      <c r="AE103" s="667"/>
      <c r="AF103" s="667"/>
      <c r="AG103" s="667"/>
      <c r="AH103" s="667"/>
      <c r="AI103" s="667"/>
      <c r="AJ103" s="667"/>
      <c r="AK103" s="667"/>
      <c r="AL103" s="667"/>
      <c r="AM103" s="667"/>
      <c r="AN103" s="667"/>
      <c r="AO103" s="667"/>
      <c r="AP103" s="667"/>
      <c r="AQ103" s="667"/>
      <c r="AR103" s="667"/>
      <c r="AS103" s="667"/>
      <c r="AT103" s="667"/>
      <c r="AU103" s="667"/>
      <c r="AV103" s="667"/>
      <c r="AW103" s="667"/>
      <c r="AX103" s="667"/>
      <c r="AY103" s="667"/>
      <c r="AZ103" s="667"/>
    </row>
    <row r="104" spans="1:52" s="668" customFormat="1" ht="18" customHeight="1">
      <c r="A104" s="667"/>
      <c r="B104" s="779" t="s">
        <v>879</v>
      </c>
      <c r="C104" s="777">
        <f>资产负债!I39/资产负债!I75</f>
        <v>1.1327022455568245</v>
      </c>
      <c r="D104" s="778">
        <f>资产负债!J39/资产负债!J75</f>
        <v>1.1356420445289483</v>
      </c>
      <c r="E104" s="778">
        <f>资产负债!K39/资产负债!K75</f>
        <v>1.1345712114071447</v>
      </c>
      <c r="F104" s="778">
        <f>资产负债!L39/资产负债!L75</f>
        <v>1.1624139278719496</v>
      </c>
      <c r="G104" s="778">
        <f>资产负债!M39/资产负债!M75</f>
        <v>1.2728163142424578</v>
      </c>
      <c r="H104" s="780">
        <f ca="1">资产负债!N39/资产负债!N75</f>
        <v>1.4397939528470853</v>
      </c>
      <c r="I104" s="780">
        <f ca="1">资产负债!O39/资产负债!O75</f>
        <v>2.3869991800262138</v>
      </c>
      <c r="J104" s="780">
        <f ca="1">资产负债!P39/资产负债!P75</f>
        <v>5.1285800820953549</v>
      </c>
      <c r="K104" s="780">
        <f ca="1">资产负债!Q39/资产负债!Q75</f>
        <v>710.87683300388323</v>
      </c>
      <c r="L104" s="781">
        <f ca="1">资产负债!R39/资产负债!R75</f>
        <v>-5.9289878807352281</v>
      </c>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7"/>
      <c r="AL104" s="667"/>
      <c r="AM104" s="667"/>
      <c r="AN104" s="667"/>
      <c r="AO104" s="667"/>
      <c r="AP104" s="667"/>
      <c r="AQ104" s="667"/>
      <c r="AR104" s="667"/>
      <c r="AS104" s="667"/>
      <c r="AT104" s="667"/>
      <c r="AU104" s="667"/>
      <c r="AV104" s="667"/>
      <c r="AW104" s="667"/>
      <c r="AX104" s="667"/>
      <c r="AY104" s="667"/>
      <c r="AZ104" s="667"/>
    </row>
    <row r="105" spans="1:52" s="668" customFormat="1" ht="18" customHeight="1">
      <c r="A105" s="667"/>
      <c r="B105" s="650" t="s">
        <v>850</v>
      </c>
      <c r="C105" s="782">
        <f>财务分析!C49</f>
        <v>0.19421916954175772</v>
      </c>
      <c r="D105" s="783">
        <f>财务分析!D49</f>
        <v>0.21452938979518207</v>
      </c>
      <c r="E105" s="783">
        <f>财务分析!E49</f>
        <v>0.12763407929484422</v>
      </c>
      <c r="F105" s="783">
        <f>财务分析!F49</f>
        <v>0.15619515831736747</v>
      </c>
      <c r="G105" s="783">
        <f>财务分析!G49</f>
        <v>0.1500533213940877</v>
      </c>
      <c r="H105" s="784">
        <f ca="1">财务分析!H49</f>
        <v>-0.21717519377423433</v>
      </c>
      <c r="I105" s="784">
        <f ca="1">财务分析!I49</f>
        <v>-0.25800031336984219</v>
      </c>
      <c r="J105" s="784">
        <f ca="1">财务分析!J49</f>
        <v>-0.25650162541201693</v>
      </c>
      <c r="K105" s="784">
        <f ca="1">财务分析!K49</f>
        <v>-0.25683216976509887</v>
      </c>
      <c r="L105" s="785">
        <f ca="1">财务分析!L49</f>
        <v>-0.25711136951565272</v>
      </c>
      <c r="M105" s="667"/>
      <c r="N105" s="667"/>
      <c r="O105" s="667"/>
      <c r="P105" s="667"/>
      <c r="Q105" s="667"/>
      <c r="R105" s="667"/>
      <c r="S105" s="667"/>
      <c r="T105" s="667"/>
      <c r="U105" s="667"/>
      <c r="V105" s="667"/>
      <c r="W105" s="667"/>
      <c r="X105" s="667"/>
      <c r="Y105" s="667"/>
      <c r="Z105" s="667"/>
      <c r="AA105" s="667"/>
      <c r="AB105" s="667"/>
      <c r="AC105" s="667"/>
      <c r="AD105" s="667"/>
      <c r="AE105" s="667"/>
      <c r="AF105" s="667"/>
      <c r="AG105" s="667"/>
      <c r="AH105" s="667"/>
      <c r="AI105" s="667"/>
      <c r="AJ105" s="667"/>
      <c r="AK105" s="667"/>
      <c r="AL105" s="667"/>
      <c r="AM105" s="667"/>
      <c r="AN105" s="667"/>
      <c r="AO105" s="667"/>
      <c r="AP105" s="667"/>
      <c r="AQ105" s="667"/>
      <c r="AR105" s="667"/>
      <c r="AS105" s="667"/>
      <c r="AT105" s="667"/>
      <c r="AU105" s="667"/>
      <c r="AV105" s="667"/>
      <c r="AW105" s="667"/>
      <c r="AX105" s="667"/>
      <c r="AY105" s="667"/>
      <c r="AZ105" s="667"/>
    </row>
    <row r="106" spans="1:52" s="639" customFormat="1" ht="18" customHeight="1">
      <c r="A106" s="106"/>
      <c r="B106" s="682"/>
      <c r="C106" s="786"/>
      <c r="D106" s="787"/>
      <c r="E106" s="787"/>
      <c r="F106" s="787"/>
      <c r="G106" s="787"/>
      <c r="H106" s="787"/>
      <c r="I106" s="787"/>
      <c r="J106" s="787"/>
      <c r="K106" s="787"/>
      <c r="L106" s="788"/>
      <c r="M106" s="638"/>
      <c r="N106" s="638"/>
      <c r="O106" s="638"/>
      <c r="P106" s="638"/>
      <c r="Q106" s="638"/>
      <c r="R106" s="638"/>
      <c r="S106" s="638"/>
      <c r="T106" s="638"/>
      <c r="U106" s="638"/>
      <c r="V106" s="638"/>
      <c r="W106" s="638"/>
      <c r="X106" s="638"/>
      <c r="Y106" s="638"/>
      <c r="Z106" s="638"/>
      <c r="AA106" s="638"/>
      <c r="AB106" s="638"/>
      <c r="AC106" s="638"/>
      <c r="AD106" s="638"/>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row>
    <row r="107" spans="1:52" s="639" customFormat="1" ht="18" customHeight="1" thickBot="1">
      <c r="A107" s="106"/>
      <c r="B107" s="789" t="s">
        <v>715</v>
      </c>
      <c r="C107" s="790">
        <f>C99/资金成本!$C$12</f>
        <v>2.4591822943104016</v>
      </c>
      <c r="D107" s="791">
        <f>D99/资金成本!$C$12</f>
        <v>2.8404215465417009</v>
      </c>
      <c r="E107" s="791">
        <f>E99/资金成本!$C$12</f>
        <v>1.8878491819190741</v>
      </c>
      <c r="F107" s="791">
        <f>F99/资金成本!$C$12</f>
        <v>2.19361261905595</v>
      </c>
      <c r="G107" s="791">
        <f>G99/资金成本!$C$12</f>
        <v>2.3786428874808236</v>
      </c>
      <c r="H107" s="792">
        <f ca="1">H99/资金成本!$C$12</f>
        <v>-4.5542667196485072</v>
      </c>
      <c r="I107" s="792">
        <f ca="1">I99/资金成本!$C$12</f>
        <v>-8.1191501747097554</v>
      </c>
      <c r="J107" s="792">
        <f ca="1">J99/资金成本!$C$12</f>
        <v>-16.071684405060065</v>
      </c>
      <c r="K107" s="792">
        <f ca="1">K99/资金成本!$C$12</f>
        <v>-2095.7651556206274</v>
      </c>
      <c r="L107" s="793">
        <f ca="1">L99/资金成本!$C$12</f>
        <v>16.343243293950934</v>
      </c>
      <c r="M107" s="638"/>
      <c r="N107" s="638"/>
      <c r="O107" s="638"/>
      <c r="P107" s="638"/>
      <c r="Q107" s="638"/>
      <c r="R107" s="638"/>
      <c r="S107" s="638"/>
      <c r="T107" s="638"/>
      <c r="U107" s="638"/>
      <c r="V107" s="638"/>
      <c r="W107" s="638"/>
      <c r="X107" s="638"/>
      <c r="Y107" s="638"/>
      <c r="Z107" s="638"/>
      <c r="AA107" s="638"/>
      <c r="AB107" s="638"/>
      <c r="AC107" s="638"/>
      <c r="AD107" s="638"/>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row>
    <row r="108" spans="1:52" s="639" customFormat="1" ht="18" customHeight="1" thickBot="1">
      <c r="A108" s="106"/>
      <c r="B108" s="619"/>
      <c r="C108" s="767"/>
      <c r="D108" s="767"/>
      <c r="E108" s="767"/>
      <c r="F108" s="767"/>
      <c r="G108" s="767"/>
      <c r="H108" s="767"/>
      <c r="I108" s="767"/>
      <c r="J108" s="767"/>
      <c r="K108" s="767"/>
      <c r="L108" s="2352"/>
      <c r="M108" s="106"/>
      <c r="N108" s="638"/>
      <c r="O108" s="638"/>
      <c r="P108" s="638"/>
      <c r="Q108" s="638"/>
      <c r="R108" s="638"/>
      <c r="S108" s="638"/>
      <c r="T108" s="638"/>
      <c r="U108" s="638"/>
      <c r="V108" s="638"/>
      <c r="W108" s="638"/>
      <c r="X108" s="638"/>
      <c r="Y108" s="638"/>
      <c r="Z108" s="638"/>
      <c r="AA108" s="638"/>
      <c r="AB108" s="638"/>
      <c r="AC108" s="638"/>
      <c r="AD108" s="638"/>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row>
    <row r="109" spans="1:52" ht="18" customHeight="1">
      <c r="A109" s="662"/>
      <c r="B109" s="705" t="s">
        <v>880</v>
      </c>
      <c r="C109" s="794"/>
      <c r="D109" s="794"/>
      <c r="E109" s="794"/>
      <c r="F109" s="794"/>
      <c r="G109" s="794"/>
      <c r="H109" s="794"/>
      <c r="I109" s="794"/>
      <c r="J109" s="794"/>
      <c r="K109" s="794"/>
      <c r="L109" s="794"/>
      <c r="M109" s="888"/>
      <c r="N109" s="662"/>
      <c r="O109" s="662"/>
      <c r="P109" s="662"/>
      <c r="Q109" s="662"/>
      <c r="R109" s="662"/>
      <c r="S109" s="662"/>
      <c r="T109" s="662"/>
      <c r="U109" s="662"/>
      <c r="V109" s="662"/>
      <c r="W109" s="662"/>
      <c r="X109" s="662"/>
      <c r="Y109" s="662"/>
      <c r="Z109" s="662"/>
      <c r="AA109" s="662"/>
      <c r="AB109" s="662"/>
      <c r="AC109" s="662"/>
      <c r="AD109" s="662"/>
      <c r="AE109" s="662"/>
      <c r="AF109" s="662"/>
      <c r="AG109" s="662"/>
      <c r="AH109" s="662"/>
      <c r="AI109" s="662"/>
      <c r="AJ109" s="662"/>
      <c r="AK109" s="662"/>
      <c r="AL109" s="662"/>
      <c r="AM109" s="662"/>
      <c r="AN109" s="662"/>
      <c r="AO109" s="662"/>
      <c r="AP109" s="662"/>
      <c r="AQ109" s="662"/>
      <c r="AR109" s="662"/>
      <c r="AS109" s="662"/>
      <c r="AT109" s="662"/>
      <c r="AU109" s="662"/>
      <c r="AV109" s="662"/>
      <c r="AW109" s="662"/>
      <c r="AX109" s="662"/>
      <c r="AY109" s="662"/>
      <c r="AZ109" s="662"/>
    </row>
    <row r="110" spans="1:52" ht="18" customHeight="1" thickBot="1">
      <c r="A110" s="662"/>
      <c r="B110" s="796"/>
      <c r="C110" s="797">
        <f>D110-1</f>
        <v>2015</v>
      </c>
      <c r="D110" s="797">
        <f>E110-1</f>
        <v>2016</v>
      </c>
      <c r="E110" s="797">
        <f>F110-1</f>
        <v>2017</v>
      </c>
      <c r="F110" s="797">
        <f>G110-1</f>
        <v>2018</v>
      </c>
      <c r="G110" s="797">
        <f>公司说明!$B$1</f>
        <v>2019</v>
      </c>
      <c r="H110" s="745">
        <f>G111+1</f>
        <v>2020</v>
      </c>
      <c r="I110" s="745">
        <f>H110+1</f>
        <v>2021</v>
      </c>
      <c r="J110" s="745">
        <f>I110+1</f>
        <v>2022</v>
      </c>
      <c r="K110" s="745">
        <f>J110+1</f>
        <v>2023</v>
      </c>
      <c r="L110" s="2353">
        <f>K110+1</f>
        <v>2024</v>
      </c>
      <c r="M110" s="888"/>
      <c r="N110" s="662"/>
      <c r="O110" s="662"/>
      <c r="P110" s="662"/>
      <c r="Q110" s="662"/>
      <c r="R110" s="662"/>
      <c r="S110" s="662"/>
      <c r="T110" s="662"/>
      <c r="U110" s="662"/>
      <c r="V110" s="662"/>
      <c r="W110" s="662"/>
      <c r="X110" s="662"/>
      <c r="Y110" s="662"/>
      <c r="Z110" s="662"/>
      <c r="AA110" s="662"/>
      <c r="AB110" s="662"/>
      <c r="AC110" s="662"/>
      <c r="AD110" s="662"/>
      <c r="AE110" s="662"/>
      <c r="AF110" s="662"/>
      <c r="AG110" s="662"/>
      <c r="AH110" s="662"/>
      <c r="AI110" s="662"/>
      <c r="AJ110" s="662"/>
      <c r="AK110" s="662"/>
      <c r="AL110" s="662"/>
      <c r="AM110" s="662"/>
      <c r="AN110" s="662"/>
      <c r="AO110" s="662"/>
      <c r="AP110" s="662"/>
      <c r="AQ110" s="662"/>
      <c r="AR110" s="662"/>
      <c r="AS110" s="662"/>
      <c r="AT110" s="662"/>
      <c r="AU110" s="662"/>
      <c r="AV110" s="662"/>
      <c r="AW110" s="662"/>
      <c r="AX110" s="662"/>
      <c r="AY110" s="662"/>
      <c r="AZ110" s="662"/>
    </row>
    <row r="111" spans="1:52" ht="18" customHeight="1">
      <c r="A111" s="662"/>
      <c r="B111" s="798" t="s">
        <v>881</v>
      </c>
      <c r="C111" s="747">
        <f>利润表!I3</f>
        <v>2015</v>
      </c>
      <c r="D111" s="748">
        <f>利润表!J3</f>
        <v>2016</v>
      </c>
      <c r="E111" s="748">
        <f>利润表!K3</f>
        <v>2017</v>
      </c>
      <c r="F111" s="748">
        <f>利润表!L3</f>
        <v>2018</v>
      </c>
      <c r="G111" s="748">
        <f>利润表!M3</f>
        <v>2019</v>
      </c>
      <c r="H111" s="748" t="str">
        <f>利润表!N3</f>
        <v>2020E</v>
      </c>
      <c r="I111" s="748" t="str">
        <f>利润表!O3</f>
        <v>2021E</v>
      </c>
      <c r="J111" s="748" t="str">
        <f>利润表!P3</f>
        <v>2022E</v>
      </c>
      <c r="K111" s="748" t="str">
        <f>利润表!Q3</f>
        <v>2023E</v>
      </c>
      <c r="L111" s="2354" t="str">
        <f>利润表!R3</f>
        <v>2024E</v>
      </c>
      <c r="M111" s="888"/>
      <c r="N111" s="662"/>
      <c r="O111" s="662"/>
      <c r="P111" s="662"/>
      <c r="Q111" s="662"/>
      <c r="R111" s="662"/>
      <c r="S111" s="662"/>
      <c r="T111" s="662"/>
      <c r="U111" s="662"/>
      <c r="V111" s="662"/>
      <c r="W111" s="662"/>
      <c r="X111" s="662"/>
      <c r="Y111" s="662"/>
      <c r="Z111" s="662"/>
      <c r="AA111" s="662"/>
      <c r="AB111" s="662"/>
      <c r="AC111" s="662"/>
      <c r="AD111" s="662"/>
      <c r="AE111" s="662"/>
      <c r="AF111" s="662"/>
      <c r="AG111" s="662"/>
      <c r="AH111" s="662"/>
      <c r="AI111" s="662"/>
      <c r="AJ111" s="662"/>
      <c r="AK111" s="662"/>
      <c r="AL111" s="662"/>
      <c r="AM111" s="662"/>
      <c r="AN111" s="662"/>
      <c r="AO111" s="662"/>
      <c r="AP111" s="662"/>
      <c r="AQ111" s="662"/>
      <c r="AR111" s="662"/>
      <c r="AS111" s="662"/>
      <c r="AT111" s="662"/>
      <c r="AU111" s="662"/>
      <c r="AV111" s="662"/>
      <c r="AW111" s="662"/>
      <c r="AX111" s="662"/>
      <c r="AY111" s="662"/>
      <c r="AZ111" s="662"/>
    </row>
    <row r="112" spans="1:52" ht="18" customHeight="1">
      <c r="A112" s="662"/>
      <c r="B112" s="750"/>
      <c r="C112" s="799"/>
      <c r="D112" s="719"/>
      <c r="E112" s="719"/>
      <c r="F112" s="719"/>
      <c r="G112" s="719"/>
      <c r="H112" s="719"/>
      <c r="I112" s="719"/>
      <c r="J112" s="719"/>
      <c r="K112" s="719"/>
      <c r="L112" s="2355"/>
      <c r="M112" s="888"/>
      <c r="N112" s="662"/>
      <c r="O112" s="662"/>
      <c r="P112" s="662"/>
      <c r="Q112" s="662"/>
      <c r="R112" s="662"/>
      <c r="S112" s="662"/>
      <c r="T112" s="662"/>
      <c r="U112" s="662"/>
      <c r="V112" s="662"/>
      <c r="W112" s="662"/>
      <c r="X112" s="662"/>
      <c r="Y112" s="662"/>
      <c r="Z112" s="662"/>
      <c r="AA112" s="662"/>
      <c r="AB112" s="662"/>
      <c r="AC112" s="662"/>
      <c r="AD112" s="662"/>
      <c r="AE112" s="662"/>
      <c r="AF112" s="662"/>
      <c r="AG112" s="662"/>
      <c r="AH112" s="662"/>
      <c r="AI112" s="662"/>
      <c r="AJ112" s="662"/>
      <c r="AK112" s="662"/>
      <c r="AL112" s="662"/>
      <c r="AM112" s="662"/>
      <c r="AN112" s="662"/>
      <c r="AO112" s="662"/>
      <c r="AP112" s="662"/>
      <c r="AQ112" s="662"/>
      <c r="AR112" s="662"/>
      <c r="AS112" s="662"/>
      <c r="AT112" s="662"/>
      <c r="AU112" s="662"/>
      <c r="AV112" s="662"/>
      <c r="AW112" s="662"/>
      <c r="AX112" s="662"/>
      <c r="AY112" s="662"/>
      <c r="AZ112" s="662"/>
    </row>
    <row r="113" spans="1:52" ht="18" customHeight="1">
      <c r="A113" s="662"/>
      <c r="B113" s="800" t="s">
        <v>882</v>
      </c>
      <c r="C113" s="801">
        <f t="shared" ref="C113:L113" si="28">SUM(C114:C116)</f>
        <v>3464.2395847100001</v>
      </c>
      <c r="D113" s="802">
        <f t="shared" si="28"/>
        <v>4194.6325129500001</v>
      </c>
      <c r="E113" s="802">
        <f t="shared" si="28"/>
        <v>4181.6236365399991</v>
      </c>
      <c r="F113" s="802">
        <f t="shared" si="28"/>
        <v>4519.2170975299996</v>
      </c>
      <c r="G113" s="802">
        <f t="shared" si="28"/>
        <v>4186.5173074499999</v>
      </c>
      <c r="H113" s="803">
        <f t="shared" ca="1" si="28"/>
        <v>3846.398847192273</v>
      </c>
      <c r="I113" s="803">
        <f t="shared" ca="1" si="28"/>
        <v>3986.9077018647777</v>
      </c>
      <c r="J113" s="803">
        <f t="shared" ca="1" si="28"/>
        <v>4004.0497008852562</v>
      </c>
      <c r="K113" s="803">
        <f t="shared" ca="1" si="28"/>
        <v>3945.1729391147865</v>
      </c>
      <c r="L113" s="2288">
        <f t="shared" ca="1" si="28"/>
        <v>3978.6314148802676</v>
      </c>
      <c r="M113" s="888"/>
      <c r="N113" s="662"/>
      <c r="O113" s="662"/>
      <c r="P113" s="662"/>
      <c r="Q113" s="662"/>
      <c r="R113" s="662"/>
      <c r="S113" s="662"/>
      <c r="T113" s="662"/>
      <c r="U113" s="662"/>
      <c r="V113" s="662"/>
      <c r="W113" s="662"/>
      <c r="X113" s="662"/>
      <c r="Y113" s="662"/>
      <c r="Z113" s="662"/>
      <c r="AA113" s="662"/>
      <c r="AB113" s="662"/>
      <c r="AC113" s="662"/>
      <c r="AD113" s="662"/>
      <c r="AE113" s="662"/>
      <c r="AF113" s="662"/>
      <c r="AG113" s="662"/>
      <c r="AH113" s="662"/>
      <c r="AI113" s="662"/>
      <c r="AJ113" s="662"/>
      <c r="AK113" s="662"/>
      <c r="AL113" s="662"/>
      <c r="AM113" s="662"/>
      <c r="AN113" s="662"/>
      <c r="AO113" s="662"/>
      <c r="AP113" s="662"/>
      <c r="AQ113" s="662"/>
      <c r="AR113" s="662"/>
      <c r="AS113" s="662"/>
      <c r="AT113" s="662"/>
      <c r="AU113" s="662"/>
      <c r="AV113" s="662"/>
      <c r="AW113" s="662"/>
      <c r="AX113" s="662"/>
      <c r="AY113" s="662"/>
      <c r="AZ113" s="662"/>
    </row>
    <row r="114" spans="1:52" ht="18" customHeight="1">
      <c r="A114" s="662"/>
      <c r="B114" s="779" t="s">
        <v>883</v>
      </c>
      <c r="C114" s="801">
        <f>资产负债!I7</f>
        <v>1634.33176303</v>
      </c>
      <c r="D114" s="802">
        <f>资产负债!J7</f>
        <v>2137.78180449</v>
      </c>
      <c r="E114" s="802">
        <f>资产负债!K7</f>
        <v>2511.3960870700002</v>
      </c>
      <c r="F114" s="802">
        <f>资产负债!L7</f>
        <v>2808.4926688400001</v>
      </c>
      <c r="G114" s="802">
        <f>资产负债!M7</f>
        <v>3134.4389875899997</v>
      </c>
      <c r="H114" s="803">
        <f>资产负债!N7</f>
        <v>2980.7602065722731</v>
      </c>
      <c r="I114" s="803">
        <f>资产负债!O7</f>
        <v>3039.9996469481107</v>
      </c>
      <c r="J114" s="803">
        <f>资产负债!P7</f>
        <v>3049.1746957530345</v>
      </c>
      <c r="K114" s="803">
        <f>资产负债!Q7</f>
        <v>3022.6990388918239</v>
      </c>
      <c r="L114" s="2288">
        <f>资产负债!R7</f>
        <v>3037.2124281229826</v>
      </c>
      <c r="M114" s="888"/>
      <c r="N114" s="662"/>
      <c r="O114" s="662"/>
      <c r="P114" s="662"/>
      <c r="Q114" s="662"/>
      <c r="R114" s="662"/>
      <c r="S114" s="662"/>
      <c r="T114" s="662"/>
      <c r="U114" s="662"/>
      <c r="V114" s="662"/>
      <c r="W114" s="662"/>
      <c r="X114" s="662"/>
      <c r="Y114" s="662"/>
      <c r="Z114" s="662"/>
      <c r="AA114" s="662"/>
      <c r="AB114" s="662"/>
      <c r="AC114" s="662"/>
      <c r="AD114" s="662"/>
      <c r="AE114" s="662"/>
      <c r="AF114" s="662"/>
      <c r="AG114" s="662"/>
      <c r="AH114" s="662"/>
      <c r="AI114" s="662"/>
      <c r="AJ114" s="662"/>
      <c r="AK114" s="662"/>
      <c r="AL114" s="662"/>
      <c r="AM114" s="662"/>
      <c r="AN114" s="662"/>
      <c r="AO114" s="662"/>
      <c r="AP114" s="662"/>
      <c r="AQ114" s="662"/>
      <c r="AR114" s="662"/>
      <c r="AS114" s="662"/>
      <c r="AT114" s="662"/>
      <c r="AU114" s="662"/>
      <c r="AV114" s="662"/>
      <c r="AW114" s="662"/>
      <c r="AX114" s="662"/>
      <c r="AY114" s="662"/>
      <c r="AZ114" s="662"/>
    </row>
    <row r="115" spans="1:52" ht="18" customHeight="1">
      <c r="A115" s="662"/>
      <c r="B115" s="779" t="s">
        <v>885</v>
      </c>
      <c r="C115" s="805">
        <f>资产负债!I13</f>
        <v>438.15737182999999</v>
      </c>
      <c r="D115" s="802">
        <f>资产负债!J13</f>
        <v>477.89344679000004</v>
      </c>
      <c r="E115" s="802">
        <f>资产负债!K13</f>
        <v>478.93054676999998</v>
      </c>
      <c r="F115" s="802">
        <f>资产负债!L13</f>
        <v>780.10735330999989</v>
      </c>
      <c r="G115" s="802">
        <f>资产负债!M13</f>
        <v>909.17846889999998</v>
      </c>
      <c r="H115" s="803">
        <f>资产负债!N13</f>
        <v>722.73878965999995</v>
      </c>
      <c r="I115" s="803">
        <f>资产负债!O13</f>
        <v>804.00820395666653</v>
      </c>
      <c r="J115" s="803">
        <f>资产负债!P13</f>
        <v>811.97515417222212</v>
      </c>
      <c r="K115" s="803">
        <f>资产负债!Q13</f>
        <v>779.57404926296294</v>
      </c>
      <c r="L115" s="2356">
        <f>资产负债!R13</f>
        <v>798.51913579728387</v>
      </c>
      <c r="M115" s="888"/>
      <c r="N115" s="662"/>
      <c r="O115" s="662"/>
      <c r="P115" s="662"/>
      <c r="Q115" s="662"/>
      <c r="R115" s="662"/>
      <c r="S115" s="662"/>
      <c r="T115" s="662"/>
      <c r="U115" s="662"/>
      <c r="V115" s="662"/>
      <c r="W115" s="662"/>
      <c r="X115" s="662"/>
      <c r="Y115" s="662"/>
      <c r="Z115" s="662"/>
      <c r="AA115" s="662"/>
      <c r="AB115" s="662"/>
      <c r="AC115" s="662"/>
      <c r="AD115" s="662"/>
      <c r="AE115" s="662"/>
      <c r="AF115" s="662"/>
      <c r="AG115" s="662"/>
      <c r="AH115" s="662"/>
      <c r="AI115" s="662"/>
      <c r="AJ115" s="662"/>
      <c r="AK115" s="662"/>
      <c r="AL115" s="662"/>
      <c r="AM115" s="662"/>
      <c r="AN115" s="662"/>
      <c r="AO115" s="662"/>
      <c r="AP115" s="662"/>
      <c r="AQ115" s="662"/>
      <c r="AR115" s="662"/>
      <c r="AS115" s="662"/>
      <c r="AT115" s="662"/>
      <c r="AU115" s="662"/>
      <c r="AV115" s="662"/>
      <c r="AW115" s="662"/>
      <c r="AX115" s="662"/>
      <c r="AY115" s="662"/>
      <c r="AZ115" s="662"/>
    </row>
    <row r="116" spans="1:52" s="639" customFormat="1" ht="18" customHeight="1">
      <c r="A116" s="638"/>
      <c r="B116" s="99" t="s">
        <v>1218</v>
      </c>
      <c r="C116" s="801">
        <f>资产负债!I17-资产负债!I4-资产负债!I5-资产负债!I6-资产负债!I7-资产负债!I13</f>
        <v>1391.7504498500002</v>
      </c>
      <c r="D116" s="802">
        <f>资产负债!J17-资产负债!J4-资产负债!J5-资产负债!J6-资产负债!J7-资产负债!J13</f>
        <v>1578.95726167</v>
      </c>
      <c r="E116" s="802">
        <f>资产负债!K17-资产负债!K4-资产负债!K5-资产负债!K6-资产负债!K7-资产负债!K13</f>
        <v>1191.2970026999988</v>
      </c>
      <c r="F116" s="802">
        <f>资产负债!L17-资产负债!L4-资产负债!L5-资产负债!L6-资产负债!L7-资产负债!L13</f>
        <v>930.61707537999962</v>
      </c>
      <c r="G116" s="802">
        <f>资产负债!M17-资产负债!M4-资产负债!M5-资产负债!M6-资产负债!M7-资产负债!M13</f>
        <v>142.89985096000021</v>
      </c>
      <c r="H116" s="803">
        <f ca="1">资产负债!N17-资产负债!N4-资产负债!N5-资产负债!N6-资产负债!N7-资产负债!N13</f>
        <v>142.89985095999998</v>
      </c>
      <c r="I116" s="803">
        <f ca="1">资产负债!O17-资产负债!O4-资产负债!O5-资产负债!O6-资产负债!O7-资产负债!O13</f>
        <v>142.89985096000044</v>
      </c>
      <c r="J116" s="803">
        <f ca="1">资产负债!P17-资产负债!P4-资产负债!P5-资产负债!P6-资产负债!P7-资产负债!P13</f>
        <v>142.89985095999964</v>
      </c>
      <c r="K116" s="803">
        <f ca="1">资产负债!Q17-资产负债!Q4-资产负债!Q5-资产负债!Q6-资产负债!Q7-资产负债!Q13</f>
        <v>142.89985095999964</v>
      </c>
      <c r="L116" s="2288">
        <f ca="1">资产负债!R17-资产负债!R4-资产负债!R5-资产负债!R6-资产负债!R7-资产负债!R13</f>
        <v>142.89985096000112</v>
      </c>
      <c r="M116" s="2346"/>
      <c r="N116" s="638"/>
      <c r="O116" s="638"/>
      <c r="P116" s="638"/>
      <c r="Q116" s="638"/>
      <c r="R116" s="638"/>
      <c r="S116" s="638"/>
      <c r="T116" s="638"/>
      <c r="U116" s="638"/>
      <c r="V116" s="638"/>
      <c r="W116" s="638"/>
      <c r="X116" s="638"/>
      <c r="Y116" s="638"/>
      <c r="Z116" s="638"/>
      <c r="AA116" s="638"/>
      <c r="AB116" s="638"/>
      <c r="AC116" s="638"/>
      <c r="AD116" s="638"/>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row>
    <row r="117" spans="1:52" ht="18" customHeight="1">
      <c r="A117" s="662"/>
      <c r="B117" s="800"/>
      <c r="C117" s="806"/>
      <c r="D117" s="803"/>
      <c r="E117" s="803"/>
      <c r="F117" s="803"/>
      <c r="G117" s="803"/>
      <c r="H117" s="803"/>
      <c r="I117" s="803"/>
      <c r="J117" s="803"/>
      <c r="K117" s="803"/>
      <c r="L117" s="2356"/>
      <c r="M117" s="888"/>
      <c r="N117" s="662"/>
      <c r="O117" s="662"/>
      <c r="P117" s="662"/>
      <c r="Q117" s="662"/>
      <c r="R117" s="662"/>
      <c r="S117" s="662"/>
      <c r="T117" s="662"/>
      <c r="U117" s="662"/>
      <c r="V117" s="662"/>
      <c r="W117" s="662"/>
      <c r="X117" s="662"/>
      <c r="Y117" s="662"/>
      <c r="Z117" s="662"/>
      <c r="AA117" s="662"/>
      <c r="AB117" s="662"/>
      <c r="AC117" s="662"/>
      <c r="AD117" s="662"/>
      <c r="AE117" s="662"/>
      <c r="AF117" s="662"/>
      <c r="AG117" s="662"/>
      <c r="AH117" s="662"/>
      <c r="AI117" s="662"/>
      <c r="AJ117" s="662"/>
      <c r="AK117" s="662"/>
      <c r="AL117" s="662"/>
      <c r="AM117" s="662"/>
      <c r="AN117" s="662"/>
      <c r="AO117" s="662"/>
      <c r="AP117" s="662"/>
      <c r="AQ117" s="662"/>
      <c r="AR117" s="662"/>
      <c r="AS117" s="662"/>
      <c r="AT117" s="662"/>
      <c r="AU117" s="662"/>
      <c r="AV117" s="662"/>
      <c r="AW117" s="662"/>
      <c r="AX117" s="662"/>
      <c r="AY117" s="662"/>
      <c r="AZ117" s="662"/>
    </row>
    <row r="118" spans="1:52" ht="18" customHeight="1">
      <c r="A118" s="662"/>
      <c r="B118" s="800" t="s">
        <v>887</v>
      </c>
      <c r="C118" s="805">
        <f t="shared" ref="C118:L118" si="29">SUM(C119:C120)</f>
        <v>547.36174116999996</v>
      </c>
      <c r="D118" s="802">
        <f t="shared" si="29"/>
        <v>638.32523658000002</v>
      </c>
      <c r="E118" s="802">
        <f t="shared" si="29"/>
        <v>660.12886288999994</v>
      </c>
      <c r="F118" s="802">
        <f t="shared" si="29"/>
        <v>864.97369122999999</v>
      </c>
      <c r="G118" s="802">
        <f t="shared" si="29"/>
        <v>839.28659548000007</v>
      </c>
      <c r="H118" s="803">
        <f t="shared" ca="1" si="29"/>
        <v>839.28659547999996</v>
      </c>
      <c r="I118" s="803">
        <f t="shared" ca="1" si="29"/>
        <v>839.28659547999996</v>
      </c>
      <c r="J118" s="803">
        <f t="shared" ca="1" si="29"/>
        <v>839.28659548000041</v>
      </c>
      <c r="K118" s="803">
        <f t="shared" ca="1" si="29"/>
        <v>839.28659548000041</v>
      </c>
      <c r="L118" s="2356">
        <f t="shared" ca="1" si="29"/>
        <v>839.28659547999951</v>
      </c>
      <c r="M118" s="888"/>
      <c r="N118" s="662"/>
      <c r="O118" s="662"/>
      <c r="P118" s="662"/>
      <c r="Q118" s="662"/>
      <c r="R118" s="662"/>
      <c r="S118" s="662"/>
      <c r="T118" s="662"/>
      <c r="U118" s="662"/>
      <c r="V118" s="662"/>
      <c r="W118" s="662"/>
      <c r="X118" s="662"/>
      <c r="Y118" s="662"/>
      <c r="Z118" s="662"/>
      <c r="AA118" s="662"/>
      <c r="AB118" s="662"/>
      <c r="AC118" s="662"/>
      <c r="AD118" s="662"/>
      <c r="AE118" s="662"/>
      <c r="AF118" s="662"/>
      <c r="AG118" s="662"/>
      <c r="AH118" s="662"/>
      <c r="AI118" s="662"/>
      <c r="AJ118" s="662"/>
      <c r="AK118" s="662"/>
      <c r="AL118" s="662"/>
      <c r="AM118" s="662"/>
      <c r="AN118" s="662"/>
      <c r="AO118" s="662"/>
      <c r="AP118" s="662"/>
      <c r="AQ118" s="662"/>
      <c r="AR118" s="662"/>
      <c r="AS118" s="662"/>
      <c r="AT118" s="662"/>
      <c r="AU118" s="662"/>
      <c r="AV118" s="662"/>
      <c r="AW118" s="662"/>
      <c r="AX118" s="662"/>
      <c r="AY118" s="662"/>
      <c r="AZ118" s="662"/>
    </row>
    <row r="119" spans="1:52" ht="18" customHeight="1">
      <c r="A119" s="662"/>
      <c r="B119" s="779" t="s">
        <v>888</v>
      </c>
      <c r="C119" s="805">
        <f>资产负债!I45</f>
        <v>519.87802891000001</v>
      </c>
      <c r="D119" s="802">
        <f>资产负债!J45</f>
        <v>569.5903721200001</v>
      </c>
      <c r="E119" s="802">
        <f>资产负债!K45</f>
        <v>639.04140025000015</v>
      </c>
      <c r="F119" s="802">
        <f>资产负债!L45</f>
        <v>795.23880104999989</v>
      </c>
      <c r="G119" s="802">
        <f>资产负债!M45</f>
        <v>799.48492441000008</v>
      </c>
      <c r="H119" s="803">
        <f>资产负债!N45</f>
        <v>799.48492441000008</v>
      </c>
      <c r="I119" s="803">
        <f>资产负债!O45</f>
        <v>799.48492441000008</v>
      </c>
      <c r="J119" s="803">
        <f>资产负债!P45</f>
        <v>799.48492441000008</v>
      </c>
      <c r="K119" s="803">
        <f>资产负债!Q45</f>
        <v>799.48492441000008</v>
      </c>
      <c r="L119" s="2356">
        <f>资产负债!R45</f>
        <v>799.48492441000008</v>
      </c>
      <c r="M119" s="888"/>
      <c r="N119" s="662"/>
      <c r="O119" s="662"/>
      <c r="P119" s="662"/>
      <c r="Q119" s="662"/>
      <c r="R119" s="662"/>
      <c r="S119" s="662"/>
      <c r="T119" s="662"/>
      <c r="U119" s="662"/>
      <c r="V119" s="662"/>
      <c r="W119" s="662"/>
      <c r="X119" s="662"/>
      <c r="Y119" s="662"/>
      <c r="Z119" s="662"/>
      <c r="AA119" s="662"/>
      <c r="AB119" s="662"/>
      <c r="AC119" s="662"/>
      <c r="AD119" s="662"/>
      <c r="AE119" s="662"/>
      <c r="AF119" s="662"/>
      <c r="AG119" s="662"/>
      <c r="AH119" s="662"/>
      <c r="AI119" s="662"/>
      <c r="AJ119" s="662"/>
      <c r="AK119" s="662"/>
      <c r="AL119" s="662"/>
      <c r="AM119" s="662"/>
      <c r="AN119" s="662"/>
      <c r="AO119" s="662"/>
      <c r="AP119" s="662"/>
      <c r="AQ119" s="662"/>
      <c r="AR119" s="662"/>
      <c r="AS119" s="662"/>
      <c r="AT119" s="662"/>
      <c r="AU119" s="662"/>
      <c r="AV119" s="662"/>
      <c r="AW119" s="662"/>
      <c r="AX119" s="662"/>
      <c r="AY119" s="662"/>
      <c r="AZ119" s="662"/>
    </row>
    <row r="120" spans="1:52" s="639" customFormat="1" ht="18" customHeight="1">
      <c r="A120" s="638"/>
      <c r="B120" s="650" t="s">
        <v>1219</v>
      </c>
      <c r="C120" s="801">
        <f>资产负债!I54-资产负债!I41-资产负债!I44-资产负债!I45</f>
        <v>27.483712259999947</v>
      </c>
      <c r="D120" s="802">
        <f>资产负债!J54-资产负债!J41-资产负债!J44-资产负债!J45</f>
        <v>68.734864459999926</v>
      </c>
      <c r="E120" s="802">
        <f>资产负债!K54-资产负债!K41-资产负债!K44-资产负债!K45</f>
        <v>21.087462639999785</v>
      </c>
      <c r="F120" s="802">
        <f>资产负债!L54-资产负债!L41-资产负债!L44-资产负债!L45</f>
        <v>69.734890180000093</v>
      </c>
      <c r="G120" s="802">
        <f>资产负债!M54-资产负债!M41-资产负债!M44-资产负债!M45</f>
        <v>39.801671069999998</v>
      </c>
      <c r="H120" s="803">
        <f ca="1">资产负债!N54-资产负债!N41-资产负债!N44-资产负债!N45</f>
        <v>39.801671069999884</v>
      </c>
      <c r="I120" s="803">
        <f ca="1">资产负债!O54-资产负债!O41-资产负债!O44-资产负债!O45</f>
        <v>39.801671069999884</v>
      </c>
      <c r="J120" s="803">
        <f ca="1">资产负债!P54-资产负债!P41-资产负债!P44-资产负债!P45</f>
        <v>39.801671070000339</v>
      </c>
      <c r="K120" s="803">
        <f ca="1">资产负债!Q54-资产负债!Q41-资产负债!Q44-资产负债!Q45</f>
        <v>39.801671070000339</v>
      </c>
      <c r="L120" s="2288">
        <f ca="1">资产负债!R54-资产负债!R41-资产负债!R44-资产负债!R45</f>
        <v>39.801671069999429</v>
      </c>
      <c r="M120" s="2346"/>
      <c r="N120" s="638"/>
      <c r="O120" s="638"/>
      <c r="P120" s="638"/>
      <c r="Q120" s="638"/>
      <c r="R120" s="638"/>
      <c r="S120" s="638"/>
      <c r="T120" s="638"/>
      <c r="U120" s="638"/>
      <c r="V120" s="638"/>
      <c r="W120" s="638"/>
      <c r="X120" s="638"/>
      <c r="Y120" s="638"/>
      <c r="Z120" s="638"/>
      <c r="AA120" s="638"/>
      <c r="AB120" s="638"/>
      <c r="AC120" s="638"/>
      <c r="AD120" s="638"/>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row>
    <row r="121" spans="1:52" ht="18" customHeight="1">
      <c r="A121" s="662"/>
      <c r="B121" s="800"/>
      <c r="C121" s="806"/>
      <c r="D121" s="803"/>
      <c r="E121" s="803"/>
      <c r="F121" s="803"/>
      <c r="G121" s="803"/>
      <c r="H121" s="803"/>
      <c r="I121" s="803"/>
      <c r="J121" s="803"/>
      <c r="K121" s="803"/>
      <c r="L121" s="2356"/>
      <c r="M121" s="888"/>
      <c r="N121" s="662"/>
      <c r="O121" s="662"/>
      <c r="P121" s="662"/>
      <c r="Q121" s="662"/>
      <c r="R121" s="662"/>
      <c r="S121" s="662"/>
      <c r="T121" s="662"/>
      <c r="U121" s="662"/>
      <c r="V121" s="662"/>
      <c r="W121" s="662"/>
      <c r="X121" s="662"/>
      <c r="Y121" s="662"/>
      <c r="Z121" s="662"/>
      <c r="AA121" s="662"/>
      <c r="AB121" s="662"/>
      <c r="AC121" s="662"/>
      <c r="AD121" s="662"/>
      <c r="AE121" s="662"/>
      <c r="AF121" s="662"/>
      <c r="AG121" s="662"/>
      <c r="AH121" s="662"/>
      <c r="AI121" s="662"/>
      <c r="AJ121" s="662"/>
      <c r="AK121" s="662"/>
      <c r="AL121" s="662"/>
      <c r="AM121" s="662"/>
      <c r="AN121" s="662"/>
      <c r="AO121" s="662"/>
      <c r="AP121" s="662"/>
      <c r="AQ121" s="662"/>
      <c r="AR121" s="662"/>
      <c r="AS121" s="662"/>
      <c r="AT121" s="662"/>
      <c r="AU121" s="662"/>
      <c r="AV121" s="662"/>
      <c r="AW121" s="662"/>
      <c r="AX121" s="662"/>
      <c r="AY121" s="662"/>
      <c r="AZ121" s="662"/>
    </row>
    <row r="122" spans="1:52" ht="18" customHeight="1">
      <c r="A122" s="662"/>
      <c r="B122" s="800" t="s">
        <v>890</v>
      </c>
      <c r="C122" s="805">
        <f t="shared" ref="C122:L122" si="30">C113-C118</f>
        <v>2916.87784354</v>
      </c>
      <c r="D122" s="802">
        <f t="shared" si="30"/>
        <v>3556.3072763700002</v>
      </c>
      <c r="E122" s="802">
        <f t="shared" si="30"/>
        <v>3521.4947736499989</v>
      </c>
      <c r="F122" s="802">
        <f t="shared" si="30"/>
        <v>3654.2434062999996</v>
      </c>
      <c r="G122" s="802">
        <f t="shared" si="30"/>
        <v>3347.2307119699999</v>
      </c>
      <c r="H122" s="803">
        <f t="shared" ca="1" si="30"/>
        <v>3007.1122517122731</v>
      </c>
      <c r="I122" s="803">
        <f t="shared" ca="1" si="30"/>
        <v>3147.6211063847777</v>
      </c>
      <c r="J122" s="803">
        <f t="shared" ca="1" si="30"/>
        <v>3164.7631054052558</v>
      </c>
      <c r="K122" s="803">
        <f t="shared" ca="1" si="30"/>
        <v>3105.886343634786</v>
      </c>
      <c r="L122" s="2356">
        <f t="shared" ca="1" si="30"/>
        <v>3139.3448194002681</v>
      </c>
      <c r="M122" s="888"/>
      <c r="N122" s="662"/>
      <c r="O122" s="662"/>
      <c r="P122" s="662"/>
      <c r="Q122" s="662"/>
      <c r="R122" s="662"/>
      <c r="S122" s="662"/>
      <c r="T122" s="662"/>
      <c r="U122" s="662"/>
      <c r="V122" s="662"/>
      <c r="W122" s="662"/>
      <c r="X122" s="662"/>
      <c r="Y122" s="662"/>
      <c r="Z122" s="662"/>
      <c r="AA122" s="662"/>
      <c r="AB122" s="662"/>
      <c r="AC122" s="662"/>
      <c r="AD122" s="662"/>
      <c r="AE122" s="662"/>
      <c r="AF122" s="662"/>
      <c r="AG122" s="662"/>
      <c r="AH122" s="662"/>
      <c r="AI122" s="662"/>
      <c r="AJ122" s="662"/>
      <c r="AK122" s="662"/>
      <c r="AL122" s="662"/>
      <c r="AM122" s="662"/>
      <c r="AN122" s="662"/>
      <c r="AO122" s="662"/>
      <c r="AP122" s="662"/>
      <c r="AQ122" s="662"/>
      <c r="AR122" s="662"/>
      <c r="AS122" s="662"/>
      <c r="AT122" s="662"/>
      <c r="AU122" s="662"/>
      <c r="AV122" s="662"/>
      <c r="AW122" s="662"/>
      <c r="AX122" s="662"/>
      <c r="AY122" s="662"/>
      <c r="AZ122" s="662"/>
    </row>
    <row r="123" spans="1:52" ht="18" customHeight="1">
      <c r="A123" s="662"/>
      <c r="B123" s="800"/>
      <c r="C123" s="806"/>
      <c r="D123" s="803"/>
      <c r="E123" s="803"/>
      <c r="F123" s="803"/>
      <c r="G123" s="803"/>
      <c r="H123" s="803"/>
      <c r="I123" s="803"/>
      <c r="J123" s="803"/>
      <c r="K123" s="803"/>
      <c r="L123" s="2356"/>
      <c r="M123" s="888"/>
      <c r="N123" s="662"/>
      <c r="O123" s="662"/>
      <c r="P123" s="662"/>
      <c r="Q123" s="662"/>
      <c r="R123" s="662"/>
      <c r="S123" s="662"/>
      <c r="T123" s="662"/>
      <c r="U123" s="662"/>
      <c r="V123" s="662"/>
      <c r="W123" s="662"/>
      <c r="X123" s="662"/>
      <c r="Y123" s="662"/>
      <c r="Z123" s="662"/>
      <c r="AA123" s="662"/>
      <c r="AB123" s="662"/>
      <c r="AC123" s="662"/>
      <c r="AD123" s="662"/>
      <c r="AE123" s="662"/>
      <c r="AF123" s="662"/>
      <c r="AG123" s="662"/>
      <c r="AH123" s="662"/>
      <c r="AI123" s="662"/>
      <c r="AJ123" s="662"/>
      <c r="AK123" s="662"/>
      <c r="AL123" s="662"/>
      <c r="AM123" s="662"/>
      <c r="AN123" s="662"/>
      <c r="AO123" s="662"/>
      <c r="AP123" s="662"/>
      <c r="AQ123" s="662"/>
      <c r="AR123" s="662"/>
      <c r="AS123" s="662"/>
      <c r="AT123" s="662"/>
      <c r="AU123" s="662"/>
      <c r="AV123" s="662"/>
      <c r="AW123" s="662"/>
      <c r="AX123" s="662"/>
      <c r="AY123" s="662"/>
      <c r="AZ123" s="662"/>
    </row>
    <row r="124" spans="1:52" ht="18" customHeight="1">
      <c r="A124" s="662"/>
      <c r="B124" s="800" t="s">
        <v>891</v>
      </c>
      <c r="C124" s="805">
        <f t="shared" ref="C124:L124" si="31">SUM(C125:C127)</f>
        <v>701.01720405999993</v>
      </c>
      <c r="D124" s="802">
        <f t="shared" si="31"/>
        <v>977.66095072999997</v>
      </c>
      <c r="E124" s="802">
        <f t="shared" si="31"/>
        <v>1182.1173597800002</v>
      </c>
      <c r="F124" s="802">
        <f t="shared" si="31"/>
        <v>1441.9514763599998</v>
      </c>
      <c r="G124" s="802">
        <f t="shared" si="31"/>
        <v>1560.4836429500001</v>
      </c>
      <c r="H124" s="803">
        <f>SUM(H125:H127)</f>
        <v>1488.258933400667</v>
      </c>
      <c r="I124" s="803">
        <f t="shared" si="31"/>
        <v>1416.0342238513333</v>
      </c>
      <c r="J124" s="803">
        <f t="shared" si="31"/>
        <v>1343.809514302</v>
      </c>
      <c r="K124" s="803">
        <f t="shared" si="31"/>
        <v>1271.5848047526667</v>
      </c>
      <c r="L124" s="2356">
        <f t="shared" si="31"/>
        <v>1199.3600952033332</v>
      </c>
      <c r="M124" s="888"/>
      <c r="N124" s="662"/>
      <c r="O124" s="662"/>
      <c r="P124" s="662"/>
      <c r="Q124" s="662"/>
      <c r="R124" s="662"/>
      <c r="S124" s="662"/>
      <c r="T124" s="662"/>
      <c r="U124" s="662"/>
      <c r="V124" s="662"/>
      <c r="W124" s="662"/>
      <c r="X124" s="662"/>
      <c r="Y124" s="662"/>
      <c r="Z124" s="662"/>
      <c r="AA124" s="662"/>
      <c r="AB124" s="662"/>
      <c r="AC124" s="662"/>
      <c r="AD124" s="662"/>
      <c r="AE124" s="662"/>
      <c r="AF124" s="662"/>
      <c r="AG124" s="662"/>
      <c r="AH124" s="662"/>
      <c r="AI124" s="662"/>
      <c r="AJ124" s="662"/>
      <c r="AK124" s="662"/>
      <c r="AL124" s="662"/>
      <c r="AM124" s="662"/>
      <c r="AN124" s="662"/>
      <c r="AO124" s="662"/>
      <c r="AP124" s="662"/>
      <c r="AQ124" s="662"/>
      <c r="AR124" s="662"/>
      <c r="AS124" s="662"/>
      <c r="AT124" s="662"/>
      <c r="AU124" s="662"/>
      <c r="AV124" s="662"/>
      <c r="AW124" s="662"/>
      <c r="AX124" s="662"/>
      <c r="AY124" s="662"/>
      <c r="AZ124" s="662"/>
    </row>
    <row r="125" spans="1:52" ht="18" customHeight="1">
      <c r="A125" s="662"/>
      <c r="B125" s="779" t="s">
        <v>892</v>
      </c>
      <c r="C125" s="805">
        <f>资产负债!I28+资产负债!I29</f>
        <v>522.90552550999996</v>
      </c>
      <c r="D125" s="802">
        <f>资产负债!J28+资产负债!J29</f>
        <v>770.31638053999995</v>
      </c>
      <c r="E125" s="802">
        <f>资产负债!K28+资产负债!K29</f>
        <v>926.69343291999996</v>
      </c>
      <c r="F125" s="802">
        <f>资产负债!L28+资产负债!L29</f>
        <v>1166.5797820700002</v>
      </c>
      <c r="G125" s="802">
        <f>资产负债!M28+资产负债!M29</f>
        <v>1290.26557084</v>
      </c>
      <c r="H125" s="807">
        <f>资产负债!N28+资产负债!N29</f>
        <v>1218.0408612906667</v>
      </c>
      <c r="I125" s="807">
        <f>资产负债!O28+资产负债!O29</f>
        <v>1145.8161517413332</v>
      </c>
      <c r="J125" s="807">
        <f>资产负债!P28+资产负债!P29</f>
        <v>1073.5914421919999</v>
      </c>
      <c r="K125" s="807">
        <f>资产负债!Q28+资产负债!Q29</f>
        <v>1001.3667326426665</v>
      </c>
      <c r="L125" s="2357">
        <f>资产负债!R28+资产负债!R29</f>
        <v>929.14202309333325</v>
      </c>
      <c r="M125" s="888"/>
      <c r="N125" s="662"/>
      <c r="O125" s="662"/>
      <c r="P125" s="662"/>
      <c r="Q125" s="662"/>
      <c r="R125" s="662"/>
      <c r="S125" s="662"/>
      <c r="T125" s="662"/>
      <c r="U125" s="662"/>
      <c r="V125" s="662"/>
      <c r="W125" s="662"/>
      <c r="X125" s="662"/>
      <c r="Y125" s="662"/>
      <c r="Z125" s="662"/>
      <c r="AA125" s="662"/>
      <c r="AB125" s="662"/>
      <c r="AC125" s="662"/>
      <c r="AD125" s="662"/>
      <c r="AE125" s="662"/>
      <c r="AF125" s="662"/>
      <c r="AG125" s="662"/>
      <c r="AH125" s="662"/>
      <c r="AI125" s="662"/>
      <c r="AJ125" s="662"/>
      <c r="AK125" s="662"/>
      <c r="AL125" s="662"/>
      <c r="AM125" s="662"/>
      <c r="AN125" s="662"/>
      <c r="AO125" s="662"/>
      <c r="AP125" s="662"/>
      <c r="AQ125" s="662"/>
      <c r="AR125" s="662"/>
      <c r="AS125" s="662"/>
      <c r="AT125" s="662"/>
      <c r="AU125" s="662"/>
      <c r="AV125" s="662"/>
      <c r="AW125" s="662"/>
      <c r="AX125" s="662"/>
      <c r="AY125" s="662"/>
      <c r="AZ125" s="662"/>
    </row>
    <row r="126" spans="1:52" s="639" customFormat="1" ht="18" customHeight="1">
      <c r="A126" s="638"/>
      <c r="B126" s="650" t="s">
        <v>893</v>
      </c>
      <c r="C126" s="808">
        <f>资产负债!I38-资产负债!I19-资产负债!I20-资产负债!I21-资产负债!I22-资产负债!I24-资产负债!I25-资产负债!I26-资产负债!I28-资产负债!I29</f>
        <v>168.15468955999989</v>
      </c>
      <c r="D126" s="808">
        <f>资产负债!J38-资产负债!J19-资产负债!J20-资产负债!J21-资产负债!J22-资产负债!J24-资产负债!J25-资产负债!J26-资产负债!J28-资产负债!J29</f>
        <v>196.55547820000007</v>
      </c>
      <c r="E126" s="808">
        <f>资产负债!K38-资产负债!K19-资产负债!K20-资产负债!K21-资产负债!K22-资产负债!K24-资产负债!K25-资产负债!K26-资产负债!K28-资产负债!K29</f>
        <v>242.95048956000016</v>
      </c>
      <c r="F126" s="808">
        <f>资产负债!L38-资产负债!L19-资产负债!L20-资产负债!L21-资产负债!L22-资产负债!L24-资产负债!L25-资产负债!L26-资产负债!L28-资产负债!L29</f>
        <v>261.44071077999968</v>
      </c>
      <c r="G126" s="808">
        <f>资产负债!M38-资产负债!M19-资产负债!M20-资产负债!M21-资产负债!M22-资产负债!M24-资产负债!M25-资产负债!M26-资产负债!M28-资产负债!M29</f>
        <v>270.21807211000021</v>
      </c>
      <c r="H126" s="2288">
        <f>资产负债!N38-资产负债!N19-资产负债!N20-资产负债!N21-资产负债!N22-资产负债!N24-资产负债!N25-资产负债!N26-资产负债!N28-资产负债!N29</f>
        <v>270.21807211000021</v>
      </c>
      <c r="I126" s="2288">
        <f>资产负债!O38-资产负债!O19-资产负债!O20-资产负债!O21-资产负债!O22-资产负债!O24-资产负债!O25-资产负债!O26-资产负债!O28-资产负债!O29</f>
        <v>270.21807211000009</v>
      </c>
      <c r="J126" s="2288">
        <f>资产负债!P38-资产负债!P19-资产负债!P20-资产负债!P21-资产负债!P22-资产负债!P24-资产负债!P25-资产负债!P26-资产负债!P28-资产负债!P29</f>
        <v>270.21807211000009</v>
      </c>
      <c r="K126" s="2288">
        <f>资产负债!Q38-资产负债!Q19-资产负债!Q20-资产负债!Q21-资产负债!Q22-资产负债!Q24-资产负债!Q25-资产负债!Q26-资产负债!Q28-资产负债!Q29</f>
        <v>270.21807211000021</v>
      </c>
      <c r="L126" s="2288">
        <f>资产负债!R38-资产负债!R19-资产负债!R20-资产负债!R21-资产负债!R22-资产负债!R24-资产负债!R25-资产负债!R26-资产负债!R28-资产负债!R29</f>
        <v>270.21807210999998</v>
      </c>
      <c r="M126" s="2346"/>
      <c r="N126" s="638"/>
      <c r="O126" s="638"/>
      <c r="P126" s="638"/>
      <c r="Q126" s="638"/>
      <c r="R126" s="638"/>
      <c r="S126" s="638"/>
      <c r="T126" s="638"/>
      <c r="U126" s="638"/>
      <c r="V126" s="638"/>
      <c r="W126" s="638"/>
      <c r="X126" s="638"/>
      <c r="Y126" s="638"/>
      <c r="Z126" s="638"/>
      <c r="AA126" s="638"/>
      <c r="AB126" s="638"/>
      <c r="AC126" s="638"/>
      <c r="AD126" s="638"/>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row>
    <row r="127" spans="1:52" s="639" customFormat="1" ht="18" customHeight="1">
      <c r="A127" s="638"/>
      <c r="B127" s="99" t="s">
        <v>894</v>
      </c>
      <c r="C127" s="808">
        <f>资产负债!I19+资产负债!I20+资产负债!I21+资产负债!I22+资产负债!I24+资产负债!I25+资产负债!I26</f>
        <v>9.956988990000001</v>
      </c>
      <c r="D127" s="808">
        <f>资产负债!J19+资产负债!J20+资产负债!J21+资产负债!J22+资产负债!J24+资产负债!J25+资产负债!J26</f>
        <v>10.789091990000001</v>
      </c>
      <c r="E127" s="808">
        <f>资产负债!K19+资产负债!K20+资产负债!K21+资产负债!K22+资产负债!K24+资产负债!K25+资产负债!K26</f>
        <v>12.473437300000001</v>
      </c>
      <c r="F127" s="808">
        <f>资产负债!L19+资产负债!L20+资产负债!L21+资产负债!L22+资产负债!L24+资产负债!L25+资产负债!L26</f>
        <v>13.930983509999999</v>
      </c>
      <c r="G127" s="808">
        <f>资产负债!M19+资产负债!M20+资产负债!M21+资产负债!M22+资产负债!M24+资产负债!M25+资产负债!M26</f>
        <v>0</v>
      </c>
      <c r="H127" s="2288">
        <f>资产负债!N19+资产负债!N20+资产负债!N21+资产负债!N22+资产负债!N24+资产负债!N25+资产负债!N26</f>
        <v>0</v>
      </c>
      <c r="I127" s="2288">
        <f>资产负债!O19+资产负债!O20+资产负债!O21+资产负债!O22+资产负债!O24+资产负债!O25+资产负债!O26</f>
        <v>0</v>
      </c>
      <c r="J127" s="2288">
        <f>资产负债!P19+资产负债!P20+资产负债!P21+资产负债!P22+资产负债!P24+资产负债!P25+资产负债!P26</f>
        <v>0</v>
      </c>
      <c r="K127" s="2288">
        <f>资产负债!Q19+资产负债!Q20+资产负债!Q21+资产负债!Q22+资产负债!Q24+资产负债!Q25+资产负债!Q26</f>
        <v>0</v>
      </c>
      <c r="L127" s="2288">
        <f>资产负债!R19+资产负债!R20+资产负债!R21+资产负债!R22+资产负债!R24+资产负债!R25+资产负债!R26</f>
        <v>0</v>
      </c>
      <c r="M127" s="2346"/>
      <c r="N127" s="638"/>
      <c r="O127" s="638"/>
      <c r="P127" s="638"/>
      <c r="Q127" s="638"/>
      <c r="R127" s="638"/>
      <c r="S127" s="638"/>
      <c r="T127" s="638"/>
      <c r="U127" s="638"/>
      <c r="V127" s="638"/>
      <c r="W127" s="638"/>
      <c r="X127" s="638"/>
      <c r="Y127" s="638"/>
      <c r="Z127" s="638"/>
      <c r="AA127" s="638"/>
      <c r="AB127" s="638"/>
      <c r="AC127" s="638"/>
      <c r="AD127" s="638"/>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row>
    <row r="128" spans="1:52" ht="18" customHeight="1">
      <c r="A128" s="662"/>
      <c r="B128" s="809" t="s">
        <v>895</v>
      </c>
      <c r="C128" s="801">
        <f>资产负债!I24</f>
        <v>9.956988990000001</v>
      </c>
      <c r="D128" s="802">
        <f>资产负债!J24</f>
        <v>10.789091990000001</v>
      </c>
      <c r="E128" s="802">
        <f>资产负债!K24</f>
        <v>12.473437300000001</v>
      </c>
      <c r="F128" s="802">
        <f>资产负债!L24</f>
        <v>13.930983509999999</v>
      </c>
      <c r="G128" s="802">
        <f>资产负债!M24</f>
        <v>0</v>
      </c>
      <c r="H128" s="803">
        <f>资产负债!N24</f>
        <v>0</v>
      </c>
      <c r="I128" s="803">
        <f>资产负债!O24</f>
        <v>0</v>
      </c>
      <c r="J128" s="803">
        <f>资产负债!P24</f>
        <v>0</v>
      </c>
      <c r="K128" s="803">
        <f>资产负债!Q24</f>
        <v>0</v>
      </c>
      <c r="L128" s="2288">
        <f>资产负债!R24</f>
        <v>0</v>
      </c>
      <c r="M128" s="888"/>
      <c r="N128" s="662"/>
      <c r="O128" s="662"/>
      <c r="P128" s="662"/>
      <c r="Q128" s="662"/>
      <c r="R128" s="662"/>
      <c r="S128" s="662"/>
      <c r="T128" s="662"/>
      <c r="U128" s="662"/>
      <c r="V128" s="662"/>
      <c r="W128" s="662"/>
      <c r="X128" s="662"/>
      <c r="Y128" s="662"/>
      <c r="Z128" s="662"/>
      <c r="AA128" s="662"/>
      <c r="AB128" s="662"/>
      <c r="AC128" s="662"/>
      <c r="AD128" s="662"/>
      <c r="AE128" s="662"/>
      <c r="AF128" s="662"/>
      <c r="AG128" s="662"/>
      <c r="AH128" s="662"/>
      <c r="AI128" s="662"/>
      <c r="AJ128" s="662"/>
      <c r="AK128" s="662"/>
      <c r="AL128" s="662"/>
      <c r="AM128" s="662"/>
      <c r="AN128" s="662"/>
      <c r="AO128" s="662"/>
      <c r="AP128" s="662"/>
      <c r="AQ128" s="662"/>
      <c r="AR128" s="662"/>
      <c r="AS128" s="662"/>
      <c r="AT128" s="662"/>
      <c r="AU128" s="662"/>
      <c r="AV128" s="662"/>
      <c r="AW128" s="662"/>
      <c r="AX128" s="662"/>
      <c r="AY128" s="662"/>
      <c r="AZ128" s="662"/>
    </row>
    <row r="129" spans="1:52" ht="18" customHeight="1">
      <c r="A129" s="662"/>
      <c r="B129" s="809" t="s">
        <v>896</v>
      </c>
      <c r="C129" s="801">
        <f>资产负债!I19+资产负债!I20+资产负债!I21+资产负债!I22+资产负债!I25+资产负债!I26</f>
        <v>0</v>
      </c>
      <c r="D129" s="802">
        <f>资产负债!J19+资产负债!J20+资产负债!J21+资产负债!J22+资产负债!J25+资产负债!J26</f>
        <v>0</v>
      </c>
      <c r="E129" s="802">
        <f>资产负债!K19+资产负债!K20+资产负债!K21+资产负债!K22+资产负债!K25+资产负债!K26</f>
        <v>0</v>
      </c>
      <c r="F129" s="802">
        <f>资产负债!L19+资产负债!L20+资产负债!L21+资产负债!L22+资产负债!L25+资产负债!L26</f>
        <v>0</v>
      </c>
      <c r="G129" s="802">
        <f>资产负债!M19+资产负债!M20+资产负债!M21+资产负债!M22+资产负债!M25+资产负债!M26</f>
        <v>0</v>
      </c>
      <c r="H129" s="803">
        <f>资产负债!N19+资产负债!N20+资产负债!N21+资产负债!N22+资产负债!N25+资产负债!N26</f>
        <v>0</v>
      </c>
      <c r="I129" s="803">
        <f>资产负债!O19+资产负债!O20+资产负债!O21+资产负债!O22+资产负债!O25+资产负债!O26</f>
        <v>0</v>
      </c>
      <c r="J129" s="803">
        <f>资产负债!P19+资产负债!P20+资产负债!P21+资产负债!P22+资产负债!P25+资产负债!P26</f>
        <v>0</v>
      </c>
      <c r="K129" s="803">
        <f>资产负债!Q19+资产负债!Q20+资产负债!Q21+资产负债!Q22+资产负债!Q25+资产负债!Q26</f>
        <v>0</v>
      </c>
      <c r="L129" s="2288">
        <f>资产负债!R19+资产负债!R20+资产负债!R21+资产负债!R22+资产负债!R25+资产负债!R26</f>
        <v>0</v>
      </c>
      <c r="M129" s="888"/>
      <c r="N129" s="662"/>
      <c r="O129" s="662"/>
      <c r="P129" s="662"/>
      <c r="Q129" s="662"/>
      <c r="R129" s="662"/>
      <c r="S129" s="662"/>
      <c r="T129" s="662"/>
      <c r="U129" s="662"/>
      <c r="V129" s="662"/>
      <c r="W129" s="662"/>
      <c r="X129" s="662"/>
      <c r="Y129" s="662"/>
      <c r="Z129" s="662"/>
      <c r="AA129" s="662"/>
      <c r="AB129" s="662"/>
      <c r="AC129" s="662"/>
      <c r="AD129" s="662"/>
      <c r="AE129" s="662"/>
      <c r="AF129" s="662"/>
      <c r="AG129" s="662"/>
      <c r="AH129" s="662"/>
      <c r="AI129" s="662"/>
      <c r="AJ129" s="662"/>
      <c r="AK129" s="662"/>
      <c r="AL129" s="662"/>
      <c r="AM129" s="662"/>
      <c r="AN129" s="662"/>
      <c r="AO129" s="662"/>
      <c r="AP129" s="662"/>
      <c r="AQ129" s="662"/>
      <c r="AR129" s="662"/>
      <c r="AS129" s="662"/>
      <c r="AT129" s="662"/>
      <c r="AU129" s="662"/>
      <c r="AV129" s="662"/>
      <c r="AW129" s="662"/>
      <c r="AX129" s="662"/>
      <c r="AY129" s="662"/>
      <c r="AZ129" s="662"/>
    </row>
    <row r="130" spans="1:52" ht="18" customHeight="1">
      <c r="A130" s="662"/>
      <c r="B130" s="800"/>
      <c r="C130" s="810"/>
      <c r="D130" s="803"/>
      <c r="E130" s="803"/>
      <c r="F130" s="803"/>
      <c r="G130" s="803"/>
      <c r="H130" s="803"/>
      <c r="I130" s="803"/>
      <c r="J130" s="803"/>
      <c r="K130" s="803"/>
      <c r="L130" s="2288"/>
      <c r="M130" s="888"/>
      <c r="N130" s="662"/>
      <c r="O130" s="662"/>
      <c r="P130" s="662"/>
      <c r="Q130" s="662"/>
      <c r="R130" s="662"/>
      <c r="S130" s="662"/>
      <c r="T130" s="662"/>
      <c r="U130" s="662"/>
      <c r="V130" s="662"/>
      <c r="W130" s="662"/>
      <c r="X130" s="662"/>
      <c r="Y130" s="662"/>
      <c r="Z130" s="662"/>
      <c r="AA130" s="662"/>
      <c r="AB130" s="662"/>
      <c r="AC130" s="662"/>
      <c r="AD130" s="662"/>
      <c r="AE130" s="662"/>
      <c r="AF130" s="662"/>
      <c r="AG130" s="662"/>
      <c r="AH130" s="662"/>
      <c r="AI130" s="662"/>
      <c r="AJ130" s="662"/>
      <c r="AK130" s="662"/>
      <c r="AL130" s="662"/>
      <c r="AM130" s="662"/>
      <c r="AN130" s="662"/>
      <c r="AO130" s="662"/>
      <c r="AP130" s="662"/>
      <c r="AQ130" s="662"/>
      <c r="AR130" s="662"/>
      <c r="AS130" s="662"/>
      <c r="AT130" s="662"/>
      <c r="AU130" s="662"/>
      <c r="AV130" s="662"/>
      <c r="AW130" s="662"/>
      <c r="AX130" s="662"/>
      <c r="AY130" s="662"/>
      <c r="AZ130" s="662"/>
    </row>
    <row r="131" spans="1:52" ht="18" customHeight="1">
      <c r="A131" s="662"/>
      <c r="B131" s="800" t="s">
        <v>897</v>
      </c>
      <c r="C131" s="801">
        <f t="shared" ref="C131:L131" si="32">C122+C124</f>
        <v>3617.8950476</v>
      </c>
      <c r="D131" s="802">
        <f t="shared" si="32"/>
        <v>4533.9682271000001</v>
      </c>
      <c r="E131" s="802">
        <f t="shared" si="32"/>
        <v>4703.6121334299987</v>
      </c>
      <c r="F131" s="802">
        <f t="shared" si="32"/>
        <v>5096.1948826599992</v>
      </c>
      <c r="G131" s="802">
        <f t="shared" si="32"/>
        <v>4907.71435492</v>
      </c>
      <c r="H131" s="803">
        <f ca="1">H122+H124</f>
        <v>4495.3711851129401</v>
      </c>
      <c r="I131" s="803">
        <f t="shared" ca="1" si="32"/>
        <v>4563.6553302361108</v>
      </c>
      <c r="J131" s="803">
        <f t="shared" ca="1" si="32"/>
        <v>4508.5726197072563</v>
      </c>
      <c r="K131" s="803">
        <f t="shared" ca="1" si="32"/>
        <v>4377.4711483874526</v>
      </c>
      <c r="L131" s="2288">
        <f t="shared" ca="1" si="32"/>
        <v>4338.7049146036015</v>
      </c>
      <c r="M131" s="888"/>
      <c r="N131" s="662"/>
      <c r="O131" s="662"/>
      <c r="P131" s="662"/>
      <c r="Q131" s="662"/>
      <c r="R131" s="662"/>
      <c r="S131" s="662"/>
      <c r="T131" s="662"/>
      <c r="U131" s="662"/>
      <c r="V131" s="662"/>
      <c r="W131" s="662"/>
      <c r="X131" s="662"/>
      <c r="Y131" s="662"/>
      <c r="Z131" s="662"/>
      <c r="AA131" s="662"/>
      <c r="AB131" s="662"/>
      <c r="AC131" s="662"/>
      <c r="AD131" s="662"/>
      <c r="AE131" s="662"/>
      <c r="AF131" s="662"/>
      <c r="AG131" s="662"/>
      <c r="AH131" s="662"/>
      <c r="AI131" s="662"/>
      <c r="AJ131" s="662"/>
      <c r="AK131" s="662"/>
      <c r="AL131" s="662"/>
      <c r="AM131" s="662"/>
      <c r="AN131" s="662"/>
      <c r="AO131" s="662"/>
      <c r="AP131" s="662"/>
      <c r="AQ131" s="662"/>
      <c r="AR131" s="662"/>
      <c r="AS131" s="662"/>
      <c r="AT131" s="662"/>
      <c r="AU131" s="662"/>
      <c r="AV131" s="662"/>
      <c r="AW131" s="662"/>
      <c r="AX131" s="662"/>
      <c r="AY131" s="662"/>
      <c r="AZ131" s="662"/>
    </row>
    <row r="132" spans="1:52" ht="18" customHeight="1">
      <c r="A132" s="662"/>
      <c r="B132" s="750"/>
      <c r="C132" s="810"/>
      <c r="D132" s="803"/>
      <c r="E132" s="803"/>
      <c r="F132" s="803"/>
      <c r="G132" s="803"/>
      <c r="H132" s="803"/>
      <c r="I132" s="803"/>
      <c r="J132" s="803"/>
      <c r="K132" s="803"/>
      <c r="L132" s="2288"/>
      <c r="M132" s="888"/>
      <c r="N132" s="662"/>
      <c r="O132" s="662"/>
      <c r="P132" s="662"/>
      <c r="Q132" s="662"/>
      <c r="R132" s="662"/>
      <c r="S132" s="662"/>
      <c r="T132" s="662"/>
      <c r="U132" s="662"/>
      <c r="V132" s="662"/>
      <c r="W132" s="662"/>
      <c r="X132" s="662"/>
      <c r="Y132" s="662"/>
      <c r="Z132" s="662"/>
      <c r="AA132" s="662"/>
      <c r="AB132" s="662"/>
      <c r="AC132" s="662"/>
      <c r="AD132" s="662"/>
      <c r="AE132" s="662"/>
      <c r="AF132" s="662"/>
      <c r="AG132" s="662"/>
      <c r="AH132" s="662"/>
      <c r="AI132" s="662"/>
      <c r="AJ132" s="662"/>
      <c r="AK132" s="662"/>
      <c r="AL132" s="662"/>
      <c r="AM132" s="662"/>
      <c r="AN132" s="662"/>
      <c r="AO132" s="662"/>
      <c r="AP132" s="662"/>
      <c r="AQ132" s="662"/>
      <c r="AR132" s="662"/>
      <c r="AS132" s="662"/>
      <c r="AT132" s="662"/>
      <c r="AU132" s="662"/>
      <c r="AV132" s="662"/>
      <c r="AW132" s="662"/>
      <c r="AX132" s="662"/>
      <c r="AY132" s="662"/>
      <c r="AZ132" s="662"/>
    </row>
    <row r="133" spans="1:52" s="639" customFormat="1" ht="18" hidden="1" customHeight="1">
      <c r="A133" s="638"/>
      <c r="B133" s="750" t="s">
        <v>898</v>
      </c>
      <c r="C133" s="810"/>
      <c r="D133" s="803"/>
      <c r="E133" s="803"/>
      <c r="F133" s="803"/>
      <c r="G133" s="803"/>
      <c r="H133" s="803"/>
      <c r="I133" s="803"/>
      <c r="J133" s="803"/>
      <c r="K133" s="803"/>
      <c r="L133" s="2288"/>
      <c r="M133" s="2346"/>
      <c r="N133" s="638"/>
      <c r="O133" s="638"/>
      <c r="P133" s="638"/>
      <c r="Q133" s="638"/>
      <c r="R133" s="638"/>
      <c r="S133" s="638"/>
      <c r="T133" s="638"/>
      <c r="U133" s="638"/>
      <c r="V133" s="638"/>
      <c r="W133" s="638"/>
      <c r="X133" s="638"/>
      <c r="Y133" s="638"/>
      <c r="Z133" s="638"/>
      <c r="AA133" s="638"/>
      <c r="AB133" s="638"/>
      <c r="AC133" s="638"/>
      <c r="AD133" s="638"/>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row>
    <row r="134" spans="1:52" ht="18" customHeight="1">
      <c r="A134" s="662"/>
      <c r="B134" s="750"/>
      <c r="C134" s="810"/>
      <c r="D134" s="803"/>
      <c r="E134" s="803"/>
      <c r="F134" s="803"/>
      <c r="G134" s="803"/>
      <c r="H134" s="803"/>
      <c r="I134" s="803"/>
      <c r="J134" s="803"/>
      <c r="K134" s="803"/>
      <c r="L134" s="2288"/>
      <c r="M134" s="888"/>
      <c r="N134" s="662"/>
      <c r="O134" s="662"/>
      <c r="P134" s="662"/>
      <c r="Q134" s="662"/>
      <c r="R134" s="662"/>
      <c r="S134" s="662"/>
      <c r="T134" s="662"/>
      <c r="U134" s="662"/>
      <c r="V134" s="662"/>
      <c r="W134" s="662"/>
      <c r="X134" s="662"/>
      <c r="Y134" s="662"/>
      <c r="Z134" s="662"/>
      <c r="AA134" s="662"/>
      <c r="AB134" s="662"/>
      <c r="AC134" s="662"/>
      <c r="AD134" s="662"/>
      <c r="AE134" s="662"/>
      <c r="AF134" s="662"/>
      <c r="AG134" s="662"/>
      <c r="AH134" s="662"/>
      <c r="AI134" s="662"/>
      <c r="AJ134" s="662"/>
      <c r="AK134" s="662"/>
      <c r="AL134" s="662"/>
      <c r="AM134" s="662"/>
      <c r="AN134" s="662"/>
      <c r="AO134" s="662"/>
      <c r="AP134" s="662"/>
      <c r="AQ134" s="662"/>
      <c r="AR134" s="662"/>
      <c r="AS134" s="662"/>
      <c r="AT134" s="662"/>
      <c r="AU134" s="662"/>
      <c r="AV134" s="662"/>
      <c r="AW134" s="662"/>
      <c r="AX134" s="662"/>
      <c r="AY134" s="662"/>
      <c r="AZ134" s="662"/>
    </row>
    <row r="135" spans="1:52" ht="18" customHeight="1" thickBot="1">
      <c r="A135" s="662"/>
      <c r="B135" s="811" t="s">
        <v>899</v>
      </c>
      <c r="C135" s="812">
        <f>C131-C129</f>
        <v>3617.8950476</v>
      </c>
      <c r="D135" s="813">
        <f t="shared" ref="D135:L135" si="33">D131-D129</f>
        <v>4533.9682271000001</v>
      </c>
      <c r="E135" s="813">
        <f t="shared" si="33"/>
        <v>4703.6121334299987</v>
      </c>
      <c r="F135" s="813">
        <f t="shared" si="33"/>
        <v>5096.1948826599992</v>
      </c>
      <c r="G135" s="813">
        <f t="shared" si="33"/>
        <v>4907.71435492</v>
      </c>
      <c r="H135" s="814">
        <f t="shared" ca="1" si="33"/>
        <v>4495.3711851129401</v>
      </c>
      <c r="I135" s="814">
        <f t="shared" ca="1" si="33"/>
        <v>4563.6553302361108</v>
      </c>
      <c r="J135" s="814">
        <f t="shared" ca="1" si="33"/>
        <v>4508.5726197072563</v>
      </c>
      <c r="K135" s="814">
        <f t="shared" ca="1" si="33"/>
        <v>4377.4711483874526</v>
      </c>
      <c r="L135" s="2358">
        <f t="shared" ca="1" si="33"/>
        <v>4338.7049146036015</v>
      </c>
      <c r="M135" s="888"/>
      <c r="N135" s="662"/>
      <c r="O135" s="662"/>
      <c r="P135" s="662"/>
      <c r="Q135" s="662"/>
      <c r="R135" s="662"/>
      <c r="S135" s="662"/>
      <c r="T135" s="662"/>
      <c r="U135" s="662"/>
      <c r="V135" s="662"/>
      <c r="W135" s="662"/>
      <c r="X135" s="662"/>
      <c r="Y135" s="662"/>
      <c r="Z135" s="662"/>
      <c r="AA135" s="662"/>
      <c r="AB135" s="662"/>
      <c r="AC135" s="662"/>
      <c r="AD135" s="662"/>
      <c r="AE135" s="662"/>
      <c r="AF135" s="662"/>
      <c r="AG135" s="662"/>
      <c r="AH135" s="662"/>
      <c r="AI135" s="662"/>
      <c r="AJ135" s="662"/>
      <c r="AK135" s="662"/>
      <c r="AL135" s="662"/>
      <c r="AM135" s="662"/>
      <c r="AN135" s="662"/>
      <c r="AO135" s="662"/>
      <c r="AP135" s="662"/>
      <c r="AQ135" s="662"/>
      <c r="AR135" s="662"/>
      <c r="AS135" s="662"/>
      <c r="AT135" s="662"/>
      <c r="AU135" s="662"/>
      <c r="AV135" s="662"/>
      <c r="AW135" s="662"/>
      <c r="AX135" s="662"/>
      <c r="AY135" s="662"/>
      <c r="AZ135" s="662"/>
    </row>
    <row r="136" spans="1:52" s="639" customFormat="1" ht="18" customHeight="1" thickBot="1">
      <c r="A136" s="106"/>
      <c r="B136" s="574"/>
      <c r="C136" s="575"/>
      <c r="D136" s="575"/>
      <c r="E136" s="575"/>
      <c r="F136" s="575"/>
      <c r="G136" s="575"/>
      <c r="H136" s="575"/>
      <c r="I136" s="575"/>
      <c r="J136" s="575"/>
      <c r="K136" s="575"/>
      <c r="L136" s="575"/>
      <c r="M136" s="106"/>
      <c r="N136" s="638"/>
      <c r="O136" s="638"/>
      <c r="P136" s="638"/>
      <c r="Q136" s="638"/>
      <c r="R136" s="638"/>
      <c r="S136" s="638"/>
      <c r="T136" s="638"/>
      <c r="U136" s="638"/>
      <c r="V136" s="638"/>
      <c r="W136" s="638"/>
      <c r="X136" s="638"/>
      <c r="Y136" s="638"/>
      <c r="Z136" s="638"/>
      <c r="AA136" s="638"/>
      <c r="AB136" s="638"/>
      <c r="AC136" s="638"/>
      <c r="AD136" s="638"/>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row>
    <row r="137" spans="1:52" s="639" customFormat="1" ht="18" hidden="1" customHeight="1" thickBot="1">
      <c r="A137" s="106"/>
      <c r="B137" s="574"/>
      <c r="C137" s="816"/>
      <c r="D137" s="816"/>
      <c r="E137" s="816"/>
      <c r="F137" s="816"/>
      <c r="G137" s="816"/>
      <c r="H137" s="817"/>
      <c r="I137" s="817"/>
      <c r="J137" s="817"/>
      <c r="K137" s="817"/>
      <c r="L137" s="817"/>
      <c r="M137" s="106"/>
      <c r="N137" s="638"/>
      <c r="O137" s="638"/>
      <c r="P137" s="638"/>
      <c r="Q137" s="638"/>
      <c r="R137" s="638"/>
      <c r="S137" s="638"/>
      <c r="T137" s="638"/>
      <c r="U137" s="638"/>
      <c r="V137" s="638"/>
      <c r="W137" s="638"/>
      <c r="X137" s="638"/>
      <c r="Y137" s="638"/>
      <c r="Z137" s="638"/>
      <c r="AA137" s="638"/>
      <c r="AB137" s="638"/>
      <c r="AC137" s="638"/>
      <c r="AD137" s="638"/>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row>
    <row r="138" spans="1:52" ht="18" customHeight="1">
      <c r="A138" s="662"/>
      <c r="B138" s="798" t="s">
        <v>900</v>
      </c>
      <c r="C138" s="818">
        <f>利润表!I3</f>
        <v>2015</v>
      </c>
      <c r="D138" s="819">
        <f>利润表!J3</f>
        <v>2016</v>
      </c>
      <c r="E138" s="819">
        <f>利润表!K3</f>
        <v>2017</v>
      </c>
      <c r="F138" s="819">
        <f>利润表!L3</f>
        <v>2018</v>
      </c>
      <c r="G138" s="819">
        <f>利润表!M3</f>
        <v>2019</v>
      </c>
      <c r="H138" s="819" t="str">
        <f>利润表!N3</f>
        <v>2020E</v>
      </c>
      <c r="I138" s="819" t="str">
        <f>利润表!O3</f>
        <v>2021E</v>
      </c>
      <c r="J138" s="819" t="str">
        <f>利润表!P3</f>
        <v>2022E</v>
      </c>
      <c r="K138" s="819" t="str">
        <f>利润表!Q3</f>
        <v>2023E</v>
      </c>
      <c r="L138" s="2359" t="str">
        <f>利润表!R3</f>
        <v>2024E</v>
      </c>
      <c r="M138" s="888"/>
      <c r="N138" s="662"/>
      <c r="O138" s="662"/>
      <c r="P138" s="662"/>
      <c r="Q138" s="662"/>
      <c r="R138" s="662"/>
      <c r="S138" s="662"/>
      <c r="T138" s="662"/>
      <c r="U138" s="662"/>
      <c r="V138" s="662"/>
      <c r="W138" s="662"/>
      <c r="X138" s="662"/>
      <c r="Y138" s="662"/>
      <c r="Z138" s="662"/>
      <c r="AA138" s="662"/>
      <c r="AB138" s="662"/>
      <c r="AC138" s="662"/>
      <c r="AD138" s="662"/>
      <c r="AE138" s="662"/>
      <c r="AF138" s="662"/>
      <c r="AG138" s="662"/>
      <c r="AH138" s="662"/>
      <c r="AI138" s="662"/>
      <c r="AJ138" s="662"/>
      <c r="AK138" s="662"/>
      <c r="AL138" s="662"/>
      <c r="AM138" s="662"/>
      <c r="AN138" s="662"/>
      <c r="AO138" s="662"/>
      <c r="AP138" s="662"/>
      <c r="AQ138" s="662"/>
      <c r="AR138" s="662"/>
      <c r="AS138" s="662"/>
      <c r="AT138" s="662"/>
      <c r="AU138" s="662"/>
      <c r="AV138" s="662"/>
      <c r="AW138" s="662"/>
      <c r="AX138" s="662"/>
      <c r="AY138" s="662"/>
      <c r="AZ138" s="662"/>
    </row>
    <row r="139" spans="1:52" ht="18" customHeight="1">
      <c r="A139" s="662"/>
      <c r="B139" s="750"/>
      <c r="C139" s="799"/>
      <c r="D139" s="719"/>
      <c r="E139" s="719"/>
      <c r="F139" s="719"/>
      <c r="G139" s="719"/>
      <c r="H139" s="719"/>
      <c r="I139" s="719"/>
      <c r="J139" s="719"/>
      <c r="K139" s="719"/>
      <c r="L139" s="2355"/>
      <c r="M139" s="888"/>
      <c r="N139" s="662"/>
      <c r="O139" s="662"/>
      <c r="P139" s="662"/>
      <c r="Q139" s="662"/>
      <c r="R139" s="662"/>
      <c r="S139" s="662"/>
      <c r="T139" s="662"/>
      <c r="U139" s="662"/>
      <c r="V139" s="662"/>
      <c r="W139" s="662"/>
      <c r="X139" s="662"/>
      <c r="Y139" s="662"/>
      <c r="Z139" s="662"/>
      <c r="AA139" s="662"/>
      <c r="AB139" s="662"/>
      <c r="AC139" s="662"/>
      <c r="AD139" s="662"/>
      <c r="AE139" s="662"/>
      <c r="AF139" s="662"/>
      <c r="AG139" s="662"/>
      <c r="AH139" s="662"/>
      <c r="AI139" s="662"/>
      <c r="AJ139" s="662"/>
      <c r="AK139" s="662"/>
      <c r="AL139" s="662"/>
      <c r="AM139" s="662"/>
      <c r="AN139" s="662"/>
      <c r="AO139" s="662"/>
      <c r="AP139" s="662"/>
      <c r="AQ139" s="662"/>
      <c r="AR139" s="662"/>
      <c r="AS139" s="662"/>
      <c r="AT139" s="662"/>
      <c r="AU139" s="662"/>
      <c r="AV139" s="662"/>
      <c r="AW139" s="662"/>
      <c r="AX139" s="662"/>
      <c r="AY139" s="662"/>
      <c r="AZ139" s="662"/>
    </row>
    <row r="140" spans="1:52" ht="18" customHeight="1">
      <c r="A140" s="662"/>
      <c r="B140" s="800" t="s">
        <v>901</v>
      </c>
      <c r="C140" s="801">
        <f t="shared" ref="C140:L140" si="34">SUM(C141:C144)</f>
        <v>19.085265039999999</v>
      </c>
      <c r="D140" s="802">
        <f t="shared" si="34"/>
        <v>16.740403010000001</v>
      </c>
      <c r="E140" s="802">
        <f t="shared" si="34"/>
        <v>14.39554098</v>
      </c>
      <c r="F140" s="802">
        <f t="shared" si="34"/>
        <v>30.458938170000003</v>
      </c>
      <c r="G140" s="802">
        <f t="shared" si="34"/>
        <v>934.23557115999995</v>
      </c>
      <c r="H140" s="821">
        <f ca="1">SUM(H141:H144)</f>
        <v>1320.4022949746172</v>
      </c>
      <c r="I140" s="821">
        <f t="shared" ca="1" si="34"/>
        <v>3706.4781803658402</v>
      </c>
      <c r="J140" s="821">
        <f t="shared" ca="1" si="34"/>
        <v>5959.6485963835376</v>
      </c>
      <c r="K140" s="821">
        <f t="shared" ca="1" si="34"/>
        <v>8138.9040483916024</v>
      </c>
      <c r="L140" s="2360">
        <f t="shared" ca="1" si="34"/>
        <v>10412.27174465524</v>
      </c>
      <c r="M140" s="888"/>
      <c r="N140" s="662"/>
      <c r="O140" s="662"/>
      <c r="P140" s="662"/>
      <c r="Q140" s="662"/>
      <c r="R140" s="662"/>
      <c r="S140" s="662"/>
      <c r="T140" s="662"/>
      <c r="U140" s="662"/>
      <c r="V140" s="662"/>
      <c r="W140" s="662"/>
      <c r="X140" s="662"/>
      <c r="Y140" s="662"/>
      <c r="Z140" s="662"/>
      <c r="AA140" s="662"/>
      <c r="AB140" s="662"/>
      <c r="AC140" s="662"/>
      <c r="AD140" s="662"/>
      <c r="AE140" s="662"/>
      <c r="AF140" s="662"/>
      <c r="AG140" s="662"/>
      <c r="AH140" s="662"/>
      <c r="AI140" s="662"/>
      <c r="AJ140" s="662"/>
      <c r="AK140" s="662"/>
      <c r="AL140" s="662"/>
      <c r="AM140" s="662"/>
      <c r="AN140" s="662"/>
      <c r="AO140" s="662"/>
      <c r="AP140" s="662"/>
      <c r="AQ140" s="662"/>
      <c r="AR140" s="662"/>
      <c r="AS140" s="662"/>
      <c r="AT140" s="662"/>
      <c r="AU140" s="662"/>
      <c r="AV140" s="662"/>
      <c r="AW140" s="662"/>
      <c r="AX140" s="662"/>
      <c r="AY140" s="662"/>
      <c r="AZ140" s="662"/>
    </row>
    <row r="141" spans="1:52" ht="18" customHeight="1">
      <c r="A141" s="662"/>
      <c r="B141" s="822" t="s">
        <v>902</v>
      </c>
      <c r="C141" s="801">
        <f>资产负债!I41</f>
        <v>0</v>
      </c>
      <c r="D141" s="802">
        <f>资产负债!J41</f>
        <v>0</v>
      </c>
      <c r="E141" s="802">
        <f>资产负债!K41</f>
        <v>0</v>
      </c>
      <c r="F141" s="802">
        <f>资产负债!L41</f>
        <v>15.408259220000001</v>
      </c>
      <c r="G141" s="802">
        <f>资产负债!M41</f>
        <v>19.904745179999999</v>
      </c>
      <c r="H141" s="821">
        <f ca="1">资产负债!N41</f>
        <v>406.07146899461708</v>
      </c>
      <c r="I141" s="821">
        <f ca="1">资产负债!O41</f>
        <v>2792.1473543858401</v>
      </c>
      <c r="J141" s="821">
        <f ca="1">资产负债!P41</f>
        <v>5045.317770403537</v>
      </c>
      <c r="K141" s="821">
        <f ca="1">资产负债!Q41</f>
        <v>7224.5732224116018</v>
      </c>
      <c r="L141" s="2360">
        <f ca="1">资产负债!R41</f>
        <v>9497.94091867524</v>
      </c>
      <c r="M141" s="888"/>
      <c r="N141" s="662"/>
      <c r="O141" s="662"/>
      <c r="P141" s="662"/>
      <c r="Q141" s="662"/>
      <c r="R141" s="662"/>
      <c r="S141" s="662"/>
      <c r="T141" s="662"/>
      <c r="U141" s="662"/>
      <c r="V141" s="662"/>
      <c r="W141" s="662"/>
      <c r="X141" s="662"/>
      <c r="Y141" s="662"/>
      <c r="Z141" s="662"/>
      <c r="AA141" s="662"/>
      <c r="AB141" s="662"/>
      <c r="AC141" s="662"/>
      <c r="AD141" s="662"/>
      <c r="AE141" s="662"/>
      <c r="AF141" s="662"/>
      <c r="AG141" s="662"/>
      <c r="AH141" s="662"/>
      <c r="AI141" s="662"/>
      <c r="AJ141" s="662"/>
      <c r="AK141" s="662"/>
      <c r="AL141" s="662"/>
      <c r="AM141" s="662"/>
      <c r="AN141" s="662"/>
      <c r="AO141" s="662"/>
      <c r="AP141" s="662"/>
      <c r="AQ141" s="662"/>
      <c r="AR141" s="662"/>
      <c r="AS141" s="662"/>
      <c r="AT141" s="662"/>
      <c r="AU141" s="662"/>
      <c r="AV141" s="662"/>
      <c r="AW141" s="662"/>
      <c r="AX141" s="662"/>
      <c r="AY141" s="662"/>
      <c r="AZ141" s="662"/>
    </row>
    <row r="142" spans="1:52" ht="18" customHeight="1">
      <c r="A142" s="662"/>
      <c r="B142" s="822" t="s">
        <v>903</v>
      </c>
      <c r="C142" s="801">
        <f>资产负债!I56</f>
        <v>0</v>
      </c>
      <c r="D142" s="802">
        <f>资产负债!J56</f>
        <v>0</v>
      </c>
      <c r="E142" s="802">
        <f>资产负债!K56</f>
        <v>0</v>
      </c>
      <c r="F142" s="802">
        <f>资产负债!L56</f>
        <v>0</v>
      </c>
      <c r="G142" s="802">
        <f>资产负债!M56</f>
        <v>0</v>
      </c>
      <c r="H142" s="821">
        <f>资产负债!N56</f>
        <v>0</v>
      </c>
      <c r="I142" s="821">
        <f>资产负债!O56</f>
        <v>0</v>
      </c>
      <c r="J142" s="821">
        <f>资产负债!P56</f>
        <v>0</v>
      </c>
      <c r="K142" s="821">
        <f>资产负债!Q56</f>
        <v>0</v>
      </c>
      <c r="L142" s="2360">
        <f>资产负债!R56</f>
        <v>0</v>
      </c>
      <c r="M142" s="888"/>
      <c r="N142" s="662"/>
      <c r="O142" s="662"/>
      <c r="P142" s="662"/>
      <c r="Q142" s="662"/>
      <c r="R142" s="662"/>
      <c r="S142" s="662"/>
      <c r="T142" s="662"/>
      <c r="U142" s="662"/>
      <c r="V142" s="662"/>
      <c r="W142" s="662"/>
      <c r="X142" s="662"/>
      <c r="Y142" s="662"/>
      <c r="Z142" s="662"/>
      <c r="AA142" s="662"/>
      <c r="AB142" s="662"/>
      <c r="AC142" s="662"/>
      <c r="AD142" s="662"/>
      <c r="AE142" s="662"/>
      <c r="AF142" s="662"/>
      <c r="AG142" s="662"/>
      <c r="AH142" s="662"/>
      <c r="AI142" s="662"/>
      <c r="AJ142" s="662"/>
      <c r="AK142" s="662"/>
      <c r="AL142" s="662"/>
      <c r="AM142" s="662"/>
      <c r="AN142" s="662"/>
      <c r="AO142" s="662"/>
      <c r="AP142" s="662"/>
      <c r="AQ142" s="662"/>
      <c r="AR142" s="662"/>
      <c r="AS142" s="662"/>
      <c r="AT142" s="662"/>
      <c r="AU142" s="662"/>
      <c r="AV142" s="662"/>
      <c r="AW142" s="662"/>
      <c r="AX142" s="662"/>
      <c r="AY142" s="662"/>
      <c r="AZ142" s="662"/>
    </row>
    <row r="143" spans="1:52" ht="18" customHeight="1">
      <c r="A143" s="662"/>
      <c r="B143" s="822" t="s">
        <v>904</v>
      </c>
      <c r="C143" s="801">
        <f>资产负债!I57</f>
        <v>0</v>
      </c>
      <c r="D143" s="802">
        <f>资产负债!J57</f>
        <v>0</v>
      </c>
      <c r="E143" s="802">
        <f>资产负债!K57</f>
        <v>0</v>
      </c>
      <c r="F143" s="802">
        <f>资产负债!L57</f>
        <v>0</v>
      </c>
      <c r="G143" s="802">
        <f>资产负债!M57</f>
        <v>889.64500905999989</v>
      </c>
      <c r="H143" s="821">
        <f>资产负债!N57</f>
        <v>889.64500905999989</v>
      </c>
      <c r="I143" s="821">
        <f>资产负债!O57</f>
        <v>889.64500905999989</v>
      </c>
      <c r="J143" s="821">
        <f>资产负债!P57</f>
        <v>889.64500905999989</v>
      </c>
      <c r="K143" s="821">
        <f>资产负债!Q57</f>
        <v>889.64500905999989</v>
      </c>
      <c r="L143" s="2360">
        <f>资产负债!R57</f>
        <v>889.64500905999989</v>
      </c>
      <c r="M143" s="888"/>
      <c r="N143" s="662"/>
      <c r="O143" s="662"/>
      <c r="P143" s="662"/>
      <c r="Q143" s="662"/>
      <c r="R143" s="662"/>
      <c r="S143" s="662"/>
      <c r="T143" s="662"/>
      <c r="U143" s="662"/>
      <c r="V143" s="662"/>
      <c r="W143" s="662"/>
      <c r="X143" s="662"/>
      <c r="Y143" s="662"/>
      <c r="Z143" s="662"/>
      <c r="AA143" s="662"/>
      <c r="AB143" s="662"/>
      <c r="AC143" s="662"/>
      <c r="AD143" s="662"/>
      <c r="AE143" s="662"/>
      <c r="AF143" s="662"/>
      <c r="AG143" s="662"/>
      <c r="AH143" s="662"/>
      <c r="AI143" s="662"/>
      <c r="AJ143" s="662"/>
      <c r="AK143" s="662"/>
      <c r="AL143" s="662"/>
      <c r="AM143" s="662"/>
      <c r="AN143" s="662"/>
      <c r="AO143" s="662"/>
      <c r="AP143" s="662"/>
      <c r="AQ143" s="662"/>
      <c r="AR143" s="662"/>
      <c r="AS143" s="662"/>
      <c r="AT143" s="662"/>
      <c r="AU143" s="662"/>
      <c r="AV143" s="662"/>
      <c r="AW143" s="662"/>
      <c r="AX143" s="662"/>
      <c r="AY143" s="662"/>
      <c r="AZ143" s="662"/>
    </row>
    <row r="144" spans="1:52" s="639" customFormat="1" ht="18" customHeight="1">
      <c r="A144" s="638"/>
      <c r="B144" s="1827" t="s">
        <v>1220</v>
      </c>
      <c r="C144" s="801">
        <f>资产负债!I64-资产负债!I56-资产负债!I57</f>
        <v>19.085265039999999</v>
      </c>
      <c r="D144" s="823">
        <f>资产负债!J64-资产负债!J56-资产负债!J57</f>
        <v>16.740403010000001</v>
      </c>
      <c r="E144" s="802">
        <f>资产负债!K64-资产负债!K56-资产负债!K57</f>
        <v>14.39554098</v>
      </c>
      <c r="F144" s="802">
        <f>资产负债!L64-资产负债!L56-资产负债!L57</f>
        <v>15.05067895</v>
      </c>
      <c r="G144" s="802">
        <f>资产负债!M64-资产负债!M56-资产负债!M57</f>
        <v>24.685816920000093</v>
      </c>
      <c r="H144" s="803">
        <f>资产负债!N64-资产负债!N56-资产负债!N57</f>
        <v>24.685816920000093</v>
      </c>
      <c r="I144" s="803">
        <f>资产负债!O64-资产负债!O56-资产负债!O57</f>
        <v>24.685816920000093</v>
      </c>
      <c r="J144" s="803">
        <f>资产负债!P64-资产负债!P56-资产负债!P57</f>
        <v>24.685816920000093</v>
      </c>
      <c r="K144" s="803">
        <f>资产负债!Q64-资产负债!Q56-资产负债!Q57</f>
        <v>24.685816920000093</v>
      </c>
      <c r="L144" s="2288">
        <f>资产负债!R64-资产负债!R56-资产负债!R57</f>
        <v>24.685816920000093</v>
      </c>
      <c r="M144" s="2346"/>
      <c r="N144" s="638"/>
      <c r="O144" s="638"/>
      <c r="P144" s="638"/>
      <c r="Q144" s="638"/>
      <c r="R144" s="638"/>
      <c r="S144" s="638"/>
      <c r="T144" s="638"/>
      <c r="U144" s="638"/>
      <c r="V144" s="638"/>
      <c r="W144" s="638"/>
      <c r="X144" s="638"/>
      <c r="Y144" s="638"/>
      <c r="Z144" s="638"/>
      <c r="AA144" s="638"/>
      <c r="AB144" s="638"/>
      <c r="AC144" s="638"/>
      <c r="AD144" s="638"/>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row>
    <row r="145" spans="1:52" ht="18" customHeight="1">
      <c r="A145" s="662"/>
      <c r="B145" s="800"/>
      <c r="C145" s="810"/>
      <c r="D145" s="824"/>
      <c r="E145" s="803"/>
      <c r="F145" s="803"/>
      <c r="G145" s="803"/>
      <c r="H145" s="821"/>
      <c r="I145" s="821"/>
      <c r="J145" s="821"/>
      <c r="K145" s="821"/>
      <c r="L145" s="2360"/>
      <c r="M145" s="888"/>
      <c r="N145" s="662"/>
      <c r="O145" s="662"/>
      <c r="P145" s="662"/>
      <c r="Q145" s="662"/>
      <c r="R145" s="662"/>
      <c r="S145" s="662"/>
      <c r="T145" s="662"/>
      <c r="U145" s="662"/>
      <c r="V145" s="662"/>
      <c r="W145" s="662"/>
      <c r="X145" s="662"/>
      <c r="Y145" s="662"/>
      <c r="Z145" s="662"/>
      <c r="AA145" s="662"/>
      <c r="AB145" s="662"/>
      <c r="AC145" s="662"/>
      <c r="AD145" s="662"/>
      <c r="AE145" s="662"/>
      <c r="AF145" s="662"/>
      <c r="AG145" s="662"/>
      <c r="AH145" s="662"/>
      <c r="AI145" s="662"/>
      <c r="AJ145" s="662"/>
      <c r="AK145" s="662"/>
      <c r="AL145" s="662"/>
      <c r="AM145" s="662"/>
      <c r="AN145" s="662"/>
      <c r="AO145" s="662"/>
      <c r="AP145" s="662"/>
      <c r="AQ145" s="662"/>
      <c r="AR145" s="662"/>
      <c r="AS145" s="662"/>
      <c r="AT145" s="662"/>
      <c r="AU145" s="662"/>
      <c r="AV145" s="662"/>
      <c r="AW145" s="662"/>
      <c r="AX145" s="662"/>
      <c r="AY145" s="662"/>
      <c r="AZ145" s="662"/>
    </row>
    <row r="146" spans="1:52" s="639" customFormat="1" ht="18" customHeight="1">
      <c r="A146" s="638"/>
      <c r="B146" s="750" t="s">
        <v>905</v>
      </c>
      <c r="C146" s="823">
        <f>SUM(C147:C153)</f>
        <v>4268.5400120200002</v>
      </c>
      <c r="D146" s="802">
        <f t="shared" ref="D146:L146" si="35">SUM(D147:D153)</f>
        <v>4841.4509641200002</v>
      </c>
      <c r="E146" s="802">
        <f t="shared" si="35"/>
        <v>5028.8405170299993</v>
      </c>
      <c r="F146" s="802">
        <f t="shared" si="35"/>
        <v>5555.7247047800001</v>
      </c>
      <c r="G146" s="802">
        <f t="shared" si="35"/>
        <v>6529.2435064899992</v>
      </c>
      <c r="H146" s="803">
        <f t="shared" ca="1" si="35"/>
        <v>4939.5538592283228</v>
      </c>
      <c r="I146" s="803">
        <f t="shared" ca="1" si="35"/>
        <v>3297.47398769027</v>
      </c>
      <c r="J146" s="803">
        <f t="shared" ca="1" si="35"/>
        <v>1664.9327298737189</v>
      </c>
      <c r="K146" s="803">
        <f t="shared" ca="1" si="35"/>
        <v>30.287675275850717</v>
      </c>
      <c r="L146" s="2288">
        <f t="shared" ca="1" si="35"/>
        <v>-1606.1343860416396</v>
      </c>
      <c r="M146" s="2346"/>
      <c r="N146" s="638"/>
      <c r="O146" s="638"/>
      <c r="P146" s="638"/>
      <c r="Q146" s="638"/>
      <c r="R146" s="638"/>
      <c r="S146" s="638"/>
      <c r="T146" s="638"/>
      <c r="U146" s="638"/>
      <c r="V146" s="638"/>
      <c r="W146" s="638"/>
      <c r="X146" s="638"/>
      <c r="Y146" s="638"/>
      <c r="Z146" s="638"/>
      <c r="AA146" s="638"/>
      <c r="AB146" s="638"/>
      <c r="AC146" s="638"/>
      <c r="AD146" s="638"/>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row>
    <row r="147" spans="1:52" ht="18" customHeight="1">
      <c r="A147" s="662"/>
      <c r="B147" s="822" t="s">
        <v>906</v>
      </c>
      <c r="C147" s="801">
        <f>资产负债!I76</f>
        <v>-1.9081500000000002E-3</v>
      </c>
      <c r="D147" s="802">
        <f>资产负债!J76</f>
        <v>1.44294382</v>
      </c>
      <c r="E147" s="802">
        <f>资产负债!K76</f>
        <v>1.9503019799999999</v>
      </c>
      <c r="F147" s="802">
        <f>资产负债!L76</f>
        <v>1.8358173</v>
      </c>
      <c r="G147" s="802">
        <f>资产负债!M76</f>
        <v>4.2588337699999999</v>
      </c>
      <c r="H147" s="821">
        <f ca="1">资产负债!N76</f>
        <v>7.1925278516444759</v>
      </c>
      <c r="I147" s="821">
        <f ca="1">资产负债!O76</f>
        <v>10.67770486123591</v>
      </c>
      <c r="J147" s="821">
        <f ca="1">资产负债!P76</f>
        <v>14.142636962024939</v>
      </c>
      <c r="K147" s="821">
        <f ca="1">资产负债!Q76</f>
        <v>17.612034195297589</v>
      </c>
      <c r="L147" s="2360">
        <f ca="1">资产负债!R76</f>
        <v>21.085202976515294</v>
      </c>
      <c r="M147" s="888"/>
      <c r="N147" s="662"/>
      <c r="O147" s="662"/>
      <c r="P147" s="662"/>
      <c r="Q147" s="662"/>
      <c r="R147" s="662"/>
      <c r="S147" s="662"/>
      <c r="T147" s="662"/>
      <c r="U147" s="662"/>
      <c r="V147" s="662"/>
      <c r="W147" s="662"/>
      <c r="X147" s="662"/>
      <c r="Y147" s="662"/>
      <c r="Z147" s="662"/>
      <c r="AA147" s="662"/>
      <c r="AB147" s="662"/>
      <c r="AC147" s="662"/>
      <c r="AD147" s="662"/>
      <c r="AE147" s="662"/>
      <c r="AF147" s="662"/>
      <c r="AG147" s="662"/>
      <c r="AH147" s="662"/>
      <c r="AI147" s="662"/>
      <c r="AJ147" s="662"/>
      <c r="AK147" s="662"/>
      <c r="AL147" s="662"/>
      <c r="AM147" s="662"/>
      <c r="AN147" s="662"/>
      <c r="AO147" s="662"/>
      <c r="AP147" s="662"/>
      <c r="AQ147" s="662"/>
      <c r="AR147" s="662"/>
      <c r="AS147" s="662"/>
      <c r="AT147" s="662"/>
      <c r="AU147" s="662"/>
      <c r="AV147" s="662"/>
      <c r="AW147" s="662"/>
      <c r="AX147" s="662"/>
      <c r="AY147" s="662"/>
      <c r="AZ147" s="662"/>
    </row>
    <row r="148" spans="1:52" ht="18" customHeight="1">
      <c r="A148" s="662"/>
      <c r="B148" s="822" t="s">
        <v>907</v>
      </c>
      <c r="C148" s="801">
        <f>资产负债!I67</f>
        <v>402</v>
      </c>
      <c r="D148" s="802">
        <f>资产负债!J67</f>
        <v>402</v>
      </c>
      <c r="E148" s="802">
        <f>资产负债!K67</f>
        <v>402</v>
      </c>
      <c r="F148" s="802">
        <f>资产负债!L67</f>
        <v>522.6</v>
      </c>
      <c r="G148" s="802">
        <f>资产负债!M67</f>
        <v>522.6</v>
      </c>
      <c r="H148" s="821">
        <f>资产负债!N67</f>
        <v>522.6</v>
      </c>
      <c r="I148" s="821">
        <f>资产负债!O67</f>
        <v>522.6</v>
      </c>
      <c r="J148" s="821">
        <f>资产负债!P67</f>
        <v>522.6</v>
      </c>
      <c r="K148" s="821">
        <f>资产负债!Q67</f>
        <v>522.6</v>
      </c>
      <c r="L148" s="2360">
        <f>资产负债!R67</f>
        <v>522.6</v>
      </c>
      <c r="M148" s="888"/>
      <c r="N148" s="662"/>
      <c r="O148" s="662"/>
      <c r="P148" s="662"/>
      <c r="Q148" s="662"/>
      <c r="R148" s="662"/>
      <c r="S148" s="662"/>
      <c r="T148" s="662"/>
      <c r="U148" s="662"/>
      <c r="V148" s="662"/>
      <c r="W148" s="662"/>
      <c r="X148" s="662"/>
      <c r="Y148" s="662"/>
      <c r="Z148" s="662"/>
      <c r="AA148" s="662"/>
      <c r="AB148" s="662"/>
      <c r="AC148" s="662"/>
      <c r="AD148" s="662"/>
      <c r="AE148" s="662"/>
      <c r="AF148" s="662"/>
      <c r="AG148" s="662"/>
      <c r="AH148" s="662"/>
      <c r="AI148" s="662"/>
      <c r="AJ148" s="662"/>
      <c r="AK148" s="662"/>
      <c r="AL148" s="662"/>
      <c r="AM148" s="662"/>
      <c r="AN148" s="662"/>
      <c r="AO148" s="662"/>
      <c r="AP148" s="662"/>
      <c r="AQ148" s="662"/>
      <c r="AR148" s="662"/>
      <c r="AS148" s="662"/>
      <c r="AT148" s="662"/>
      <c r="AU148" s="662"/>
      <c r="AV148" s="662"/>
      <c r="AW148" s="662"/>
      <c r="AX148" s="662"/>
      <c r="AY148" s="662"/>
      <c r="AZ148" s="662"/>
    </row>
    <row r="149" spans="1:52" ht="18" customHeight="1">
      <c r="A149" s="662"/>
      <c r="B149" s="822" t="s">
        <v>908</v>
      </c>
      <c r="C149" s="801">
        <f>资产负债!I69-资产负债!I70</f>
        <v>1511.8309422100001</v>
      </c>
      <c r="D149" s="802">
        <f>资产负债!J69-资产负债!J70</f>
        <v>1511.8056089300001</v>
      </c>
      <c r="E149" s="802">
        <f>资产负债!K69-资产负债!K70</f>
        <v>1511.8056089300001</v>
      </c>
      <c r="F149" s="802">
        <f>资产负债!L69-资产负债!L70</f>
        <v>1391.01031685</v>
      </c>
      <c r="G149" s="802">
        <f>资产负债!M69-资产负债!M70</f>
        <v>1391.01031685</v>
      </c>
      <c r="H149" s="821">
        <f>资产负债!N69-资产负债!N70</f>
        <v>1391.01031685</v>
      </c>
      <c r="I149" s="821">
        <f>资产负债!O69-资产负债!O70</f>
        <v>1391.01031685</v>
      </c>
      <c r="J149" s="821">
        <f>资产负债!P69-资产负债!P70</f>
        <v>1391.01031685</v>
      </c>
      <c r="K149" s="821">
        <f>资产负债!Q69-资产负债!Q70</f>
        <v>1391.01031685</v>
      </c>
      <c r="L149" s="2360">
        <f>资产负债!R69-资产负债!R70</f>
        <v>1391.01031685</v>
      </c>
      <c r="M149" s="888"/>
      <c r="N149" s="662"/>
      <c r="O149" s="662"/>
      <c r="P149" s="662"/>
      <c r="Q149" s="662"/>
      <c r="R149" s="662"/>
      <c r="S149" s="662"/>
      <c r="T149" s="662"/>
      <c r="U149" s="662"/>
      <c r="V149" s="662"/>
      <c r="W149" s="662"/>
      <c r="X149" s="662"/>
      <c r="Y149" s="662"/>
      <c r="Z149" s="662"/>
      <c r="AA149" s="662"/>
      <c r="AB149" s="662"/>
      <c r="AC149" s="662"/>
      <c r="AD149" s="662"/>
      <c r="AE149" s="662"/>
      <c r="AF149" s="662"/>
      <c r="AG149" s="662"/>
      <c r="AH149" s="662"/>
      <c r="AI149" s="662"/>
      <c r="AJ149" s="662"/>
      <c r="AK149" s="662"/>
      <c r="AL149" s="662"/>
      <c r="AM149" s="662"/>
      <c r="AN149" s="662"/>
      <c r="AO149" s="662"/>
      <c r="AP149" s="662"/>
      <c r="AQ149" s="662"/>
      <c r="AR149" s="662"/>
      <c r="AS149" s="662"/>
      <c r="AT149" s="662"/>
      <c r="AU149" s="662"/>
      <c r="AV149" s="662"/>
      <c r="AW149" s="662"/>
      <c r="AX149" s="662"/>
      <c r="AY149" s="662"/>
      <c r="AZ149" s="662"/>
    </row>
    <row r="150" spans="1:52" ht="18" customHeight="1">
      <c r="A150" s="662"/>
      <c r="B150" s="822" t="s">
        <v>909</v>
      </c>
      <c r="C150" s="801">
        <f>资产负债!I72</f>
        <v>206.53784146000001</v>
      </c>
      <c r="D150" s="802">
        <f>资产负债!J72</f>
        <v>206.53784146000001</v>
      </c>
      <c r="E150" s="802">
        <f>资产负债!K72</f>
        <v>206.53784146000001</v>
      </c>
      <c r="F150" s="802">
        <f>资产负债!L72</f>
        <v>206.53784146000001</v>
      </c>
      <c r="G150" s="802">
        <f>资产负债!M72</f>
        <v>266.64553011999999</v>
      </c>
      <c r="H150" s="821">
        <f ca="1">资产负债!N72</f>
        <v>179.65046189506444</v>
      </c>
      <c r="I150" s="821">
        <f ca="1">资产负债!O72</f>
        <v>76.301849774120527</v>
      </c>
      <c r="J150" s="821">
        <f ca="1">资产负债!P72</f>
        <v>-26.44642462466885</v>
      </c>
      <c r="K150" s="821">
        <f ca="1">资产负债!Q72</f>
        <v>-129.32710700269374</v>
      </c>
      <c r="L150" s="2360">
        <f ca="1">资产负债!R72</f>
        <v>-232.31962996861313</v>
      </c>
      <c r="M150" s="888"/>
      <c r="N150" s="662"/>
      <c r="O150" s="662"/>
      <c r="P150" s="662"/>
      <c r="Q150" s="662"/>
      <c r="R150" s="662"/>
      <c r="S150" s="662"/>
      <c r="T150" s="662"/>
      <c r="U150" s="662"/>
      <c r="V150" s="662"/>
      <c r="W150" s="662"/>
      <c r="X150" s="662"/>
      <c r="Y150" s="662"/>
      <c r="Z150" s="662"/>
      <c r="AA150" s="662"/>
      <c r="AB150" s="662"/>
      <c r="AC150" s="662"/>
      <c r="AD150" s="662"/>
      <c r="AE150" s="662"/>
      <c r="AF150" s="662"/>
      <c r="AG150" s="662"/>
      <c r="AH150" s="662"/>
      <c r="AI150" s="662"/>
      <c r="AJ150" s="662"/>
      <c r="AK150" s="662"/>
      <c r="AL150" s="662"/>
      <c r="AM150" s="662"/>
      <c r="AN150" s="662"/>
      <c r="AO150" s="662"/>
      <c r="AP150" s="662"/>
      <c r="AQ150" s="662"/>
      <c r="AR150" s="662"/>
      <c r="AS150" s="662"/>
      <c r="AT150" s="662"/>
      <c r="AU150" s="662"/>
      <c r="AV150" s="662"/>
      <c r="AW150" s="662"/>
      <c r="AX150" s="662"/>
      <c r="AY150" s="662"/>
      <c r="AZ150" s="662"/>
    </row>
    <row r="151" spans="1:52" ht="18" customHeight="1">
      <c r="A151" s="662"/>
      <c r="B151" s="822" t="s">
        <v>910</v>
      </c>
      <c r="C151" s="801">
        <f>资产负债!I73</f>
        <v>2148.1731365000001</v>
      </c>
      <c r="D151" s="802">
        <f>资产负债!J73</f>
        <v>2714.50903182</v>
      </c>
      <c r="E151" s="802">
        <f>资产负债!K73</f>
        <v>2897.7010442300002</v>
      </c>
      <c r="F151" s="802">
        <f>资产负债!L73</f>
        <v>3407.7585355000001</v>
      </c>
      <c r="G151" s="802">
        <f>资产负债!M73</f>
        <v>4069.5436421499999</v>
      </c>
      <c r="H151" s="821">
        <f ca="1">资产负债!N73</f>
        <v>2771.3624537316136</v>
      </c>
      <c r="I151" s="821">
        <f ca="1">资产负债!O73</f>
        <v>1229.1460173049136</v>
      </c>
      <c r="J151" s="821">
        <f ca="1">资产负债!P73</f>
        <v>-304.11189821363701</v>
      </c>
      <c r="K151" s="821">
        <f ca="1">资产负债!Q73</f>
        <v>-1839.3456676667531</v>
      </c>
      <c r="L151" s="2360">
        <f ca="1">资产负债!R73</f>
        <v>-3376.248374799542</v>
      </c>
      <c r="M151" s="888"/>
      <c r="N151" s="662"/>
      <c r="O151" s="662"/>
      <c r="P151" s="662"/>
      <c r="Q151" s="662"/>
      <c r="R151" s="662"/>
      <c r="S151" s="662"/>
      <c r="T151" s="662"/>
      <c r="U151" s="662"/>
      <c r="V151" s="662"/>
      <c r="W151" s="662"/>
      <c r="X151" s="662"/>
      <c r="Y151" s="662"/>
      <c r="Z151" s="662"/>
      <c r="AA151" s="662"/>
      <c r="AB151" s="662"/>
      <c r="AC151" s="662"/>
      <c r="AD151" s="662"/>
      <c r="AE151" s="662"/>
      <c r="AF151" s="662"/>
      <c r="AG151" s="662"/>
      <c r="AH151" s="662"/>
      <c r="AI151" s="662"/>
      <c r="AJ151" s="662"/>
      <c r="AK151" s="662"/>
      <c r="AL151" s="662"/>
      <c r="AM151" s="662"/>
      <c r="AN151" s="662"/>
      <c r="AO151" s="662"/>
      <c r="AP151" s="662"/>
      <c r="AQ151" s="662"/>
      <c r="AR151" s="662"/>
      <c r="AS151" s="662"/>
      <c r="AT151" s="662"/>
      <c r="AU151" s="662"/>
      <c r="AV151" s="662"/>
      <c r="AW151" s="662"/>
      <c r="AX151" s="662"/>
      <c r="AY151" s="662"/>
      <c r="AZ151" s="662"/>
    </row>
    <row r="152" spans="1:52" ht="18" customHeight="1">
      <c r="A152" s="662"/>
      <c r="B152" s="826" t="s">
        <v>1221</v>
      </c>
      <c r="C152" s="823">
        <f>资产负债!I77-资产负债!I67-资产负债!I69+资产负债!I70-资产负债!I72-资产负债!I73-资产负债!I76</f>
        <v>3.7084267948128691E-14</v>
      </c>
      <c r="D152" s="802">
        <f>资产负债!J77-资产负债!J67-资产负债!J69+资产负债!J70-资产负债!J72-资产负债!J73-资产负债!J76</f>
        <v>5.1555380900003733</v>
      </c>
      <c r="E152" s="802">
        <f>资产负债!K77-资产负债!K67-资产负债!K69+资产负债!K70-资产负债!K72-资产负债!K73-资产负债!K76</f>
        <v>8.8457204299992966</v>
      </c>
      <c r="F152" s="802">
        <f>资产负债!L77-资产负债!L67-资产负债!L69+资产负债!L70-资产负债!L72-资产负债!L73-资产负债!L76</f>
        <v>25.982193669999706</v>
      </c>
      <c r="G152" s="802">
        <f>资产负债!M77-资产负债!M67-资产负债!M69+资产负债!M70-资产负债!M72-资产负债!M73-资产负债!M76</f>
        <v>275.1851835999995</v>
      </c>
      <c r="H152" s="803">
        <f ca="1">资产负债!N77-资产负债!N67-资产负债!N69+资产负债!N70-资产负债!N72-资产负债!N73-资产负债!N76</f>
        <v>67.738098899999997</v>
      </c>
      <c r="I152" s="803">
        <f ca="1">资产负债!O77-资产负债!O67-资产负债!O69+资产负债!O70-资产负债!O72-资产负债!O73-资产负债!O76</f>
        <v>67.738098899999656</v>
      </c>
      <c r="J152" s="803">
        <f ca="1">资产负债!P77-资产负债!P67-资产负债!P69+资产负债!P70-资产负债!P72-资产负债!P73-资产负债!P76</f>
        <v>67.738098899999954</v>
      </c>
      <c r="K152" s="803">
        <f ca="1">资产负债!Q77-资产负债!Q67-资产负债!Q69+资产负债!Q70-资产负债!Q72-资产负债!Q73-资产负债!Q76</f>
        <v>67.738098899999869</v>
      </c>
      <c r="L152" s="2288">
        <f ca="1">资产负债!R77-资产负债!R67-资产负债!R69+资产负债!R70-资产负债!R72-资产负债!R73-资产负债!R76</f>
        <v>67.738098900000125</v>
      </c>
      <c r="M152" s="888"/>
      <c r="N152" s="662"/>
      <c r="O152" s="662"/>
      <c r="P152" s="662"/>
      <c r="Q152" s="662"/>
      <c r="R152" s="662"/>
      <c r="S152" s="662"/>
      <c r="T152" s="662"/>
      <c r="U152" s="662"/>
      <c r="V152" s="662"/>
      <c r="W152" s="662"/>
      <c r="X152" s="662"/>
      <c r="Y152" s="662"/>
      <c r="Z152" s="662"/>
      <c r="AA152" s="662"/>
      <c r="AB152" s="662"/>
      <c r="AC152" s="662"/>
      <c r="AD152" s="662"/>
      <c r="AE152" s="662"/>
      <c r="AF152" s="662"/>
      <c r="AG152" s="662"/>
      <c r="AH152" s="662"/>
      <c r="AI152" s="662"/>
      <c r="AJ152" s="662"/>
      <c r="AK152" s="662"/>
      <c r="AL152" s="662"/>
      <c r="AM152" s="662"/>
      <c r="AN152" s="662"/>
      <c r="AO152" s="662"/>
      <c r="AP152" s="662"/>
      <c r="AQ152" s="662"/>
      <c r="AR152" s="662"/>
      <c r="AS152" s="662"/>
      <c r="AT152" s="662"/>
      <c r="AU152" s="662"/>
      <c r="AV152" s="662"/>
      <c r="AW152" s="662"/>
      <c r="AX152" s="662"/>
      <c r="AY152" s="662"/>
      <c r="AZ152" s="662"/>
    </row>
    <row r="153" spans="1:52" ht="18" customHeight="1">
      <c r="A153" s="662"/>
      <c r="B153" s="800"/>
      <c r="C153" s="810"/>
      <c r="D153" s="803"/>
      <c r="E153" s="803"/>
      <c r="F153" s="803"/>
      <c r="G153" s="803"/>
      <c r="H153" s="821"/>
      <c r="I153" s="821"/>
      <c r="J153" s="821"/>
      <c r="K153" s="821"/>
      <c r="L153" s="2360"/>
      <c r="M153" s="888"/>
      <c r="N153" s="662"/>
      <c r="O153" s="662"/>
      <c r="P153" s="662"/>
      <c r="Q153" s="662"/>
      <c r="R153" s="662"/>
      <c r="S153" s="662"/>
      <c r="T153" s="662"/>
      <c r="U153" s="662"/>
      <c r="V153" s="662"/>
      <c r="W153" s="662"/>
      <c r="X153" s="662"/>
      <c r="Y153" s="662"/>
      <c r="Z153" s="662"/>
      <c r="AA153" s="662"/>
      <c r="AB153" s="662"/>
      <c r="AC153" s="662"/>
      <c r="AD153" s="662"/>
      <c r="AE153" s="662"/>
      <c r="AF153" s="662"/>
      <c r="AG153" s="662"/>
      <c r="AH153" s="662"/>
      <c r="AI153" s="662"/>
      <c r="AJ153" s="662"/>
      <c r="AK153" s="662"/>
      <c r="AL153" s="662"/>
      <c r="AM153" s="662"/>
      <c r="AN153" s="662"/>
      <c r="AO153" s="662"/>
      <c r="AP153" s="662"/>
      <c r="AQ153" s="662"/>
      <c r="AR153" s="662"/>
      <c r="AS153" s="662"/>
      <c r="AT153" s="662"/>
      <c r="AU153" s="662"/>
      <c r="AV153" s="662"/>
      <c r="AW153" s="662"/>
      <c r="AX153" s="662"/>
      <c r="AY153" s="662"/>
      <c r="AZ153" s="662"/>
    </row>
    <row r="154" spans="1:52" ht="18" customHeight="1">
      <c r="A154" s="662"/>
      <c r="B154" s="800" t="s">
        <v>911</v>
      </c>
      <c r="C154" s="801">
        <f t="shared" ref="C154:L154" si="36">C140+C146</f>
        <v>4287.6252770600004</v>
      </c>
      <c r="D154" s="802">
        <f t="shared" si="36"/>
        <v>4858.1913671299999</v>
      </c>
      <c r="E154" s="802">
        <f t="shared" si="36"/>
        <v>5043.2360580099994</v>
      </c>
      <c r="F154" s="802">
        <f t="shared" si="36"/>
        <v>5586.1836429499999</v>
      </c>
      <c r="G154" s="802">
        <f t="shared" si="36"/>
        <v>7463.4790776499995</v>
      </c>
      <c r="H154" s="803">
        <f t="shared" ca="1" si="36"/>
        <v>6259.9561542029405</v>
      </c>
      <c r="I154" s="803">
        <f t="shared" ca="1" si="36"/>
        <v>7003.9521680561102</v>
      </c>
      <c r="J154" s="803">
        <f t="shared" ca="1" si="36"/>
        <v>7624.5813262572565</v>
      </c>
      <c r="K154" s="803">
        <f t="shared" ca="1" si="36"/>
        <v>8169.1917236674535</v>
      </c>
      <c r="L154" s="2288">
        <f t="shared" ca="1" si="36"/>
        <v>8806.1373586135996</v>
      </c>
      <c r="M154" s="888"/>
      <c r="N154" s="662"/>
      <c r="O154" s="662"/>
      <c r="P154" s="662"/>
      <c r="Q154" s="662"/>
      <c r="R154" s="662"/>
      <c r="S154" s="662"/>
      <c r="T154" s="662"/>
      <c r="U154" s="662"/>
      <c r="V154" s="662"/>
      <c r="W154" s="662"/>
      <c r="X154" s="662"/>
      <c r="Y154" s="662"/>
      <c r="Z154" s="662"/>
      <c r="AA154" s="662"/>
      <c r="AB154" s="662"/>
      <c r="AC154" s="662"/>
      <c r="AD154" s="662"/>
      <c r="AE154" s="662"/>
      <c r="AF154" s="662"/>
      <c r="AG154" s="662"/>
      <c r="AH154" s="662"/>
      <c r="AI154" s="662"/>
      <c r="AJ154" s="662"/>
      <c r="AK154" s="662"/>
      <c r="AL154" s="662"/>
      <c r="AM154" s="662"/>
      <c r="AN154" s="662"/>
      <c r="AO154" s="662"/>
      <c r="AP154" s="662"/>
      <c r="AQ154" s="662"/>
      <c r="AR154" s="662"/>
      <c r="AS154" s="662"/>
      <c r="AT154" s="662"/>
      <c r="AU154" s="662"/>
      <c r="AV154" s="662"/>
      <c r="AW154" s="662"/>
      <c r="AX154" s="662"/>
      <c r="AY154" s="662"/>
      <c r="AZ154" s="662"/>
    </row>
    <row r="155" spans="1:52" ht="18" customHeight="1">
      <c r="A155" s="662"/>
      <c r="B155" s="800"/>
      <c r="C155" s="810"/>
      <c r="D155" s="803"/>
      <c r="E155" s="803"/>
      <c r="F155" s="803"/>
      <c r="G155" s="803"/>
      <c r="H155" s="821"/>
      <c r="I155" s="821"/>
      <c r="J155" s="821"/>
      <c r="K155" s="821"/>
      <c r="L155" s="2360"/>
      <c r="M155" s="888"/>
      <c r="N155" s="662"/>
      <c r="O155" s="662"/>
      <c r="P155" s="662"/>
      <c r="Q155" s="662"/>
      <c r="R155" s="662"/>
      <c r="S155" s="662"/>
      <c r="T155" s="662"/>
      <c r="U155" s="662"/>
      <c r="V155" s="662"/>
      <c r="W155" s="662"/>
      <c r="X155" s="662"/>
      <c r="Y155" s="662"/>
      <c r="Z155" s="662"/>
      <c r="AA155" s="662"/>
      <c r="AB155" s="662"/>
      <c r="AC155" s="662"/>
      <c r="AD155" s="662"/>
      <c r="AE155" s="662"/>
      <c r="AF155" s="662"/>
      <c r="AG155" s="662"/>
      <c r="AH155" s="662"/>
      <c r="AI155" s="662"/>
      <c r="AJ155" s="662"/>
      <c r="AK155" s="662"/>
      <c r="AL155" s="662"/>
      <c r="AM155" s="662"/>
      <c r="AN155" s="662"/>
      <c r="AO155" s="662"/>
      <c r="AP155" s="662"/>
      <c r="AQ155" s="662"/>
      <c r="AR155" s="662"/>
      <c r="AS155" s="662"/>
      <c r="AT155" s="662"/>
      <c r="AU155" s="662"/>
      <c r="AV155" s="662"/>
      <c r="AW155" s="662"/>
      <c r="AX155" s="662"/>
      <c r="AY155" s="662"/>
      <c r="AZ155" s="662"/>
    </row>
    <row r="156" spans="1:52" ht="18" customHeight="1">
      <c r="A156" s="662"/>
      <c r="B156" s="825" t="s">
        <v>912</v>
      </c>
      <c r="C156" s="801">
        <f>资产负债!I4</f>
        <v>669.73022946000003</v>
      </c>
      <c r="D156" s="802">
        <f>资产负债!J4</f>
        <v>324.22314002999997</v>
      </c>
      <c r="E156" s="802">
        <f>资产负债!K4</f>
        <v>338.57562458000001</v>
      </c>
      <c r="F156" s="802">
        <f>资产负债!L4</f>
        <v>493.60045350000001</v>
      </c>
      <c r="G156" s="802">
        <f>资产负债!M4</f>
        <v>1881.24535322</v>
      </c>
      <c r="H156" s="821">
        <f ca="1">资产负债!N4</f>
        <v>414.35373085000003</v>
      </c>
      <c r="I156" s="821">
        <f ca="1">资产负债!O4</f>
        <v>414.35373085000003</v>
      </c>
      <c r="J156" s="821">
        <f ca="1">资产负债!P4</f>
        <v>414.35373085000003</v>
      </c>
      <c r="K156" s="821">
        <f ca="1">资产负债!Q4</f>
        <v>414.35373085000003</v>
      </c>
      <c r="L156" s="2360">
        <f ca="1">资产负债!R4</f>
        <v>414.35373085000003</v>
      </c>
      <c r="M156" s="888"/>
      <c r="N156" s="662"/>
      <c r="O156" s="662"/>
      <c r="P156" s="662"/>
      <c r="Q156" s="662"/>
      <c r="R156" s="662"/>
      <c r="S156" s="662"/>
      <c r="T156" s="662"/>
      <c r="U156" s="662"/>
      <c r="V156" s="662"/>
      <c r="W156" s="662"/>
      <c r="X156" s="662"/>
      <c r="Y156" s="662"/>
      <c r="Z156" s="662"/>
      <c r="AA156" s="662"/>
      <c r="AB156" s="662"/>
      <c r="AC156" s="662"/>
      <c r="AD156" s="662"/>
      <c r="AE156" s="662"/>
      <c r="AF156" s="662"/>
      <c r="AG156" s="662"/>
      <c r="AH156" s="662"/>
      <c r="AI156" s="662"/>
      <c r="AJ156" s="662"/>
      <c r="AK156" s="662"/>
      <c r="AL156" s="662"/>
      <c r="AM156" s="662"/>
      <c r="AN156" s="662"/>
      <c r="AO156" s="662"/>
      <c r="AP156" s="662"/>
      <c r="AQ156" s="662"/>
      <c r="AR156" s="662"/>
      <c r="AS156" s="662"/>
      <c r="AT156" s="662"/>
      <c r="AU156" s="662"/>
      <c r="AV156" s="662"/>
      <c r="AW156" s="662"/>
      <c r="AX156" s="662"/>
      <c r="AY156" s="662"/>
      <c r="AZ156" s="662"/>
    </row>
    <row r="157" spans="1:52" ht="18" customHeight="1">
      <c r="A157" s="662"/>
      <c r="B157" s="826" t="s">
        <v>913</v>
      </c>
      <c r="C157" s="801">
        <f>资产负债!I5-资产负债!I44+资产负债!I6</f>
        <v>0</v>
      </c>
      <c r="D157" s="802">
        <f>资产负债!J5-资产负债!J44+资产负债!J6</f>
        <v>0</v>
      </c>
      <c r="E157" s="802">
        <f>资产负债!K5-资产负债!K44+资产负债!K6</f>
        <v>1.0483</v>
      </c>
      <c r="F157" s="802">
        <f>资产负债!L5-资产负债!L44+资产负债!L6</f>
        <v>-3.6116932100000003</v>
      </c>
      <c r="G157" s="802">
        <f>资产负债!M5-资产负债!M44+资产负债!M6</f>
        <v>674.51936951000005</v>
      </c>
      <c r="H157" s="803">
        <f>资产负债!N5-资产负债!N44+资产负债!N6</f>
        <v>1350.23123824</v>
      </c>
      <c r="I157" s="803">
        <f>资产负债!O5-资产负债!O44+资产负债!O6</f>
        <v>2025.9431069699999</v>
      </c>
      <c r="J157" s="803">
        <f>资产负债!P5-资产负债!P44+资产负债!P6</f>
        <v>2701.6549756999998</v>
      </c>
      <c r="K157" s="803">
        <f>资产负债!Q5-资产负债!Q44+资产负债!Q6</f>
        <v>3377.3668444299997</v>
      </c>
      <c r="L157" s="2288">
        <f>资产负债!R5-资产负债!R44+资产负债!R6</f>
        <v>4053.0787131599996</v>
      </c>
      <c r="M157" s="888"/>
      <c r="N157" s="662"/>
      <c r="O157" s="662"/>
      <c r="P157" s="662"/>
      <c r="Q157" s="662"/>
      <c r="R157" s="662"/>
      <c r="S157" s="662"/>
      <c r="T157" s="662"/>
      <c r="U157" s="662"/>
      <c r="V157" s="662"/>
      <c r="W157" s="662"/>
      <c r="X157" s="662"/>
      <c r="Y157" s="662"/>
      <c r="Z157" s="662"/>
      <c r="AA157" s="662"/>
      <c r="AB157" s="662"/>
      <c r="AC157" s="662"/>
      <c r="AD157" s="662"/>
      <c r="AE157" s="662"/>
      <c r="AF157" s="662"/>
      <c r="AG157" s="662"/>
      <c r="AH157" s="662"/>
      <c r="AI157" s="662"/>
      <c r="AJ157" s="662"/>
      <c r="AK157" s="662"/>
      <c r="AL157" s="662"/>
      <c r="AM157" s="662"/>
      <c r="AN157" s="662"/>
      <c r="AO157" s="662"/>
      <c r="AP157" s="662"/>
      <c r="AQ157" s="662"/>
      <c r="AR157" s="662"/>
      <c r="AS157" s="662"/>
      <c r="AT157" s="662"/>
      <c r="AU157" s="662"/>
      <c r="AV157" s="662"/>
      <c r="AW157" s="662"/>
      <c r="AX157" s="662"/>
      <c r="AY157" s="662"/>
      <c r="AZ157" s="662"/>
    </row>
    <row r="158" spans="1:52" ht="18" customHeight="1">
      <c r="A158" s="662"/>
      <c r="B158" s="825"/>
      <c r="C158" s="810"/>
      <c r="D158" s="803"/>
      <c r="E158" s="803"/>
      <c r="F158" s="803"/>
      <c r="G158" s="803"/>
      <c r="H158" s="821"/>
      <c r="I158" s="821"/>
      <c r="J158" s="821"/>
      <c r="K158" s="821"/>
      <c r="L158" s="2360"/>
      <c r="M158" s="888"/>
      <c r="N158" s="662"/>
      <c r="O158" s="662"/>
      <c r="P158" s="662"/>
      <c r="Q158" s="662"/>
      <c r="R158" s="662"/>
      <c r="S158" s="662"/>
      <c r="T158" s="662"/>
      <c r="U158" s="662"/>
      <c r="V158" s="662"/>
      <c r="W158" s="662"/>
      <c r="X158" s="662"/>
      <c r="Y158" s="662"/>
      <c r="Z158" s="662"/>
      <c r="AA158" s="662"/>
      <c r="AB158" s="662"/>
      <c r="AC158" s="662"/>
      <c r="AD158" s="662"/>
      <c r="AE158" s="662"/>
      <c r="AF158" s="662"/>
      <c r="AG158" s="662"/>
      <c r="AH158" s="662"/>
      <c r="AI158" s="662"/>
      <c r="AJ158" s="662"/>
      <c r="AK158" s="662"/>
      <c r="AL158" s="662"/>
      <c r="AM158" s="662"/>
      <c r="AN158" s="662"/>
      <c r="AO158" s="662"/>
      <c r="AP158" s="662"/>
      <c r="AQ158" s="662"/>
      <c r="AR158" s="662"/>
      <c r="AS158" s="662"/>
      <c r="AT158" s="662"/>
      <c r="AU158" s="662"/>
      <c r="AV158" s="662"/>
      <c r="AW158" s="662"/>
      <c r="AX158" s="662"/>
      <c r="AY158" s="662"/>
      <c r="AZ158" s="662"/>
    </row>
    <row r="159" spans="1:52" ht="18" customHeight="1">
      <c r="A159" s="662"/>
      <c r="B159" s="828" t="s">
        <v>897</v>
      </c>
      <c r="C159" s="801">
        <f t="shared" ref="C159:L159" si="37">C154-C156-C157</f>
        <v>3617.8950476000005</v>
      </c>
      <c r="D159" s="802">
        <f t="shared" si="37"/>
        <v>4533.9682271000001</v>
      </c>
      <c r="E159" s="802">
        <f t="shared" si="37"/>
        <v>4703.6121334299987</v>
      </c>
      <c r="F159" s="802">
        <f t="shared" si="37"/>
        <v>5096.1948826600001</v>
      </c>
      <c r="G159" s="802">
        <f t="shared" si="37"/>
        <v>4907.71435492</v>
      </c>
      <c r="H159" s="803">
        <f t="shared" ca="1" si="37"/>
        <v>4495.371185112941</v>
      </c>
      <c r="I159" s="803">
        <f t="shared" ca="1" si="37"/>
        <v>4563.6553302361099</v>
      </c>
      <c r="J159" s="803">
        <f t="shared" ca="1" si="37"/>
        <v>4508.5726197072563</v>
      </c>
      <c r="K159" s="803">
        <f t="shared" ca="1" si="37"/>
        <v>4377.4711483874544</v>
      </c>
      <c r="L159" s="2288">
        <f t="shared" ca="1" si="37"/>
        <v>4338.7049146036006</v>
      </c>
      <c r="M159" s="888"/>
      <c r="N159" s="662"/>
      <c r="O159" s="662"/>
      <c r="P159" s="662"/>
      <c r="Q159" s="662"/>
      <c r="R159" s="662"/>
      <c r="S159" s="662"/>
      <c r="T159" s="662"/>
      <c r="U159" s="662"/>
      <c r="V159" s="662"/>
      <c r="W159" s="662"/>
      <c r="X159" s="662"/>
      <c r="Y159" s="662"/>
      <c r="Z159" s="662"/>
      <c r="AA159" s="662"/>
      <c r="AB159" s="662"/>
      <c r="AC159" s="662"/>
      <c r="AD159" s="662"/>
      <c r="AE159" s="662"/>
      <c r="AF159" s="662"/>
      <c r="AG159" s="662"/>
      <c r="AH159" s="662"/>
      <c r="AI159" s="662"/>
      <c r="AJ159" s="662"/>
      <c r="AK159" s="662"/>
      <c r="AL159" s="662"/>
      <c r="AM159" s="662"/>
      <c r="AN159" s="662"/>
      <c r="AO159" s="662"/>
      <c r="AP159" s="662"/>
      <c r="AQ159" s="662"/>
      <c r="AR159" s="662"/>
      <c r="AS159" s="662"/>
      <c r="AT159" s="662"/>
      <c r="AU159" s="662"/>
      <c r="AV159" s="662"/>
      <c r="AW159" s="662"/>
      <c r="AX159" s="662"/>
      <c r="AY159" s="662"/>
      <c r="AZ159" s="662"/>
    </row>
    <row r="160" spans="1:52" ht="18" customHeight="1">
      <c r="A160" s="662"/>
      <c r="B160" s="825"/>
      <c r="C160" s="810"/>
      <c r="D160" s="803"/>
      <c r="E160" s="803"/>
      <c r="F160" s="803"/>
      <c r="G160" s="803"/>
      <c r="H160" s="803"/>
      <c r="I160" s="803"/>
      <c r="J160" s="803"/>
      <c r="K160" s="803"/>
      <c r="L160" s="2288"/>
      <c r="M160" s="888"/>
      <c r="N160" s="662"/>
      <c r="O160" s="662"/>
      <c r="P160" s="662"/>
      <c r="Q160" s="662"/>
      <c r="R160" s="662"/>
      <c r="S160" s="662"/>
      <c r="T160" s="662"/>
      <c r="U160" s="662"/>
      <c r="V160" s="662"/>
      <c r="W160" s="662"/>
      <c r="X160" s="662"/>
      <c r="Y160" s="662"/>
      <c r="Z160" s="662"/>
      <c r="AA160" s="662"/>
      <c r="AB160" s="662"/>
      <c r="AC160" s="662"/>
      <c r="AD160" s="662"/>
      <c r="AE160" s="662"/>
      <c r="AF160" s="662"/>
      <c r="AG160" s="662"/>
      <c r="AH160" s="662"/>
      <c r="AI160" s="662"/>
      <c r="AJ160" s="662"/>
      <c r="AK160" s="662"/>
      <c r="AL160" s="662"/>
      <c r="AM160" s="662"/>
      <c r="AN160" s="662"/>
      <c r="AO160" s="662"/>
      <c r="AP160" s="662"/>
      <c r="AQ160" s="662"/>
      <c r="AR160" s="662"/>
      <c r="AS160" s="662"/>
      <c r="AT160" s="662"/>
      <c r="AU160" s="662"/>
      <c r="AV160" s="662"/>
      <c r="AW160" s="662"/>
      <c r="AX160" s="662"/>
      <c r="AY160" s="662"/>
      <c r="AZ160" s="662"/>
    </row>
    <row r="161" spans="1:52" ht="18" customHeight="1">
      <c r="A161" s="662"/>
      <c r="B161" s="829" t="s">
        <v>898</v>
      </c>
      <c r="C161" s="802">
        <f t="shared" ref="C161:L161" si="38">C129</f>
        <v>0</v>
      </c>
      <c r="D161" s="802">
        <f t="shared" si="38"/>
        <v>0</v>
      </c>
      <c r="E161" s="802">
        <f t="shared" si="38"/>
        <v>0</v>
      </c>
      <c r="F161" s="802">
        <f t="shared" si="38"/>
        <v>0</v>
      </c>
      <c r="G161" s="802">
        <f t="shared" si="38"/>
        <v>0</v>
      </c>
      <c r="H161" s="803">
        <f t="shared" si="38"/>
        <v>0</v>
      </c>
      <c r="I161" s="803">
        <f t="shared" si="38"/>
        <v>0</v>
      </c>
      <c r="J161" s="803">
        <f t="shared" si="38"/>
        <v>0</v>
      </c>
      <c r="K161" s="803">
        <f t="shared" si="38"/>
        <v>0</v>
      </c>
      <c r="L161" s="2288">
        <f t="shared" si="38"/>
        <v>0</v>
      </c>
      <c r="M161" s="888"/>
      <c r="N161" s="662"/>
      <c r="O161" s="662"/>
      <c r="P161" s="662"/>
      <c r="Q161" s="662"/>
      <c r="R161" s="662"/>
      <c r="S161" s="662"/>
      <c r="T161" s="662"/>
      <c r="U161" s="662"/>
      <c r="V161" s="662"/>
      <c r="W161" s="662"/>
      <c r="X161" s="662"/>
      <c r="Y161" s="662"/>
      <c r="Z161" s="662"/>
      <c r="AA161" s="662"/>
      <c r="AB161" s="662"/>
      <c r="AC161" s="662"/>
      <c r="AD161" s="662"/>
      <c r="AE161" s="662"/>
      <c r="AF161" s="662"/>
      <c r="AG161" s="662"/>
      <c r="AH161" s="662"/>
      <c r="AI161" s="662"/>
      <c r="AJ161" s="662"/>
      <c r="AK161" s="662"/>
      <c r="AL161" s="662"/>
      <c r="AM161" s="662"/>
      <c r="AN161" s="662"/>
      <c r="AO161" s="662"/>
      <c r="AP161" s="662"/>
      <c r="AQ161" s="662"/>
      <c r="AR161" s="662"/>
      <c r="AS161" s="662"/>
      <c r="AT161" s="662"/>
      <c r="AU161" s="662"/>
      <c r="AV161" s="662"/>
      <c r="AW161" s="662"/>
      <c r="AX161" s="662"/>
      <c r="AY161" s="662"/>
      <c r="AZ161" s="662"/>
    </row>
    <row r="162" spans="1:52" ht="18" customHeight="1">
      <c r="A162" s="662"/>
      <c r="B162" s="800"/>
      <c r="C162" s="810"/>
      <c r="D162" s="803"/>
      <c r="E162" s="803"/>
      <c r="F162" s="803"/>
      <c r="G162" s="803"/>
      <c r="H162" s="803"/>
      <c r="I162" s="803"/>
      <c r="J162" s="803"/>
      <c r="K162" s="803"/>
      <c r="L162" s="2288"/>
      <c r="M162" s="888"/>
      <c r="N162" s="662"/>
      <c r="O162" s="662"/>
      <c r="P162" s="662"/>
      <c r="Q162" s="662"/>
      <c r="R162" s="662"/>
      <c r="S162" s="662"/>
      <c r="T162" s="662"/>
      <c r="U162" s="662"/>
      <c r="V162" s="662"/>
      <c r="W162" s="662"/>
      <c r="X162" s="662"/>
      <c r="Y162" s="662"/>
      <c r="Z162" s="662"/>
      <c r="AA162" s="662"/>
      <c r="AB162" s="662"/>
      <c r="AC162" s="662"/>
      <c r="AD162" s="662"/>
      <c r="AE162" s="662"/>
      <c r="AF162" s="662"/>
      <c r="AG162" s="662"/>
      <c r="AH162" s="662"/>
      <c r="AI162" s="662"/>
      <c r="AJ162" s="662"/>
      <c r="AK162" s="662"/>
      <c r="AL162" s="662"/>
      <c r="AM162" s="662"/>
      <c r="AN162" s="662"/>
      <c r="AO162" s="662"/>
      <c r="AP162" s="662"/>
      <c r="AQ162" s="662"/>
      <c r="AR162" s="662"/>
      <c r="AS162" s="662"/>
      <c r="AT162" s="662"/>
      <c r="AU162" s="662"/>
      <c r="AV162" s="662"/>
      <c r="AW162" s="662"/>
      <c r="AX162" s="662"/>
      <c r="AY162" s="662"/>
      <c r="AZ162" s="662"/>
    </row>
    <row r="163" spans="1:52" ht="18" customHeight="1">
      <c r="A163" s="662"/>
      <c r="B163" s="800" t="s">
        <v>899</v>
      </c>
      <c r="C163" s="801">
        <f t="shared" ref="C163:L163" si="39">C159-C161</f>
        <v>3617.8950476000005</v>
      </c>
      <c r="D163" s="802">
        <f t="shared" si="39"/>
        <v>4533.9682271000001</v>
      </c>
      <c r="E163" s="802">
        <f t="shared" si="39"/>
        <v>4703.6121334299987</v>
      </c>
      <c r="F163" s="802">
        <f t="shared" si="39"/>
        <v>5096.1948826600001</v>
      </c>
      <c r="G163" s="802">
        <f t="shared" si="39"/>
        <v>4907.71435492</v>
      </c>
      <c r="H163" s="803">
        <f t="shared" ca="1" si="39"/>
        <v>4495.371185112941</v>
      </c>
      <c r="I163" s="803">
        <f t="shared" ca="1" si="39"/>
        <v>4563.6553302361099</v>
      </c>
      <c r="J163" s="803">
        <f t="shared" ca="1" si="39"/>
        <v>4508.5726197072563</v>
      </c>
      <c r="K163" s="803">
        <f t="shared" ca="1" si="39"/>
        <v>4377.4711483874544</v>
      </c>
      <c r="L163" s="2288">
        <f t="shared" ca="1" si="39"/>
        <v>4338.7049146036006</v>
      </c>
      <c r="M163" s="888"/>
      <c r="N163" s="662"/>
      <c r="O163" s="662"/>
      <c r="P163" s="662"/>
      <c r="Q163" s="662"/>
      <c r="R163" s="662"/>
      <c r="S163" s="662"/>
      <c r="T163" s="662"/>
      <c r="U163" s="662"/>
      <c r="V163" s="662"/>
      <c r="W163" s="662"/>
      <c r="X163" s="662"/>
      <c r="Y163" s="662"/>
      <c r="Z163" s="662"/>
      <c r="AA163" s="662"/>
      <c r="AB163" s="662"/>
      <c r="AC163" s="662"/>
      <c r="AD163" s="662"/>
      <c r="AE163" s="662"/>
      <c r="AF163" s="662"/>
      <c r="AG163" s="662"/>
      <c r="AH163" s="662"/>
      <c r="AI163" s="662"/>
      <c r="AJ163" s="662"/>
      <c r="AK163" s="662"/>
      <c r="AL163" s="662"/>
      <c r="AM163" s="662"/>
      <c r="AN163" s="662"/>
      <c r="AO163" s="662"/>
      <c r="AP163" s="662"/>
      <c r="AQ163" s="662"/>
      <c r="AR163" s="662"/>
      <c r="AS163" s="662"/>
      <c r="AT163" s="662"/>
      <c r="AU163" s="662"/>
      <c r="AV163" s="662"/>
      <c r="AW163" s="662"/>
      <c r="AX163" s="662"/>
      <c r="AY163" s="662"/>
      <c r="AZ163" s="662"/>
    </row>
    <row r="164" spans="1:52" ht="18" customHeight="1">
      <c r="A164" s="662"/>
      <c r="B164" s="800"/>
      <c r="C164" s="830"/>
      <c r="D164" s="821"/>
      <c r="E164" s="821"/>
      <c r="F164" s="821"/>
      <c r="G164" s="821"/>
      <c r="H164" s="821"/>
      <c r="I164" s="821"/>
      <c r="J164" s="821"/>
      <c r="K164" s="821"/>
      <c r="L164" s="2360"/>
      <c r="M164" s="888"/>
      <c r="N164" s="662"/>
      <c r="O164" s="662"/>
      <c r="P164" s="662"/>
      <c r="Q164" s="662"/>
      <c r="R164" s="662"/>
      <c r="S164" s="662"/>
      <c r="T164" s="662"/>
      <c r="U164" s="662"/>
      <c r="V164" s="662"/>
      <c r="W164" s="662"/>
      <c r="X164" s="662"/>
      <c r="Y164" s="662"/>
      <c r="Z164" s="662"/>
      <c r="AA164" s="662"/>
      <c r="AB164" s="662"/>
      <c r="AC164" s="662"/>
      <c r="AD164" s="662"/>
      <c r="AE164" s="662"/>
      <c r="AF164" s="662"/>
      <c r="AG164" s="662"/>
      <c r="AH164" s="662"/>
      <c r="AI164" s="662"/>
      <c r="AJ164" s="662"/>
      <c r="AK164" s="662"/>
      <c r="AL164" s="662"/>
      <c r="AM164" s="662"/>
      <c r="AN164" s="662"/>
      <c r="AO164" s="662"/>
      <c r="AP164" s="662"/>
      <c r="AQ164" s="662"/>
      <c r="AR164" s="662"/>
      <c r="AS164" s="662"/>
      <c r="AT164" s="662"/>
      <c r="AU164" s="662"/>
      <c r="AV164" s="662"/>
      <c r="AW164" s="662"/>
      <c r="AX164" s="662"/>
      <c r="AY164" s="662"/>
      <c r="AZ164" s="662"/>
    </row>
    <row r="165" spans="1:52" ht="18" customHeight="1" thickBot="1">
      <c r="A165" s="662"/>
      <c r="B165" s="831" t="s">
        <v>717</v>
      </c>
      <c r="C165" s="832">
        <f t="shared" ref="C165:L165" si="40">C135-C163</f>
        <v>0</v>
      </c>
      <c r="D165" s="833">
        <f t="shared" si="40"/>
        <v>0</v>
      </c>
      <c r="E165" s="833">
        <f t="shared" si="40"/>
        <v>0</v>
      </c>
      <c r="F165" s="833">
        <f t="shared" si="40"/>
        <v>0</v>
      </c>
      <c r="G165" s="833">
        <f t="shared" si="40"/>
        <v>0</v>
      </c>
      <c r="H165" s="834">
        <f t="shared" ca="1" si="40"/>
        <v>0</v>
      </c>
      <c r="I165" s="834">
        <f t="shared" ca="1" si="40"/>
        <v>0</v>
      </c>
      <c r="J165" s="834">
        <f t="shared" ca="1" si="40"/>
        <v>0</v>
      </c>
      <c r="K165" s="834">
        <f t="shared" ca="1" si="40"/>
        <v>0</v>
      </c>
      <c r="L165" s="2361">
        <f t="shared" ca="1" si="40"/>
        <v>0</v>
      </c>
      <c r="M165" s="888"/>
      <c r="N165" s="662"/>
      <c r="O165" s="662"/>
      <c r="P165" s="662"/>
      <c r="Q165" s="662"/>
      <c r="R165" s="662"/>
      <c r="S165" s="662"/>
      <c r="T165" s="662"/>
      <c r="U165" s="662"/>
      <c r="V165" s="662"/>
      <c r="W165" s="662"/>
      <c r="X165" s="662"/>
      <c r="Y165" s="662"/>
      <c r="Z165" s="662"/>
      <c r="AA165" s="662"/>
      <c r="AB165" s="662"/>
      <c r="AC165" s="662"/>
      <c r="AD165" s="662"/>
      <c r="AE165" s="662"/>
      <c r="AF165" s="662"/>
      <c r="AG165" s="662"/>
      <c r="AH165" s="662"/>
      <c r="AI165" s="662"/>
      <c r="AJ165" s="662"/>
      <c r="AK165" s="662"/>
      <c r="AL165" s="662"/>
      <c r="AM165" s="662"/>
      <c r="AN165" s="662"/>
      <c r="AO165" s="662"/>
      <c r="AP165" s="662"/>
      <c r="AQ165" s="662"/>
      <c r="AR165" s="662"/>
      <c r="AS165" s="662"/>
      <c r="AT165" s="662"/>
      <c r="AU165" s="662"/>
      <c r="AV165" s="662"/>
      <c r="AW165" s="662"/>
      <c r="AX165" s="662"/>
      <c r="AY165" s="662"/>
      <c r="AZ165" s="662"/>
    </row>
    <row r="166" spans="1:52" ht="18" customHeight="1" thickBot="1">
      <c r="A166" s="658"/>
      <c r="B166" s="835"/>
      <c r="C166" s="836"/>
      <c r="D166" s="836"/>
      <c r="E166" s="836"/>
      <c r="F166" s="836"/>
      <c r="G166" s="836"/>
      <c r="H166" s="836"/>
      <c r="I166" s="836"/>
      <c r="J166" s="836"/>
      <c r="K166" s="837"/>
      <c r="L166" s="838"/>
      <c r="M166" s="658"/>
      <c r="N166" s="662"/>
      <c r="O166" s="662"/>
      <c r="P166" s="662"/>
      <c r="Q166" s="662"/>
      <c r="R166" s="662"/>
      <c r="S166" s="662"/>
      <c r="T166" s="662"/>
      <c r="U166" s="662"/>
      <c r="V166" s="662"/>
      <c r="W166" s="662"/>
      <c r="X166" s="662"/>
      <c r="Y166" s="662"/>
      <c r="Z166" s="662"/>
      <c r="AA166" s="662"/>
      <c r="AB166" s="662"/>
      <c r="AC166" s="662"/>
      <c r="AD166" s="662"/>
      <c r="AE166" s="662"/>
      <c r="AF166" s="662"/>
      <c r="AG166" s="662"/>
      <c r="AH166" s="662"/>
      <c r="AI166" s="662"/>
      <c r="AJ166" s="662"/>
      <c r="AK166" s="662"/>
      <c r="AL166" s="662"/>
      <c r="AM166" s="662"/>
      <c r="AN166" s="662"/>
      <c r="AO166" s="662"/>
      <c r="AP166" s="662"/>
      <c r="AQ166" s="662"/>
      <c r="AR166" s="662"/>
      <c r="AS166" s="662"/>
      <c r="AT166" s="662"/>
      <c r="AU166" s="662"/>
      <c r="AV166" s="662"/>
      <c r="AW166" s="662"/>
      <c r="AX166" s="662"/>
      <c r="AY166" s="662"/>
      <c r="AZ166" s="662"/>
    </row>
    <row r="167" spans="1:52" s="639" customFormat="1" ht="18" customHeight="1">
      <c r="A167" s="638"/>
      <c r="B167" s="746" t="s">
        <v>914</v>
      </c>
      <c r="C167" s="818">
        <f>利润表!I3</f>
        <v>2015</v>
      </c>
      <c r="D167" s="819">
        <f>利润表!J3</f>
        <v>2016</v>
      </c>
      <c r="E167" s="819">
        <f>利润表!K3</f>
        <v>2017</v>
      </c>
      <c r="F167" s="819">
        <f>利润表!L3</f>
        <v>2018</v>
      </c>
      <c r="G167" s="819">
        <f>利润表!M3</f>
        <v>2019</v>
      </c>
      <c r="H167" s="819" t="str">
        <f>利润表!N3</f>
        <v>2020E</v>
      </c>
      <c r="I167" s="819" t="str">
        <f>利润表!O3</f>
        <v>2021E</v>
      </c>
      <c r="J167" s="819" t="str">
        <f>利润表!P3</f>
        <v>2022E</v>
      </c>
      <c r="K167" s="819" t="str">
        <f>利润表!Q3</f>
        <v>2023E</v>
      </c>
      <c r="L167" s="820" t="str">
        <f>利润表!R3</f>
        <v>2024E</v>
      </c>
      <c r="M167" s="106"/>
      <c r="N167" s="638"/>
      <c r="O167" s="638"/>
      <c r="P167" s="638"/>
      <c r="Q167" s="638"/>
      <c r="R167" s="638"/>
      <c r="S167" s="638"/>
      <c r="T167" s="638"/>
      <c r="U167" s="638"/>
      <c r="V167" s="638"/>
      <c r="W167" s="638"/>
      <c r="X167" s="638"/>
      <c r="Y167" s="638"/>
      <c r="Z167" s="638"/>
      <c r="AA167" s="638"/>
      <c r="AB167" s="638"/>
      <c r="AC167" s="638"/>
      <c r="AD167" s="638"/>
      <c r="AE167" s="638"/>
      <c r="AF167" s="638"/>
      <c r="AG167" s="638"/>
      <c r="AH167" s="638"/>
      <c r="AI167" s="638"/>
      <c r="AJ167" s="638"/>
      <c r="AK167" s="638"/>
      <c r="AL167" s="638"/>
      <c r="AM167" s="638"/>
      <c r="AN167" s="638"/>
      <c r="AO167" s="638"/>
      <c r="AP167" s="638"/>
      <c r="AQ167" s="638"/>
      <c r="AR167" s="638"/>
      <c r="AS167" s="638"/>
      <c r="AT167" s="638"/>
      <c r="AU167" s="638"/>
      <c r="AV167" s="638"/>
      <c r="AW167" s="638"/>
      <c r="AX167" s="638"/>
      <c r="AY167" s="638"/>
      <c r="AZ167" s="638"/>
    </row>
    <row r="168" spans="1:52" s="639" customFormat="1" ht="18" customHeight="1">
      <c r="A168" s="638"/>
      <c r="B168" s="750" t="s">
        <v>915</v>
      </c>
      <c r="C168" s="801"/>
      <c r="D168" s="802">
        <f t="shared" ref="D168:L168" si="41">D125-C125</f>
        <v>247.41085502999999</v>
      </c>
      <c r="E168" s="802">
        <f t="shared" si="41"/>
        <v>156.37705238000001</v>
      </c>
      <c r="F168" s="802">
        <f t="shared" si="41"/>
        <v>239.88634915000023</v>
      </c>
      <c r="G168" s="802">
        <f t="shared" si="41"/>
        <v>123.68578876999982</v>
      </c>
      <c r="H168" s="803">
        <f t="shared" si="41"/>
        <v>-72.224709549333284</v>
      </c>
      <c r="I168" s="803">
        <f t="shared" si="41"/>
        <v>-72.224709549333511</v>
      </c>
      <c r="J168" s="803">
        <f t="shared" si="41"/>
        <v>-72.224709549333284</v>
      </c>
      <c r="K168" s="803">
        <f t="shared" si="41"/>
        <v>-72.224709549333397</v>
      </c>
      <c r="L168" s="804">
        <f t="shared" si="41"/>
        <v>-72.224709549333284</v>
      </c>
      <c r="M168" s="106"/>
      <c r="N168" s="638"/>
      <c r="O168" s="638"/>
      <c r="P168" s="638"/>
      <c r="Q168" s="638"/>
      <c r="R168" s="638"/>
      <c r="S168" s="638"/>
      <c r="T168" s="638"/>
      <c r="U168" s="638"/>
      <c r="V168" s="638"/>
      <c r="W168" s="638"/>
      <c r="X168" s="638"/>
      <c r="Y168" s="638"/>
      <c r="Z168" s="638"/>
      <c r="AA168" s="638"/>
      <c r="AB168" s="638"/>
      <c r="AC168" s="638"/>
      <c r="AD168" s="638"/>
      <c r="AE168" s="638"/>
      <c r="AF168" s="638"/>
      <c r="AG168" s="638"/>
      <c r="AH168" s="638"/>
      <c r="AI168" s="638"/>
      <c r="AJ168" s="638"/>
      <c r="AK168" s="638"/>
      <c r="AL168" s="638"/>
      <c r="AM168" s="638"/>
      <c r="AN168" s="638"/>
      <c r="AO168" s="638"/>
      <c r="AP168" s="638"/>
      <c r="AQ168" s="638"/>
      <c r="AR168" s="638"/>
      <c r="AS168" s="638"/>
      <c r="AT168" s="638"/>
      <c r="AU168" s="638"/>
      <c r="AV168" s="638"/>
      <c r="AW168" s="638"/>
      <c r="AX168" s="638"/>
      <c r="AY168" s="638"/>
      <c r="AZ168" s="638"/>
    </row>
    <row r="169" spans="1:52" s="639" customFormat="1" ht="18" customHeight="1">
      <c r="A169" s="638"/>
      <c r="B169" s="2285" t="s">
        <v>1452</v>
      </c>
      <c r="C169" s="801"/>
      <c r="D169" s="802">
        <f t="shared" ref="D169:L169" si="42">D126-C126</f>
        <v>28.400788640000172</v>
      </c>
      <c r="E169" s="802">
        <f t="shared" si="42"/>
        <v>46.395011360000098</v>
      </c>
      <c r="F169" s="802">
        <f t="shared" si="42"/>
        <v>18.490221219999512</v>
      </c>
      <c r="G169" s="802">
        <f t="shared" si="42"/>
        <v>8.7773613300005309</v>
      </c>
      <c r="H169" s="803">
        <f t="shared" si="42"/>
        <v>0</v>
      </c>
      <c r="I169" s="803">
        <f t="shared" si="42"/>
        <v>0</v>
      </c>
      <c r="J169" s="803">
        <f t="shared" si="42"/>
        <v>0</v>
      </c>
      <c r="K169" s="803">
        <f t="shared" si="42"/>
        <v>0</v>
      </c>
      <c r="L169" s="804">
        <f t="shared" si="42"/>
        <v>0</v>
      </c>
      <c r="M169" s="106"/>
      <c r="N169" s="638"/>
      <c r="O169" s="638"/>
      <c r="P169" s="638"/>
      <c r="Q169" s="638"/>
      <c r="R169" s="638"/>
      <c r="S169" s="638"/>
      <c r="T169" s="638"/>
      <c r="U169" s="638"/>
      <c r="V169" s="638"/>
      <c r="W169" s="638"/>
      <c r="X169" s="638"/>
      <c r="Y169" s="638"/>
      <c r="Z169" s="638"/>
      <c r="AA169" s="638"/>
      <c r="AB169" s="638"/>
      <c r="AC169" s="638"/>
      <c r="AD169" s="638"/>
      <c r="AE169" s="638"/>
      <c r="AF169" s="638"/>
      <c r="AG169" s="638"/>
      <c r="AH169" s="638"/>
      <c r="AI169" s="638"/>
      <c r="AJ169" s="638"/>
      <c r="AK169" s="638"/>
      <c r="AL169" s="638"/>
      <c r="AM169" s="638"/>
      <c r="AN169" s="638"/>
      <c r="AO169" s="638"/>
      <c r="AP169" s="638"/>
      <c r="AQ169" s="638"/>
      <c r="AR169" s="638"/>
      <c r="AS169" s="638"/>
      <c r="AT169" s="638"/>
      <c r="AU169" s="638"/>
      <c r="AV169" s="638"/>
      <c r="AW169" s="638"/>
      <c r="AX169" s="638"/>
      <c r="AY169" s="638"/>
      <c r="AZ169" s="638"/>
    </row>
    <row r="170" spans="1:52" s="639" customFormat="1" ht="18" customHeight="1">
      <c r="A170" s="638"/>
      <c r="B170" s="750" t="s">
        <v>916</v>
      </c>
      <c r="C170" s="801"/>
      <c r="D170" s="802">
        <f t="shared" ref="D170:L170" si="43">D127-C127</f>
        <v>0.83210300000000004</v>
      </c>
      <c r="E170" s="802">
        <f t="shared" si="43"/>
        <v>1.6843453099999994</v>
      </c>
      <c r="F170" s="802">
        <f t="shared" si="43"/>
        <v>1.4575462099999985</v>
      </c>
      <c r="G170" s="802">
        <f t="shared" si="43"/>
        <v>-13.930983509999999</v>
      </c>
      <c r="H170" s="803">
        <f t="shared" si="43"/>
        <v>0</v>
      </c>
      <c r="I170" s="803">
        <f t="shared" si="43"/>
        <v>0</v>
      </c>
      <c r="J170" s="803">
        <f t="shared" si="43"/>
        <v>0</v>
      </c>
      <c r="K170" s="803">
        <f t="shared" si="43"/>
        <v>0</v>
      </c>
      <c r="L170" s="804">
        <f t="shared" si="43"/>
        <v>0</v>
      </c>
      <c r="M170" s="106"/>
      <c r="N170" s="638"/>
      <c r="O170" s="638"/>
      <c r="P170" s="638"/>
      <c r="Q170" s="638"/>
      <c r="R170" s="638"/>
      <c r="S170" s="638"/>
      <c r="T170" s="638"/>
      <c r="U170" s="638"/>
      <c r="V170" s="638"/>
      <c r="W170" s="638"/>
      <c r="X170" s="638"/>
      <c r="Y170" s="638"/>
      <c r="Z170" s="638"/>
      <c r="AA170" s="638"/>
      <c r="AB170" s="638"/>
      <c r="AC170" s="638"/>
      <c r="AD170" s="638"/>
      <c r="AE170" s="638"/>
      <c r="AF170" s="638"/>
      <c r="AG170" s="638"/>
      <c r="AH170" s="638"/>
      <c r="AI170" s="638"/>
      <c r="AJ170" s="638"/>
      <c r="AK170" s="638"/>
      <c r="AL170" s="638"/>
      <c r="AM170" s="638"/>
      <c r="AN170" s="638"/>
      <c r="AO170" s="638"/>
      <c r="AP170" s="638"/>
      <c r="AQ170" s="638"/>
      <c r="AR170" s="638"/>
      <c r="AS170" s="638"/>
      <c r="AT170" s="638"/>
      <c r="AU170" s="638"/>
      <c r="AV170" s="638"/>
      <c r="AW170" s="638"/>
      <c r="AX170" s="638"/>
      <c r="AY170" s="638"/>
      <c r="AZ170" s="638"/>
    </row>
    <row r="171" spans="1:52" s="639" customFormat="1" ht="18" customHeight="1">
      <c r="A171" s="638"/>
      <c r="B171" s="650" t="s">
        <v>917</v>
      </c>
      <c r="C171" s="801"/>
      <c r="D171" s="802">
        <f t="shared" ref="D171:L171" si="44">D128-C128</f>
        <v>0.83210300000000004</v>
      </c>
      <c r="E171" s="802">
        <f t="shared" si="44"/>
        <v>1.6843453099999994</v>
      </c>
      <c r="F171" s="802">
        <f t="shared" si="44"/>
        <v>1.4575462099999985</v>
      </c>
      <c r="G171" s="802">
        <f t="shared" si="44"/>
        <v>-13.930983509999999</v>
      </c>
      <c r="H171" s="803">
        <f t="shared" si="44"/>
        <v>0</v>
      </c>
      <c r="I171" s="803">
        <f t="shared" si="44"/>
        <v>0</v>
      </c>
      <c r="J171" s="803">
        <f t="shared" si="44"/>
        <v>0</v>
      </c>
      <c r="K171" s="803">
        <f t="shared" si="44"/>
        <v>0</v>
      </c>
      <c r="L171" s="804">
        <f t="shared" si="44"/>
        <v>0</v>
      </c>
      <c r="M171" s="106"/>
      <c r="N171" s="638"/>
      <c r="O171" s="638"/>
      <c r="P171" s="638"/>
      <c r="Q171" s="638"/>
      <c r="R171" s="638"/>
      <c r="S171" s="638"/>
      <c r="T171" s="638"/>
      <c r="U171" s="638"/>
      <c r="V171" s="638"/>
      <c r="W171" s="638"/>
      <c r="X171" s="638"/>
      <c r="Y171" s="638"/>
      <c r="Z171" s="638"/>
      <c r="AA171" s="638"/>
      <c r="AB171" s="638"/>
      <c r="AC171" s="638"/>
      <c r="AD171" s="638"/>
      <c r="AE171" s="638"/>
      <c r="AF171" s="638"/>
      <c r="AG171" s="638"/>
      <c r="AH171" s="638"/>
      <c r="AI171" s="638"/>
      <c r="AJ171" s="638"/>
      <c r="AK171" s="638"/>
      <c r="AL171" s="638"/>
      <c r="AM171" s="638"/>
      <c r="AN171" s="638"/>
      <c r="AO171" s="638"/>
      <c r="AP171" s="638"/>
      <c r="AQ171" s="638"/>
      <c r="AR171" s="638"/>
      <c r="AS171" s="638"/>
      <c r="AT171" s="638"/>
      <c r="AU171" s="638"/>
      <c r="AV171" s="638"/>
      <c r="AW171" s="638"/>
      <c r="AX171" s="638"/>
      <c r="AY171" s="638"/>
      <c r="AZ171" s="638"/>
    </row>
    <row r="172" spans="1:52" s="639" customFormat="1" ht="18" customHeight="1">
      <c r="A172" s="638"/>
      <c r="B172" s="650" t="s">
        <v>918</v>
      </c>
      <c r="C172" s="801"/>
      <c r="D172" s="802">
        <f t="shared" ref="D172:L172" si="45">D129-C129</f>
        <v>0</v>
      </c>
      <c r="E172" s="802">
        <f t="shared" si="45"/>
        <v>0</v>
      </c>
      <c r="F172" s="802">
        <f t="shared" si="45"/>
        <v>0</v>
      </c>
      <c r="G172" s="802">
        <f t="shared" si="45"/>
        <v>0</v>
      </c>
      <c r="H172" s="803">
        <f t="shared" si="45"/>
        <v>0</v>
      </c>
      <c r="I172" s="803">
        <f t="shared" si="45"/>
        <v>0</v>
      </c>
      <c r="J172" s="803">
        <f t="shared" si="45"/>
        <v>0</v>
      </c>
      <c r="K172" s="803">
        <f t="shared" si="45"/>
        <v>0</v>
      </c>
      <c r="L172" s="804">
        <f t="shared" si="45"/>
        <v>0</v>
      </c>
      <c r="M172" s="106"/>
      <c r="N172" s="638"/>
      <c r="O172" s="638"/>
      <c r="P172" s="638"/>
      <c r="Q172" s="638"/>
      <c r="R172" s="638"/>
      <c r="S172" s="638"/>
      <c r="T172" s="638"/>
      <c r="U172" s="638"/>
      <c r="V172" s="638"/>
      <c r="W172" s="638"/>
      <c r="X172" s="638"/>
      <c r="Y172" s="638"/>
      <c r="Z172" s="638"/>
      <c r="AA172" s="638"/>
      <c r="AB172" s="638"/>
      <c r="AC172" s="638"/>
      <c r="AD172" s="638"/>
      <c r="AE172" s="638"/>
      <c r="AF172" s="638"/>
      <c r="AG172" s="638"/>
      <c r="AH172" s="638"/>
      <c r="AI172" s="638"/>
      <c r="AJ172" s="638"/>
      <c r="AK172" s="638"/>
      <c r="AL172" s="638"/>
      <c r="AM172" s="638"/>
      <c r="AN172" s="638"/>
      <c r="AO172" s="638"/>
      <c r="AP172" s="638"/>
      <c r="AQ172" s="638"/>
      <c r="AR172" s="638"/>
      <c r="AS172" s="638"/>
      <c r="AT172" s="638"/>
      <c r="AU172" s="638"/>
      <c r="AV172" s="638"/>
      <c r="AW172" s="638"/>
      <c r="AX172" s="638"/>
      <c r="AY172" s="638"/>
      <c r="AZ172" s="638"/>
    </row>
    <row r="173" spans="1:52" s="639" customFormat="1" ht="18" customHeight="1" thickBot="1">
      <c r="A173" s="638"/>
      <c r="B173" s="811" t="s">
        <v>24</v>
      </c>
      <c r="C173" s="812"/>
      <c r="D173" s="813">
        <f>SUM(D168:D170)</f>
        <v>276.64374667000021</v>
      </c>
      <c r="E173" s="813">
        <f t="shared" ref="E173:L173" si="46">SUM(E168:E170)</f>
        <v>204.4564090500001</v>
      </c>
      <c r="F173" s="813">
        <f t="shared" si="46"/>
        <v>259.83411657999972</v>
      </c>
      <c r="G173" s="813">
        <f t="shared" si="46"/>
        <v>118.53216659000034</v>
      </c>
      <c r="H173" s="814">
        <f t="shared" si="46"/>
        <v>-72.224709549333284</v>
      </c>
      <c r="I173" s="814">
        <f t="shared" si="46"/>
        <v>-72.224709549333511</v>
      </c>
      <c r="J173" s="814">
        <f t="shared" si="46"/>
        <v>-72.224709549333284</v>
      </c>
      <c r="K173" s="814">
        <f t="shared" si="46"/>
        <v>-72.224709549333397</v>
      </c>
      <c r="L173" s="815">
        <f t="shared" si="46"/>
        <v>-72.224709549333284</v>
      </c>
      <c r="M173" s="106"/>
      <c r="N173" s="638"/>
      <c r="O173" s="638"/>
      <c r="P173" s="638"/>
      <c r="Q173" s="638"/>
      <c r="R173" s="638"/>
      <c r="S173" s="638"/>
      <c r="T173" s="638"/>
      <c r="U173" s="638"/>
      <c r="V173" s="638"/>
      <c r="W173" s="638"/>
      <c r="X173" s="638"/>
      <c r="Y173" s="638"/>
      <c r="Z173" s="638"/>
      <c r="AA173" s="638"/>
      <c r="AB173" s="638"/>
      <c r="AC173" s="638"/>
      <c r="AD173" s="638"/>
      <c r="AE173" s="638"/>
      <c r="AF173" s="638"/>
      <c r="AG173" s="638"/>
      <c r="AH173" s="638"/>
      <c r="AI173" s="638"/>
      <c r="AJ173" s="638"/>
      <c r="AK173" s="638"/>
      <c r="AL173" s="638"/>
      <c r="AM173" s="638"/>
      <c r="AN173" s="638"/>
      <c r="AO173" s="638"/>
      <c r="AP173" s="638"/>
      <c r="AQ173" s="638"/>
      <c r="AR173" s="638"/>
      <c r="AS173" s="638"/>
      <c r="AT173" s="638"/>
      <c r="AU173" s="638"/>
      <c r="AV173" s="638"/>
      <c r="AW173" s="638"/>
      <c r="AX173" s="638"/>
      <c r="AY173" s="638"/>
      <c r="AZ173" s="638"/>
    </row>
    <row r="174" spans="1:52" s="639" customFormat="1" ht="18" customHeight="1" thickBot="1">
      <c r="A174" s="106"/>
      <c r="B174" s="574"/>
      <c r="C174" s="816"/>
      <c r="D174" s="816"/>
      <c r="E174" s="816"/>
      <c r="F174" s="816"/>
      <c r="G174" s="816"/>
      <c r="H174" s="816"/>
      <c r="I174" s="816"/>
      <c r="J174" s="816"/>
      <c r="K174" s="816"/>
      <c r="L174" s="839"/>
      <c r="M174" s="106"/>
      <c r="N174" s="638"/>
      <c r="O174" s="638"/>
      <c r="P174" s="638"/>
      <c r="Q174" s="638"/>
      <c r="R174" s="638"/>
      <c r="S174" s="638"/>
      <c r="T174" s="638"/>
      <c r="U174" s="638"/>
      <c r="V174" s="638"/>
      <c r="W174" s="638"/>
      <c r="X174" s="638"/>
      <c r="Y174" s="638"/>
      <c r="Z174" s="638"/>
      <c r="AA174" s="638"/>
      <c r="AB174" s="638"/>
      <c r="AC174" s="638"/>
      <c r="AD174" s="638"/>
      <c r="AE174" s="638"/>
      <c r="AF174" s="638"/>
      <c r="AG174" s="638"/>
      <c r="AH174" s="638"/>
      <c r="AI174" s="638"/>
      <c r="AJ174" s="638"/>
      <c r="AK174" s="638"/>
      <c r="AL174" s="638"/>
      <c r="AM174" s="638"/>
      <c r="AN174" s="638"/>
      <c r="AO174" s="638"/>
      <c r="AP174" s="638"/>
      <c r="AQ174" s="638"/>
      <c r="AR174" s="638"/>
      <c r="AS174" s="638"/>
      <c r="AT174" s="638"/>
      <c r="AU174" s="638"/>
      <c r="AV174" s="638"/>
      <c r="AW174" s="638"/>
      <c r="AX174" s="638"/>
      <c r="AY174" s="638"/>
      <c r="AZ174" s="638"/>
    </row>
    <row r="175" spans="1:52" s="639" customFormat="1" ht="18" customHeight="1">
      <c r="A175" s="106"/>
      <c r="B175" s="746" t="s">
        <v>250</v>
      </c>
      <c r="C175" s="818">
        <f>C167</f>
        <v>2015</v>
      </c>
      <c r="D175" s="819">
        <f t="shared" ref="D175:L175" si="47">D167</f>
        <v>2016</v>
      </c>
      <c r="E175" s="819">
        <f t="shared" si="47"/>
        <v>2017</v>
      </c>
      <c r="F175" s="819">
        <f t="shared" si="47"/>
        <v>2018</v>
      </c>
      <c r="G175" s="819">
        <f t="shared" si="47"/>
        <v>2019</v>
      </c>
      <c r="H175" s="819" t="str">
        <f t="shared" si="47"/>
        <v>2020E</v>
      </c>
      <c r="I175" s="819" t="str">
        <f t="shared" si="47"/>
        <v>2021E</v>
      </c>
      <c r="J175" s="819" t="str">
        <f t="shared" si="47"/>
        <v>2022E</v>
      </c>
      <c r="K175" s="819" t="str">
        <f t="shared" si="47"/>
        <v>2023E</v>
      </c>
      <c r="L175" s="820" t="str">
        <f t="shared" si="47"/>
        <v>2024E</v>
      </c>
      <c r="M175" s="106"/>
      <c r="N175" s="638"/>
      <c r="O175" s="638"/>
      <c r="P175" s="638"/>
      <c r="Q175" s="638"/>
      <c r="R175" s="638"/>
      <c r="S175" s="638"/>
      <c r="T175" s="638"/>
      <c r="U175" s="638"/>
      <c r="V175" s="638"/>
      <c r="W175" s="638"/>
      <c r="X175" s="638"/>
      <c r="Y175" s="638"/>
      <c r="Z175" s="638"/>
      <c r="AA175" s="638"/>
      <c r="AB175" s="638"/>
      <c r="AC175" s="638"/>
      <c r="AD175" s="638"/>
      <c r="AE175" s="638"/>
      <c r="AF175" s="638"/>
      <c r="AG175" s="638"/>
      <c r="AH175" s="638"/>
      <c r="AI175" s="638"/>
      <c r="AJ175" s="638"/>
      <c r="AK175" s="638"/>
      <c r="AL175" s="638"/>
      <c r="AM175" s="638"/>
      <c r="AN175" s="638"/>
      <c r="AO175" s="638"/>
      <c r="AP175" s="638"/>
      <c r="AQ175" s="638"/>
      <c r="AR175" s="638"/>
      <c r="AS175" s="638"/>
      <c r="AT175" s="638"/>
      <c r="AU175" s="638"/>
      <c r="AV175" s="638"/>
      <c r="AW175" s="638"/>
      <c r="AX175" s="638"/>
      <c r="AY175" s="638"/>
      <c r="AZ175" s="638"/>
    </row>
    <row r="176" spans="1:52" s="639" customFormat="1" ht="18" customHeight="1">
      <c r="A176" s="638"/>
      <c r="B176" s="750"/>
      <c r="C176" s="810"/>
      <c r="D176" s="803"/>
      <c r="E176" s="803"/>
      <c r="F176" s="803"/>
      <c r="G176" s="803"/>
      <c r="H176" s="803"/>
      <c r="I176" s="803"/>
      <c r="J176" s="803"/>
      <c r="K176" s="719"/>
      <c r="L176" s="720"/>
      <c r="M176" s="106"/>
      <c r="N176" s="638"/>
      <c r="O176" s="638"/>
      <c r="P176" s="638"/>
      <c r="Q176" s="638"/>
      <c r="R176" s="638"/>
      <c r="S176" s="638"/>
      <c r="T176" s="638"/>
      <c r="U176" s="638"/>
      <c r="V176" s="638"/>
      <c r="W176" s="638"/>
      <c r="X176" s="638"/>
      <c r="Y176" s="638"/>
      <c r="Z176" s="638"/>
      <c r="AA176" s="638"/>
      <c r="AB176" s="638"/>
      <c r="AC176" s="638"/>
      <c r="AD176" s="638"/>
      <c r="AE176" s="638"/>
      <c r="AF176" s="638"/>
      <c r="AG176" s="638"/>
      <c r="AH176" s="638"/>
      <c r="AI176" s="638"/>
      <c r="AJ176" s="638"/>
      <c r="AK176" s="638"/>
      <c r="AL176" s="638"/>
      <c r="AM176" s="638"/>
      <c r="AN176" s="638"/>
      <c r="AO176" s="638"/>
      <c r="AP176" s="638"/>
      <c r="AQ176" s="638"/>
      <c r="AR176" s="638"/>
      <c r="AS176" s="638"/>
      <c r="AT176" s="638"/>
      <c r="AU176" s="638"/>
      <c r="AV176" s="638"/>
      <c r="AW176" s="638"/>
      <c r="AX176" s="638"/>
      <c r="AY176" s="638"/>
      <c r="AZ176" s="638"/>
    </row>
    <row r="177" spans="1:52" s="639" customFormat="1" ht="18" customHeight="1">
      <c r="A177" s="638"/>
      <c r="B177" s="750" t="s">
        <v>919</v>
      </c>
      <c r="C177" s="801"/>
      <c r="D177" s="802">
        <f>SUM(D178:D179)</f>
        <v>916.07317950000038</v>
      </c>
      <c r="E177" s="802">
        <f t="shared" ref="E177:L177" si="48">SUM(E178:E179)</f>
        <v>169.64390632999886</v>
      </c>
      <c r="F177" s="802">
        <f t="shared" si="48"/>
        <v>392.58274923000039</v>
      </c>
      <c r="G177" s="802">
        <f t="shared" si="48"/>
        <v>-188.48052773999936</v>
      </c>
      <c r="H177" s="803">
        <f t="shared" ca="1" si="48"/>
        <v>-412.34316980706012</v>
      </c>
      <c r="I177" s="803">
        <f t="shared" ca="1" si="48"/>
        <v>68.284145123171129</v>
      </c>
      <c r="J177" s="803">
        <f t="shared" ca="1" si="48"/>
        <v>-55.082710528855159</v>
      </c>
      <c r="K177" s="803">
        <f t="shared" ca="1" si="48"/>
        <v>-131.10147131980318</v>
      </c>
      <c r="L177" s="804">
        <f t="shared" ca="1" si="48"/>
        <v>-38.766233783851249</v>
      </c>
      <c r="M177" s="106"/>
      <c r="N177" s="638"/>
      <c r="O177" s="638"/>
      <c r="P177" s="638"/>
      <c r="Q177" s="638"/>
      <c r="R177" s="638"/>
      <c r="S177" s="638"/>
      <c r="T177" s="638"/>
      <c r="U177" s="638"/>
      <c r="V177" s="638"/>
      <c r="W177" s="638"/>
      <c r="X177" s="638"/>
      <c r="Y177" s="638"/>
      <c r="Z177" s="638"/>
      <c r="AA177" s="638"/>
      <c r="AB177" s="638"/>
      <c r="AC177" s="638"/>
      <c r="AD177" s="638"/>
      <c r="AE177" s="638"/>
      <c r="AF177" s="638"/>
      <c r="AG177" s="638"/>
      <c r="AH177" s="638"/>
      <c r="AI177" s="638"/>
      <c r="AJ177" s="638"/>
      <c r="AK177" s="638"/>
      <c r="AL177" s="638"/>
      <c r="AM177" s="638"/>
      <c r="AN177" s="638"/>
      <c r="AO177" s="638"/>
      <c r="AP177" s="638"/>
      <c r="AQ177" s="638"/>
      <c r="AR177" s="638"/>
      <c r="AS177" s="638"/>
      <c r="AT177" s="638"/>
      <c r="AU177" s="638"/>
      <c r="AV177" s="638"/>
      <c r="AW177" s="638"/>
      <c r="AX177" s="638"/>
      <c r="AY177" s="638"/>
      <c r="AZ177" s="638"/>
    </row>
    <row r="178" spans="1:52" s="639" customFormat="1" ht="18" customHeight="1">
      <c r="A178" s="638"/>
      <c r="B178" s="682" t="s">
        <v>24</v>
      </c>
      <c r="C178" s="801"/>
      <c r="D178" s="802">
        <f>D173</f>
        <v>276.64374667000021</v>
      </c>
      <c r="E178" s="802">
        <f t="shared" ref="E178:L178" si="49">E173</f>
        <v>204.4564090500001</v>
      </c>
      <c r="F178" s="802">
        <f t="shared" si="49"/>
        <v>259.83411657999972</v>
      </c>
      <c r="G178" s="802">
        <f t="shared" si="49"/>
        <v>118.53216659000034</v>
      </c>
      <c r="H178" s="803">
        <f t="shared" si="49"/>
        <v>-72.224709549333284</v>
      </c>
      <c r="I178" s="803">
        <f t="shared" si="49"/>
        <v>-72.224709549333511</v>
      </c>
      <c r="J178" s="803">
        <f t="shared" si="49"/>
        <v>-72.224709549333284</v>
      </c>
      <c r="K178" s="803">
        <f t="shared" si="49"/>
        <v>-72.224709549333397</v>
      </c>
      <c r="L178" s="804">
        <f t="shared" si="49"/>
        <v>-72.224709549333284</v>
      </c>
      <c r="M178" s="106"/>
      <c r="N178" s="638"/>
      <c r="O178" s="638"/>
      <c r="P178" s="638"/>
      <c r="Q178" s="638"/>
      <c r="R178" s="638"/>
      <c r="S178" s="638"/>
      <c r="T178" s="638"/>
      <c r="U178" s="638"/>
      <c r="V178" s="638"/>
      <c r="W178" s="638"/>
      <c r="X178" s="638"/>
      <c r="Y178" s="638"/>
      <c r="Z178" s="638"/>
      <c r="AA178" s="638"/>
      <c r="AB178" s="638"/>
      <c r="AC178" s="638"/>
      <c r="AD178" s="638"/>
      <c r="AE178" s="638"/>
      <c r="AF178" s="638"/>
      <c r="AG178" s="638"/>
      <c r="AH178" s="638"/>
      <c r="AI178" s="638"/>
      <c r="AJ178" s="638"/>
      <c r="AK178" s="638"/>
      <c r="AL178" s="638"/>
      <c r="AM178" s="638"/>
      <c r="AN178" s="638"/>
      <c r="AO178" s="638"/>
      <c r="AP178" s="638"/>
      <c r="AQ178" s="638"/>
      <c r="AR178" s="638"/>
      <c r="AS178" s="638"/>
      <c r="AT178" s="638"/>
      <c r="AU178" s="638"/>
      <c r="AV178" s="638"/>
      <c r="AW178" s="638"/>
      <c r="AX178" s="638"/>
      <c r="AY178" s="638"/>
      <c r="AZ178" s="638"/>
    </row>
    <row r="179" spans="1:52" s="639" customFormat="1" ht="18" customHeight="1">
      <c r="A179" s="638"/>
      <c r="B179" s="682" t="s">
        <v>920</v>
      </c>
      <c r="C179" s="801"/>
      <c r="D179" s="802">
        <f t="shared" ref="D179:L179" si="50">D122-C122</f>
        <v>639.42943283000022</v>
      </c>
      <c r="E179" s="802">
        <f t="shared" si="50"/>
        <v>-34.812502720001248</v>
      </c>
      <c r="F179" s="802">
        <f t="shared" si="50"/>
        <v>132.74863265000067</v>
      </c>
      <c r="G179" s="802">
        <f t="shared" si="50"/>
        <v>-307.0126943299997</v>
      </c>
      <c r="H179" s="803">
        <f t="shared" ca="1" si="50"/>
        <v>-340.11846025772684</v>
      </c>
      <c r="I179" s="803">
        <f t="shared" ca="1" si="50"/>
        <v>140.50885467250464</v>
      </c>
      <c r="J179" s="803">
        <f t="shared" ca="1" si="50"/>
        <v>17.141999020478124</v>
      </c>
      <c r="K179" s="803">
        <f t="shared" ca="1" si="50"/>
        <v>-58.876761770469784</v>
      </c>
      <c r="L179" s="804">
        <f t="shared" ca="1" si="50"/>
        <v>33.458475765482035</v>
      </c>
      <c r="M179" s="106"/>
      <c r="N179" s="638"/>
      <c r="O179" s="638"/>
      <c r="P179" s="638"/>
      <c r="Q179" s="638"/>
      <c r="R179" s="638"/>
      <c r="S179" s="638"/>
      <c r="T179" s="638"/>
      <c r="U179" s="638"/>
      <c r="V179" s="638"/>
      <c r="W179" s="638"/>
      <c r="X179" s="638"/>
      <c r="Y179" s="638"/>
      <c r="Z179" s="638"/>
      <c r="AA179" s="638"/>
      <c r="AB179" s="638"/>
      <c r="AC179" s="638"/>
      <c r="AD179" s="638"/>
      <c r="AE179" s="638"/>
      <c r="AF179" s="638"/>
      <c r="AG179" s="638"/>
      <c r="AH179" s="638"/>
      <c r="AI179" s="638"/>
      <c r="AJ179" s="638"/>
      <c r="AK179" s="638"/>
      <c r="AL179" s="638"/>
      <c r="AM179" s="638"/>
      <c r="AN179" s="638"/>
      <c r="AO179" s="638"/>
      <c r="AP179" s="638"/>
      <c r="AQ179" s="638"/>
      <c r="AR179" s="638"/>
      <c r="AS179" s="638"/>
      <c r="AT179" s="638"/>
      <c r="AU179" s="638"/>
      <c r="AV179" s="638"/>
      <c r="AW179" s="638"/>
      <c r="AX179" s="638"/>
      <c r="AY179" s="638"/>
      <c r="AZ179" s="638"/>
    </row>
    <row r="180" spans="1:52" s="639" customFormat="1" ht="18" customHeight="1">
      <c r="A180" s="638"/>
      <c r="B180" s="750"/>
      <c r="C180" s="810"/>
      <c r="D180" s="803"/>
      <c r="E180" s="803"/>
      <c r="F180" s="803"/>
      <c r="G180" s="803"/>
      <c r="H180" s="803"/>
      <c r="I180" s="803"/>
      <c r="J180" s="803"/>
      <c r="K180" s="803"/>
      <c r="L180" s="804"/>
      <c r="M180" s="106"/>
      <c r="N180" s="638"/>
      <c r="O180" s="638"/>
      <c r="P180" s="638"/>
      <c r="Q180" s="638"/>
      <c r="R180" s="638"/>
      <c r="S180" s="638"/>
      <c r="T180" s="638"/>
      <c r="U180" s="638"/>
      <c r="V180" s="638"/>
      <c r="W180" s="638"/>
      <c r="X180" s="638"/>
      <c r="Y180" s="638"/>
      <c r="Z180" s="638"/>
      <c r="AA180" s="638"/>
      <c r="AB180" s="638"/>
      <c r="AC180" s="638"/>
      <c r="AD180" s="638"/>
      <c r="AE180" s="638"/>
      <c r="AF180" s="638"/>
      <c r="AG180" s="638"/>
      <c r="AH180" s="638"/>
      <c r="AI180" s="638"/>
      <c r="AJ180" s="638"/>
      <c r="AK180" s="638"/>
      <c r="AL180" s="638"/>
      <c r="AM180" s="638"/>
      <c r="AN180" s="638"/>
      <c r="AO180" s="638"/>
      <c r="AP180" s="638"/>
      <c r="AQ180" s="638"/>
      <c r="AR180" s="638"/>
      <c r="AS180" s="638"/>
      <c r="AT180" s="638"/>
      <c r="AU180" s="638"/>
      <c r="AV180" s="638"/>
      <c r="AW180" s="638"/>
      <c r="AX180" s="638"/>
      <c r="AY180" s="638"/>
      <c r="AZ180" s="638"/>
    </row>
    <row r="181" spans="1:52" s="639" customFormat="1" ht="18" customHeight="1">
      <c r="A181" s="638"/>
      <c r="B181" s="750" t="s">
        <v>921</v>
      </c>
      <c r="C181" s="801"/>
      <c r="D181" s="802">
        <f t="shared" ref="D181:L181" si="51">D129-C129</f>
        <v>0</v>
      </c>
      <c r="E181" s="802">
        <f t="shared" si="51"/>
        <v>0</v>
      </c>
      <c r="F181" s="802">
        <f t="shared" si="51"/>
        <v>0</v>
      </c>
      <c r="G181" s="802">
        <f t="shared" si="51"/>
        <v>0</v>
      </c>
      <c r="H181" s="803">
        <f t="shared" si="51"/>
        <v>0</v>
      </c>
      <c r="I181" s="803">
        <f t="shared" si="51"/>
        <v>0</v>
      </c>
      <c r="J181" s="803">
        <f t="shared" si="51"/>
        <v>0</v>
      </c>
      <c r="K181" s="803">
        <f t="shared" si="51"/>
        <v>0</v>
      </c>
      <c r="L181" s="804">
        <f t="shared" si="51"/>
        <v>0</v>
      </c>
      <c r="M181" s="106"/>
      <c r="N181" s="638"/>
      <c r="O181" s="638"/>
      <c r="P181" s="638"/>
      <c r="Q181" s="638"/>
      <c r="R181" s="638"/>
      <c r="S181" s="638"/>
      <c r="T181" s="638"/>
      <c r="U181" s="638"/>
      <c r="V181" s="638"/>
      <c r="W181" s="638"/>
      <c r="X181" s="638"/>
      <c r="Y181" s="638"/>
      <c r="Z181" s="638"/>
      <c r="AA181" s="638"/>
      <c r="AB181" s="638"/>
      <c r="AC181" s="638"/>
      <c r="AD181" s="638"/>
      <c r="AE181" s="638"/>
      <c r="AF181" s="638"/>
      <c r="AG181" s="638"/>
      <c r="AH181" s="638"/>
      <c r="AI181" s="638"/>
      <c r="AJ181" s="638"/>
      <c r="AK181" s="638"/>
      <c r="AL181" s="638"/>
      <c r="AM181" s="638"/>
      <c r="AN181" s="638"/>
      <c r="AO181" s="638"/>
      <c r="AP181" s="638"/>
      <c r="AQ181" s="638"/>
      <c r="AR181" s="638"/>
      <c r="AS181" s="638"/>
      <c r="AT181" s="638"/>
      <c r="AU181" s="638"/>
      <c r="AV181" s="638"/>
      <c r="AW181" s="638"/>
      <c r="AX181" s="638"/>
      <c r="AY181" s="638"/>
      <c r="AZ181" s="638"/>
    </row>
    <row r="182" spans="1:52" s="639" customFormat="1" ht="18" customHeight="1">
      <c r="A182" s="638"/>
      <c r="B182" s="750"/>
      <c r="C182" s="810"/>
      <c r="D182" s="803"/>
      <c r="E182" s="803"/>
      <c r="F182" s="803"/>
      <c r="G182" s="803"/>
      <c r="H182" s="803"/>
      <c r="I182" s="803"/>
      <c r="J182" s="803"/>
      <c r="K182" s="803"/>
      <c r="L182" s="804"/>
      <c r="M182" s="106"/>
      <c r="N182" s="638"/>
      <c r="O182" s="638"/>
      <c r="P182" s="638"/>
      <c r="Q182" s="638"/>
      <c r="R182" s="638"/>
      <c r="S182" s="638"/>
      <c r="T182" s="638"/>
      <c r="U182" s="638"/>
      <c r="V182" s="638"/>
      <c r="W182" s="638"/>
      <c r="X182" s="638"/>
      <c r="Y182" s="638"/>
      <c r="Z182" s="638"/>
      <c r="AA182" s="638"/>
      <c r="AB182" s="638"/>
      <c r="AC182" s="638"/>
      <c r="AD182" s="638"/>
      <c r="AE182" s="638"/>
      <c r="AF182" s="638"/>
      <c r="AG182" s="638"/>
      <c r="AH182" s="638"/>
      <c r="AI182" s="638"/>
      <c r="AJ182" s="638"/>
      <c r="AK182" s="638"/>
      <c r="AL182" s="638"/>
      <c r="AM182" s="638"/>
      <c r="AN182" s="638"/>
      <c r="AO182" s="638"/>
      <c r="AP182" s="638"/>
      <c r="AQ182" s="638"/>
      <c r="AR182" s="638"/>
      <c r="AS182" s="638"/>
      <c r="AT182" s="638"/>
      <c r="AU182" s="638"/>
      <c r="AV182" s="638"/>
      <c r="AW182" s="638"/>
      <c r="AX182" s="638"/>
      <c r="AY182" s="638"/>
      <c r="AZ182" s="638"/>
    </row>
    <row r="183" spans="1:52" s="639" customFormat="1" ht="18" customHeight="1">
      <c r="A183" s="638"/>
      <c r="B183" s="750" t="s">
        <v>922</v>
      </c>
      <c r="C183" s="801"/>
      <c r="D183" s="802">
        <f t="shared" ref="D183:L183" si="52">D177-D181</f>
        <v>916.07317950000038</v>
      </c>
      <c r="E183" s="802">
        <f t="shared" si="52"/>
        <v>169.64390632999886</v>
      </c>
      <c r="F183" s="802">
        <f t="shared" si="52"/>
        <v>392.58274923000039</v>
      </c>
      <c r="G183" s="802">
        <f t="shared" si="52"/>
        <v>-188.48052773999936</v>
      </c>
      <c r="H183" s="803">
        <f t="shared" ca="1" si="52"/>
        <v>-412.34316980706012</v>
      </c>
      <c r="I183" s="803">
        <f t="shared" ca="1" si="52"/>
        <v>68.284145123171129</v>
      </c>
      <c r="J183" s="803">
        <f t="shared" ca="1" si="52"/>
        <v>-55.082710528855159</v>
      </c>
      <c r="K183" s="803">
        <f t="shared" ca="1" si="52"/>
        <v>-131.10147131980318</v>
      </c>
      <c r="L183" s="804">
        <f t="shared" ca="1" si="52"/>
        <v>-38.766233783851249</v>
      </c>
      <c r="M183" s="106"/>
      <c r="N183" s="638"/>
      <c r="O183" s="638"/>
      <c r="P183" s="638"/>
      <c r="Q183" s="638"/>
      <c r="R183" s="638"/>
      <c r="S183" s="638"/>
      <c r="T183" s="638"/>
      <c r="U183" s="638"/>
      <c r="V183" s="638"/>
      <c r="W183" s="638"/>
      <c r="X183" s="638"/>
      <c r="Y183" s="638"/>
      <c r="Z183" s="638"/>
      <c r="AA183" s="638"/>
      <c r="AB183" s="638"/>
      <c r="AC183" s="638"/>
      <c r="AD183" s="638"/>
      <c r="AE183" s="638"/>
      <c r="AF183" s="638"/>
      <c r="AG183" s="638"/>
      <c r="AH183" s="638"/>
      <c r="AI183" s="638"/>
      <c r="AJ183" s="638"/>
      <c r="AK183" s="638"/>
      <c r="AL183" s="638"/>
      <c r="AM183" s="638"/>
      <c r="AN183" s="638"/>
      <c r="AO183" s="638"/>
      <c r="AP183" s="638"/>
      <c r="AQ183" s="638"/>
      <c r="AR183" s="638"/>
      <c r="AS183" s="638"/>
      <c r="AT183" s="638"/>
      <c r="AU183" s="638"/>
      <c r="AV183" s="638"/>
      <c r="AW183" s="638"/>
      <c r="AX183" s="638"/>
      <c r="AY183" s="638"/>
      <c r="AZ183" s="638"/>
    </row>
    <row r="184" spans="1:52" s="639" customFormat="1" ht="18" customHeight="1">
      <c r="A184" s="638"/>
      <c r="B184" s="750"/>
      <c r="C184" s="810"/>
      <c r="D184" s="803"/>
      <c r="E184" s="803"/>
      <c r="F184" s="803"/>
      <c r="G184" s="803"/>
      <c r="H184" s="803"/>
      <c r="I184" s="803"/>
      <c r="J184" s="803"/>
      <c r="K184" s="803"/>
      <c r="L184" s="804"/>
      <c r="M184" s="106"/>
      <c r="N184" s="638"/>
      <c r="O184" s="638"/>
      <c r="P184" s="638"/>
      <c r="Q184" s="638"/>
      <c r="R184" s="638"/>
      <c r="S184" s="638"/>
      <c r="T184" s="638"/>
      <c r="U184" s="638"/>
      <c r="V184" s="638"/>
      <c r="W184" s="638"/>
      <c r="X184" s="638"/>
      <c r="Y184" s="638"/>
      <c r="Z184" s="638"/>
      <c r="AA184" s="638"/>
      <c r="AB184" s="638"/>
      <c r="AC184" s="638"/>
      <c r="AD184" s="638"/>
      <c r="AE184" s="638"/>
      <c r="AF184" s="638"/>
      <c r="AG184" s="638"/>
      <c r="AH184" s="638"/>
      <c r="AI184" s="638"/>
      <c r="AJ184" s="638"/>
      <c r="AK184" s="638"/>
      <c r="AL184" s="638"/>
      <c r="AM184" s="638"/>
      <c r="AN184" s="638"/>
      <c r="AO184" s="638"/>
      <c r="AP184" s="638"/>
      <c r="AQ184" s="638"/>
      <c r="AR184" s="638"/>
      <c r="AS184" s="638"/>
      <c r="AT184" s="638"/>
      <c r="AU184" s="638"/>
      <c r="AV184" s="638"/>
      <c r="AW184" s="638"/>
      <c r="AX184" s="638"/>
      <c r="AY184" s="638"/>
      <c r="AZ184" s="638"/>
    </row>
    <row r="185" spans="1:52" s="639" customFormat="1" ht="18" customHeight="1">
      <c r="A185" s="638"/>
      <c r="B185" s="750" t="s">
        <v>923</v>
      </c>
      <c r="C185" s="801"/>
      <c r="D185" s="802">
        <f>现金流量!J6+现金流量!J7+现金流量!J8</f>
        <v>57.424808910000003</v>
      </c>
      <c r="E185" s="802">
        <f>现金流量!K6+现金流量!K7+现金流量!K8</f>
        <v>74.796289779999995</v>
      </c>
      <c r="F185" s="802">
        <f>现金流量!L6+现金流量!L7+现金流量!L8</f>
        <v>92.325449759999998</v>
      </c>
      <c r="G185" s="802">
        <f>现金流量!M6+现金流量!M7+现金流量!M8</f>
        <v>111.61367952999998</v>
      </c>
      <c r="H185" s="803">
        <f>现金流量!N6+现金流量!N7+现金流量!N8</f>
        <v>72.224709549333326</v>
      </c>
      <c r="I185" s="803">
        <f>现金流量!O6+现金流量!O7+现金流量!O8</f>
        <v>72.224709549333326</v>
      </c>
      <c r="J185" s="803">
        <f>现金流量!P6+现金流量!P7+现金流量!P8</f>
        <v>72.224709549333326</v>
      </c>
      <c r="K185" s="803">
        <f>现金流量!Q6+现金流量!Q7+现金流量!Q8</f>
        <v>72.224709549333326</v>
      </c>
      <c r="L185" s="804">
        <f>现金流量!R6+现金流量!R7+现金流量!R8</f>
        <v>72.224709549333326</v>
      </c>
      <c r="M185" s="106"/>
      <c r="N185" s="638"/>
      <c r="O185" s="638"/>
      <c r="P185" s="638"/>
      <c r="Q185" s="638"/>
      <c r="R185" s="638"/>
      <c r="S185" s="638"/>
      <c r="T185" s="638"/>
      <c r="U185" s="638"/>
      <c r="V185" s="638"/>
      <c r="W185" s="638"/>
      <c r="X185" s="638"/>
      <c r="Y185" s="638"/>
      <c r="Z185" s="638"/>
      <c r="AA185" s="638"/>
      <c r="AB185" s="638"/>
      <c r="AC185" s="638"/>
      <c r="AD185" s="638"/>
      <c r="AE185" s="638"/>
      <c r="AF185" s="638"/>
      <c r="AG185" s="638"/>
      <c r="AH185" s="638"/>
      <c r="AI185" s="638"/>
      <c r="AJ185" s="638"/>
      <c r="AK185" s="638"/>
      <c r="AL185" s="638"/>
      <c r="AM185" s="638"/>
      <c r="AN185" s="638"/>
      <c r="AO185" s="638"/>
      <c r="AP185" s="638"/>
      <c r="AQ185" s="638"/>
      <c r="AR185" s="638"/>
      <c r="AS185" s="638"/>
      <c r="AT185" s="638"/>
      <c r="AU185" s="638"/>
      <c r="AV185" s="638"/>
      <c r="AW185" s="638"/>
      <c r="AX185" s="638"/>
      <c r="AY185" s="638"/>
      <c r="AZ185" s="638"/>
    </row>
    <row r="186" spans="1:52" s="639" customFormat="1" ht="18" customHeight="1">
      <c r="A186" s="638"/>
      <c r="B186" s="750"/>
      <c r="C186" s="810"/>
      <c r="D186" s="803"/>
      <c r="E186" s="803"/>
      <c r="F186" s="803"/>
      <c r="G186" s="803"/>
      <c r="H186" s="803"/>
      <c r="I186" s="803"/>
      <c r="J186" s="803"/>
      <c r="K186" s="803"/>
      <c r="L186" s="804"/>
      <c r="M186" s="106"/>
      <c r="N186" s="638"/>
      <c r="O186" s="638"/>
      <c r="P186" s="638"/>
      <c r="Q186" s="638"/>
      <c r="R186" s="638"/>
      <c r="S186" s="638"/>
      <c r="T186" s="638"/>
      <c r="U186" s="638"/>
      <c r="V186" s="638"/>
      <c r="W186" s="638"/>
      <c r="X186" s="638"/>
      <c r="Y186" s="638"/>
      <c r="Z186" s="638"/>
      <c r="AA186" s="638"/>
      <c r="AB186" s="638"/>
      <c r="AC186" s="638"/>
      <c r="AD186" s="638"/>
      <c r="AE186" s="638"/>
      <c r="AF186" s="638"/>
      <c r="AG186" s="638"/>
      <c r="AH186" s="638"/>
      <c r="AI186" s="638"/>
      <c r="AJ186" s="638"/>
      <c r="AK186" s="638"/>
      <c r="AL186" s="638"/>
      <c r="AM186" s="638"/>
      <c r="AN186" s="638"/>
      <c r="AO186" s="638"/>
      <c r="AP186" s="638"/>
      <c r="AQ186" s="638"/>
      <c r="AR186" s="638"/>
      <c r="AS186" s="638"/>
      <c r="AT186" s="638"/>
      <c r="AU186" s="638"/>
      <c r="AV186" s="638"/>
      <c r="AW186" s="638"/>
      <c r="AX186" s="638"/>
      <c r="AY186" s="638"/>
      <c r="AZ186" s="638"/>
    </row>
    <row r="187" spans="1:52" s="639" customFormat="1" ht="18" customHeight="1">
      <c r="A187" s="638"/>
      <c r="B187" s="750" t="s">
        <v>924</v>
      </c>
      <c r="C187" s="801"/>
      <c r="D187" s="802">
        <f>D183+D185</f>
        <v>973.4979884100004</v>
      </c>
      <c r="E187" s="802">
        <f>E183+E185</f>
        <v>244.44019610999885</v>
      </c>
      <c r="F187" s="802">
        <f>F183+F185</f>
        <v>484.90819899000041</v>
      </c>
      <c r="G187" s="802">
        <f>G183+G185</f>
        <v>-76.866848209999375</v>
      </c>
      <c r="H187" s="803">
        <f ca="1">H185+H177</f>
        <v>-340.11846025772678</v>
      </c>
      <c r="I187" s="803">
        <f ca="1">I185+I177</f>
        <v>140.50885467250447</v>
      </c>
      <c r="J187" s="803">
        <f ca="1">J185+J177</f>
        <v>17.141999020478167</v>
      </c>
      <c r="K187" s="803">
        <f ca="1">K185+K177</f>
        <v>-58.876761770469855</v>
      </c>
      <c r="L187" s="804">
        <f ca="1">L185+L177</f>
        <v>33.458475765482078</v>
      </c>
      <c r="M187" s="106"/>
      <c r="N187" s="638"/>
      <c r="O187" s="638"/>
      <c r="P187" s="638"/>
      <c r="Q187" s="638"/>
      <c r="R187" s="638"/>
      <c r="S187" s="638"/>
      <c r="T187" s="638"/>
      <c r="U187" s="638"/>
      <c r="V187" s="638"/>
      <c r="W187" s="638"/>
      <c r="X187" s="638"/>
      <c r="Y187" s="638"/>
      <c r="Z187" s="638"/>
      <c r="AA187" s="638"/>
      <c r="AB187" s="638"/>
      <c r="AC187" s="638"/>
      <c r="AD187" s="638"/>
      <c r="AE187" s="638"/>
      <c r="AF187" s="638"/>
      <c r="AG187" s="638"/>
      <c r="AH187" s="638"/>
      <c r="AI187" s="638"/>
      <c r="AJ187" s="638"/>
      <c r="AK187" s="638"/>
      <c r="AL187" s="638"/>
      <c r="AM187" s="638"/>
      <c r="AN187" s="638"/>
      <c r="AO187" s="638"/>
      <c r="AP187" s="638"/>
      <c r="AQ187" s="638"/>
      <c r="AR187" s="638"/>
      <c r="AS187" s="638"/>
      <c r="AT187" s="638"/>
      <c r="AU187" s="638"/>
      <c r="AV187" s="638"/>
      <c r="AW187" s="638"/>
      <c r="AX187" s="638"/>
      <c r="AY187" s="638"/>
      <c r="AZ187" s="638"/>
    </row>
    <row r="188" spans="1:52" s="639" customFormat="1" ht="18" customHeight="1">
      <c r="A188" s="638"/>
      <c r="B188" s="750"/>
      <c r="C188" s="810"/>
      <c r="D188" s="803"/>
      <c r="E188" s="803"/>
      <c r="F188" s="803"/>
      <c r="G188" s="803"/>
      <c r="H188" s="803"/>
      <c r="I188" s="803"/>
      <c r="J188" s="803"/>
      <c r="K188" s="803"/>
      <c r="L188" s="804"/>
      <c r="M188" s="106"/>
      <c r="N188" s="638"/>
      <c r="O188" s="638"/>
      <c r="P188" s="638"/>
      <c r="Q188" s="638"/>
      <c r="R188" s="638"/>
      <c r="S188" s="638"/>
      <c r="T188" s="638"/>
      <c r="U188" s="638"/>
      <c r="V188" s="638"/>
      <c r="W188" s="638"/>
      <c r="X188" s="638"/>
      <c r="Y188" s="638"/>
      <c r="Z188" s="638"/>
      <c r="AA188" s="638"/>
      <c r="AB188" s="638"/>
      <c r="AC188" s="638"/>
      <c r="AD188" s="638"/>
      <c r="AE188" s="638"/>
      <c r="AF188" s="638"/>
      <c r="AG188" s="638"/>
      <c r="AH188" s="638"/>
      <c r="AI188" s="638"/>
      <c r="AJ188" s="638"/>
      <c r="AK188" s="638"/>
      <c r="AL188" s="638"/>
      <c r="AM188" s="638"/>
      <c r="AN188" s="638"/>
      <c r="AO188" s="638"/>
      <c r="AP188" s="638"/>
      <c r="AQ188" s="638"/>
      <c r="AR188" s="638"/>
      <c r="AS188" s="638"/>
      <c r="AT188" s="638"/>
      <c r="AU188" s="638"/>
      <c r="AV188" s="638"/>
      <c r="AW188" s="638"/>
      <c r="AX188" s="638"/>
      <c r="AY188" s="638"/>
      <c r="AZ188" s="638"/>
    </row>
    <row r="189" spans="1:52" s="676" customFormat="1" ht="18" customHeight="1">
      <c r="A189" s="673"/>
      <c r="B189" s="750" t="s">
        <v>925</v>
      </c>
      <c r="C189" s="686"/>
      <c r="D189" s="687">
        <f t="shared" ref="D189:L189" si="53">D183/D232</f>
        <v>1.0778954800783169</v>
      </c>
      <c r="E189" s="687">
        <f t="shared" si="53"/>
        <v>0.28727767230050821</v>
      </c>
      <c r="F189" s="687">
        <f t="shared" si="53"/>
        <v>0.53261243363442956</v>
      </c>
      <c r="G189" s="687">
        <f t="shared" si="53"/>
        <v>-0.19812400502252836</v>
      </c>
      <c r="H189" s="689">
        <f t="shared" ca="1" si="53"/>
        <v>-0.48079448858312396</v>
      </c>
      <c r="I189" s="689">
        <f t="shared" ca="1" si="53"/>
        <v>8.0665721525920664E-2</v>
      </c>
      <c r="J189" s="689">
        <f t="shared" ca="1" si="53"/>
        <v>-6.4437992805167973E-2</v>
      </c>
      <c r="K189" s="689">
        <f t="shared" ca="1" si="53"/>
        <v>-0.15369735966470638</v>
      </c>
      <c r="L189" s="690">
        <f t="shared" ca="1" si="53"/>
        <v>-4.5530389019032592E-2</v>
      </c>
      <c r="M189" s="698"/>
      <c r="N189" s="673"/>
      <c r="O189" s="673"/>
      <c r="P189" s="673"/>
      <c r="Q189" s="673"/>
      <c r="R189" s="673"/>
      <c r="S189" s="673"/>
      <c r="T189" s="673"/>
      <c r="U189" s="673"/>
      <c r="V189" s="673"/>
      <c r="W189" s="673"/>
      <c r="X189" s="673"/>
      <c r="Y189" s="673"/>
      <c r="Z189" s="673"/>
      <c r="AA189" s="673"/>
      <c r="AB189" s="673"/>
      <c r="AC189" s="673"/>
      <c r="AD189" s="673"/>
      <c r="AE189" s="673"/>
      <c r="AF189" s="673"/>
      <c r="AG189" s="673"/>
      <c r="AH189" s="673"/>
      <c r="AI189" s="673"/>
      <c r="AJ189" s="673"/>
      <c r="AK189" s="673"/>
      <c r="AL189" s="673"/>
      <c r="AM189" s="673"/>
      <c r="AN189" s="673"/>
      <c r="AO189" s="673"/>
      <c r="AP189" s="673"/>
      <c r="AQ189" s="673"/>
      <c r="AR189" s="673"/>
      <c r="AS189" s="673"/>
      <c r="AT189" s="673"/>
      <c r="AU189" s="673"/>
      <c r="AV189" s="673"/>
      <c r="AW189" s="673"/>
      <c r="AX189" s="673"/>
      <c r="AY189" s="673"/>
      <c r="AZ189" s="673"/>
    </row>
    <row r="190" spans="1:52" s="676" customFormat="1" ht="18" customHeight="1">
      <c r="A190" s="673"/>
      <c r="B190" s="750" t="s">
        <v>926</v>
      </c>
      <c r="C190" s="686"/>
      <c r="D190" s="687">
        <f t="shared" ref="D190:L190" si="54">D187/(D214+D185)</f>
        <v>0.92549650047459964</v>
      </c>
      <c r="E190" s="687">
        <f t="shared" si="54"/>
        <v>0.31988144652379286</v>
      </c>
      <c r="F190" s="687">
        <f t="shared" si="54"/>
        <v>0.51443639807144226</v>
      </c>
      <c r="G190" s="687">
        <f t="shared" si="54"/>
        <v>-6.3862549418418346E-2</v>
      </c>
      <c r="H190" s="689">
        <f t="shared" ca="1" si="54"/>
        <v>-0.32187262885555878</v>
      </c>
      <c r="I190" s="689">
        <f t="shared" ca="1" si="54"/>
        <v>0.13459725460015376</v>
      </c>
      <c r="J190" s="689">
        <f t="shared" ca="1" si="54"/>
        <v>1.6272104171764668E-2</v>
      </c>
      <c r="K190" s="689">
        <f t="shared" ca="1" si="54"/>
        <v>-5.6000813367450067E-2</v>
      </c>
      <c r="L190" s="690">
        <f t="shared" ca="1" si="54"/>
        <v>3.1878012705424695E-2</v>
      </c>
      <c r="M190" s="698"/>
      <c r="N190" s="673"/>
      <c r="O190" s="673"/>
      <c r="P190" s="673"/>
      <c r="Q190" s="673"/>
      <c r="R190" s="673"/>
      <c r="S190" s="673"/>
      <c r="T190" s="673"/>
      <c r="U190" s="673"/>
      <c r="V190" s="673"/>
      <c r="W190" s="673"/>
      <c r="X190" s="673"/>
      <c r="Y190" s="673"/>
      <c r="Z190" s="673"/>
      <c r="AA190" s="673"/>
      <c r="AB190" s="673"/>
      <c r="AC190" s="673"/>
      <c r="AD190" s="673"/>
      <c r="AE190" s="673"/>
      <c r="AF190" s="673"/>
      <c r="AG190" s="673"/>
      <c r="AH190" s="673"/>
      <c r="AI190" s="673"/>
      <c r="AJ190" s="673"/>
      <c r="AK190" s="673"/>
      <c r="AL190" s="673"/>
      <c r="AM190" s="673"/>
      <c r="AN190" s="673"/>
      <c r="AO190" s="673"/>
      <c r="AP190" s="673"/>
      <c r="AQ190" s="673"/>
      <c r="AR190" s="673"/>
      <c r="AS190" s="673"/>
      <c r="AT190" s="673"/>
      <c r="AU190" s="673"/>
      <c r="AV190" s="673"/>
      <c r="AW190" s="673"/>
      <c r="AX190" s="673"/>
      <c r="AY190" s="673"/>
      <c r="AZ190" s="673"/>
    </row>
    <row r="191" spans="1:52" s="639" customFormat="1" ht="18" customHeight="1" thickBot="1">
      <c r="A191" s="638"/>
      <c r="B191" s="811"/>
      <c r="C191" s="840"/>
      <c r="D191" s="814"/>
      <c r="E191" s="814"/>
      <c r="F191" s="814"/>
      <c r="G191" s="814"/>
      <c r="H191" s="814"/>
      <c r="I191" s="814"/>
      <c r="J191" s="814"/>
      <c r="K191" s="814"/>
      <c r="L191" s="815"/>
      <c r="M191" s="106"/>
      <c r="N191" s="638"/>
      <c r="O191" s="638"/>
      <c r="P191" s="638"/>
      <c r="Q191" s="638"/>
      <c r="R191" s="638"/>
      <c r="S191" s="638"/>
      <c r="T191" s="638"/>
      <c r="U191" s="638"/>
      <c r="V191" s="638"/>
      <c r="W191" s="638"/>
      <c r="X191" s="638"/>
      <c r="Y191" s="638"/>
      <c r="Z191" s="638"/>
      <c r="AA191" s="638"/>
      <c r="AB191" s="638"/>
      <c r="AC191" s="638"/>
      <c r="AD191" s="638"/>
      <c r="AE191" s="638"/>
      <c r="AF191" s="638"/>
      <c r="AG191" s="638"/>
      <c r="AH191" s="638"/>
      <c r="AI191" s="638"/>
      <c r="AJ191" s="638"/>
      <c r="AK191" s="638"/>
      <c r="AL191" s="638"/>
      <c r="AM191" s="638"/>
      <c r="AN191" s="638"/>
      <c r="AO191" s="638"/>
      <c r="AP191" s="638"/>
      <c r="AQ191" s="638"/>
      <c r="AR191" s="638"/>
      <c r="AS191" s="638"/>
      <c r="AT191" s="638"/>
      <c r="AU191" s="638"/>
      <c r="AV191" s="638"/>
      <c r="AW191" s="638"/>
      <c r="AX191" s="638"/>
      <c r="AY191" s="638"/>
      <c r="AZ191" s="638"/>
    </row>
    <row r="192" spans="1:52" s="639" customFormat="1" ht="18" customHeight="1" thickBot="1">
      <c r="A192" s="106"/>
      <c r="B192" s="841"/>
      <c r="C192" s="842"/>
      <c r="D192" s="842"/>
      <c r="E192" s="842"/>
      <c r="F192" s="842"/>
      <c r="G192" s="842"/>
      <c r="H192" s="842"/>
      <c r="I192" s="842"/>
      <c r="J192" s="842"/>
      <c r="K192" s="842"/>
      <c r="L192" s="843"/>
      <c r="M192" s="106"/>
      <c r="N192" s="638"/>
      <c r="O192" s="638"/>
      <c r="P192" s="638"/>
      <c r="Q192" s="638"/>
      <c r="R192" s="638"/>
      <c r="S192" s="638"/>
      <c r="T192" s="638"/>
      <c r="U192" s="638"/>
      <c r="V192" s="638"/>
      <c r="W192" s="638"/>
      <c r="X192" s="638"/>
      <c r="Y192" s="638"/>
      <c r="Z192" s="638"/>
      <c r="AA192" s="638"/>
      <c r="AB192" s="638"/>
      <c r="AC192" s="638"/>
      <c r="AD192" s="638"/>
      <c r="AE192" s="638"/>
      <c r="AF192" s="638"/>
      <c r="AG192" s="638"/>
      <c r="AH192" s="638"/>
      <c r="AI192" s="638"/>
      <c r="AJ192" s="638"/>
      <c r="AK192" s="638"/>
      <c r="AL192" s="638"/>
      <c r="AM192" s="638"/>
      <c r="AN192" s="638"/>
      <c r="AO192" s="638"/>
      <c r="AP192" s="638"/>
      <c r="AQ192" s="638"/>
      <c r="AR192" s="638"/>
      <c r="AS192" s="638"/>
      <c r="AT192" s="638"/>
      <c r="AU192" s="638"/>
      <c r="AV192" s="638"/>
      <c r="AW192" s="638"/>
      <c r="AX192" s="638"/>
      <c r="AY192" s="638"/>
      <c r="AZ192" s="638"/>
    </row>
    <row r="193" spans="1:52" ht="18" hidden="1" customHeight="1">
      <c r="A193" s="662"/>
      <c r="B193" s="844"/>
      <c r="C193" s="845"/>
      <c r="D193" s="845"/>
      <c r="E193" s="845"/>
      <c r="F193" s="845"/>
      <c r="G193" s="845"/>
      <c r="H193" s="845"/>
      <c r="I193" s="845"/>
      <c r="J193" s="845"/>
      <c r="K193" s="845"/>
      <c r="L193" s="817"/>
      <c r="M193" s="658"/>
      <c r="N193" s="662"/>
      <c r="O193" s="662"/>
      <c r="P193" s="662"/>
      <c r="Q193" s="662"/>
      <c r="R193" s="662"/>
      <c r="S193" s="662"/>
      <c r="T193" s="662"/>
      <c r="U193" s="662"/>
      <c r="V193" s="662"/>
      <c r="W193" s="662"/>
      <c r="X193" s="662"/>
      <c r="Y193" s="662"/>
      <c r="Z193" s="662"/>
      <c r="AA193" s="662"/>
      <c r="AB193" s="662"/>
      <c r="AC193" s="662"/>
      <c r="AD193" s="662"/>
      <c r="AE193" s="662"/>
      <c r="AF193" s="662"/>
      <c r="AG193" s="662"/>
      <c r="AH193" s="662"/>
      <c r="AI193" s="662"/>
      <c r="AJ193" s="662"/>
      <c r="AK193" s="662"/>
      <c r="AL193" s="662"/>
      <c r="AM193" s="662"/>
      <c r="AN193" s="662"/>
      <c r="AO193" s="662"/>
      <c r="AP193" s="662"/>
      <c r="AQ193" s="662"/>
      <c r="AR193" s="662"/>
      <c r="AS193" s="662"/>
      <c r="AT193" s="662"/>
      <c r="AU193" s="662"/>
      <c r="AV193" s="662"/>
      <c r="AW193" s="662"/>
      <c r="AX193" s="662"/>
      <c r="AY193" s="662"/>
      <c r="AZ193" s="662"/>
    </row>
    <row r="194" spans="1:52" ht="18" hidden="1" customHeight="1" thickBot="1">
      <c r="A194" s="106"/>
      <c r="B194" s="574"/>
      <c r="C194" s="816"/>
      <c r="D194" s="816"/>
      <c r="E194" s="816"/>
      <c r="F194" s="816"/>
      <c r="G194" s="816"/>
      <c r="H194" s="816"/>
      <c r="I194" s="816"/>
      <c r="J194" s="845"/>
      <c r="K194" s="845"/>
      <c r="L194" s="846"/>
      <c r="M194" s="658"/>
      <c r="N194" s="662"/>
      <c r="O194" s="662"/>
      <c r="P194" s="662"/>
      <c r="Q194" s="662"/>
      <c r="R194" s="662"/>
      <c r="S194" s="662"/>
      <c r="T194" s="662"/>
      <c r="U194" s="662"/>
      <c r="V194" s="662"/>
      <c r="W194" s="662"/>
      <c r="X194" s="662"/>
      <c r="Y194" s="662"/>
      <c r="Z194" s="662"/>
      <c r="AA194" s="662"/>
      <c r="AB194" s="662"/>
      <c r="AC194" s="662"/>
      <c r="AD194" s="662"/>
      <c r="AE194" s="662"/>
      <c r="AF194" s="662"/>
      <c r="AG194" s="662"/>
      <c r="AH194" s="662"/>
      <c r="AI194" s="662"/>
      <c r="AJ194" s="662"/>
      <c r="AK194" s="662"/>
      <c r="AL194" s="662"/>
      <c r="AM194" s="662"/>
      <c r="AN194" s="662"/>
      <c r="AO194" s="662"/>
      <c r="AP194" s="662"/>
      <c r="AQ194" s="662"/>
      <c r="AR194" s="662"/>
      <c r="AS194" s="662"/>
      <c r="AT194" s="662"/>
      <c r="AU194" s="662"/>
      <c r="AV194" s="662"/>
      <c r="AW194" s="662"/>
      <c r="AX194" s="662"/>
      <c r="AY194" s="662"/>
      <c r="AZ194" s="662"/>
    </row>
    <row r="195" spans="1:52" ht="18" customHeight="1">
      <c r="A195" s="106"/>
      <c r="B195" s="705" t="s">
        <v>927</v>
      </c>
      <c r="C195" s="847"/>
      <c r="D195" s="847"/>
      <c r="E195" s="847"/>
      <c r="F195" s="847"/>
      <c r="G195" s="847"/>
      <c r="H195" s="848">
        <f>G196+1</f>
        <v>2020</v>
      </c>
      <c r="I195" s="848">
        <f>H195+1</f>
        <v>2021</v>
      </c>
      <c r="J195" s="848">
        <f>I195+1</f>
        <v>2022</v>
      </c>
      <c r="K195" s="848"/>
      <c r="L195" s="848"/>
      <c r="M195" s="888"/>
      <c r="N195" s="662"/>
      <c r="O195" s="662"/>
      <c r="P195" s="662"/>
      <c r="Q195" s="662"/>
      <c r="R195" s="662"/>
      <c r="S195" s="662"/>
      <c r="T195" s="662"/>
      <c r="U195" s="662"/>
      <c r="V195" s="662"/>
      <c r="W195" s="662"/>
      <c r="X195" s="662"/>
      <c r="Y195" s="662"/>
      <c r="Z195" s="662"/>
      <c r="AA195" s="662"/>
      <c r="AB195" s="662"/>
      <c r="AC195" s="662"/>
      <c r="AD195" s="662"/>
      <c r="AE195" s="662"/>
      <c r="AF195" s="662"/>
      <c r="AG195" s="662"/>
      <c r="AH195" s="662"/>
      <c r="AI195" s="662"/>
      <c r="AJ195" s="662"/>
      <c r="AK195" s="662"/>
      <c r="AL195" s="662"/>
      <c r="AM195" s="662"/>
      <c r="AN195" s="662"/>
      <c r="AO195" s="662"/>
      <c r="AP195" s="662"/>
      <c r="AQ195" s="662"/>
      <c r="AR195" s="662"/>
      <c r="AS195" s="662"/>
      <c r="AT195" s="662"/>
      <c r="AU195" s="662"/>
      <c r="AV195" s="662"/>
      <c r="AW195" s="662"/>
      <c r="AX195" s="662"/>
      <c r="AY195" s="662"/>
      <c r="AZ195" s="662"/>
    </row>
    <row r="196" spans="1:52" s="639" customFormat="1" ht="18" customHeight="1">
      <c r="A196" s="106"/>
      <c r="B196" s="750"/>
      <c r="C196" s="849">
        <f>利润表!I3</f>
        <v>2015</v>
      </c>
      <c r="D196" s="850">
        <f>利润表!J3</f>
        <v>2016</v>
      </c>
      <c r="E196" s="850">
        <f>利润表!K3</f>
        <v>2017</v>
      </c>
      <c r="F196" s="850">
        <f>利润表!L3</f>
        <v>2018</v>
      </c>
      <c r="G196" s="850">
        <f>利润表!M3</f>
        <v>2019</v>
      </c>
      <c r="H196" s="850" t="str">
        <f>利润表!N3</f>
        <v>2020E</v>
      </c>
      <c r="I196" s="850" t="str">
        <f>利润表!O3</f>
        <v>2021E</v>
      </c>
      <c r="J196" s="850" t="str">
        <f>利润表!P3</f>
        <v>2022E</v>
      </c>
      <c r="K196" s="850" t="str">
        <f>利润表!Q3</f>
        <v>2023E</v>
      </c>
      <c r="L196" s="2362" t="str">
        <f>利润表!R3</f>
        <v>2024E</v>
      </c>
      <c r="M196" s="2346"/>
      <c r="N196" s="638"/>
      <c r="O196" s="638"/>
      <c r="P196" s="638"/>
      <c r="Q196" s="638"/>
      <c r="R196" s="638"/>
      <c r="S196" s="638"/>
      <c r="T196" s="638"/>
      <c r="U196" s="638"/>
      <c r="V196" s="638"/>
      <c r="W196" s="638"/>
      <c r="X196" s="638"/>
      <c r="Y196" s="638"/>
      <c r="Z196" s="638"/>
      <c r="AA196" s="638"/>
      <c r="AB196" s="638"/>
      <c r="AC196" s="638"/>
      <c r="AD196" s="638"/>
      <c r="AE196" s="638"/>
      <c r="AF196" s="638"/>
      <c r="AG196" s="638"/>
      <c r="AH196" s="638"/>
      <c r="AI196" s="638"/>
      <c r="AJ196" s="638"/>
      <c r="AK196" s="638"/>
      <c r="AL196" s="638"/>
      <c r="AM196" s="638"/>
      <c r="AN196" s="638"/>
      <c r="AO196" s="638"/>
      <c r="AP196" s="638"/>
      <c r="AQ196" s="638"/>
      <c r="AR196" s="638"/>
      <c r="AS196" s="638"/>
      <c r="AT196" s="638"/>
      <c r="AU196" s="638"/>
      <c r="AV196" s="638"/>
      <c r="AW196" s="638"/>
      <c r="AX196" s="638"/>
      <c r="AY196" s="638"/>
      <c r="AZ196" s="638"/>
    </row>
    <row r="197" spans="1:52" ht="18" customHeight="1">
      <c r="A197" s="106"/>
      <c r="B197" s="1828" t="s">
        <v>1223</v>
      </c>
      <c r="C197" s="722">
        <f>利润表!I4</f>
        <v>3332.8047714200002</v>
      </c>
      <c r="D197" s="723">
        <f>利润表!J4</f>
        <v>3951.6072652299999</v>
      </c>
      <c r="E197" s="723">
        <f>利润表!K4</f>
        <v>4584.9197615800003</v>
      </c>
      <c r="F197" s="723">
        <f>利润表!L4</f>
        <v>4809.73609786</v>
      </c>
      <c r="G197" s="723">
        <f>利润表!M4</f>
        <v>6378.1513559200002</v>
      </c>
      <c r="H197" s="724">
        <f>利润表!N4</f>
        <v>6378.1513559200002</v>
      </c>
      <c r="I197" s="724">
        <f>利润表!O4</f>
        <v>6378.1513559200002</v>
      </c>
      <c r="J197" s="724">
        <f>利润表!P4</f>
        <v>6378.1513559200002</v>
      </c>
      <c r="K197" s="724">
        <f>利润表!Q4</f>
        <v>6378.1513559200002</v>
      </c>
      <c r="L197" s="2289">
        <f>利润表!R4</f>
        <v>6378.1513559200002</v>
      </c>
      <c r="M197" s="888"/>
      <c r="N197" s="662"/>
      <c r="O197" s="662"/>
      <c r="P197" s="662"/>
      <c r="Q197" s="662"/>
      <c r="R197" s="662"/>
      <c r="S197" s="662"/>
      <c r="T197" s="662"/>
      <c r="U197" s="662"/>
      <c r="V197" s="662"/>
      <c r="W197" s="662"/>
      <c r="X197" s="662"/>
      <c r="Y197" s="662"/>
      <c r="Z197" s="662"/>
      <c r="AA197" s="662"/>
      <c r="AB197" s="662"/>
      <c r="AC197" s="662"/>
      <c r="AD197" s="662"/>
      <c r="AE197" s="662"/>
      <c r="AF197" s="662"/>
      <c r="AG197" s="662"/>
      <c r="AH197" s="662"/>
      <c r="AI197" s="662"/>
      <c r="AJ197" s="662"/>
      <c r="AK197" s="662"/>
      <c r="AL197" s="662"/>
      <c r="AM197" s="662"/>
      <c r="AN197" s="662"/>
      <c r="AO197" s="662"/>
      <c r="AP197" s="662"/>
      <c r="AQ197" s="662"/>
      <c r="AR197" s="662"/>
      <c r="AS197" s="662"/>
      <c r="AT197" s="662"/>
      <c r="AU197" s="662"/>
      <c r="AV197" s="662"/>
      <c r="AW197" s="662"/>
      <c r="AX197" s="662"/>
      <c r="AY197" s="662"/>
      <c r="AZ197" s="662"/>
    </row>
    <row r="198" spans="1:52" ht="18" customHeight="1">
      <c r="A198" s="106"/>
      <c r="B198" s="852" t="s">
        <v>928</v>
      </c>
      <c r="C198" s="722">
        <f>利润表!I8</f>
        <v>2238.2859384899998</v>
      </c>
      <c r="D198" s="723">
        <f>利润表!J8</f>
        <v>2755.1810214400002</v>
      </c>
      <c r="E198" s="723">
        <f>利润表!K8</f>
        <v>3625.9091715999998</v>
      </c>
      <c r="F198" s="723">
        <f>利润表!L8</f>
        <v>3863.78724121</v>
      </c>
      <c r="G198" s="723">
        <f>利润表!M8</f>
        <v>5079.2705365800002</v>
      </c>
      <c r="H198" s="853">
        <f>利润表!N8</f>
        <v>5082.3547035464026</v>
      </c>
      <c r="I198" s="853">
        <f>利润表!O8</f>
        <v>5095.1205406454546</v>
      </c>
      <c r="J198" s="853">
        <f>利润表!P8</f>
        <v>5085.5819269239528</v>
      </c>
      <c r="K198" s="853">
        <f>利润表!Q8</f>
        <v>5087.68572370527</v>
      </c>
      <c r="L198" s="2363">
        <f>利润表!R8</f>
        <v>5089.4627304248925</v>
      </c>
      <c r="M198" s="888"/>
      <c r="N198" s="662"/>
      <c r="O198" s="662"/>
      <c r="P198" s="662"/>
      <c r="Q198" s="662"/>
      <c r="R198" s="662"/>
      <c r="S198" s="662"/>
      <c r="T198" s="662"/>
      <c r="U198" s="662"/>
      <c r="V198" s="662"/>
      <c r="W198" s="662"/>
      <c r="X198" s="662"/>
      <c r="Y198" s="662"/>
      <c r="Z198" s="662"/>
      <c r="AA198" s="662"/>
      <c r="AB198" s="662"/>
      <c r="AC198" s="662"/>
      <c r="AD198" s="662"/>
      <c r="AE198" s="662"/>
      <c r="AF198" s="662"/>
      <c r="AG198" s="662"/>
      <c r="AH198" s="662"/>
      <c r="AI198" s="662"/>
      <c r="AJ198" s="662"/>
      <c r="AK198" s="662"/>
      <c r="AL198" s="662"/>
      <c r="AM198" s="662"/>
      <c r="AN198" s="662"/>
      <c r="AO198" s="662"/>
      <c r="AP198" s="662"/>
      <c r="AQ198" s="662"/>
      <c r="AR198" s="662"/>
      <c r="AS198" s="662"/>
      <c r="AT198" s="662"/>
      <c r="AU198" s="662"/>
      <c r="AV198" s="662"/>
      <c r="AW198" s="662"/>
      <c r="AX198" s="662"/>
      <c r="AY198" s="662"/>
      <c r="AZ198" s="662"/>
    </row>
    <row r="199" spans="1:52" ht="18" customHeight="1">
      <c r="A199" s="106"/>
      <c r="B199" s="1813" t="s">
        <v>1314</v>
      </c>
      <c r="C199" s="722">
        <f>利润表!I9</f>
        <v>1.1368683772161603E-13</v>
      </c>
      <c r="D199" s="723">
        <f>利润表!J9</f>
        <v>5.6843418860808015E-14</v>
      </c>
      <c r="E199" s="723">
        <f>利润表!K9</f>
        <v>5.3645976549887564E-13</v>
      </c>
      <c r="F199" s="723">
        <f>利润表!L9</f>
        <v>-1.8474111129762605E-13</v>
      </c>
      <c r="G199" s="723">
        <f>利润表!M9</f>
        <v>-2.2554180745260055E-13</v>
      </c>
      <c r="H199" s="724">
        <f>利润表!N9</f>
        <v>9.191727929501206E-14</v>
      </c>
      <c r="I199" s="724">
        <f>利润表!O9</f>
        <v>-1.2620273053833497E-13</v>
      </c>
      <c r="J199" s="724">
        <f>利润表!P9</f>
        <v>-8.6609086231974492E-14</v>
      </c>
      <c r="K199" s="724">
        <f>利润表!Q9</f>
        <v>-4.0298179158432472E-14</v>
      </c>
      <c r="L199" s="2289">
        <f>利润表!R9</f>
        <v>-8.4369998642913975E-14</v>
      </c>
      <c r="M199" s="888"/>
      <c r="N199" s="662"/>
      <c r="O199" s="662"/>
      <c r="P199" s="662"/>
      <c r="Q199" s="662"/>
      <c r="R199" s="662"/>
      <c r="S199" s="662"/>
      <c r="T199" s="662"/>
      <c r="U199" s="662"/>
      <c r="V199" s="662"/>
      <c r="W199" s="662"/>
      <c r="X199" s="662"/>
      <c r="Y199" s="662"/>
      <c r="Z199" s="662"/>
      <c r="AA199" s="662"/>
      <c r="AB199" s="662"/>
      <c r="AC199" s="662"/>
      <c r="AD199" s="662"/>
      <c r="AE199" s="662"/>
      <c r="AF199" s="662"/>
      <c r="AG199" s="662"/>
      <c r="AH199" s="662"/>
      <c r="AI199" s="662"/>
      <c r="AJ199" s="662"/>
      <c r="AK199" s="662"/>
      <c r="AL199" s="662"/>
      <c r="AM199" s="662"/>
      <c r="AN199" s="662"/>
      <c r="AO199" s="662"/>
      <c r="AP199" s="662"/>
      <c r="AQ199" s="662"/>
      <c r="AR199" s="662"/>
      <c r="AS199" s="662"/>
      <c r="AT199" s="662"/>
      <c r="AU199" s="662"/>
      <c r="AV199" s="662"/>
      <c r="AW199" s="662"/>
      <c r="AX199" s="662"/>
      <c r="AY199" s="662"/>
      <c r="AZ199" s="662"/>
    </row>
    <row r="200" spans="1:52" ht="18" customHeight="1">
      <c r="A200" s="106"/>
      <c r="B200" s="1813" t="s">
        <v>1222</v>
      </c>
      <c r="C200" s="722">
        <f>利润表!I10</f>
        <v>16.865364629999998</v>
      </c>
      <c r="D200" s="723">
        <f>利润表!J10</f>
        <v>22.981753170000001</v>
      </c>
      <c r="E200" s="723">
        <f>利润表!K10</f>
        <v>26.899063820000002</v>
      </c>
      <c r="F200" s="723">
        <f>利润表!L10</f>
        <v>19.415506629999999</v>
      </c>
      <c r="G200" s="723">
        <f>利润表!M10</f>
        <v>21.80349241</v>
      </c>
      <c r="H200" s="853">
        <f>利润表!N10</f>
        <v>21.80349241</v>
      </c>
      <c r="I200" s="853">
        <f>利润表!O10</f>
        <v>21.80349241</v>
      </c>
      <c r="J200" s="853">
        <f>利润表!P10</f>
        <v>21.80349241</v>
      </c>
      <c r="K200" s="853">
        <f>利润表!Q10</f>
        <v>21.80349241</v>
      </c>
      <c r="L200" s="2363">
        <f>利润表!R10</f>
        <v>21.80349241</v>
      </c>
      <c r="M200" s="888"/>
      <c r="N200" s="662"/>
      <c r="O200" s="662"/>
      <c r="P200" s="662"/>
      <c r="Q200" s="662"/>
      <c r="R200" s="662"/>
      <c r="S200" s="662"/>
      <c r="T200" s="662"/>
      <c r="U200" s="662"/>
      <c r="V200" s="662"/>
      <c r="W200" s="662"/>
      <c r="X200" s="662"/>
      <c r="Y200" s="662"/>
      <c r="Z200" s="662"/>
      <c r="AA200" s="662"/>
      <c r="AB200" s="662"/>
      <c r="AC200" s="662"/>
      <c r="AD200" s="662"/>
      <c r="AE200" s="662"/>
      <c r="AF200" s="662"/>
      <c r="AG200" s="662"/>
      <c r="AH200" s="662"/>
      <c r="AI200" s="662"/>
      <c r="AJ200" s="662"/>
      <c r="AK200" s="662"/>
      <c r="AL200" s="662"/>
      <c r="AM200" s="662"/>
      <c r="AN200" s="662"/>
      <c r="AO200" s="662"/>
      <c r="AP200" s="662"/>
      <c r="AQ200" s="662"/>
      <c r="AR200" s="662"/>
      <c r="AS200" s="662"/>
      <c r="AT200" s="662"/>
      <c r="AU200" s="662"/>
      <c r="AV200" s="662"/>
      <c r="AW200" s="662"/>
      <c r="AX200" s="662"/>
      <c r="AY200" s="662"/>
      <c r="AZ200" s="662"/>
    </row>
    <row r="201" spans="1:52" ht="18" customHeight="1">
      <c r="A201" s="106"/>
      <c r="B201" s="852" t="s">
        <v>929</v>
      </c>
      <c r="C201" s="722">
        <f>利润表!I11</f>
        <v>55.81457365</v>
      </c>
      <c r="D201" s="723">
        <f>利润表!J11</f>
        <v>63.990855880000005</v>
      </c>
      <c r="E201" s="723">
        <f>利润表!K11</f>
        <v>78.155881199999996</v>
      </c>
      <c r="F201" s="723">
        <f>利润表!L11</f>
        <v>86.986311489999991</v>
      </c>
      <c r="G201" s="723">
        <f>利润表!M11</f>
        <v>112.84909105</v>
      </c>
      <c r="H201" s="853">
        <f>利润表!N11</f>
        <v>112.84909104999998</v>
      </c>
      <c r="I201" s="853">
        <f>利润表!O11</f>
        <v>112.84909104999998</v>
      </c>
      <c r="J201" s="853">
        <f>利润表!P11</f>
        <v>112.84909104999998</v>
      </c>
      <c r="K201" s="853">
        <f>利润表!Q11</f>
        <v>112.84909104999998</v>
      </c>
      <c r="L201" s="2363">
        <f>利润表!R11</f>
        <v>112.84909104999998</v>
      </c>
      <c r="M201" s="888"/>
      <c r="N201" s="662"/>
      <c r="O201" s="662"/>
      <c r="P201" s="662"/>
      <c r="Q201" s="662"/>
      <c r="R201" s="662"/>
      <c r="S201" s="662"/>
      <c r="T201" s="662"/>
      <c r="U201" s="662"/>
      <c r="V201" s="662"/>
      <c r="W201" s="662"/>
      <c r="X201" s="662"/>
      <c r="Y201" s="662"/>
      <c r="Z201" s="662"/>
      <c r="AA201" s="662"/>
      <c r="AB201" s="662"/>
      <c r="AC201" s="662"/>
      <c r="AD201" s="662"/>
      <c r="AE201" s="662"/>
      <c r="AF201" s="662"/>
      <c r="AG201" s="662"/>
      <c r="AH201" s="662"/>
      <c r="AI201" s="662"/>
      <c r="AJ201" s="662"/>
      <c r="AK201" s="662"/>
      <c r="AL201" s="662"/>
      <c r="AM201" s="662"/>
      <c r="AN201" s="662"/>
      <c r="AO201" s="662"/>
      <c r="AP201" s="662"/>
      <c r="AQ201" s="662"/>
      <c r="AR201" s="662"/>
      <c r="AS201" s="662"/>
      <c r="AT201" s="662"/>
      <c r="AU201" s="662"/>
      <c r="AV201" s="662"/>
      <c r="AW201" s="662"/>
      <c r="AX201" s="662"/>
      <c r="AY201" s="662"/>
      <c r="AZ201" s="662"/>
    </row>
    <row r="202" spans="1:52" ht="18" customHeight="1">
      <c r="A202" s="106"/>
      <c r="B202" s="852" t="s">
        <v>930</v>
      </c>
      <c r="C202" s="722">
        <f>利润表!I12</f>
        <v>193.75757265999999</v>
      </c>
      <c r="D202" s="723">
        <f>利润表!J12</f>
        <v>209.36716736000002</v>
      </c>
      <c r="E202" s="723">
        <f>利润表!K12</f>
        <v>79.338761969999993</v>
      </c>
      <c r="F202" s="723">
        <f>利润表!L12</f>
        <v>84.266100010000002</v>
      </c>
      <c r="G202" s="723">
        <f>利润表!M12</f>
        <v>97.549293969999994</v>
      </c>
      <c r="H202" s="853">
        <f>利润表!N12</f>
        <v>97.549293969999994</v>
      </c>
      <c r="I202" s="853">
        <f>利润表!O12</f>
        <v>97.549293969999994</v>
      </c>
      <c r="J202" s="853">
        <f>利润表!P12</f>
        <v>97.549293969999994</v>
      </c>
      <c r="K202" s="853">
        <f>利润表!Q12</f>
        <v>97.549293969999994</v>
      </c>
      <c r="L202" s="2363">
        <f>利润表!R12</f>
        <v>97.549293969999994</v>
      </c>
      <c r="M202" s="888"/>
      <c r="N202" s="662"/>
      <c r="O202" s="662"/>
      <c r="P202" s="662"/>
      <c r="Q202" s="662"/>
      <c r="R202" s="662"/>
      <c r="S202" s="662"/>
      <c r="T202" s="662"/>
      <c r="U202" s="662"/>
      <c r="V202" s="662"/>
      <c r="W202" s="662"/>
      <c r="X202" s="662"/>
      <c r="Y202" s="662"/>
      <c r="Z202" s="662"/>
      <c r="AA202" s="662"/>
      <c r="AB202" s="662"/>
      <c r="AC202" s="662"/>
      <c r="AD202" s="662"/>
      <c r="AE202" s="662"/>
      <c r="AF202" s="662"/>
      <c r="AG202" s="662"/>
      <c r="AH202" s="662"/>
      <c r="AI202" s="662"/>
      <c r="AJ202" s="662"/>
      <c r="AK202" s="662"/>
      <c r="AL202" s="662"/>
      <c r="AM202" s="662"/>
      <c r="AN202" s="662"/>
      <c r="AO202" s="662"/>
      <c r="AP202" s="662"/>
      <c r="AQ202" s="662"/>
      <c r="AR202" s="662"/>
      <c r="AS202" s="662"/>
      <c r="AT202" s="662"/>
      <c r="AU202" s="662"/>
      <c r="AV202" s="662"/>
      <c r="AW202" s="662"/>
      <c r="AX202" s="662"/>
      <c r="AY202" s="662"/>
      <c r="AZ202" s="662"/>
    </row>
    <row r="203" spans="1:52" ht="18" customHeight="1">
      <c r="A203" s="106"/>
      <c r="B203" s="1813" t="s">
        <v>1453</v>
      </c>
      <c r="C203" s="722">
        <f>利润表!I13</f>
        <v>0</v>
      </c>
      <c r="D203" s="723">
        <f>利润表!J13</f>
        <v>0</v>
      </c>
      <c r="E203" s="723">
        <f>利润表!K13</f>
        <v>152.83954233</v>
      </c>
      <c r="F203" s="723">
        <f>利润表!L13</f>
        <v>179.47818361</v>
      </c>
      <c r="G203" s="723">
        <f>利润表!M13</f>
        <v>202.87571151</v>
      </c>
      <c r="H203" s="724">
        <f>利润表!N13</f>
        <v>202.87571151</v>
      </c>
      <c r="I203" s="724">
        <f>利润表!O13</f>
        <v>202.87571151</v>
      </c>
      <c r="J203" s="724">
        <f>利润表!P13</f>
        <v>202.87571151</v>
      </c>
      <c r="K203" s="724">
        <f>利润表!Q13</f>
        <v>202.87571151</v>
      </c>
      <c r="L203" s="2289">
        <f>利润表!R13</f>
        <v>202.87571151</v>
      </c>
      <c r="M203" s="888"/>
      <c r="N203" s="662"/>
      <c r="O203" s="662"/>
      <c r="P203" s="662"/>
      <c r="Q203" s="662"/>
      <c r="R203" s="662"/>
      <c r="S203" s="662"/>
      <c r="T203" s="662"/>
      <c r="U203" s="662"/>
      <c r="V203" s="662"/>
      <c r="W203" s="662"/>
      <c r="X203" s="662"/>
      <c r="Y203" s="662"/>
      <c r="Z203" s="662"/>
      <c r="AA203" s="662"/>
      <c r="AB203" s="662"/>
      <c r="AC203" s="662"/>
      <c r="AD203" s="662"/>
      <c r="AE203" s="662"/>
      <c r="AF203" s="662"/>
      <c r="AG203" s="662"/>
      <c r="AH203" s="662"/>
      <c r="AI203" s="662"/>
      <c r="AJ203" s="662"/>
      <c r="AK203" s="662"/>
      <c r="AL203" s="662"/>
      <c r="AM203" s="662"/>
      <c r="AN203" s="662"/>
      <c r="AO203" s="662"/>
      <c r="AP203" s="662"/>
      <c r="AQ203" s="662"/>
      <c r="AR203" s="662"/>
      <c r="AS203" s="662"/>
      <c r="AT203" s="662"/>
      <c r="AU203" s="662"/>
      <c r="AV203" s="662"/>
      <c r="AW203" s="662"/>
      <c r="AX203" s="662"/>
      <c r="AY203" s="662"/>
      <c r="AZ203" s="662"/>
    </row>
    <row r="204" spans="1:52" ht="18" customHeight="1">
      <c r="A204" s="106"/>
      <c r="B204" s="852" t="s">
        <v>931</v>
      </c>
      <c r="C204" s="722">
        <f>利润表!I20</f>
        <v>-130.23169993000002</v>
      </c>
      <c r="D204" s="723">
        <f>利润表!J20</f>
        <v>32.895416400000002</v>
      </c>
      <c r="E204" s="723">
        <f>利润表!K20</f>
        <v>16.120135449999999</v>
      </c>
      <c r="F204" s="723">
        <f>利润表!L20</f>
        <v>-103.31049887</v>
      </c>
      <c r="G204" s="723">
        <f>利润表!M20</f>
        <v>-4.6279200500000002</v>
      </c>
      <c r="H204" s="724">
        <f>利润表!N20</f>
        <v>0</v>
      </c>
      <c r="I204" s="724">
        <f>利润表!O20</f>
        <v>0</v>
      </c>
      <c r="J204" s="724">
        <f>利润表!P20</f>
        <v>0</v>
      </c>
      <c r="K204" s="724">
        <f>利润表!Q20</f>
        <v>0</v>
      </c>
      <c r="L204" s="2289">
        <f>利润表!R20</f>
        <v>0</v>
      </c>
      <c r="M204" s="888"/>
      <c r="N204" s="662"/>
      <c r="O204" s="662"/>
      <c r="P204" s="662"/>
      <c r="Q204" s="662"/>
      <c r="R204" s="662"/>
      <c r="S204" s="662"/>
      <c r="T204" s="662"/>
      <c r="U204" s="662"/>
      <c r="V204" s="662"/>
      <c r="W204" s="662"/>
      <c r="X204" s="662"/>
      <c r="Y204" s="662"/>
      <c r="Z204" s="662"/>
      <c r="AA204" s="662"/>
      <c r="AB204" s="662"/>
      <c r="AC204" s="662"/>
      <c r="AD204" s="662"/>
      <c r="AE204" s="662"/>
      <c r="AF204" s="662"/>
      <c r="AG204" s="662"/>
      <c r="AH204" s="662"/>
      <c r="AI204" s="662"/>
      <c r="AJ204" s="662"/>
      <c r="AK204" s="662"/>
      <c r="AL204" s="662"/>
      <c r="AM204" s="662"/>
      <c r="AN204" s="662"/>
      <c r="AO204" s="662"/>
      <c r="AP204" s="662"/>
      <c r="AQ204" s="662"/>
      <c r="AR204" s="662"/>
      <c r="AS204" s="662"/>
      <c r="AT204" s="662"/>
      <c r="AU204" s="662"/>
      <c r="AV204" s="662"/>
      <c r="AW204" s="662"/>
      <c r="AX204" s="662"/>
      <c r="AY204" s="662"/>
      <c r="AZ204" s="662"/>
    </row>
    <row r="205" spans="1:52" ht="18" customHeight="1">
      <c r="A205" s="106"/>
      <c r="B205" s="1813" t="s">
        <v>1454</v>
      </c>
      <c r="C205" s="722">
        <f>利润表!I19</f>
        <v>0</v>
      </c>
      <c r="D205" s="723">
        <f>利润表!J19</f>
        <v>0</v>
      </c>
      <c r="E205" s="723">
        <f>利润表!K19</f>
        <v>0</v>
      </c>
      <c r="F205" s="723">
        <f>利润表!L19</f>
        <v>0</v>
      </c>
      <c r="G205" s="723">
        <f>利润表!M19</f>
        <v>111.36973515000001</v>
      </c>
      <c r="H205" s="724">
        <f>利润表!N19</f>
        <v>0</v>
      </c>
      <c r="I205" s="724">
        <f>利润表!O19</f>
        <v>0</v>
      </c>
      <c r="J205" s="724">
        <f>利润表!P19</f>
        <v>0</v>
      </c>
      <c r="K205" s="724">
        <f>利润表!Q19</f>
        <v>0</v>
      </c>
      <c r="L205" s="2289">
        <f>利润表!R19</f>
        <v>0</v>
      </c>
      <c r="M205" s="888"/>
      <c r="N205" s="662"/>
      <c r="O205" s="662"/>
      <c r="P205" s="662"/>
      <c r="Q205" s="662"/>
      <c r="R205" s="662"/>
      <c r="S205" s="662"/>
      <c r="T205" s="662"/>
      <c r="U205" s="662"/>
      <c r="V205" s="662"/>
      <c r="W205" s="662"/>
      <c r="X205" s="662"/>
      <c r="Y205" s="662"/>
      <c r="Z205" s="662"/>
      <c r="AA205" s="662"/>
      <c r="AB205" s="662"/>
      <c r="AC205" s="662"/>
      <c r="AD205" s="662"/>
      <c r="AE205" s="662"/>
      <c r="AF205" s="662"/>
      <c r="AG205" s="662"/>
      <c r="AH205" s="662"/>
      <c r="AI205" s="662"/>
      <c r="AJ205" s="662"/>
      <c r="AK205" s="662"/>
      <c r="AL205" s="662"/>
      <c r="AM205" s="662"/>
      <c r="AN205" s="662"/>
      <c r="AO205" s="662"/>
      <c r="AP205" s="662"/>
      <c r="AQ205" s="662"/>
      <c r="AR205" s="662"/>
      <c r="AS205" s="662"/>
      <c r="AT205" s="662"/>
      <c r="AU205" s="662"/>
      <c r="AV205" s="662"/>
      <c r="AW205" s="662"/>
      <c r="AX205" s="662"/>
      <c r="AY205" s="662"/>
      <c r="AZ205" s="662"/>
    </row>
    <row r="206" spans="1:52" ht="18" customHeight="1">
      <c r="A206" s="106"/>
      <c r="B206" s="1813" t="s">
        <v>1196</v>
      </c>
      <c r="C206" s="722">
        <f>利润表!I15</f>
        <v>0</v>
      </c>
      <c r="D206" s="723">
        <f>利润表!J15</f>
        <v>0</v>
      </c>
      <c r="E206" s="723">
        <f>利润表!K15</f>
        <v>10.979866320000001</v>
      </c>
      <c r="F206" s="723">
        <f>利润表!L15</f>
        <v>319.01791910000003</v>
      </c>
      <c r="G206" s="723">
        <f>利润表!M15</f>
        <v>30.198438449999998</v>
      </c>
      <c r="H206" s="724">
        <f>利润表!N15</f>
        <v>30.198438449999998</v>
      </c>
      <c r="I206" s="724">
        <f>利润表!O15</f>
        <v>30.198438449999998</v>
      </c>
      <c r="J206" s="724">
        <f>利润表!P15</f>
        <v>30.198438449999998</v>
      </c>
      <c r="K206" s="724">
        <f>利润表!Q15</f>
        <v>30.198438449999998</v>
      </c>
      <c r="L206" s="2289">
        <f>利润表!R15</f>
        <v>30.198438449999998</v>
      </c>
      <c r="M206" s="888"/>
      <c r="N206" s="662"/>
      <c r="O206" s="662"/>
      <c r="P206" s="662"/>
      <c r="Q206" s="662"/>
      <c r="R206" s="662"/>
      <c r="S206" s="662"/>
      <c r="T206" s="662"/>
      <c r="U206" s="662"/>
      <c r="V206" s="662"/>
      <c r="W206" s="662"/>
      <c r="X206" s="662"/>
      <c r="Y206" s="662"/>
      <c r="Z206" s="662"/>
      <c r="AA206" s="662"/>
      <c r="AB206" s="662"/>
      <c r="AC206" s="662"/>
      <c r="AD206" s="662"/>
      <c r="AE206" s="662"/>
      <c r="AF206" s="662"/>
      <c r="AG206" s="662"/>
      <c r="AH206" s="662"/>
      <c r="AI206" s="662"/>
      <c r="AJ206" s="662"/>
      <c r="AK206" s="662"/>
      <c r="AL206" s="662"/>
      <c r="AM206" s="662"/>
      <c r="AN206" s="662"/>
      <c r="AO206" s="662"/>
      <c r="AP206" s="662"/>
      <c r="AQ206" s="662"/>
      <c r="AR206" s="662"/>
      <c r="AS206" s="662"/>
      <c r="AT206" s="662"/>
      <c r="AU206" s="662"/>
      <c r="AV206" s="662"/>
      <c r="AW206" s="662"/>
      <c r="AX206" s="662"/>
      <c r="AY206" s="662"/>
      <c r="AZ206" s="662"/>
    </row>
    <row r="207" spans="1:52" ht="18" customHeight="1">
      <c r="A207" s="106"/>
      <c r="B207" s="852" t="s">
        <v>1144</v>
      </c>
      <c r="C207" s="722">
        <f>利润表!I16</f>
        <v>75.772078430000008</v>
      </c>
      <c r="D207" s="723">
        <f>利润表!J16</f>
        <v>47.882001659999993</v>
      </c>
      <c r="E207" s="723">
        <f>利润表!K16</f>
        <v>47.830630929999998</v>
      </c>
      <c r="F207" s="723">
        <f>利润表!L16</f>
        <v>61.685950349999999</v>
      </c>
      <c r="G207" s="723">
        <f>利润表!M16</f>
        <v>26.918021679999999</v>
      </c>
      <c r="H207" s="724">
        <f>利润表!N16</f>
        <v>26.918021679999999</v>
      </c>
      <c r="I207" s="724">
        <f>利润表!O16</f>
        <v>26.918021679999999</v>
      </c>
      <c r="J207" s="724">
        <f>利润表!P16</f>
        <v>26.918021679999999</v>
      </c>
      <c r="K207" s="724">
        <f>利润表!Q16</f>
        <v>26.918021679999999</v>
      </c>
      <c r="L207" s="2289">
        <f>利润表!R16</f>
        <v>26.918021679999999</v>
      </c>
      <c r="M207" s="888"/>
      <c r="N207" s="662"/>
      <c r="O207" s="662"/>
      <c r="P207" s="662"/>
      <c r="Q207" s="662"/>
      <c r="R207" s="662"/>
      <c r="S207" s="662"/>
      <c r="T207" s="662"/>
      <c r="U207" s="662"/>
      <c r="V207" s="662"/>
      <c r="W207" s="662"/>
      <c r="X207" s="662"/>
      <c r="Y207" s="662"/>
      <c r="Z207" s="662"/>
      <c r="AA207" s="662"/>
      <c r="AB207" s="662"/>
      <c r="AC207" s="662"/>
      <c r="AD207" s="662"/>
      <c r="AE207" s="662"/>
      <c r="AF207" s="662"/>
      <c r="AG207" s="662"/>
      <c r="AH207" s="662"/>
      <c r="AI207" s="662"/>
      <c r="AJ207" s="662"/>
      <c r="AK207" s="662"/>
      <c r="AL207" s="662"/>
      <c r="AM207" s="662"/>
      <c r="AN207" s="662"/>
      <c r="AO207" s="662"/>
      <c r="AP207" s="662"/>
      <c r="AQ207" s="662"/>
      <c r="AR207" s="662"/>
      <c r="AS207" s="662"/>
      <c r="AT207" s="662"/>
      <c r="AU207" s="662"/>
      <c r="AV207" s="662"/>
      <c r="AW207" s="662"/>
      <c r="AX207" s="662"/>
      <c r="AY207" s="662"/>
      <c r="AZ207" s="662"/>
    </row>
    <row r="208" spans="1:52" ht="18" customHeight="1">
      <c r="A208" s="106"/>
      <c r="B208" s="1813" t="s">
        <v>1418</v>
      </c>
      <c r="C208" s="722">
        <f>利润表!I17</f>
        <v>0</v>
      </c>
      <c r="D208" s="723">
        <f>利润表!J17</f>
        <v>0</v>
      </c>
      <c r="E208" s="723">
        <f>利润表!K17</f>
        <v>0</v>
      </c>
      <c r="F208" s="723">
        <f>利润表!L17</f>
        <v>0</v>
      </c>
      <c r="G208" s="723">
        <f>利润表!M17</f>
        <v>0</v>
      </c>
      <c r="H208" s="724">
        <f>利润表!N17</f>
        <v>0</v>
      </c>
      <c r="I208" s="724">
        <f>利润表!O17</f>
        <v>0</v>
      </c>
      <c r="J208" s="724">
        <f>利润表!P17</f>
        <v>0</v>
      </c>
      <c r="K208" s="724">
        <f>利润表!Q17</f>
        <v>0</v>
      </c>
      <c r="L208" s="2289">
        <f>利润表!R17</f>
        <v>0</v>
      </c>
      <c r="M208" s="888"/>
      <c r="N208" s="662"/>
      <c r="O208" s="662"/>
      <c r="P208" s="662"/>
      <c r="Q208" s="662"/>
      <c r="R208" s="662"/>
      <c r="S208" s="662"/>
      <c r="T208" s="662"/>
      <c r="U208" s="662"/>
      <c r="V208" s="662"/>
      <c r="W208" s="662"/>
      <c r="X208" s="662"/>
      <c r="Y208" s="662"/>
      <c r="Z208" s="662"/>
      <c r="AA208" s="662"/>
      <c r="AB208" s="662"/>
      <c r="AC208" s="662"/>
      <c r="AD208" s="662"/>
      <c r="AE208" s="662"/>
      <c r="AF208" s="662"/>
      <c r="AG208" s="662"/>
      <c r="AH208" s="662"/>
      <c r="AI208" s="662"/>
      <c r="AJ208" s="662"/>
      <c r="AK208" s="662"/>
      <c r="AL208" s="662"/>
      <c r="AM208" s="662"/>
      <c r="AN208" s="662"/>
      <c r="AO208" s="662"/>
      <c r="AP208" s="662"/>
      <c r="AQ208" s="662"/>
      <c r="AR208" s="662"/>
      <c r="AS208" s="662"/>
      <c r="AT208" s="662"/>
      <c r="AU208" s="662"/>
      <c r="AV208" s="662"/>
      <c r="AW208" s="662"/>
      <c r="AX208" s="662"/>
      <c r="AY208" s="662"/>
      <c r="AZ208" s="662"/>
    </row>
    <row r="209" spans="1:52" ht="18" customHeight="1">
      <c r="A209" s="106"/>
      <c r="B209" s="852" t="s">
        <v>197</v>
      </c>
      <c r="C209" s="1792">
        <f>利润表!I18</f>
        <v>0</v>
      </c>
      <c r="D209" s="723">
        <f>利润表!J18</f>
        <v>0</v>
      </c>
      <c r="E209" s="723">
        <f>利润表!K18</f>
        <v>1.0483</v>
      </c>
      <c r="F209" s="723">
        <f>利润表!L18</f>
        <v>-0.26352584000000001</v>
      </c>
      <c r="G209" s="723">
        <f>利润表!M18</f>
        <v>-0.30307613999999999</v>
      </c>
      <c r="H209" s="724">
        <f>利润表!N18</f>
        <v>0</v>
      </c>
      <c r="I209" s="724">
        <f>利润表!O18</f>
        <v>0</v>
      </c>
      <c r="J209" s="724">
        <f>利润表!P18</f>
        <v>0</v>
      </c>
      <c r="K209" s="724">
        <f>利润表!Q18</f>
        <v>0</v>
      </c>
      <c r="L209" s="2289">
        <f>利润表!R18</f>
        <v>0</v>
      </c>
      <c r="M209" s="888"/>
      <c r="N209" s="662"/>
      <c r="O209" s="662"/>
      <c r="P209" s="662"/>
      <c r="Q209" s="662"/>
      <c r="R209" s="662"/>
      <c r="S209" s="662"/>
      <c r="T209" s="662"/>
      <c r="U209" s="662"/>
      <c r="V209" s="662"/>
      <c r="W209" s="662"/>
      <c r="X209" s="662"/>
      <c r="Y209" s="662"/>
      <c r="Z209" s="662"/>
      <c r="AA209" s="662"/>
      <c r="AB209" s="662"/>
      <c r="AC209" s="662"/>
      <c r="AD209" s="662"/>
      <c r="AE209" s="662"/>
      <c r="AF209" s="662"/>
      <c r="AG209" s="662"/>
      <c r="AH209" s="662"/>
      <c r="AI209" s="662"/>
      <c r="AJ209" s="662"/>
      <c r="AK209" s="662"/>
      <c r="AL209" s="662"/>
      <c r="AM209" s="662"/>
      <c r="AN209" s="662"/>
      <c r="AO209" s="662"/>
      <c r="AP209" s="662"/>
      <c r="AQ209" s="662"/>
      <c r="AR209" s="662"/>
      <c r="AS209" s="662"/>
      <c r="AT209" s="662"/>
      <c r="AU209" s="662"/>
      <c r="AV209" s="662"/>
      <c r="AW209" s="662"/>
      <c r="AX209" s="662"/>
      <c r="AY209" s="662"/>
      <c r="AZ209" s="662"/>
    </row>
    <row r="210" spans="1:52" ht="18" customHeight="1">
      <c r="A210" s="106"/>
      <c r="B210" s="1813" t="s">
        <v>1224</v>
      </c>
      <c r="C210" s="1829">
        <f>利润表!I21</f>
        <v>0</v>
      </c>
      <c r="D210" s="723">
        <f>利润表!J21</f>
        <v>-0.76108692</v>
      </c>
      <c r="E210" s="723">
        <f>利润表!K21</f>
        <v>-6.6013670499999995</v>
      </c>
      <c r="F210" s="723">
        <f>利润表!L21</f>
        <v>-4.7505499999999999E-2</v>
      </c>
      <c r="G210" s="723">
        <f>利润表!M21</f>
        <v>66.626262619999991</v>
      </c>
      <c r="H210" s="724">
        <f>利润表!N21</f>
        <v>66.626262619999991</v>
      </c>
      <c r="I210" s="724">
        <f>利润表!O21</f>
        <v>66.626262619999991</v>
      </c>
      <c r="J210" s="724">
        <f>利润表!P21</f>
        <v>66.626262619999991</v>
      </c>
      <c r="K210" s="724">
        <f>利润表!Q21</f>
        <v>66.626262619999991</v>
      </c>
      <c r="L210" s="2289">
        <f>利润表!R21</f>
        <v>66.626262619999991</v>
      </c>
      <c r="M210" s="888"/>
      <c r="N210" s="662"/>
      <c r="O210" s="662"/>
      <c r="P210" s="662"/>
      <c r="Q210" s="662"/>
      <c r="R210" s="662"/>
      <c r="S210" s="662"/>
      <c r="T210" s="662"/>
      <c r="U210" s="662"/>
      <c r="V210" s="662"/>
      <c r="W210" s="662"/>
      <c r="X210" s="662"/>
      <c r="Y210" s="662"/>
      <c r="Z210" s="662"/>
      <c r="AA210" s="662"/>
      <c r="AB210" s="662"/>
      <c r="AC210" s="662"/>
      <c r="AD210" s="662"/>
      <c r="AE210" s="662"/>
      <c r="AF210" s="662"/>
      <c r="AG210" s="662"/>
      <c r="AH210" s="662"/>
      <c r="AI210" s="662"/>
      <c r="AJ210" s="662"/>
      <c r="AK210" s="662"/>
      <c r="AL210" s="662"/>
      <c r="AM210" s="662"/>
      <c r="AN210" s="662"/>
      <c r="AO210" s="662"/>
      <c r="AP210" s="662"/>
      <c r="AQ210" s="662"/>
      <c r="AR210" s="662"/>
      <c r="AS210" s="662"/>
      <c r="AT210" s="662"/>
      <c r="AU210" s="662"/>
      <c r="AV210" s="662"/>
      <c r="AW210" s="662"/>
      <c r="AX210" s="662"/>
      <c r="AY210" s="662"/>
      <c r="AZ210" s="662"/>
    </row>
    <row r="211" spans="1:52" ht="18" customHeight="1">
      <c r="A211" s="106"/>
      <c r="B211" s="1813" t="s">
        <v>1474</v>
      </c>
      <c r="C211" s="1829">
        <f>利润表!I22</f>
        <v>0</v>
      </c>
      <c r="D211" s="723">
        <f>利润表!J22</f>
        <v>0</v>
      </c>
      <c r="E211" s="723">
        <f>利润表!K22</f>
        <v>0</v>
      </c>
      <c r="F211" s="723">
        <f>利润表!L22</f>
        <v>0</v>
      </c>
      <c r="G211" s="723">
        <f>利润表!M22</f>
        <v>0</v>
      </c>
      <c r="H211" s="724">
        <f>利润表!N22</f>
        <v>0</v>
      </c>
      <c r="I211" s="724">
        <f>利润表!O22</f>
        <v>0</v>
      </c>
      <c r="J211" s="724">
        <f>利润表!P22</f>
        <v>0</v>
      </c>
      <c r="K211" s="724">
        <f>利润表!Q22</f>
        <v>0</v>
      </c>
      <c r="L211" s="2289">
        <f>利润表!R22</f>
        <v>0</v>
      </c>
      <c r="M211" s="888"/>
      <c r="N211" s="662"/>
      <c r="O211" s="662"/>
      <c r="P211" s="662"/>
      <c r="Q211" s="662"/>
      <c r="R211" s="662"/>
      <c r="S211" s="662"/>
      <c r="T211" s="662"/>
      <c r="U211" s="662"/>
      <c r="V211" s="662"/>
      <c r="W211" s="662"/>
      <c r="X211" s="662"/>
      <c r="Y211" s="662"/>
      <c r="Z211" s="662"/>
      <c r="AA211" s="662"/>
      <c r="AB211" s="662"/>
      <c r="AC211" s="662"/>
      <c r="AD211" s="662"/>
      <c r="AE211" s="662"/>
      <c r="AF211" s="662"/>
      <c r="AG211" s="662"/>
      <c r="AH211" s="662"/>
      <c r="AI211" s="662"/>
      <c r="AJ211" s="662"/>
      <c r="AK211" s="662"/>
      <c r="AL211" s="662"/>
      <c r="AM211" s="662"/>
      <c r="AN211" s="662"/>
      <c r="AO211" s="662"/>
      <c r="AP211" s="662"/>
      <c r="AQ211" s="662"/>
      <c r="AR211" s="662"/>
      <c r="AS211" s="662"/>
      <c r="AT211" s="662"/>
      <c r="AU211" s="662"/>
      <c r="AV211" s="662"/>
      <c r="AW211" s="662"/>
      <c r="AX211" s="662"/>
      <c r="AY211" s="662"/>
      <c r="AZ211" s="662"/>
    </row>
    <row r="212" spans="1:52" ht="18" customHeight="1">
      <c r="A212" s="106"/>
      <c r="B212" s="852" t="s">
        <v>203</v>
      </c>
      <c r="C212" s="1792">
        <f>利润表!I24</f>
        <v>22.37969477</v>
      </c>
      <c r="D212" s="723">
        <f>利润表!J24</f>
        <v>16.342176390000002</v>
      </c>
      <c r="E212" s="723">
        <f>利润表!K24</f>
        <v>0.32713144999999999</v>
      </c>
      <c r="F212" s="723">
        <f>利润表!L24</f>
        <v>0.20957967000000002</v>
      </c>
      <c r="G212" s="723">
        <f>利润表!M24</f>
        <v>1.8447618700000001</v>
      </c>
      <c r="H212" s="724">
        <f>利润表!N24</f>
        <v>0</v>
      </c>
      <c r="I212" s="724">
        <f>利润表!O24</f>
        <v>0</v>
      </c>
      <c r="J212" s="724">
        <f>利润表!P24</f>
        <v>0</v>
      </c>
      <c r="K212" s="724">
        <f>利润表!Q24</f>
        <v>0</v>
      </c>
      <c r="L212" s="2289">
        <f>利润表!R24</f>
        <v>0</v>
      </c>
      <c r="M212" s="888"/>
      <c r="N212" s="662"/>
      <c r="O212" s="662"/>
      <c r="P212" s="662"/>
      <c r="Q212" s="662"/>
      <c r="R212" s="662"/>
      <c r="S212" s="662"/>
      <c r="T212" s="662"/>
      <c r="U212" s="662"/>
      <c r="V212" s="662"/>
      <c r="W212" s="662"/>
      <c r="X212" s="662"/>
      <c r="Y212" s="662"/>
      <c r="Z212" s="662"/>
      <c r="AA212" s="662"/>
      <c r="AB212" s="662"/>
      <c r="AC212" s="662"/>
      <c r="AD212" s="662"/>
      <c r="AE212" s="662"/>
      <c r="AF212" s="662"/>
      <c r="AG212" s="662"/>
      <c r="AH212" s="662"/>
      <c r="AI212" s="662"/>
      <c r="AJ212" s="662"/>
      <c r="AK212" s="662"/>
      <c r="AL212" s="662"/>
      <c r="AM212" s="662"/>
      <c r="AN212" s="662"/>
      <c r="AO212" s="662"/>
      <c r="AP212" s="662"/>
      <c r="AQ212" s="662"/>
      <c r="AR212" s="662"/>
      <c r="AS212" s="662"/>
      <c r="AT212" s="662"/>
      <c r="AU212" s="662"/>
      <c r="AV212" s="662"/>
      <c r="AW212" s="662"/>
      <c r="AX212" s="662"/>
      <c r="AY212" s="662"/>
      <c r="AZ212" s="662"/>
    </row>
    <row r="213" spans="1:52" ht="18" customHeight="1">
      <c r="A213" s="106"/>
      <c r="B213" s="852" t="s">
        <v>205</v>
      </c>
      <c r="C213" s="1792">
        <f>利润表!I25</f>
        <v>12.148624640000001</v>
      </c>
      <c r="D213" s="723">
        <f>利润表!J25</f>
        <v>2.00412262</v>
      </c>
      <c r="E213" s="723">
        <f>利润表!K25</f>
        <v>2.1196094700000003</v>
      </c>
      <c r="F213" s="723">
        <f>利润表!L25</f>
        <v>2.81924851</v>
      </c>
      <c r="G213" s="723">
        <f>利润表!M25</f>
        <v>3.8136368799999998</v>
      </c>
      <c r="H213" s="724">
        <f>利润表!N25</f>
        <v>0</v>
      </c>
      <c r="I213" s="724">
        <f>利润表!O25</f>
        <v>0</v>
      </c>
      <c r="J213" s="724">
        <f>利润表!P25</f>
        <v>0</v>
      </c>
      <c r="K213" s="724">
        <f>利润表!Q25</f>
        <v>0</v>
      </c>
      <c r="L213" s="2289">
        <f>利润表!R25</f>
        <v>0</v>
      </c>
      <c r="M213" s="888"/>
      <c r="N213" s="662"/>
      <c r="O213" s="662"/>
      <c r="P213" s="662"/>
      <c r="Q213" s="662"/>
      <c r="R213" s="662"/>
      <c r="S213" s="662"/>
      <c r="T213" s="662"/>
      <c r="U213" s="662"/>
      <c r="V213" s="662"/>
      <c r="W213" s="662"/>
      <c r="X213" s="662"/>
      <c r="Y213" s="662"/>
      <c r="Z213" s="662"/>
      <c r="AA213" s="662"/>
      <c r="AB213" s="662"/>
      <c r="AC213" s="662"/>
      <c r="AD213" s="662"/>
      <c r="AE213" s="662"/>
      <c r="AF213" s="662"/>
      <c r="AG213" s="662"/>
      <c r="AH213" s="662"/>
      <c r="AI213" s="662"/>
      <c r="AJ213" s="662"/>
      <c r="AK213" s="662"/>
      <c r="AL213" s="662"/>
      <c r="AM213" s="662"/>
      <c r="AN213" s="662"/>
      <c r="AO213" s="662"/>
      <c r="AP213" s="662"/>
      <c r="AQ213" s="662"/>
      <c r="AR213" s="662"/>
      <c r="AS213" s="662"/>
      <c r="AT213" s="662"/>
      <c r="AU213" s="662"/>
      <c r="AV213" s="662"/>
      <c r="AW213" s="662"/>
      <c r="AX213" s="662"/>
      <c r="AY213" s="662"/>
      <c r="AZ213" s="662"/>
    </row>
    <row r="214" spans="1:52" ht="18" customHeight="1">
      <c r="A214" s="106"/>
      <c r="B214" s="851" t="s">
        <v>719</v>
      </c>
      <c r="C214" s="1829">
        <f>C197-C198-C199-C200-C201-C202-C203+C204+C205+C206+C207+C208+C209+C210+C211+C212-C213</f>
        <v>783.85277062000034</v>
      </c>
      <c r="D214" s="1829">
        <f>D197-D198-D199-D200-D201-D202-D203+D204+D205+D206+D207+D208+D209+D210+D211+D212-D213</f>
        <v>994.44085228999961</v>
      </c>
      <c r="E214" s="1829">
        <f>E197-E198-E199-E200-E201-E202-E203+E204+E205+E206+E207+E208+E209+E210+E211+E212-E213</f>
        <v>689.36242829000014</v>
      </c>
      <c r="F214" s="1829">
        <f>F197-F198-F199-F200-F201-F202-F203+F204+F205+F206+F207+F208+F209+F210+F211+F212-F213</f>
        <v>850.27542531000029</v>
      </c>
      <c r="G214" s="1829">
        <f>G197-G198-G199-G200-G201-G202-G203+G204+G205+G206+G207+G208+G209+G210+G211+G212-G213</f>
        <v>1092.0158171</v>
      </c>
      <c r="H214" s="1930">
        <f>H197-H198-H199-H200-H201-H202-H203+H204+H205+H206+H207+H208+H209+H210+H211+H212-H213</f>
        <v>984.46178618359784</v>
      </c>
      <c r="I214" s="1930">
        <f>I197-I198-I199-I200-I201-I202-I203+I204+I205+I206+I207+I208+I209+I210+I211+I212-I213</f>
        <v>971.69594908454599</v>
      </c>
      <c r="J214" s="1930">
        <f>J197-J198-J199-J200-J201-J202-J203+J204+J205+J206+J207+J208+J209+J210+J211+J212-J213</f>
        <v>981.23456280604762</v>
      </c>
      <c r="K214" s="1930">
        <f>K197-K198-K199-K200-K201-K202-K203+K204+K205+K206+K207+K208+K209+K210+K211+K212-K213</f>
        <v>979.13076602473041</v>
      </c>
      <c r="L214" s="1930">
        <f>L197-L198-L199-L200-L201-L202-L203+L204+L205+L206+L207+L208+L209+L210+L211+L212-L213</f>
        <v>977.35375930510793</v>
      </c>
      <c r="M214" s="888"/>
      <c r="N214" s="662"/>
      <c r="O214" s="662"/>
      <c r="P214" s="662"/>
      <c r="Q214" s="662"/>
      <c r="R214" s="662"/>
      <c r="S214" s="662"/>
      <c r="T214" s="662"/>
      <c r="U214" s="662"/>
      <c r="V214" s="662"/>
      <c r="W214" s="662"/>
      <c r="X214" s="662"/>
      <c r="Y214" s="662"/>
      <c r="Z214" s="662"/>
      <c r="AA214" s="662"/>
      <c r="AB214" s="662"/>
      <c r="AC214" s="662"/>
      <c r="AD214" s="662"/>
      <c r="AE214" s="662"/>
      <c r="AF214" s="662"/>
      <c r="AG214" s="662"/>
      <c r="AH214" s="662"/>
      <c r="AI214" s="662"/>
      <c r="AJ214" s="662"/>
      <c r="AK214" s="662"/>
      <c r="AL214" s="662"/>
      <c r="AM214" s="662"/>
      <c r="AN214" s="662"/>
      <c r="AO214" s="662"/>
      <c r="AP214" s="662"/>
      <c r="AQ214" s="662"/>
      <c r="AR214" s="662"/>
      <c r="AS214" s="662"/>
      <c r="AT214" s="662"/>
      <c r="AU214" s="662"/>
      <c r="AV214" s="662"/>
      <c r="AW214" s="662"/>
      <c r="AX214" s="662"/>
      <c r="AY214" s="662"/>
      <c r="AZ214" s="662"/>
    </row>
    <row r="215" spans="1:52" s="639" customFormat="1" ht="18" hidden="1" customHeight="1">
      <c r="A215" s="106"/>
      <c r="B215" s="851" t="s">
        <v>932</v>
      </c>
      <c r="C215" s="854"/>
      <c r="D215" s="724"/>
      <c r="E215" s="724"/>
      <c r="F215" s="724"/>
      <c r="G215" s="724"/>
      <c r="H215" s="724"/>
      <c r="I215" s="724"/>
      <c r="J215" s="724"/>
      <c r="K215" s="724"/>
      <c r="L215" s="2289"/>
      <c r="M215" s="2346"/>
      <c r="N215" s="638"/>
      <c r="O215" s="638"/>
      <c r="P215" s="638"/>
      <c r="Q215" s="638"/>
      <c r="R215" s="638"/>
      <c r="S215" s="638"/>
      <c r="T215" s="638"/>
      <c r="U215" s="638"/>
      <c r="V215" s="638"/>
      <c r="W215" s="638"/>
      <c r="X215" s="638"/>
      <c r="Y215" s="638"/>
      <c r="Z215" s="638"/>
      <c r="AA215" s="638"/>
      <c r="AB215" s="638"/>
      <c r="AC215" s="638"/>
      <c r="AD215" s="638"/>
      <c r="AE215" s="638"/>
      <c r="AF215" s="638"/>
      <c r="AG215" s="638"/>
      <c r="AH215" s="638"/>
      <c r="AI215" s="638"/>
      <c r="AJ215" s="638"/>
      <c r="AK215" s="638"/>
      <c r="AL215" s="638"/>
      <c r="AM215" s="638"/>
      <c r="AN215" s="638"/>
      <c r="AO215" s="638"/>
      <c r="AP215" s="638"/>
      <c r="AQ215" s="638"/>
      <c r="AR215" s="638"/>
      <c r="AS215" s="638"/>
      <c r="AT215" s="638"/>
      <c r="AU215" s="638"/>
      <c r="AV215" s="638"/>
      <c r="AW215" s="638"/>
      <c r="AX215" s="638"/>
      <c r="AY215" s="638"/>
      <c r="AZ215" s="638"/>
    </row>
    <row r="216" spans="1:52" s="857" customFormat="1" ht="18" customHeight="1">
      <c r="A216" s="855"/>
      <c r="B216" s="721" t="s">
        <v>933</v>
      </c>
      <c r="C216" s="722">
        <f>现金流量!I6+现金流量!I7+现金流量!I8</f>
        <v>41.47181441</v>
      </c>
      <c r="D216" s="723">
        <f>现金流量!J6+现金流量!J7+现金流量!J8</f>
        <v>57.424808910000003</v>
      </c>
      <c r="E216" s="723">
        <f>现金流量!K6+现金流量!K7+现金流量!K8</f>
        <v>74.796289779999995</v>
      </c>
      <c r="F216" s="723">
        <f>现金流量!L6+现金流量!L7+现金流量!L8</f>
        <v>92.325449759999998</v>
      </c>
      <c r="G216" s="723">
        <f>现金流量!M6+现金流量!M7+现金流量!M8</f>
        <v>111.61367952999998</v>
      </c>
      <c r="H216" s="853">
        <f>现金流量!N6+现金流量!N7+现金流量!N8</f>
        <v>72.224709549333326</v>
      </c>
      <c r="I216" s="853">
        <f>现金流量!O6+现金流量!O7+现金流量!O8</f>
        <v>72.224709549333326</v>
      </c>
      <c r="J216" s="853">
        <f>现金流量!P6+现金流量!P7+现金流量!P8</f>
        <v>72.224709549333326</v>
      </c>
      <c r="K216" s="853">
        <f>现金流量!Q6+现金流量!Q7+现金流量!Q8</f>
        <v>72.224709549333326</v>
      </c>
      <c r="L216" s="2363">
        <f>现金流量!R6+现金流量!R7+现金流量!R8</f>
        <v>72.224709549333326</v>
      </c>
      <c r="M216" s="2365"/>
      <c r="N216" s="856"/>
      <c r="O216" s="856"/>
      <c r="P216" s="856"/>
      <c r="Q216" s="856"/>
      <c r="R216" s="856"/>
      <c r="S216" s="856"/>
      <c r="T216" s="856"/>
      <c r="U216" s="856"/>
      <c r="V216" s="856"/>
      <c r="W216" s="856"/>
      <c r="X216" s="856"/>
      <c r="Y216" s="856"/>
      <c r="Z216" s="856"/>
      <c r="AA216" s="856"/>
      <c r="AB216" s="856"/>
      <c r="AC216" s="856"/>
      <c r="AD216" s="856"/>
      <c r="AE216" s="856"/>
      <c r="AF216" s="856"/>
      <c r="AG216" s="856"/>
      <c r="AH216" s="856"/>
      <c r="AI216" s="856"/>
      <c r="AJ216" s="856"/>
      <c r="AK216" s="856"/>
      <c r="AL216" s="856"/>
      <c r="AM216" s="856"/>
      <c r="AN216" s="856"/>
      <c r="AO216" s="856"/>
      <c r="AP216" s="856"/>
      <c r="AQ216" s="856"/>
      <c r="AR216" s="856"/>
      <c r="AS216" s="856"/>
      <c r="AT216" s="856"/>
      <c r="AU216" s="856"/>
      <c r="AV216" s="856"/>
      <c r="AW216" s="856"/>
      <c r="AX216" s="856"/>
      <c r="AY216" s="856"/>
      <c r="AZ216" s="856"/>
    </row>
    <row r="217" spans="1:52" ht="18" customHeight="1" thickBot="1">
      <c r="A217" s="106"/>
      <c r="B217" s="858" t="s">
        <v>720</v>
      </c>
      <c r="C217" s="739">
        <f t="shared" ref="C217:L217" si="55">C214+C216</f>
        <v>825.32458503000032</v>
      </c>
      <c r="D217" s="740">
        <f>D214+D216</f>
        <v>1051.8656611999995</v>
      </c>
      <c r="E217" s="740">
        <f t="shared" si="55"/>
        <v>764.15871807000008</v>
      </c>
      <c r="F217" s="740">
        <f t="shared" si="55"/>
        <v>942.60087507000026</v>
      </c>
      <c r="G217" s="740">
        <f t="shared" si="55"/>
        <v>1203.6294966299999</v>
      </c>
      <c r="H217" s="859">
        <f>H214+H216</f>
        <v>1056.6864957329312</v>
      </c>
      <c r="I217" s="859">
        <f t="shared" si="55"/>
        <v>1043.9206586338794</v>
      </c>
      <c r="J217" s="859">
        <f t="shared" si="55"/>
        <v>1053.459272355381</v>
      </c>
      <c r="K217" s="859">
        <f t="shared" si="55"/>
        <v>1051.3554755740638</v>
      </c>
      <c r="L217" s="2364">
        <f t="shared" si="55"/>
        <v>1049.5784688544413</v>
      </c>
      <c r="M217" s="888"/>
      <c r="N217" s="662"/>
      <c r="O217" s="662"/>
      <c r="P217" s="662"/>
      <c r="Q217" s="662"/>
      <c r="R217" s="662"/>
      <c r="S217" s="662"/>
      <c r="T217" s="662"/>
      <c r="U217" s="662"/>
      <c r="V217" s="662"/>
      <c r="W217" s="662"/>
      <c r="X217" s="662"/>
      <c r="Y217" s="662"/>
      <c r="Z217" s="662"/>
      <c r="AA217" s="662"/>
      <c r="AB217" s="662"/>
      <c r="AC217" s="662"/>
      <c r="AD217" s="662"/>
      <c r="AE217" s="662"/>
      <c r="AF217" s="662"/>
      <c r="AG217" s="662"/>
      <c r="AH217" s="662"/>
      <c r="AI217" s="662"/>
      <c r="AJ217" s="662"/>
      <c r="AK217" s="662"/>
      <c r="AL217" s="662"/>
      <c r="AM217" s="662"/>
      <c r="AN217" s="662"/>
      <c r="AO217" s="662"/>
      <c r="AP217" s="662"/>
      <c r="AQ217" s="662"/>
      <c r="AR217" s="662"/>
      <c r="AS217" s="662"/>
      <c r="AT217" s="662"/>
      <c r="AU217" s="662"/>
      <c r="AV217" s="662"/>
      <c r="AW217" s="662"/>
      <c r="AX217" s="662"/>
      <c r="AY217" s="662"/>
      <c r="AZ217" s="662"/>
    </row>
    <row r="218" spans="1:52" s="639" customFormat="1" ht="18" hidden="1" customHeight="1">
      <c r="A218" s="106"/>
      <c r="B218" s="860" t="s">
        <v>934</v>
      </c>
      <c r="C218" s="861"/>
      <c r="D218" s="862"/>
      <c r="E218" s="862"/>
      <c r="F218" s="862"/>
      <c r="G218" s="862"/>
      <c r="H218" s="862"/>
      <c r="I218" s="862"/>
      <c r="J218" s="862"/>
      <c r="K218" s="862"/>
      <c r="L218" s="863"/>
      <c r="M218" s="638"/>
      <c r="N218" s="638"/>
      <c r="O218" s="638"/>
      <c r="P218" s="638"/>
      <c r="Q218" s="638"/>
      <c r="R218" s="638"/>
      <c r="S218" s="638"/>
      <c r="T218" s="638"/>
      <c r="U218" s="638"/>
      <c r="V218" s="638"/>
      <c r="W218" s="638"/>
      <c r="X218" s="638"/>
      <c r="Y218" s="638"/>
      <c r="Z218" s="638"/>
      <c r="AA218" s="638"/>
      <c r="AB218" s="638"/>
      <c r="AC218" s="638"/>
      <c r="AD218" s="638"/>
      <c r="AE218" s="638"/>
      <c r="AF218" s="638"/>
      <c r="AG218" s="638"/>
      <c r="AH218" s="638"/>
      <c r="AI218" s="638"/>
      <c r="AJ218" s="638"/>
      <c r="AK218" s="638"/>
      <c r="AL218" s="638"/>
      <c r="AM218" s="638"/>
      <c r="AN218" s="638"/>
      <c r="AO218" s="638"/>
      <c r="AP218" s="638"/>
      <c r="AQ218" s="638"/>
      <c r="AR218" s="638"/>
      <c r="AS218" s="638"/>
      <c r="AT218" s="638"/>
      <c r="AU218" s="638"/>
      <c r="AV218" s="638"/>
      <c r="AW218" s="638"/>
      <c r="AX218" s="638"/>
      <c r="AY218" s="638"/>
      <c r="AZ218" s="638"/>
    </row>
    <row r="219" spans="1:52" s="639" customFormat="1" ht="18" hidden="1" customHeight="1">
      <c r="A219" s="106"/>
      <c r="B219" s="710" t="s">
        <v>935</v>
      </c>
      <c r="C219" s="854"/>
      <c r="D219" s="854"/>
      <c r="E219" s="854"/>
      <c r="F219" s="854"/>
      <c r="G219" s="854"/>
      <c r="H219" s="724"/>
      <c r="I219" s="724"/>
      <c r="J219" s="724"/>
      <c r="K219" s="724"/>
      <c r="L219" s="725"/>
      <c r="M219" s="638"/>
      <c r="N219" s="638"/>
      <c r="O219" s="638"/>
      <c r="P219" s="638"/>
      <c r="Q219" s="638"/>
      <c r="R219" s="638"/>
      <c r="S219" s="638"/>
      <c r="T219" s="638"/>
      <c r="U219" s="638"/>
      <c r="V219" s="638"/>
      <c r="W219" s="638"/>
      <c r="X219" s="638"/>
      <c r="Y219" s="638"/>
      <c r="Z219" s="638"/>
      <c r="AA219" s="638"/>
      <c r="AB219" s="638"/>
      <c r="AC219" s="638"/>
      <c r="AD219" s="638"/>
      <c r="AE219" s="638"/>
      <c r="AF219" s="638"/>
      <c r="AG219" s="638"/>
      <c r="AH219" s="638"/>
      <c r="AI219" s="638"/>
      <c r="AJ219" s="638"/>
      <c r="AK219" s="638"/>
      <c r="AL219" s="638"/>
      <c r="AM219" s="638"/>
      <c r="AN219" s="638"/>
      <c r="AO219" s="638"/>
      <c r="AP219" s="638"/>
      <c r="AQ219" s="638"/>
      <c r="AR219" s="638"/>
      <c r="AS219" s="638"/>
      <c r="AT219" s="638"/>
      <c r="AU219" s="638"/>
      <c r="AV219" s="638"/>
      <c r="AW219" s="638"/>
      <c r="AX219" s="638"/>
      <c r="AY219" s="638"/>
      <c r="AZ219" s="638"/>
    </row>
    <row r="220" spans="1:52" s="639" customFormat="1" ht="18" hidden="1" customHeight="1">
      <c r="A220" s="106"/>
      <c r="B220" s="710" t="s">
        <v>936</v>
      </c>
      <c r="C220" s="854"/>
      <c r="D220" s="724"/>
      <c r="E220" s="724"/>
      <c r="F220" s="724"/>
      <c r="G220" s="724"/>
      <c r="H220" s="724"/>
      <c r="I220" s="724"/>
      <c r="J220" s="724"/>
      <c r="K220" s="724"/>
      <c r="L220" s="725"/>
      <c r="M220" s="638"/>
      <c r="N220" s="638"/>
      <c r="O220" s="638"/>
      <c r="P220" s="638"/>
      <c r="Q220" s="638"/>
      <c r="R220" s="638"/>
      <c r="S220" s="638"/>
      <c r="T220" s="638"/>
      <c r="U220" s="638"/>
      <c r="V220" s="638"/>
      <c r="W220" s="638"/>
      <c r="X220" s="638"/>
      <c r="Y220" s="638"/>
      <c r="Z220" s="638"/>
      <c r="AA220" s="638"/>
      <c r="AB220" s="638"/>
      <c r="AC220" s="638"/>
      <c r="AD220" s="638"/>
      <c r="AE220" s="638"/>
      <c r="AF220" s="638"/>
      <c r="AG220" s="638"/>
      <c r="AH220" s="638"/>
      <c r="AI220" s="638"/>
      <c r="AJ220" s="638"/>
      <c r="AK220" s="638"/>
      <c r="AL220" s="638"/>
      <c r="AM220" s="638"/>
      <c r="AN220" s="638"/>
      <c r="AO220" s="638"/>
      <c r="AP220" s="638"/>
      <c r="AQ220" s="638"/>
      <c r="AR220" s="638"/>
      <c r="AS220" s="638"/>
      <c r="AT220" s="638"/>
      <c r="AU220" s="638"/>
      <c r="AV220" s="638"/>
      <c r="AW220" s="638"/>
      <c r="AX220" s="638"/>
      <c r="AY220" s="638"/>
      <c r="AZ220" s="638"/>
    </row>
    <row r="221" spans="1:52" s="639" customFormat="1" ht="18" hidden="1" customHeight="1">
      <c r="A221" s="106"/>
      <c r="B221" s="864" t="s">
        <v>937</v>
      </c>
      <c r="C221" s="854"/>
      <c r="D221" s="724"/>
      <c r="E221" s="724"/>
      <c r="F221" s="724"/>
      <c r="G221" s="724"/>
      <c r="H221" s="724"/>
      <c r="I221" s="724"/>
      <c r="J221" s="724"/>
      <c r="K221" s="724"/>
      <c r="L221" s="725"/>
      <c r="M221" s="638"/>
      <c r="N221" s="638"/>
      <c r="O221" s="638"/>
      <c r="P221" s="638"/>
      <c r="Q221" s="638"/>
      <c r="R221" s="638"/>
      <c r="S221" s="638"/>
      <c r="T221" s="638"/>
      <c r="U221" s="638"/>
      <c r="V221" s="638"/>
      <c r="W221" s="638"/>
      <c r="X221" s="638"/>
      <c r="Y221" s="638"/>
      <c r="Z221" s="638"/>
      <c r="AA221" s="638"/>
      <c r="AB221" s="638"/>
      <c r="AC221" s="638"/>
      <c r="AD221" s="638"/>
      <c r="AE221" s="638"/>
      <c r="AF221" s="638"/>
      <c r="AG221" s="638"/>
      <c r="AH221" s="638"/>
      <c r="AI221" s="638"/>
      <c r="AJ221" s="638"/>
      <c r="AK221" s="638"/>
      <c r="AL221" s="638"/>
      <c r="AM221" s="638"/>
      <c r="AN221" s="638"/>
      <c r="AO221" s="638"/>
      <c r="AP221" s="638"/>
      <c r="AQ221" s="638"/>
      <c r="AR221" s="638"/>
      <c r="AS221" s="638"/>
      <c r="AT221" s="638"/>
      <c r="AU221" s="638"/>
      <c r="AV221" s="638"/>
      <c r="AW221" s="638"/>
      <c r="AX221" s="638"/>
      <c r="AY221" s="638"/>
      <c r="AZ221" s="638"/>
    </row>
    <row r="222" spans="1:52" s="639" customFormat="1" ht="18" hidden="1" customHeight="1">
      <c r="A222" s="106"/>
      <c r="B222" s="864" t="s">
        <v>938</v>
      </c>
      <c r="C222" s="854"/>
      <c r="D222" s="724"/>
      <c r="E222" s="724"/>
      <c r="F222" s="724"/>
      <c r="G222" s="724"/>
      <c r="H222" s="724"/>
      <c r="I222" s="724"/>
      <c r="J222" s="724"/>
      <c r="K222" s="724"/>
      <c r="L222" s="725"/>
      <c r="M222" s="638"/>
      <c r="N222" s="638"/>
      <c r="O222" s="638"/>
      <c r="P222" s="638"/>
      <c r="Q222" s="638"/>
      <c r="R222" s="638"/>
      <c r="S222" s="638"/>
      <c r="T222" s="638"/>
      <c r="U222" s="638"/>
      <c r="V222" s="638"/>
      <c r="W222" s="638"/>
      <c r="X222" s="638"/>
      <c r="Y222" s="638"/>
      <c r="Z222" s="638"/>
      <c r="AA222" s="638"/>
      <c r="AB222" s="638"/>
      <c r="AC222" s="638"/>
      <c r="AD222" s="638"/>
      <c r="AE222" s="638"/>
      <c r="AF222" s="638"/>
      <c r="AG222" s="638"/>
      <c r="AH222" s="638"/>
      <c r="AI222" s="638"/>
      <c r="AJ222" s="638"/>
      <c r="AK222" s="638"/>
      <c r="AL222" s="638"/>
      <c r="AM222" s="638"/>
      <c r="AN222" s="638"/>
      <c r="AO222" s="638"/>
      <c r="AP222" s="638"/>
      <c r="AQ222" s="638"/>
      <c r="AR222" s="638"/>
      <c r="AS222" s="638"/>
      <c r="AT222" s="638"/>
      <c r="AU222" s="638"/>
      <c r="AV222" s="638"/>
      <c r="AW222" s="638"/>
      <c r="AX222" s="638"/>
      <c r="AY222" s="638"/>
      <c r="AZ222" s="638"/>
    </row>
    <row r="223" spans="1:52" s="639" customFormat="1" ht="18" hidden="1" customHeight="1">
      <c r="A223" s="106"/>
      <c r="B223" s="738" t="s">
        <v>878</v>
      </c>
      <c r="C223" s="865"/>
      <c r="D223" s="741"/>
      <c r="E223" s="741"/>
      <c r="F223" s="741"/>
      <c r="G223" s="741"/>
      <c r="H223" s="741"/>
      <c r="I223" s="741"/>
      <c r="J223" s="741"/>
      <c r="K223" s="741"/>
      <c r="L223" s="742"/>
      <c r="M223" s="638"/>
      <c r="N223" s="638"/>
      <c r="O223" s="638"/>
      <c r="P223" s="638"/>
      <c r="Q223" s="638"/>
      <c r="R223" s="638"/>
      <c r="S223" s="638"/>
      <c r="T223" s="638"/>
      <c r="U223" s="638"/>
      <c r="V223" s="638"/>
      <c r="W223" s="638"/>
      <c r="X223" s="638"/>
      <c r="Y223" s="638"/>
      <c r="Z223" s="638"/>
      <c r="AA223" s="638"/>
      <c r="AB223" s="638"/>
      <c r="AC223" s="638"/>
      <c r="AD223" s="638"/>
      <c r="AE223" s="638"/>
      <c r="AF223" s="638"/>
      <c r="AG223" s="638"/>
      <c r="AH223" s="638"/>
      <c r="AI223" s="638"/>
      <c r="AJ223" s="638"/>
      <c r="AK223" s="638"/>
      <c r="AL223" s="638"/>
      <c r="AM223" s="638"/>
      <c r="AN223" s="638"/>
      <c r="AO223" s="638"/>
      <c r="AP223" s="638"/>
      <c r="AQ223" s="638"/>
      <c r="AR223" s="638"/>
      <c r="AS223" s="638"/>
      <c r="AT223" s="638"/>
      <c r="AU223" s="638"/>
      <c r="AV223" s="638"/>
      <c r="AW223" s="638"/>
      <c r="AX223" s="638"/>
      <c r="AY223" s="638"/>
      <c r="AZ223" s="638"/>
    </row>
    <row r="224" spans="1:52" s="639" customFormat="1" ht="18" customHeight="1" thickBot="1">
      <c r="A224" s="106"/>
      <c r="B224" s="702"/>
      <c r="C224" s="866"/>
      <c r="D224" s="866"/>
      <c r="E224" s="866"/>
      <c r="F224" s="866"/>
      <c r="G224" s="866"/>
      <c r="H224" s="866"/>
      <c r="I224" s="866"/>
      <c r="J224" s="866"/>
      <c r="K224" s="866"/>
      <c r="L224" s="867"/>
      <c r="M224" s="106"/>
      <c r="N224" s="638"/>
      <c r="O224" s="638"/>
      <c r="P224" s="638"/>
      <c r="Q224" s="638"/>
      <c r="R224" s="638"/>
      <c r="S224" s="638"/>
      <c r="T224" s="638"/>
      <c r="U224" s="638"/>
      <c r="V224" s="638"/>
      <c r="W224" s="638"/>
      <c r="X224" s="638"/>
      <c r="Y224" s="638"/>
      <c r="Z224" s="638"/>
      <c r="AA224" s="638"/>
      <c r="AB224" s="638"/>
      <c r="AC224" s="638"/>
      <c r="AD224" s="638"/>
      <c r="AE224" s="638"/>
      <c r="AF224" s="638"/>
      <c r="AG224" s="638"/>
      <c r="AH224" s="638"/>
      <c r="AI224" s="638"/>
      <c r="AJ224" s="638"/>
      <c r="AK224" s="638"/>
      <c r="AL224" s="638"/>
      <c r="AM224" s="638"/>
      <c r="AN224" s="638"/>
      <c r="AO224" s="638"/>
      <c r="AP224" s="638"/>
      <c r="AQ224" s="638"/>
      <c r="AR224" s="638"/>
      <c r="AS224" s="638"/>
      <c r="AT224" s="638"/>
      <c r="AU224" s="638"/>
      <c r="AV224" s="638"/>
      <c r="AW224" s="638"/>
      <c r="AX224" s="638"/>
      <c r="AY224" s="638"/>
      <c r="AZ224" s="638"/>
    </row>
    <row r="225" spans="1:52" s="639" customFormat="1" ht="18" hidden="1" customHeight="1" thickBot="1">
      <c r="A225" s="106"/>
      <c r="B225" s="868"/>
      <c r="C225" s="869"/>
      <c r="D225" s="575"/>
      <c r="E225" s="575"/>
      <c r="F225" s="575"/>
      <c r="G225" s="870"/>
      <c r="H225" s="870">
        <f>G226+1</f>
        <v>2020</v>
      </c>
      <c r="I225" s="870">
        <f>H225+1</f>
        <v>2021</v>
      </c>
      <c r="J225" s="870">
        <f>I225+1</f>
        <v>2022</v>
      </c>
      <c r="K225" s="870"/>
      <c r="L225" s="871"/>
      <c r="M225" s="106"/>
      <c r="N225" s="638"/>
      <c r="O225" s="638"/>
      <c r="P225" s="638"/>
      <c r="Q225" s="638"/>
      <c r="R225" s="638"/>
      <c r="S225" s="638"/>
      <c r="T225" s="638"/>
      <c r="U225" s="638"/>
      <c r="V225" s="638"/>
      <c r="W225" s="638"/>
      <c r="X225" s="638"/>
      <c r="Y225" s="638"/>
      <c r="Z225" s="638"/>
      <c r="AA225" s="638"/>
      <c r="AB225" s="638"/>
      <c r="AC225" s="638"/>
      <c r="AD225" s="638"/>
      <c r="AE225" s="638"/>
      <c r="AF225" s="638"/>
      <c r="AG225" s="638"/>
      <c r="AH225" s="638"/>
      <c r="AI225" s="638"/>
      <c r="AJ225" s="638"/>
      <c r="AK225" s="638"/>
      <c r="AL225" s="638"/>
      <c r="AM225" s="638"/>
      <c r="AN225" s="638"/>
      <c r="AO225" s="638"/>
      <c r="AP225" s="638"/>
      <c r="AQ225" s="638"/>
      <c r="AR225" s="638"/>
      <c r="AS225" s="638"/>
      <c r="AT225" s="638"/>
      <c r="AU225" s="638"/>
      <c r="AV225" s="638"/>
      <c r="AW225" s="638"/>
      <c r="AX225" s="638"/>
      <c r="AY225" s="638"/>
      <c r="AZ225" s="638"/>
    </row>
    <row r="226" spans="1:52" s="639" customFormat="1" ht="18" customHeight="1">
      <c r="A226" s="106"/>
      <c r="B226" s="746" t="s">
        <v>721</v>
      </c>
      <c r="C226" s="818">
        <f>利润表!I3</f>
        <v>2015</v>
      </c>
      <c r="D226" s="819">
        <f>利润表!J3</f>
        <v>2016</v>
      </c>
      <c r="E226" s="819">
        <f>利润表!K3</f>
        <v>2017</v>
      </c>
      <c r="F226" s="819">
        <f>利润表!L3</f>
        <v>2018</v>
      </c>
      <c r="G226" s="819">
        <f>利润表!M3</f>
        <v>2019</v>
      </c>
      <c r="H226" s="819" t="str">
        <f>利润表!N3</f>
        <v>2020E</v>
      </c>
      <c r="I226" s="819" t="str">
        <f>利润表!O3</f>
        <v>2021E</v>
      </c>
      <c r="J226" s="819" t="str">
        <f>利润表!P3</f>
        <v>2022E</v>
      </c>
      <c r="K226" s="819" t="str">
        <f>利润表!Q3</f>
        <v>2023E</v>
      </c>
      <c r="L226" s="820" t="str">
        <f>利润表!R3</f>
        <v>2024E</v>
      </c>
      <c r="M226" s="638"/>
      <c r="N226" s="638"/>
      <c r="O226" s="638"/>
      <c r="P226" s="638"/>
      <c r="Q226" s="638"/>
      <c r="R226" s="638"/>
      <c r="S226" s="638"/>
      <c r="T226" s="638"/>
      <c r="U226" s="638"/>
      <c r="V226" s="638"/>
      <c r="W226" s="638"/>
      <c r="X226" s="638"/>
      <c r="Y226" s="638"/>
      <c r="Z226" s="638"/>
      <c r="AA226" s="638"/>
      <c r="AB226" s="638"/>
      <c r="AC226" s="638"/>
      <c r="AD226" s="638"/>
      <c r="AE226" s="638"/>
      <c r="AF226" s="638"/>
      <c r="AG226" s="638"/>
      <c r="AH226" s="638"/>
      <c r="AI226" s="638"/>
      <c r="AJ226" s="638"/>
      <c r="AK226" s="638"/>
      <c r="AL226" s="638"/>
      <c r="AM226" s="638"/>
      <c r="AN226" s="638"/>
      <c r="AO226" s="638"/>
      <c r="AP226" s="638"/>
      <c r="AQ226" s="638"/>
      <c r="AR226" s="638"/>
      <c r="AS226" s="638"/>
      <c r="AT226" s="638"/>
      <c r="AU226" s="638"/>
      <c r="AV226" s="638"/>
      <c r="AW226" s="638"/>
      <c r="AX226" s="638"/>
      <c r="AY226" s="638"/>
      <c r="AZ226" s="638"/>
    </row>
    <row r="227" spans="1:52" s="639" customFormat="1" ht="18" customHeight="1">
      <c r="A227" s="106"/>
      <c r="B227" s="750"/>
      <c r="C227" s="799"/>
      <c r="D227" s="719"/>
      <c r="E227" s="719"/>
      <c r="F227" s="719"/>
      <c r="G227" s="719"/>
      <c r="H227" s="719"/>
      <c r="I227" s="719"/>
      <c r="J227" s="719"/>
      <c r="K227" s="719"/>
      <c r="L227" s="720"/>
      <c r="M227" s="638"/>
      <c r="N227" s="638"/>
      <c r="O227" s="638"/>
      <c r="P227" s="638"/>
      <c r="Q227" s="638"/>
      <c r="R227" s="638"/>
      <c r="S227" s="638"/>
      <c r="T227" s="638"/>
      <c r="U227" s="638"/>
      <c r="V227" s="638"/>
      <c r="W227" s="638"/>
      <c r="X227" s="638"/>
      <c r="Y227" s="638"/>
      <c r="Z227" s="638"/>
      <c r="AA227" s="638"/>
      <c r="AB227" s="638"/>
      <c r="AC227" s="638"/>
      <c r="AD227" s="638"/>
      <c r="AE227" s="638"/>
      <c r="AF227" s="638"/>
      <c r="AG227" s="638"/>
      <c r="AH227" s="638"/>
      <c r="AI227" s="638"/>
      <c r="AJ227" s="638"/>
      <c r="AK227" s="638"/>
      <c r="AL227" s="638"/>
      <c r="AM227" s="638"/>
      <c r="AN227" s="638"/>
      <c r="AO227" s="638"/>
      <c r="AP227" s="638"/>
      <c r="AQ227" s="638"/>
      <c r="AR227" s="638"/>
      <c r="AS227" s="638"/>
      <c r="AT227" s="638"/>
      <c r="AU227" s="638"/>
      <c r="AV227" s="638"/>
      <c r="AW227" s="638"/>
      <c r="AX227" s="638"/>
      <c r="AY227" s="638"/>
      <c r="AZ227" s="638"/>
    </row>
    <row r="228" spans="1:52" s="639" customFormat="1" ht="18" customHeight="1">
      <c r="A228" s="106"/>
      <c r="B228" s="710" t="s">
        <v>719</v>
      </c>
      <c r="C228" s="717">
        <f t="shared" ref="C228:L228" si="56">C214</f>
        <v>783.85277062000034</v>
      </c>
      <c r="D228" s="718">
        <f t="shared" si="56"/>
        <v>994.44085228999961</v>
      </c>
      <c r="E228" s="718">
        <f t="shared" si="56"/>
        <v>689.36242829000014</v>
      </c>
      <c r="F228" s="718">
        <f t="shared" si="56"/>
        <v>850.27542531000029</v>
      </c>
      <c r="G228" s="718">
        <f t="shared" si="56"/>
        <v>1092.0158171</v>
      </c>
      <c r="H228" s="773">
        <f t="shared" si="56"/>
        <v>984.46178618359784</v>
      </c>
      <c r="I228" s="773">
        <f t="shared" si="56"/>
        <v>971.69594908454599</v>
      </c>
      <c r="J228" s="773">
        <f t="shared" si="56"/>
        <v>981.23456280604762</v>
      </c>
      <c r="K228" s="773">
        <f t="shared" si="56"/>
        <v>979.13076602473041</v>
      </c>
      <c r="L228" s="774">
        <f t="shared" si="56"/>
        <v>977.35375930510793</v>
      </c>
      <c r="M228" s="638"/>
      <c r="N228" s="638"/>
      <c r="O228" s="638"/>
      <c r="P228" s="638"/>
      <c r="Q228" s="638"/>
      <c r="R228" s="638"/>
      <c r="S228" s="638"/>
      <c r="T228" s="638"/>
      <c r="U228" s="638"/>
      <c r="V228" s="638"/>
      <c r="W228" s="638"/>
      <c r="X228" s="638"/>
      <c r="Y228" s="638"/>
      <c r="Z228" s="638"/>
      <c r="AA228" s="638"/>
      <c r="AB228" s="638"/>
      <c r="AC228" s="638"/>
      <c r="AD228" s="638"/>
      <c r="AE228" s="638"/>
      <c r="AF228" s="638"/>
      <c r="AG228" s="638"/>
      <c r="AH228" s="638"/>
      <c r="AI228" s="638"/>
      <c r="AJ228" s="638"/>
      <c r="AK228" s="638"/>
      <c r="AL228" s="638"/>
      <c r="AM228" s="638"/>
      <c r="AN228" s="638"/>
      <c r="AO228" s="638"/>
      <c r="AP228" s="638"/>
      <c r="AQ228" s="638"/>
      <c r="AR228" s="638"/>
      <c r="AS228" s="638"/>
      <c r="AT228" s="638"/>
      <c r="AU228" s="638"/>
      <c r="AV228" s="638"/>
      <c r="AW228" s="638"/>
      <c r="AX228" s="638"/>
      <c r="AY228" s="638"/>
      <c r="AZ228" s="638"/>
    </row>
    <row r="229" spans="1:52" s="639" customFormat="1" ht="18" hidden="1" customHeight="1">
      <c r="A229" s="106"/>
      <c r="B229" s="864" t="s">
        <v>937</v>
      </c>
      <c r="C229" s="799"/>
      <c r="D229" s="719"/>
      <c r="E229" s="719"/>
      <c r="F229" s="719"/>
      <c r="G229" s="719"/>
      <c r="H229" s="719"/>
      <c r="I229" s="719"/>
      <c r="J229" s="719"/>
      <c r="K229" s="719"/>
      <c r="L229" s="720"/>
      <c r="M229" s="638"/>
      <c r="N229" s="638"/>
      <c r="O229" s="638"/>
      <c r="P229" s="638"/>
      <c r="Q229" s="638"/>
      <c r="R229" s="638"/>
      <c r="S229" s="638"/>
      <c r="T229" s="638"/>
      <c r="U229" s="638"/>
      <c r="V229" s="638"/>
      <c r="W229" s="638"/>
      <c r="X229" s="638"/>
      <c r="Y229" s="638"/>
      <c r="Z229" s="638"/>
      <c r="AA229" s="638"/>
      <c r="AB229" s="638"/>
      <c r="AC229" s="638"/>
      <c r="AD229" s="638"/>
      <c r="AE229" s="638"/>
      <c r="AF229" s="638"/>
      <c r="AG229" s="638"/>
      <c r="AH229" s="638"/>
      <c r="AI229" s="638"/>
      <c r="AJ229" s="638"/>
      <c r="AK229" s="638"/>
      <c r="AL229" s="638"/>
      <c r="AM229" s="638"/>
      <c r="AN229" s="638"/>
      <c r="AO229" s="638"/>
      <c r="AP229" s="638"/>
      <c r="AQ229" s="638"/>
      <c r="AR229" s="638"/>
      <c r="AS229" s="638"/>
      <c r="AT229" s="638"/>
      <c r="AU229" s="638"/>
      <c r="AV229" s="638"/>
      <c r="AW229" s="638"/>
      <c r="AX229" s="638"/>
      <c r="AY229" s="638"/>
      <c r="AZ229" s="638"/>
    </row>
    <row r="230" spans="1:52" s="639" customFormat="1" ht="26.25" hidden="1" customHeight="1">
      <c r="A230" s="106"/>
      <c r="B230" s="864" t="s">
        <v>939</v>
      </c>
      <c r="C230" s="872"/>
      <c r="D230" s="719"/>
      <c r="E230" s="719"/>
      <c r="F230" s="719"/>
      <c r="G230" s="719"/>
      <c r="H230" s="719"/>
      <c r="I230" s="719"/>
      <c r="J230" s="719"/>
      <c r="K230" s="719"/>
      <c r="L230" s="720"/>
      <c r="M230" s="638"/>
      <c r="N230" s="638"/>
      <c r="O230" s="638"/>
      <c r="P230" s="638"/>
      <c r="Q230" s="638"/>
      <c r="R230" s="638"/>
      <c r="S230" s="638"/>
      <c r="T230" s="638"/>
      <c r="U230" s="638"/>
      <c r="V230" s="638"/>
      <c r="W230" s="638"/>
      <c r="X230" s="638"/>
      <c r="Y230" s="638"/>
      <c r="Z230" s="638"/>
      <c r="AA230" s="638"/>
      <c r="AB230" s="638"/>
      <c r="AC230" s="638"/>
      <c r="AD230" s="638"/>
      <c r="AE230" s="638"/>
      <c r="AF230" s="638"/>
      <c r="AG230" s="638"/>
      <c r="AH230" s="638"/>
      <c r="AI230" s="638"/>
      <c r="AJ230" s="638"/>
      <c r="AK230" s="638"/>
      <c r="AL230" s="638"/>
      <c r="AM230" s="638"/>
      <c r="AN230" s="638"/>
      <c r="AO230" s="638"/>
      <c r="AP230" s="638"/>
      <c r="AQ230" s="638"/>
      <c r="AR230" s="638"/>
      <c r="AS230" s="638"/>
      <c r="AT230" s="638"/>
      <c r="AU230" s="638"/>
      <c r="AV230" s="638"/>
      <c r="AW230" s="638"/>
      <c r="AX230" s="638"/>
      <c r="AY230" s="638"/>
      <c r="AZ230" s="638"/>
    </row>
    <row r="231" spans="1:52" s="639" customFormat="1" ht="18" customHeight="1">
      <c r="A231" s="106"/>
      <c r="B231" s="710" t="s">
        <v>940</v>
      </c>
      <c r="C231" s="717">
        <f t="shared" ref="C231:L231" si="57">C228*C94</f>
        <v>123.0935012879455</v>
      </c>
      <c r="D231" s="718">
        <f t="shared" si="57"/>
        <v>144.56885966095456</v>
      </c>
      <c r="E231" s="718">
        <f t="shared" si="57"/>
        <v>98.840008042379807</v>
      </c>
      <c r="F231" s="718">
        <f t="shared" si="57"/>
        <v>113.18645697499086</v>
      </c>
      <c r="G231" s="718">
        <f t="shared" si="57"/>
        <v>140.68976391140461</v>
      </c>
      <c r="H231" s="719">
        <f t="shared" si="57"/>
        <v>126.83304958511124</v>
      </c>
      <c r="I231" s="719">
        <f t="shared" si="57"/>
        <v>125.18836405998154</v>
      </c>
      <c r="J231" s="719">
        <f t="shared" si="57"/>
        <v>126.417270538721</v>
      </c>
      <c r="K231" s="719">
        <f t="shared" si="57"/>
        <v>126.14622806127124</v>
      </c>
      <c r="L231" s="720">
        <f t="shared" si="57"/>
        <v>125.91728755332458</v>
      </c>
      <c r="M231" s="638"/>
      <c r="N231" s="638"/>
      <c r="O231" s="638"/>
      <c r="P231" s="638"/>
      <c r="Q231" s="638"/>
      <c r="R231" s="638"/>
      <c r="S231" s="638"/>
      <c r="T231" s="638"/>
      <c r="U231" s="638"/>
      <c r="V231" s="638"/>
      <c r="W231" s="638"/>
      <c r="X231" s="638"/>
      <c r="Y231" s="638"/>
      <c r="Z231" s="638"/>
      <c r="AA231" s="638"/>
      <c r="AB231" s="638"/>
      <c r="AC231" s="638"/>
      <c r="AD231" s="638"/>
      <c r="AE231" s="638"/>
      <c r="AF231" s="638"/>
      <c r="AG231" s="638"/>
      <c r="AH231" s="638"/>
      <c r="AI231" s="638"/>
      <c r="AJ231" s="638"/>
      <c r="AK231" s="638"/>
      <c r="AL231" s="638"/>
      <c r="AM231" s="638"/>
      <c r="AN231" s="638"/>
      <c r="AO231" s="638"/>
      <c r="AP231" s="638"/>
      <c r="AQ231" s="638"/>
      <c r="AR231" s="638"/>
      <c r="AS231" s="638"/>
      <c r="AT231" s="638"/>
      <c r="AU231" s="638"/>
      <c r="AV231" s="638"/>
      <c r="AW231" s="638"/>
      <c r="AX231" s="638"/>
      <c r="AY231" s="638"/>
      <c r="AZ231" s="638"/>
    </row>
    <row r="232" spans="1:52" s="639" customFormat="1" ht="18" customHeight="1" thickBot="1">
      <c r="A232" s="106"/>
      <c r="B232" s="738" t="s">
        <v>712</v>
      </c>
      <c r="C232" s="1793">
        <f>C228-C231</f>
        <v>660.75926933205483</v>
      </c>
      <c r="D232" s="873">
        <f t="shared" ref="D232:L232" si="58">D228-D231</f>
        <v>849.87199262904505</v>
      </c>
      <c r="E232" s="873">
        <f t="shared" si="58"/>
        <v>590.52242024762029</v>
      </c>
      <c r="F232" s="873">
        <f t="shared" si="58"/>
        <v>737.08896833500944</v>
      </c>
      <c r="G232" s="873">
        <f t="shared" si="58"/>
        <v>951.32605318859544</v>
      </c>
      <c r="H232" s="1794">
        <f t="shared" si="58"/>
        <v>857.62873659848663</v>
      </c>
      <c r="I232" s="1794">
        <f t="shared" si="58"/>
        <v>846.50758502456449</v>
      </c>
      <c r="J232" s="1794">
        <f t="shared" si="58"/>
        <v>854.81729226732659</v>
      </c>
      <c r="K232" s="1794">
        <f t="shared" si="58"/>
        <v>852.98453796345916</v>
      </c>
      <c r="L232" s="1795">
        <f t="shared" si="58"/>
        <v>851.4364717517833</v>
      </c>
      <c r="M232" s="638"/>
      <c r="N232" s="638"/>
      <c r="O232" s="638"/>
      <c r="P232" s="638"/>
      <c r="Q232" s="638"/>
      <c r="R232" s="638"/>
      <c r="S232" s="638"/>
      <c r="T232" s="638"/>
      <c r="U232" s="638"/>
      <c r="V232" s="638"/>
      <c r="W232" s="638"/>
      <c r="X232" s="638"/>
      <c r="Y232" s="638"/>
      <c r="Z232" s="638"/>
      <c r="AA232" s="638"/>
      <c r="AB232" s="638"/>
      <c r="AC232" s="638"/>
      <c r="AD232" s="638"/>
      <c r="AE232" s="638"/>
      <c r="AF232" s="638"/>
      <c r="AG232" s="638"/>
      <c r="AH232" s="638"/>
      <c r="AI232" s="638"/>
      <c r="AJ232" s="638"/>
      <c r="AK232" s="638"/>
      <c r="AL232" s="638"/>
      <c r="AM232" s="638"/>
      <c r="AN232" s="638"/>
      <c r="AO232" s="638"/>
      <c r="AP232" s="638"/>
      <c r="AQ232" s="638"/>
      <c r="AR232" s="638"/>
      <c r="AS232" s="638"/>
      <c r="AT232" s="638"/>
      <c r="AU232" s="638"/>
      <c r="AV232" s="638"/>
      <c r="AW232" s="638"/>
      <c r="AX232" s="638"/>
      <c r="AY232" s="638"/>
      <c r="AZ232" s="638"/>
    </row>
    <row r="233" spans="1:52" s="639" customFormat="1" ht="18" customHeight="1" thickBot="1">
      <c r="A233" s="106"/>
      <c r="B233" s="638"/>
      <c r="C233" s="638"/>
      <c r="D233" s="638"/>
      <c r="E233" s="638"/>
      <c r="F233" s="638"/>
      <c r="G233" s="638"/>
      <c r="H233" s="638"/>
      <c r="I233" s="638"/>
      <c r="J233" s="638"/>
      <c r="K233" s="638"/>
      <c r="L233" s="638"/>
      <c r="M233" s="638"/>
      <c r="N233" s="638"/>
      <c r="O233" s="638"/>
      <c r="P233" s="638"/>
      <c r="Q233" s="638"/>
      <c r="R233" s="638"/>
      <c r="S233" s="638"/>
      <c r="T233" s="638"/>
      <c r="U233" s="638"/>
      <c r="V233" s="638"/>
      <c r="W233" s="638"/>
      <c r="X233" s="638"/>
      <c r="Y233" s="638"/>
      <c r="Z233" s="638"/>
      <c r="AA233" s="638"/>
      <c r="AB233" s="638"/>
      <c r="AC233" s="638"/>
      <c r="AD233" s="638"/>
      <c r="AE233" s="638"/>
      <c r="AF233" s="638"/>
      <c r="AG233" s="638"/>
      <c r="AH233" s="638"/>
      <c r="AI233" s="638"/>
      <c r="AJ233" s="638"/>
      <c r="AK233" s="638"/>
      <c r="AL233" s="638"/>
      <c r="AM233" s="638"/>
      <c r="AN233" s="638"/>
      <c r="AO233" s="638"/>
    </row>
    <row r="234" spans="1:52" s="639" customFormat="1" ht="18" customHeight="1" thickBot="1">
      <c r="A234" s="106"/>
      <c r="B234" s="186" t="s">
        <v>1145</v>
      </c>
      <c r="C234" s="847"/>
      <c r="D234" s="847"/>
      <c r="E234" s="847"/>
      <c r="F234" s="847"/>
      <c r="G234" s="847"/>
      <c r="H234" s="848">
        <f>G235+1</f>
        <v>1</v>
      </c>
      <c r="I234" s="848">
        <f>H234+1</f>
        <v>2</v>
      </c>
      <c r="J234" s="848">
        <f>I234+1</f>
        <v>3</v>
      </c>
      <c r="K234" s="848"/>
      <c r="L234" s="848"/>
      <c r="M234" s="2346"/>
      <c r="N234" s="638"/>
      <c r="O234" s="638"/>
      <c r="P234" s="638"/>
      <c r="Q234" s="638"/>
      <c r="R234" s="638"/>
      <c r="S234" s="638"/>
      <c r="T234" s="638"/>
      <c r="U234" s="638"/>
      <c r="V234" s="638"/>
      <c r="W234" s="638"/>
      <c r="X234" s="638"/>
      <c r="Y234" s="638"/>
      <c r="Z234" s="638"/>
      <c r="AA234" s="638"/>
      <c r="AB234" s="638"/>
      <c r="AC234" s="638"/>
      <c r="AD234" s="638"/>
      <c r="AE234" s="638"/>
      <c r="AF234" s="638"/>
      <c r="AG234" s="638"/>
      <c r="AH234" s="638"/>
      <c r="AI234" s="638"/>
      <c r="AJ234" s="638"/>
      <c r="AK234" s="638"/>
      <c r="AL234" s="638"/>
      <c r="AM234" s="638"/>
      <c r="AN234" s="638"/>
      <c r="AO234" s="638"/>
      <c r="AP234" s="638"/>
      <c r="AQ234" s="638"/>
      <c r="AR234" s="638"/>
      <c r="AS234" s="638"/>
      <c r="AT234" s="638"/>
      <c r="AU234" s="638"/>
      <c r="AV234" s="638"/>
      <c r="AW234" s="638"/>
      <c r="AX234" s="638"/>
      <c r="AY234" s="638"/>
      <c r="AZ234" s="638"/>
    </row>
    <row r="235" spans="1:52" s="639" customFormat="1" ht="18" customHeight="1" thickBot="1">
      <c r="A235" s="106"/>
      <c r="B235" s="2156" t="s">
        <v>1146</v>
      </c>
      <c r="C235" s="2157"/>
      <c r="D235" s="2157"/>
      <c r="E235" s="2157"/>
      <c r="F235" s="2157"/>
      <c r="G235" s="2157"/>
      <c r="H235" s="2157"/>
      <c r="I235" s="2157"/>
      <c r="J235" s="2157"/>
      <c r="K235" s="2157"/>
      <c r="L235" s="2157"/>
      <c r="M235" s="2346"/>
      <c r="N235" s="638"/>
      <c r="O235" s="638"/>
      <c r="P235" s="638"/>
      <c r="Q235" s="638"/>
      <c r="R235" s="638"/>
      <c r="S235" s="638"/>
      <c r="T235" s="638"/>
      <c r="U235" s="638"/>
      <c r="V235" s="638"/>
      <c r="W235" s="638"/>
      <c r="X235" s="638"/>
      <c r="Y235" s="638"/>
      <c r="Z235" s="638"/>
      <c r="AA235" s="638"/>
      <c r="AB235" s="638"/>
      <c r="AC235" s="638"/>
      <c r="AD235" s="638"/>
      <c r="AE235" s="638"/>
      <c r="AF235" s="638"/>
      <c r="AG235" s="638"/>
      <c r="AH235" s="638"/>
      <c r="AI235" s="638"/>
      <c r="AJ235" s="638"/>
      <c r="AK235" s="638"/>
      <c r="AL235" s="638"/>
      <c r="AM235" s="638"/>
      <c r="AN235" s="638"/>
      <c r="AO235" s="638"/>
      <c r="AP235" s="638"/>
      <c r="AQ235" s="638"/>
      <c r="AR235" s="638"/>
      <c r="AS235" s="638"/>
      <c r="AT235" s="638"/>
      <c r="AU235" s="638"/>
      <c r="AV235" s="638"/>
      <c r="AW235" s="638"/>
      <c r="AX235" s="638"/>
      <c r="AY235" s="638"/>
      <c r="AZ235" s="638"/>
    </row>
    <row r="236" spans="1:52" s="639" customFormat="1" ht="18" customHeight="1">
      <c r="A236" s="106"/>
      <c r="B236" s="1804"/>
      <c r="C236" s="1801">
        <f t="shared" ref="C236:L236" si="59">C20</f>
        <v>2015</v>
      </c>
      <c r="D236" s="1801">
        <f t="shared" si="59"/>
        <v>2016</v>
      </c>
      <c r="E236" s="1801">
        <f t="shared" si="59"/>
        <v>2017</v>
      </c>
      <c r="F236" s="1801">
        <f t="shared" si="59"/>
        <v>2018</v>
      </c>
      <c r="G236" s="1801">
        <f t="shared" si="59"/>
        <v>2019</v>
      </c>
      <c r="H236" s="1801" t="str">
        <f t="shared" si="59"/>
        <v>2020E</v>
      </c>
      <c r="I236" s="1801" t="str">
        <f t="shared" si="59"/>
        <v>2021E</v>
      </c>
      <c r="J236" s="1801" t="str">
        <f t="shared" si="59"/>
        <v>2022E</v>
      </c>
      <c r="K236" s="1801" t="str">
        <f t="shared" si="59"/>
        <v>2023E</v>
      </c>
      <c r="L236" s="2366" t="str">
        <f t="shared" si="59"/>
        <v>2024E</v>
      </c>
      <c r="M236" s="2346"/>
      <c r="N236" s="638"/>
      <c r="O236" s="638"/>
      <c r="P236" s="638"/>
      <c r="Q236" s="638"/>
      <c r="R236" s="638"/>
      <c r="S236" s="638"/>
      <c r="T236" s="638"/>
      <c r="U236" s="638"/>
      <c r="V236" s="638"/>
      <c r="W236" s="638"/>
      <c r="X236" s="638"/>
      <c r="Y236" s="638"/>
      <c r="Z236" s="638"/>
      <c r="AA236" s="638"/>
      <c r="AB236" s="638"/>
      <c r="AC236" s="638"/>
      <c r="AD236" s="638"/>
      <c r="AE236" s="638"/>
      <c r="AF236" s="638"/>
      <c r="AG236" s="638"/>
      <c r="AH236" s="638"/>
      <c r="AI236" s="638"/>
      <c r="AJ236" s="638"/>
      <c r="AK236" s="638"/>
      <c r="AL236" s="638"/>
      <c r="AM236" s="638"/>
      <c r="AN236" s="638"/>
      <c r="AO236" s="638"/>
      <c r="AP236" s="638"/>
      <c r="AQ236" s="638"/>
      <c r="AR236" s="638"/>
      <c r="AS236" s="638"/>
      <c r="AT236" s="638"/>
      <c r="AU236" s="638"/>
      <c r="AV236" s="638"/>
      <c r="AW236" s="638"/>
      <c r="AX236" s="638"/>
      <c r="AY236" s="638"/>
      <c r="AZ236" s="638"/>
    </row>
    <row r="237" spans="1:52" s="639" customFormat="1" ht="18" customHeight="1">
      <c r="A237" s="106"/>
      <c r="B237" s="1805" t="s">
        <v>676</v>
      </c>
      <c r="C237" s="1802">
        <f>利润表!I23</f>
        <v>743.53073534999999</v>
      </c>
      <c r="D237" s="1796">
        <f>利润表!J23</f>
        <v>969.48112996000009</v>
      </c>
      <c r="E237" s="1796">
        <f>利润表!K23</f>
        <v>676.93514071000004</v>
      </c>
      <c r="F237" s="1796">
        <f>利润表!L23</f>
        <v>858.36991367999997</v>
      </c>
      <c r="G237" s="1796">
        <f>利润表!M23</f>
        <v>1094.2622257099999</v>
      </c>
      <c r="H237" s="719">
        <f ca="1">利润表!N23</f>
        <v>-1382.242562561677</v>
      </c>
      <c r="I237" s="719">
        <f ca="1">利润表!O23</f>
        <v>-1642.0798715380527</v>
      </c>
      <c r="J237" s="719">
        <f ca="1">利润表!P23</f>
        <v>-1632.541257816551</v>
      </c>
      <c r="K237" s="719">
        <f ca="1">利润表!Q23</f>
        <v>-1634.6450545978682</v>
      </c>
      <c r="L237" s="2355">
        <f ca="1">利润表!R23</f>
        <v>-1636.4220613174907</v>
      </c>
      <c r="M237" s="2346"/>
      <c r="N237" s="638"/>
      <c r="O237" s="638"/>
      <c r="P237" s="638"/>
      <c r="Q237" s="638"/>
      <c r="R237" s="638"/>
      <c r="S237" s="638"/>
      <c r="T237" s="638"/>
      <c r="U237" s="638"/>
      <c r="V237" s="638"/>
      <c r="W237" s="638"/>
      <c r="X237" s="638"/>
      <c r="Y237" s="638"/>
      <c r="Z237" s="638"/>
      <c r="AA237" s="638"/>
      <c r="AB237" s="638"/>
      <c r="AC237" s="638"/>
      <c r="AD237" s="638"/>
      <c r="AE237" s="638"/>
      <c r="AF237" s="638"/>
      <c r="AG237" s="638"/>
      <c r="AH237" s="638"/>
      <c r="AI237" s="638"/>
      <c r="AJ237" s="638"/>
      <c r="AK237" s="638"/>
      <c r="AL237" s="638"/>
      <c r="AM237" s="638"/>
      <c r="AN237" s="638"/>
      <c r="AO237" s="638"/>
      <c r="AP237" s="638"/>
      <c r="AQ237" s="638"/>
      <c r="AR237" s="638"/>
      <c r="AS237" s="638"/>
      <c r="AT237" s="638"/>
      <c r="AU237" s="638"/>
      <c r="AV237" s="638"/>
      <c r="AW237" s="638"/>
      <c r="AX237" s="638"/>
      <c r="AY237" s="638"/>
      <c r="AZ237" s="638"/>
    </row>
    <row r="238" spans="1:52" s="639" customFormat="1" ht="18" customHeight="1">
      <c r="A238" s="106"/>
      <c r="B238" s="1805" t="s">
        <v>1147</v>
      </c>
      <c r="C238" s="1802">
        <f>现金流量!I19</f>
        <v>415.94611326</v>
      </c>
      <c r="D238" s="1796">
        <f>现金流量!J19</f>
        <v>295.08795887999997</v>
      </c>
      <c r="E238" s="1796">
        <f>现金流量!K19</f>
        <v>242.9620491</v>
      </c>
      <c r="F238" s="1796">
        <f>现金流量!L19</f>
        <v>169.57404037999999</v>
      </c>
      <c r="G238" s="1796">
        <f>现金流量!M19</f>
        <v>434.94165099000003</v>
      </c>
      <c r="H238" s="719">
        <f ca="1">现金流量!N19</f>
        <v>1303.2606716906575</v>
      </c>
      <c r="I238" s="719">
        <f ca="1">现金流量!O19</f>
        <v>809.86751966137558</v>
      </c>
      <c r="J238" s="719">
        <f ca="1">现金流量!P19</f>
        <v>942.77298903490146</v>
      </c>
      <c r="K238" s="719">
        <f ca="1">现金流量!Q19</f>
        <v>1016.6879530445335</v>
      </c>
      <c r="L238" s="2355">
        <f ca="1">现金流量!R19</f>
        <v>922.57570878896104</v>
      </c>
      <c r="M238" s="2346"/>
      <c r="N238" s="638"/>
      <c r="O238" s="638"/>
      <c r="P238" s="638"/>
      <c r="Q238" s="638"/>
      <c r="R238" s="638"/>
      <c r="S238" s="638"/>
      <c r="T238" s="638"/>
      <c r="U238" s="638"/>
      <c r="V238" s="638"/>
      <c r="W238" s="638"/>
      <c r="X238" s="638"/>
      <c r="Y238" s="638"/>
      <c r="Z238" s="638"/>
      <c r="AA238" s="638"/>
      <c r="AB238" s="638"/>
      <c r="AC238" s="638"/>
      <c r="AD238" s="638"/>
      <c r="AE238" s="638"/>
      <c r="AF238" s="638"/>
      <c r="AG238" s="638"/>
      <c r="AH238" s="638"/>
      <c r="AI238" s="638"/>
      <c r="AJ238" s="638"/>
      <c r="AK238" s="638"/>
      <c r="AL238" s="638"/>
      <c r="AM238" s="638"/>
      <c r="AN238" s="638"/>
      <c r="AO238" s="638"/>
      <c r="AP238" s="638"/>
      <c r="AQ238" s="638"/>
      <c r="AR238" s="638"/>
      <c r="AS238" s="638"/>
      <c r="AT238" s="638"/>
      <c r="AU238" s="638"/>
      <c r="AV238" s="638"/>
      <c r="AW238" s="638"/>
      <c r="AX238" s="638"/>
      <c r="AY238" s="638"/>
      <c r="AZ238" s="638"/>
    </row>
    <row r="239" spans="1:52" s="639" customFormat="1" ht="18" customHeight="1">
      <c r="A239" s="106"/>
      <c r="B239" s="1805" t="s">
        <v>1150</v>
      </c>
      <c r="C239" s="1803">
        <f>C238/C237</f>
        <v>0.55942020078592036</v>
      </c>
      <c r="D239" s="1797">
        <f t="shared" ref="D239:L239" si="60">D238/D237</f>
        <v>0.3043772073131274</v>
      </c>
      <c r="E239" s="1797">
        <f t="shared" si="60"/>
        <v>0.3589148124961728</v>
      </c>
      <c r="F239" s="1797">
        <f t="shared" si="60"/>
        <v>0.19755356947799213</v>
      </c>
      <c r="G239" s="1797">
        <f t="shared" si="60"/>
        <v>0.39747479239520761</v>
      </c>
      <c r="H239" s="1799">
        <f t="shared" ca="1" si="60"/>
        <v>-0.94285960148366132</v>
      </c>
      <c r="I239" s="1799">
        <f t="shared" ca="1" si="60"/>
        <v>-0.49319617985622943</v>
      </c>
      <c r="J239" s="1799">
        <f t="shared" ca="1" si="60"/>
        <v>-0.57748800192395566</v>
      </c>
      <c r="K239" s="1799">
        <f t="shared" ca="1" si="60"/>
        <v>-0.62196251729684793</v>
      </c>
      <c r="L239" s="2367">
        <f t="shared" ca="1" si="60"/>
        <v>-0.56377613734087106</v>
      </c>
      <c r="M239" s="2346"/>
      <c r="N239" s="638"/>
      <c r="O239" s="638"/>
      <c r="P239" s="638"/>
      <c r="Q239" s="638"/>
      <c r="R239" s="638"/>
      <c r="S239" s="638"/>
      <c r="T239" s="638"/>
      <c r="U239" s="638"/>
      <c r="V239" s="638"/>
      <c r="W239" s="638"/>
      <c r="X239" s="638"/>
      <c r="Y239" s="638"/>
      <c r="Z239" s="638"/>
      <c r="AA239" s="638"/>
      <c r="AB239" s="638"/>
      <c r="AC239" s="638"/>
      <c r="AD239" s="638"/>
      <c r="AE239" s="638"/>
      <c r="AF239" s="638"/>
      <c r="AG239" s="638"/>
      <c r="AH239" s="638"/>
      <c r="AI239" s="638"/>
      <c r="AJ239" s="638"/>
      <c r="AK239" s="638"/>
      <c r="AL239" s="638"/>
      <c r="AM239" s="638"/>
      <c r="AN239" s="638"/>
      <c r="AO239" s="638"/>
      <c r="AP239" s="638"/>
      <c r="AQ239" s="638"/>
      <c r="AR239" s="638"/>
      <c r="AS239" s="638"/>
      <c r="AT239" s="638"/>
      <c r="AU239" s="638"/>
      <c r="AV239" s="638"/>
      <c r="AW239" s="638"/>
      <c r="AX239" s="638"/>
      <c r="AY239" s="638"/>
      <c r="AZ239" s="638"/>
    </row>
    <row r="240" spans="1:52" s="639" customFormat="1" ht="18" customHeight="1">
      <c r="A240" s="106"/>
      <c r="B240" s="1805" t="s">
        <v>1149</v>
      </c>
      <c r="C240" s="1803">
        <f>(现金流量!I6+现金流量!I7+现金流量!I8)/C237</f>
        <v>5.5776866292525352E-2</v>
      </c>
      <c r="D240" s="1797">
        <f>(现金流量!J6+现金流量!J7+现金流量!J8)/D237</f>
        <v>5.9232518442488197E-2</v>
      </c>
      <c r="E240" s="1797">
        <f>(现金流量!K6+现金流量!K7+现金流量!K8)/E237</f>
        <v>0.11049254984982798</v>
      </c>
      <c r="F240" s="1797">
        <f>(现金流量!L6+现金流量!L7+现金流量!L8)/F237</f>
        <v>0.10755904684983973</v>
      </c>
      <c r="G240" s="1797">
        <f>(现金流量!M6+现金流量!M7+现金流量!M8)/G237</f>
        <v>0.10199902446379402</v>
      </c>
      <c r="H240" s="1799">
        <f ca="1">(现金流量!N6+现金流量!N7+现金流量!N8)/H237</f>
        <v>-5.225183445044624E-2</v>
      </c>
      <c r="I240" s="1799">
        <f ca="1">(现金流量!O6+现金流量!O7+现金流量!O8)/I237</f>
        <v>-4.3983676312702204E-2</v>
      </c>
      <c r="J240" s="1799">
        <f ca="1">(现金流量!P6+现金流量!P7+现金流量!P8)/J237</f>
        <v>-4.4240664181394447E-2</v>
      </c>
      <c r="K240" s="1799">
        <f ca="1">(现金流量!Q6+现金流量!Q7+现金流量!Q8)/K237</f>
        <v>-4.4183726213946187E-2</v>
      </c>
      <c r="L240" s="2367">
        <f ca="1">(现金流量!R6+现金流量!R7+现金流量!R8)/L237</f>
        <v>-4.4135746673559809E-2</v>
      </c>
      <c r="M240" s="2346"/>
      <c r="N240" s="638"/>
      <c r="O240" s="638"/>
      <c r="P240" s="638"/>
      <c r="Q240" s="638"/>
      <c r="R240" s="638"/>
      <c r="S240" s="638"/>
      <c r="T240" s="638"/>
      <c r="U240" s="638"/>
      <c r="V240" s="638"/>
      <c r="W240" s="638"/>
      <c r="X240" s="638"/>
      <c r="Y240" s="638"/>
      <c r="Z240" s="638"/>
      <c r="AA240" s="638"/>
      <c r="AB240" s="638"/>
      <c r="AC240" s="638"/>
      <c r="AD240" s="638"/>
      <c r="AE240" s="638"/>
      <c r="AF240" s="638"/>
      <c r="AG240" s="638"/>
      <c r="AH240" s="638"/>
      <c r="AI240" s="638"/>
      <c r="AJ240" s="638"/>
      <c r="AK240" s="638"/>
      <c r="AL240" s="638"/>
      <c r="AM240" s="638"/>
      <c r="AN240" s="638"/>
      <c r="AO240" s="638"/>
      <c r="AP240" s="638"/>
      <c r="AQ240" s="638"/>
      <c r="AR240" s="638"/>
      <c r="AS240" s="638"/>
      <c r="AT240" s="638"/>
      <c r="AU240" s="638"/>
      <c r="AV240" s="638"/>
      <c r="AW240" s="638"/>
      <c r="AX240" s="638"/>
      <c r="AY240" s="638"/>
      <c r="AZ240" s="638"/>
    </row>
    <row r="241" spans="1:52" s="639" customFormat="1" ht="18" customHeight="1">
      <c r="A241" s="106"/>
      <c r="B241" s="1805" t="s">
        <v>1151</v>
      </c>
      <c r="C241" s="1803">
        <f>(现金流量!I15+现金流量!I16+现金流量!I17)/财务分析!C237</f>
        <v>-0.45561122352331018</v>
      </c>
      <c r="D241" s="1797">
        <f>(现金流量!J15+现金流量!J16+现金流量!J17)/财务分析!D237</f>
        <v>-0.5568326058623474</v>
      </c>
      <c r="E241" s="1797">
        <f>(现金流量!K15+现金流量!K16+现金流量!K17)/财务分析!E237</f>
        <v>-0.55448674222513317</v>
      </c>
      <c r="F241" s="1797">
        <f>(现金流量!L15+现金流量!L16+现金流量!L17)/财务分析!F237</f>
        <v>-0.80726704313208886</v>
      </c>
      <c r="G241" s="1797">
        <f>(现金流量!M15+现金流量!M16+现金流量!M17)/财务分析!G237</f>
        <v>-0.41473000465271637</v>
      </c>
      <c r="H241" s="1799">
        <f ca="1">(现金流量!N15+现金流量!N16+现金流量!N17)/财务分析!H237</f>
        <v>-0.24606278917311966</v>
      </c>
      <c r="I241" s="1799">
        <f ca="1">(现金流量!O15+现金流量!O16+现金流量!O17)/财务分析!I237</f>
        <v>8.556761282317922E-2</v>
      </c>
      <c r="J241" s="1799">
        <f ca="1">(现金流量!P15+现金流量!P16+现金流量!P17)/财务分析!J237</f>
        <v>1.0500193448958228E-2</v>
      </c>
      <c r="K241" s="1799">
        <f ca="1">(现金流量!Q15+现金流量!Q16+现金流量!Q17)/财务分析!K237</f>
        <v>-3.6018071082075991E-2</v>
      </c>
      <c r="L241" s="2367">
        <f ca="1">(现金流量!R15+现金流量!R16+现金流量!R17)/财务分析!L237</f>
        <v>2.0446116290159463E-2</v>
      </c>
      <c r="M241" s="2346"/>
      <c r="N241" s="638"/>
      <c r="O241" s="638"/>
      <c r="P241" s="638"/>
      <c r="Q241" s="638"/>
      <c r="R241" s="638"/>
      <c r="S241" s="638"/>
      <c r="T241" s="638"/>
      <c r="U241" s="638"/>
      <c r="V241" s="638"/>
      <c r="W241" s="638"/>
      <c r="X241" s="638"/>
      <c r="Y241" s="638"/>
      <c r="Z241" s="638"/>
      <c r="AA241" s="638"/>
      <c r="AB241" s="638"/>
      <c r="AC241" s="638"/>
      <c r="AD241" s="638"/>
      <c r="AE241" s="638"/>
      <c r="AF241" s="638"/>
      <c r="AG241" s="638"/>
      <c r="AH241" s="638"/>
      <c r="AI241" s="638"/>
      <c r="AJ241" s="638"/>
      <c r="AK241" s="638"/>
      <c r="AL241" s="638"/>
      <c r="AM241" s="638"/>
      <c r="AN241" s="638"/>
      <c r="AO241" s="638"/>
      <c r="AP241" s="638"/>
      <c r="AQ241" s="638"/>
      <c r="AR241" s="638"/>
      <c r="AS241" s="638"/>
      <c r="AT241" s="638"/>
      <c r="AU241" s="638"/>
      <c r="AV241" s="638"/>
      <c r="AW241" s="638"/>
      <c r="AX241" s="638"/>
      <c r="AY241" s="638"/>
      <c r="AZ241" s="638"/>
    </row>
    <row r="242" spans="1:52" s="639" customFormat="1" ht="18" customHeight="1">
      <c r="A242" s="106"/>
      <c r="B242" s="1807" t="s">
        <v>1152</v>
      </c>
      <c r="C242" s="1803">
        <f>(现金流量!I12+现金流量!I11)/财务分析!C237</f>
        <v>-6.1714826002989408E-2</v>
      </c>
      <c r="D242" s="1797">
        <f>(现金流量!J12+现金流量!J11)/财务分析!D237</f>
        <v>-4.4697831933859199E-2</v>
      </c>
      <c r="E242" s="1797">
        <f>(现金流量!K12+现金流量!K11)/财务分析!E237</f>
        <v>-5.1932718802465722E-2</v>
      </c>
      <c r="F242" s="1797">
        <f>(现金流量!L12+现金流量!L11)/财务分析!F237</f>
        <v>-8.2849303320889425E-2</v>
      </c>
      <c r="G242" s="1797">
        <f>(现金流量!M12+现金流量!M11)/财务分析!G237</f>
        <v>-2.0122890183578025E-2</v>
      </c>
      <c r="H242" s="1799">
        <f ca="1">(现金流量!N12+现金流量!N11)/财务分析!H237</f>
        <v>-1.6927465485717679</v>
      </c>
      <c r="I242" s="1799">
        <f ca="1">(现金流量!O12+现金流量!O11)/财务分析!I237</f>
        <v>-1.5753544293309072</v>
      </c>
      <c r="J242" s="1799">
        <f ca="1">(现金流量!P12+现金流量!P11)/财务分析!J237</f>
        <v>-1.5845589117927728</v>
      </c>
      <c r="K242" s="1799">
        <f ca="1">(现金流量!Q12+现金流量!Q11)/财务分析!K237</f>
        <v>-1.5825195761406319</v>
      </c>
      <c r="L242" s="2367">
        <f ca="1">(现金流量!R12+现金流量!R11)/财务分析!L237</f>
        <v>-1.5808011026567974</v>
      </c>
      <c r="M242" s="2346"/>
      <c r="N242" s="638"/>
      <c r="O242" s="638"/>
      <c r="P242" s="638"/>
      <c r="Q242" s="638"/>
      <c r="R242" s="638"/>
      <c r="S242" s="638"/>
      <c r="T242" s="638"/>
      <c r="U242" s="638"/>
      <c r="V242" s="638"/>
      <c r="W242" s="638"/>
      <c r="X242" s="638"/>
      <c r="Y242" s="638"/>
      <c r="Z242" s="638"/>
      <c r="AA242" s="638"/>
      <c r="AB242" s="638"/>
      <c r="AC242" s="638"/>
      <c r="AD242" s="638"/>
      <c r="AE242" s="638"/>
      <c r="AF242" s="638"/>
      <c r="AG242" s="638"/>
      <c r="AH242" s="638"/>
      <c r="AI242" s="638"/>
      <c r="AJ242" s="638"/>
      <c r="AK242" s="638"/>
      <c r="AL242" s="638"/>
      <c r="AM242" s="638"/>
      <c r="AN242" s="638"/>
      <c r="AO242" s="638"/>
      <c r="AP242" s="638"/>
      <c r="AQ242" s="638"/>
      <c r="AR242" s="638"/>
      <c r="AS242" s="638"/>
      <c r="AT242" s="638"/>
      <c r="AU242" s="638"/>
      <c r="AV242" s="638"/>
      <c r="AW242" s="638"/>
      <c r="AX242" s="638"/>
      <c r="AY242" s="638"/>
      <c r="AZ242" s="638"/>
    </row>
    <row r="243" spans="1:52" s="639" customFormat="1" ht="18" customHeight="1" thickBot="1">
      <c r="A243" s="106"/>
      <c r="B243" s="1806" t="s">
        <v>1148</v>
      </c>
      <c r="C243" s="1798">
        <f t="shared" ref="C243:G243" si="61">C239-C240-C241-C242</f>
        <v>1.0209693840196947</v>
      </c>
      <c r="D243" s="1798">
        <f t="shared" si="61"/>
        <v>0.84667512666684586</v>
      </c>
      <c r="E243" s="1798">
        <f t="shared" si="61"/>
        <v>0.85484172367394373</v>
      </c>
      <c r="F243" s="1798">
        <f t="shared" si="61"/>
        <v>0.98011086908113076</v>
      </c>
      <c r="G243" s="1798">
        <f t="shared" si="61"/>
        <v>0.73032866276770803</v>
      </c>
      <c r="H243" s="1800">
        <f ca="1">H239-H240-H241-H242</f>
        <v>1.0482015707116723</v>
      </c>
      <c r="I243" s="1800">
        <f t="shared" ref="I243:L243" ca="1" si="62">I239-I240-I241-I242</f>
        <v>1.0405743129642007</v>
      </c>
      <c r="J243" s="1800">
        <f t="shared" ca="1" si="62"/>
        <v>1.0408113806012533</v>
      </c>
      <c r="K243" s="1800">
        <f t="shared" ca="1" si="62"/>
        <v>1.040758856139806</v>
      </c>
      <c r="L243" s="2368">
        <f t="shared" ca="1" si="62"/>
        <v>1.0407145956993267</v>
      </c>
      <c r="M243" s="2346"/>
      <c r="N243" s="638"/>
      <c r="O243" s="638"/>
      <c r="P243" s="638"/>
      <c r="Q243" s="638"/>
      <c r="R243" s="638"/>
      <c r="S243" s="638"/>
      <c r="T243" s="638"/>
      <c r="U243" s="638"/>
      <c r="V243" s="638"/>
      <c r="W243" s="638"/>
      <c r="X243" s="638"/>
      <c r="Y243" s="638"/>
      <c r="Z243" s="638"/>
      <c r="AA243" s="638"/>
      <c r="AB243" s="638"/>
      <c r="AC243" s="638"/>
      <c r="AD243" s="638"/>
      <c r="AE243" s="638"/>
      <c r="AF243" s="638"/>
      <c r="AG243" s="638"/>
      <c r="AH243" s="638"/>
      <c r="AI243" s="638"/>
      <c r="AJ243" s="638"/>
      <c r="AK243" s="638"/>
      <c r="AL243" s="638"/>
      <c r="AM243" s="638"/>
      <c r="AN243" s="638"/>
      <c r="AO243" s="638"/>
      <c r="AP243" s="638"/>
      <c r="AQ243" s="638"/>
      <c r="AR243" s="638"/>
      <c r="AS243" s="638"/>
      <c r="AT243" s="638"/>
      <c r="AU243" s="638"/>
      <c r="AV243" s="638"/>
      <c r="AW243" s="638"/>
      <c r="AX243" s="638"/>
      <c r="AY243" s="638"/>
      <c r="AZ243" s="638"/>
    </row>
    <row r="244" spans="1:52" s="639" customFormat="1" ht="18" customHeight="1" thickBot="1">
      <c r="A244" s="106"/>
      <c r="B244" s="638"/>
      <c r="C244" s="638"/>
      <c r="D244" s="638"/>
      <c r="E244" s="638"/>
      <c r="F244" s="638"/>
      <c r="G244" s="638"/>
      <c r="H244" s="638"/>
      <c r="I244" s="638"/>
      <c r="J244" s="638"/>
      <c r="K244" s="638"/>
      <c r="L244" s="638"/>
      <c r="M244" s="638"/>
      <c r="N244" s="638"/>
      <c r="O244" s="638"/>
      <c r="P244" s="638"/>
      <c r="Q244" s="638"/>
      <c r="R244" s="638"/>
      <c r="S244" s="638"/>
      <c r="T244" s="638"/>
      <c r="U244" s="638"/>
      <c r="V244" s="638"/>
      <c r="W244" s="638"/>
      <c r="X244" s="638"/>
      <c r="Y244" s="638"/>
      <c r="Z244" s="638"/>
      <c r="AA244" s="638"/>
      <c r="AB244" s="638"/>
      <c r="AC244" s="638"/>
      <c r="AD244" s="638"/>
      <c r="AE244" s="638"/>
      <c r="AF244" s="638"/>
      <c r="AG244" s="638"/>
      <c r="AH244" s="638"/>
      <c r="AI244" s="638"/>
      <c r="AJ244" s="638"/>
      <c r="AK244" s="638"/>
      <c r="AL244" s="638"/>
      <c r="AM244" s="638"/>
      <c r="AN244" s="638"/>
      <c r="AO244" s="638"/>
    </row>
    <row r="245" spans="1:52" s="639" customFormat="1" ht="18" customHeight="1">
      <c r="A245" s="106"/>
      <c r="B245" s="1929" t="s">
        <v>1153</v>
      </c>
      <c r="C245" s="1931"/>
      <c r="D245" s="1931"/>
      <c r="E245" s="1931"/>
      <c r="F245" s="1931"/>
      <c r="G245" s="1931"/>
      <c r="H245" s="2346"/>
      <c r="I245" s="638"/>
      <c r="J245" s="638"/>
      <c r="K245" s="638"/>
      <c r="L245" s="638"/>
      <c r="M245" s="638"/>
      <c r="N245" s="638"/>
      <c r="O245" s="638"/>
      <c r="P245" s="638"/>
      <c r="Q245" s="638"/>
      <c r="R245" s="638"/>
      <c r="S245" s="638"/>
      <c r="T245" s="638"/>
      <c r="U245" s="638"/>
      <c r="V245" s="638"/>
      <c r="W245" s="638"/>
      <c r="X245" s="638"/>
      <c r="Y245" s="638"/>
      <c r="Z245" s="638"/>
      <c r="AA245" s="638"/>
      <c r="AB245" s="638"/>
      <c r="AC245" s="638"/>
      <c r="AD245" s="638"/>
      <c r="AE245" s="638"/>
      <c r="AF245" s="638"/>
      <c r="AG245" s="638"/>
      <c r="AH245" s="638"/>
      <c r="AI245" s="638"/>
      <c r="AJ245" s="638"/>
      <c r="AK245" s="638"/>
      <c r="AL245" s="638"/>
      <c r="AM245" s="638"/>
      <c r="AN245" s="638"/>
      <c r="AO245" s="638"/>
    </row>
    <row r="246" spans="1:52" s="639" customFormat="1" ht="18" customHeight="1">
      <c r="A246" s="106"/>
      <c r="B246" s="1934"/>
      <c r="C246" s="2307">
        <f>C20</f>
        <v>2015</v>
      </c>
      <c r="D246" s="2308">
        <f>D20</f>
        <v>2016</v>
      </c>
      <c r="E246" s="2308">
        <f>E20</f>
        <v>2017</v>
      </c>
      <c r="F246" s="2308">
        <f>F20</f>
        <v>2018</v>
      </c>
      <c r="G246" s="2369">
        <f>G20</f>
        <v>2019</v>
      </c>
      <c r="H246" s="2346"/>
      <c r="I246" s="638"/>
      <c r="J246" s="638"/>
      <c r="K246" s="638"/>
      <c r="L246" s="638"/>
      <c r="M246" s="638"/>
      <c r="N246" s="638"/>
      <c r="O246" s="638"/>
      <c r="P246" s="638"/>
      <c r="Q246" s="638"/>
      <c r="R246" s="638"/>
      <c r="S246" s="638"/>
      <c r="T246" s="638"/>
      <c r="U246" s="638"/>
      <c r="V246" s="638"/>
      <c r="W246" s="638"/>
      <c r="X246" s="638"/>
      <c r="Y246" s="638"/>
      <c r="Z246" s="638"/>
      <c r="AA246" s="638"/>
      <c r="AB246" s="638"/>
      <c r="AC246" s="638"/>
      <c r="AD246" s="638"/>
      <c r="AE246" s="638"/>
      <c r="AF246" s="638"/>
      <c r="AG246" s="638"/>
      <c r="AH246" s="638"/>
      <c r="AI246" s="638"/>
      <c r="AJ246" s="638"/>
      <c r="AK246" s="638"/>
      <c r="AL246" s="638"/>
      <c r="AM246" s="638"/>
      <c r="AN246" s="638"/>
      <c r="AO246" s="638"/>
    </row>
    <row r="247" spans="1:52" s="639" customFormat="1" ht="18" customHeight="1">
      <c r="A247" s="106"/>
      <c r="B247" s="1935" t="s">
        <v>78</v>
      </c>
      <c r="C247" s="1802">
        <f>利润表!I5</f>
        <v>3332.8047714200002</v>
      </c>
      <c r="D247" s="1796">
        <f>利润表!J5</f>
        <v>3951.6072652299999</v>
      </c>
      <c r="E247" s="1796">
        <f>利润表!K5</f>
        <v>4584.9197615800003</v>
      </c>
      <c r="F247" s="1796">
        <f>利润表!L5</f>
        <v>4809.73609786</v>
      </c>
      <c r="G247" s="2370">
        <f>利润表!M5</f>
        <v>6378.1513559200002</v>
      </c>
      <c r="H247" s="2346"/>
      <c r="I247" s="638"/>
      <c r="J247" s="638"/>
      <c r="K247" s="638"/>
      <c r="L247" s="638"/>
      <c r="M247" s="638"/>
      <c r="N247" s="638"/>
      <c r="O247" s="638"/>
      <c r="P247" s="638"/>
      <c r="Q247" s="638"/>
      <c r="R247" s="638"/>
      <c r="S247" s="638"/>
      <c r="T247" s="638"/>
      <c r="U247" s="638"/>
      <c r="V247" s="638"/>
      <c r="W247" s="638"/>
      <c r="X247" s="638"/>
      <c r="Y247" s="638"/>
      <c r="Z247" s="638"/>
      <c r="AA247" s="638"/>
      <c r="AB247" s="638"/>
      <c r="AC247" s="638"/>
      <c r="AD247" s="638"/>
      <c r="AE247" s="638"/>
      <c r="AF247" s="638"/>
      <c r="AG247" s="638"/>
      <c r="AH247" s="638"/>
      <c r="AI247" s="638"/>
      <c r="AJ247" s="638"/>
      <c r="AK247" s="638"/>
      <c r="AL247" s="638"/>
      <c r="AM247" s="638"/>
      <c r="AN247" s="638"/>
      <c r="AO247" s="638"/>
    </row>
    <row r="248" spans="1:52" s="639" customFormat="1" ht="18" customHeight="1">
      <c r="A248" s="106"/>
      <c r="B248" s="1935" t="s">
        <v>1154</v>
      </c>
      <c r="C248" s="2154">
        <v>2753.7274459999999</v>
      </c>
      <c r="D248" s="2155">
        <v>3529.03953391</v>
      </c>
      <c r="E248" s="2155">
        <v>4218.6144444000001</v>
      </c>
      <c r="F248" s="2155">
        <v>3965.6701086799999</v>
      </c>
      <c r="G248" s="2371">
        <v>4947.2770571400006</v>
      </c>
      <c r="H248" s="2346"/>
      <c r="I248" s="638"/>
      <c r="J248" s="638"/>
      <c r="K248" s="638"/>
      <c r="L248" s="638"/>
      <c r="M248" s="638"/>
      <c r="N248" s="638"/>
      <c r="O248" s="638"/>
      <c r="P248" s="638"/>
      <c r="Q248" s="638"/>
      <c r="R248" s="638"/>
      <c r="S248" s="638"/>
      <c r="T248" s="638"/>
      <c r="U248" s="638"/>
      <c r="V248" s="638"/>
      <c r="W248" s="638"/>
      <c r="X248" s="638"/>
      <c r="Y248" s="638"/>
      <c r="Z248" s="638"/>
      <c r="AA248" s="638"/>
      <c r="AB248" s="638"/>
      <c r="AC248" s="638"/>
      <c r="AD248" s="638"/>
      <c r="AE248" s="638"/>
      <c r="AF248" s="638"/>
      <c r="AG248" s="638"/>
      <c r="AH248" s="638"/>
      <c r="AI248" s="638"/>
      <c r="AJ248" s="638"/>
      <c r="AK248" s="638"/>
      <c r="AL248" s="638"/>
      <c r="AM248" s="638"/>
      <c r="AN248" s="638"/>
      <c r="AO248" s="638"/>
    </row>
    <row r="249" spans="1:52" s="639" customFormat="1" ht="36" customHeight="1" thickBot="1">
      <c r="A249" s="106"/>
      <c r="B249" s="1936" t="s">
        <v>1155</v>
      </c>
      <c r="C249" s="1933">
        <f>C247/C248</f>
        <v>1.2102885404512906</v>
      </c>
      <c r="D249" s="1932">
        <f t="shared" ref="D249:G249" si="63">D247/D248</f>
        <v>1.1197401523161221</v>
      </c>
      <c r="E249" s="1932">
        <f t="shared" si="63"/>
        <v>1.0868307170536176</v>
      </c>
      <c r="F249" s="1932">
        <f t="shared" si="63"/>
        <v>1.2128432184342619</v>
      </c>
      <c r="G249" s="2372">
        <f t="shared" si="63"/>
        <v>1.2892246143188879</v>
      </c>
      <c r="H249" s="2346"/>
      <c r="I249" s="638"/>
      <c r="J249" s="638"/>
      <c r="K249" s="638"/>
      <c r="L249" s="638"/>
      <c r="M249" s="638"/>
      <c r="N249" s="638"/>
      <c r="O249" s="638"/>
      <c r="P249" s="638"/>
      <c r="Q249" s="638"/>
      <c r="R249" s="638"/>
      <c r="S249" s="638"/>
      <c r="T249" s="638"/>
      <c r="U249" s="638"/>
      <c r="V249" s="638"/>
      <c r="W249" s="638"/>
      <c r="X249" s="638"/>
      <c r="Y249" s="638"/>
      <c r="Z249" s="638"/>
      <c r="AA249" s="638"/>
      <c r="AB249" s="638"/>
      <c r="AC249" s="638"/>
      <c r="AD249" s="638"/>
      <c r="AE249" s="638"/>
      <c r="AF249" s="638"/>
      <c r="AG249" s="638"/>
      <c r="AH249" s="638"/>
      <c r="AI249" s="638"/>
      <c r="AJ249" s="638"/>
      <c r="AK249" s="638"/>
      <c r="AL249" s="638"/>
      <c r="AM249" s="638"/>
      <c r="AN249" s="638"/>
      <c r="AO249" s="638"/>
    </row>
    <row r="250" spans="1:52" s="639" customFormat="1" ht="18" customHeight="1">
      <c r="A250" s="106"/>
      <c r="B250" s="638"/>
      <c r="C250" s="638"/>
      <c r="D250" s="638"/>
      <c r="E250" s="638"/>
      <c r="F250" s="638"/>
      <c r="G250" s="638"/>
      <c r="H250" s="638"/>
      <c r="I250" s="638"/>
      <c r="J250" s="638"/>
      <c r="K250" s="638"/>
      <c r="L250" s="638"/>
      <c r="M250" s="638"/>
      <c r="N250" s="638"/>
      <c r="O250" s="638"/>
      <c r="P250" s="638"/>
      <c r="Q250" s="638"/>
      <c r="R250" s="638"/>
      <c r="S250" s="638"/>
      <c r="T250" s="638"/>
      <c r="U250" s="638"/>
      <c r="V250" s="638"/>
      <c r="W250" s="638"/>
      <c r="X250" s="638"/>
      <c r="Y250" s="638"/>
      <c r="Z250" s="638"/>
      <c r="AA250" s="638"/>
      <c r="AB250" s="638"/>
      <c r="AC250" s="638"/>
      <c r="AD250" s="638"/>
      <c r="AE250" s="638"/>
      <c r="AF250" s="638"/>
      <c r="AG250" s="638"/>
      <c r="AH250" s="638"/>
      <c r="AI250" s="638"/>
      <c r="AJ250" s="638"/>
      <c r="AK250" s="638"/>
      <c r="AL250" s="638"/>
      <c r="AM250" s="638"/>
      <c r="AN250" s="638"/>
      <c r="AO250" s="638"/>
    </row>
    <row r="265" spans="1:52" ht="17.100000000000001" customHeight="1">
      <c r="J265" s="634"/>
      <c r="K265" s="634"/>
      <c r="L265" s="634"/>
    </row>
    <row r="266" spans="1:52" ht="17.100000000000001" customHeight="1">
      <c r="J266" s="634"/>
      <c r="K266" s="634"/>
      <c r="L266" s="634"/>
    </row>
    <row r="267" spans="1:52" ht="17.100000000000001" customHeight="1">
      <c r="A267" s="662"/>
      <c r="B267" s="662"/>
      <c r="C267" s="662"/>
      <c r="D267" s="662"/>
      <c r="E267" s="662"/>
      <c r="F267" s="662"/>
      <c r="G267" s="662"/>
      <c r="H267" s="662"/>
      <c r="I267" s="662"/>
      <c r="J267" s="662"/>
      <c r="K267" s="662"/>
      <c r="L267" s="662"/>
      <c r="M267" s="662"/>
      <c r="N267" s="662"/>
      <c r="O267" s="662"/>
      <c r="P267" s="662"/>
      <c r="Q267" s="662"/>
      <c r="R267" s="662"/>
      <c r="S267" s="662"/>
      <c r="T267" s="662"/>
      <c r="U267" s="662"/>
      <c r="V267" s="662"/>
      <c r="W267" s="662"/>
      <c r="X267" s="662"/>
      <c r="Y267" s="662"/>
      <c r="Z267" s="662"/>
      <c r="AA267" s="662"/>
      <c r="AB267" s="662"/>
      <c r="AC267" s="662"/>
      <c r="AD267" s="662"/>
      <c r="AE267" s="662"/>
      <c r="AF267" s="662"/>
      <c r="AG267" s="662"/>
      <c r="AH267" s="662"/>
      <c r="AI267" s="662"/>
      <c r="AJ267" s="662"/>
      <c r="AK267" s="662"/>
      <c r="AL267" s="662"/>
      <c r="AM267" s="662"/>
      <c r="AN267" s="662"/>
      <c r="AO267" s="662"/>
      <c r="AP267" s="662"/>
      <c r="AQ267" s="662"/>
      <c r="AR267" s="662"/>
      <c r="AS267" s="662"/>
      <c r="AT267" s="662"/>
      <c r="AU267" s="662"/>
    </row>
    <row r="268" spans="1:52" ht="17.100000000000001" customHeight="1">
      <c r="A268" s="662"/>
      <c r="B268" s="662"/>
      <c r="C268" s="662"/>
      <c r="D268" s="662"/>
      <c r="E268" s="662"/>
      <c r="F268" s="662"/>
      <c r="G268" s="662"/>
      <c r="H268" s="662"/>
      <c r="I268" s="662"/>
      <c r="J268" s="662"/>
      <c r="K268" s="662"/>
      <c r="L268" s="662"/>
      <c r="M268" s="662"/>
      <c r="N268" s="662"/>
      <c r="O268" s="662"/>
      <c r="P268" s="662"/>
      <c r="Q268" s="662"/>
      <c r="R268" s="662"/>
      <c r="S268" s="662"/>
      <c r="T268" s="662"/>
      <c r="U268" s="662"/>
      <c r="V268" s="662"/>
      <c r="W268" s="662"/>
      <c r="X268" s="662"/>
      <c r="Y268" s="662"/>
      <c r="Z268" s="662"/>
      <c r="AA268" s="662"/>
      <c r="AB268" s="662"/>
      <c r="AC268" s="662"/>
      <c r="AD268" s="662"/>
      <c r="AE268" s="662"/>
      <c r="AF268" s="662"/>
      <c r="AG268" s="662"/>
      <c r="AH268" s="662"/>
      <c r="AI268" s="662"/>
      <c r="AJ268" s="662"/>
      <c r="AK268" s="662"/>
      <c r="AL268" s="662"/>
      <c r="AM268" s="662"/>
      <c r="AN268" s="662"/>
      <c r="AO268" s="662"/>
      <c r="AP268" s="662"/>
      <c r="AQ268" s="662"/>
      <c r="AR268" s="662"/>
      <c r="AS268" s="662"/>
      <c r="AT268" s="662"/>
      <c r="AU268" s="662"/>
    </row>
    <row r="269" spans="1:52" ht="17.100000000000001" customHeight="1">
      <c r="A269" s="662"/>
      <c r="B269" s="662"/>
      <c r="C269" s="658"/>
      <c r="D269" s="658"/>
      <c r="E269" s="658"/>
      <c r="F269" s="658"/>
      <c r="G269" s="658"/>
      <c r="H269" s="658"/>
      <c r="I269" s="658"/>
      <c r="J269" s="662"/>
      <c r="K269" s="662"/>
      <c r="L269" s="662"/>
      <c r="M269" s="662"/>
      <c r="N269" s="662"/>
      <c r="O269" s="662"/>
      <c r="P269" s="662"/>
      <c r="Q269" s="662"/>
      <c r="R269" s="662"/>
      <c r="S269" s="662"/>
      <c r="T269" s="662"/>
      <c r="U269" s="662"/>
      <c r="V269" s="662"/>
      <c r="W269" s="662"/>
      <c r="X269" s="662"/>
      <c r="Y269" s="662"/>
      <c r="Z269" s="662"/>
      <c r="AA269" s="662"/>
      <c r="AB269" s="662"/>
      <c r="AC269" s="662"/>
      <c r="AD269" s="662"/>
      <c r="AE269" s="662"/>
      <c r="AF269" s="662"/>
      <c r="AG269" s="662"/>
      <c r="AH269" s="662"/>
      <c r="AI269" s="662"/>
      <c r="AJ269" s="662"/>
      <c r="AK269" s="662"/>
      <c r="AL269" s="662"/>
      <c r="AM269" s="662"/>
      <c r="AN269" s="662"/>
      <c r="AO269" s="662"/>
      <c r="AP269" s="662"/>
      <c r="AQ269" s="662"/>
      <c r="AR269" s="662"/>
      <c r="AS269" s="662"/>
      <c r="AT269" s="662"/>
      <c r="AU269" s="662"/>
    </row>
    <row r="270" spans="1:52" ht="17.100000000000001" customHeight="1">
      <c r="A270" s="662"/>
      <c r="B270" s="662"/>
      <c r="C270" s="658"/>
      <c r="D270" s="658"/>
      <c r="E270" s="658"/>
      <c r="F270" s="658"/>
      <c r="G270" s="658"/>
      <c r="H270" s="658"/>
      <c r="I270" s="658"/>
      <c r="J270" s="658"/>
      <c r="K270" s="658"/>
      <c r="L270" s="658"/>
      <c r="M270" s="662"/>
      <c r="N270" s="662"/>
      <c r="O270" s="662"/>
      <c r="P270" s="662"/>
      <c r="Q270" s="662"/>
      <c r="R270" s="662"/>
      <c r="S270" s="662"/>
      <c r="T270" s="662"/>
      <c r="U270" s="662"/>
      <c r="V270" s="662"/>
      <c r="W270" s="662"/>
      <c r="X270" s="662"/>
      <c r="Y270" s="662"/>
      <c r="Z270" s="662"/>
      <c r="AA270" s="662"/>
      <c r="AB270" s="662"/>
      <c r="AC270" s="662"/>
      <c r="AD270" s="662"/>
      <c r="AE270" s="662"/>
      <c r="AF270" s="662"/>
      <c r="AG270" s="662"/>
      <c r="AH270" s="662"/>
      <c r="AI270" s="662"/>
      <c r="AJ270" s="662"/>
      <c r="AK270" s="662"/>
      <c r="AL270" s="662"/>
      <c r="AM270" s="662"/>
      <c r="AN270" s="662"/>
      <c r="AO270" s="662"/>
      <c r="AP270" s="662"/>
      <c r="AQ270" s="662"/>
      <c r="AR270" s="662"/>
      <c r="AS270" s="662"/>
      <c r="AT270" s="662"/>
      <c r="AU270" s="662"/>
      <c r="AV270" s="662"/>
      <c r="AW270" s="662"/>
      <c r="AX270" s="662"/>
      <c r="AY270" s="662"/>
      <c r="AZ270" s="662"/>
    </row>
    <row r="271" spans="1:52" ht="17.100000000000001" customHeight="1">
      <c r="A271" s="662"/>
      <c r="B271" s="662"/>
      <c r="C271" s="658"/>
      <c r="D271" s="658"/>
      <c r="E271" s="658"/>
      <c r="F271" s="658"/>
      <c r="G271" s="658"/>
      <c r="H271" s="658"/>
      <c r="I271" s="658"/>
      <c r="J271" s="658"/>
      <c r="K271" s="658"/>
      <c r="L271" s="658"/>
      <c r="M271" s="662"/>
      <c r="N271" s="662"/>
      <c r="O271" s="662"/>
      <c r="P271" s="662"/>
      <c r="Q271" s="662"/>
      <c r="R271" s="662"/>
      <c r="S271" s="662"/>
      <c r="T271" s="662"/>
      <c r="U271" s="662"/>
      <c r="V271" s="662"/>
      <c r="W271" s="662"/>
      <c r="X271" s="662"/>
      <c r="Y271" s="662"/>
      <c r="Z271" s="662"/>
      <c r="AA271" s="662"/>
      <c r="AB271" s="662"/>
      <c r="AC271" s="662"/>
      <c r="AD271" s="662"/>
      <c r="AE271" s="662"/>
      <c r="AF271" s="662"/>
      <c r="AG271" s="662"/>
      <c r="AH271" s="662"/>
      <c r="AI271" s="662"/>
      <c r="AJ271" s="662"/>
      <c r="AK271" s="662"/>
      <c r="AL271" s="662"/>
      <c r="AM271" s="662"/>
      <c r="AN271" s="662"/>
      <c r="AO271" s="662"/>
      <c r="AP271" s="662"/>
      <c r="AQ271" s="662"/>
      <c r="AR271" s="662"/>
      <c r="AS271" s="662"/>
      <c r="AT271" s="662"/>
      <c r="AU271" s="662"/>
      <c r="AV271" s="662"/>
      <c r="AW271" s="662"/>
      <c r="AX271" s="662"/>
      <c r="AY271" s="662"/>
      <c r="AZ271" s="662"/>
    </row>
    <row r="272" spans="1:52" ht="17.100000000000001" customHeight="1">
      <c r="A272" s="662"/>
      <c r="B272" s="662"/>
      <c r="C272" s="658"/>
      <c r="D272" s="658"/>
      <c r="E272" s="658"/>
      <c r="F272" s="658"/>
      <c r="G272" s="658"/>
      <c r="H272" s="658"/>
      <c r="I272" s="658"/>
      <c r="J272" s="658"/>
      <c r="K272" s="658"/>
      <c r="L272" s="658"/>
      <c r="M272" s="662"/>
      <c r="N272" s="662"/>
      <c r="O272" s="662"/>
      <c r="P272" s="662"/>
      <c r="Q272" s="662"/>
      <c r="R272" s="662"/>
      <c r="S272" s="662"/>
      <c r="T272" s="662"/>
      <c r="U272" s="662"/>
      <c r="V272" s="662"/>
      <c r="W272" s="662"/>
      <c r="X272" s="662"/>
      <c r="Y272" s="662"/>
      <c r="Z272" s="662"/>
      <c r="AA272" s="662"/>
      <c r="AB272" s="662"/>
      <c r="AC272" s="662"/>
      <c r="AD272" s="662"/>
      <c r="AE272" s="662"/>
      <c r="AF272" s="662"/>
      <c r="AG272" s="662"/>
      <c r="AH272" s="662"/>
      <c r="AI272" s="662"/>
      <c r="AJ272" s="662"/>
      <c r="AK272" s="662"/>
      <c r="AL272" s="662"/>
      <c r="AM272" s="662"/>
      <c r="AN272" s="662"/>
      <c r="AO272" s="662"/>
      <c r="AP272" s="662"/>
      <c r="AQ272" s="662"/>
      <c r="AR272" s="662"/>
      <c r="AS272" s="662"/>
      <c r="AT272" s="662"/>
      <c r="AU272" s="662"/>
      <c r="AV272" s="662"/>
      <c r="AW272" s="662"/>
      <c r="AX272" s="662"/>
      <c r="AY272" s="662"/>
      <c r="AZ272" s="662"/>
    </row>
    <row r="273" spans="1:52" ht="17.100000000000001" customHeight="1">
      <c r="A273" s="662"/>
      <c r="B273" s="662"/>
      <c r="C273" s="658"/>
      <c r="D273" s="658"/>
      <c r="E273" s="658"/>
      <c r="F273" s="658"/>
      <c r="G273" s="658"/>
      <c r="H273" s="658"/>
      <c r="I273" s="658"/>
      <c r="J273" s="658"/>
      <c r="K273" s="658"/>
      <c r="L273" s="658"/>
      <c r="M273" s="662"/>
      <c r="N273" s="662"/>
      <c r="O273" s="662"/>
      <c r="P273" s="662"/>
      <c r="Q273" s="662"/>
      <c r="R273" s="662"/>
      <c r="S273" s="662"/>
      <c r="T273" s="662"/>
      <c r="U273" s="662"/>
      <c r="V273" s="662"/>
      <c r="W273" s="662"/>
      <c r="X273" s="662"/>
      <c r="Y273" s="662"/>
      <c r="Z273" s="662"/>
      <c r="AA273" s="662"/>
      <c r="AB273" s="662"/>
      <c r="AC273" s="662"/>
      <c r="AD273" s="662"/>
      <c r="AE273" s="662"/>
      <c r="AF273" s="662"/>
      <c r="AG273" s="662"/>
      <c r="AH273" s="662"/>
      <c r="AI273" s="662"/>
      <c r="AJ273" s="662"/>
      <c r="AK273" s="662"/>
      <c r="AL273" s="662"/>
      <c r="AM273" s="662"/>
      <c r="AN273" s="662"/>
      <c r="AO273" s="662"/>
      <c r="AP273" s="662"/>
      <c r="AQ273" s="662"/>
      <c r="AR273" s="662"/>
      <c r="AS273" s="662"/>
      <c r="AT273" s="662"/>
      <c r="AU273" s="662"/>
      <c r="AV273" s="662"/>
      <c r="AW273" s="662"/>
      <c r="AX273" s="662"/>
      <c r="AY273" s="662"/>
      <c r="AZ273" s="662"/>
    </row>
    <row r="274" spans="1:52" ht="17.100000000000001" customHeight="1">
      <c r="A274" s="662"/>
      <c r="B274" s="662"/>
      <c r="C274" s="658"/>
      <c r="D274" s="658"/>
      <c r="E274" s="658"/>
      <c r="F274" s="658"/>
      <c r="G274" s="658"/>
      <c r="H274" s="658"/>
      <c r="I274" s="658"/>
      <c r="J274" s="658"/>
      <c r="K274" s="658"/>
      <c r="L274" s="658"/>
      <c r="M274" s="662"/>
      <c r="N274" s="662"/>
      <c r="O274" s="662"/>
      <c r="P274" s="662"/>
      <c r="Q274" s="662"/>
      <c r="R274" s="662"/>
      <c r="S274" s="662"/>
      <c r="T274" s="662"/>
      <c r="U274" s="662"/>
      <c r="V274" s="662"/>
      <c r="W274" s="662"/>
      <c r="X274" s="662"/>
      <c r="Y274" s="662"/>
      <c r="Z274" s="662"/>
      <c r="AA274" s="662"/>
      <c r="AB274" s="662"/>
      <c r="AC274" s="662"/>
      <c r="AD274" s="662"/>
      <c r="AE274" s="662"/>
      <c r="AF274" s="662"/>
      <c r="AG274" s="662"/>
      <c r="AH274" s="662"/>
      <c r="AI274" s="662"/>
      <c r="AJ274" s="662"/>
      <c r="AK274" s="662"/>
      <c r="AL274" s="662"/>
      <c r="AM274" s="662"/>
      <c r="AN274" s="662"/>
      <c r="AO274" s="662"/>
      <c r="AP274" s="662"/>
      <c r="AQ274" s="662"/>
      <c r="AR274" s="662"/>
      <c r="AS274" s="662"/>
      <c r="AT274" s="662"/>
      <c r="AU274" s="662"/>
      <c r="AV274" s="662"/>
      <c r="AW274" s="662"/>
      <c r="AX274" s="662"/>
      <c r="AY274" s="662"/>
      <c r="AZ274" s="662"/>
    </row>
    <row r="275" spans="1:52" ht="17.100000000000001" customHeight="1">
      <c r="A275" s="662"/>
      <c r="B275" s="662"/>
      <c r="C275" s="658"/>
      <c r="D275" s="658"/>
      <c r="E275" s="658"/>
      <c r="F275" s="658"/>
      <c r="G275" s="658"/>
      <c r="H275" s="658"/>
      <c r="I275" s="658"/>
      <c r="J275" s="658"/>
      <c r="K275" s="658"/>
      <c r="L275" s="658"/>
      <c r="M275" s="662"/>
      <c r="N275" s="662"/>
      <c r="O275" s="662"/>
      <c r="P275" s="662"/>
      <c r="Q275" s="662"/>
      <c r="R275" s="662"/>
      <c r="S275" s="662"/>
      <c r="T275" s="662"/>
      <c r="U275" s="662"/>
      <c r="V275" s="662"/>
      <c r="W275" s="662"/>
      <c r="X275" s="662"/>
      <c r="Y275" s="662"/>
      <c r="Z275" s="662"/>
      <c r="AA275" s="662"/>
      <c r="AB275" s="662"/>
      <c r="AC275" s="662"/>
      <c r="AD275" s="662"/>
      <c r="AE275" s="662"/>
      <c r="AF275" s="662"/>
      <c r="AG275" s="662"/>
      <c r="AH275" s="662"/>
      <c r="AI275" s="662"/>
      <c r="AJ275" s="662"/>
      <c r="AK275" s="662"/>
      <c r="AL275" s="662"/>
      <c r="AM275" s="662"/>
      <c r="AN275" s="662"/>
      <c r="AO275" s="662"/>
      <c r="AP275" s="662"/>
      <c r="AQ275" s="662"/>
      <c r="AR275" s="662"/>
      <c r="AS275" s="662"/>
      <c r="AT275" s="662"/>
      <c r="AU275" s="662"/>
      <c r="AV275" s="662"/>
      <c r="AW275" s="662"/>
      <c r="AX275" s="662"/>
      <c r="AY275" s="662"/>
      <c r="AZ275" s="662"/>
    </row>
    <row r="276" spans="1:52" ht="17.100000000000001" customHeight="1">
      <c r="A276" s="662"/>
      <c r="B276" s="662"/>
      <c r="C276" s="658"/>
      <c r="D276" s="658"/>
      <c r="E276" s="658"/>
      <c r="F276" s="658"/>
      <c r="G276" s="658"/>
      <c r="H276" s="658"/>
      <c r="I276" s="658"/>
      <c r="J276" s="658"/>
      <c r="K276" s="658"/>
      <c r="L276" s="658"/>
      <c r="M276" s="662"/>
      <c r="N276" s="662"/>
      <c r="O276" s="662"/>
      <c r="P276" s="662"/>
      <c r="Q276" s="662"/>
      <c r="R276" s="662"/>
      <c r="S276" s="662"/>
      <c r="T276" s="662"/>
      <c r="U276" s="662"/>
      <c r="V276" s="662"/>
      <c r="W276" s="662"/>
      <c r="X276" s="662"/>
      <c r="Y276" s="662"/>
      <c r="Z276" s="662"/>
      <c r="AA276" s="662"/>
      <c r="AB276" s="662"/>
      <c r="AC276" s="662"/>
      <c r="AD276" s="662"/>
      <c r="AE276" s="662"/>
      <c r="AF276" s="662"/>
      <c r="AG276" s="662"/>
      <c r="AH276" s="662"/>
      <c r="AI276" s="662"/>
      <c r="AJ276" s="662"/>
      <c r="AK276" s="662"/>
      <c r="AL276" s="662"/>
      <c r="AM276" s="662"/>
      <c r="AN276" s="662"/>
      <c r="AO276" s="662"/>
      <c r="AP276" s="662"/>
      <c r="AQ276" s="662"/>
      <c r="AR276" s="662"/>
      <c r="AS276" s="662"/>
      <c r="AT276" s="662"/>
      <c r="AU276" s="662"/>
      <c r="AV276" s="662"/>
      <c r="AW276" s="662"/>
      <c r="AX276" s="662"/>
      <c r="AY276" s="662"/>
      <c r="AZ276" s="662"/>
    </row>
    <row r="277" spans="1:52" ht="17.100000000000001" customHeight="1">
      <c r="A277" s="662"/>
      <c r="B277" s="662"/>
      <c r="C277" s="658"/>
      <c r="D277" s="658"/>
      <c r="E277" s="658"/>
      <c r="F277" s="658"/>
      <c r="G277" s="658"/>
      <c r="H277" s="658"/>
      <c r="I277" s="658"/>
      <c r="J277" s="658"/>
      <c r="K277" s="658"/>
      <c r="L277" s="658"/>
      <c r="M277" s="662"/>
      <c r="N277" s="662"/>
      <c r="O277" s="662"/>
      <c r="P277" s="662"/>
      <c r="Q277" s="662"/>
      <c r="R277" s="662"/>
      <c r="S277" s="662"/>
      <c r="T277" s="662"/>
      <c r="U277" s="662"/>
      <c r="V277" s="662"/>
      <c r="W277" s="662"/>
      <c r="X277" s="662"/>
      <c r="Y277" s="662"/>
      <c r="Z277" s="662"/>
      <c r="AA277" s="662"/>
      <c r="AB277" s="662"/>
      <c r="AC277" s="662"/>
      <c r="AD277" s="662"/>
      <c r="AE277" s="662"/>
      <c r="AF277" s="662"/>
      <c r="AG277" s="662"/>
      <c r="AH277" s="662"/>
      <c r="AI277" s="662"/>
      <c r="AJ277" s="662"/>
      <c r="AK277" s="662"/>
      <c r="AL277" s="662"/>
      <c r="AM277" s="662"/>
      <c r="AN277" s="662"/>
      <c r="AO277" s="662"/>
      <c r="AP277" s="662"/>
      <c r="AQ277" s="662"/>
      <c r="AR277" s="662"/>
      <c r="AS277" s="662"/>
      <c r="AT277" s="662"/>
      <c r="AU277" s="662"/>
      <c r="AV277" s="662"/>
      <c r="AW277" s="662"/>
      <c r="AX277" s="662"/>
      <c r="AY277" s="662"/>
      <c r="AZ277" s="662"/>
    </row>
    <row r="278" spans="1:52" ht="17.100000000000001" customHeight="1">
      <c r="A278" s="662"/>
      <c r="B278" s="662"/>
      <c r="C278" s="658"/>
      <c r="D278" s="658"/>
      <c r="E278" s="658"/>
      <c r="F278" s="658"/>
      <c r="G278" s="658"/>
      <c r="H278" s="658"/>
      <c r="I278" s="658"/>
      <c r="J278" s="658"/>
      <c r="K278" s="658"/>
      <c r="L278" s="658"/>
      <c r="M278" s="662"/>
      <c r="N278" s="662"/>
      <c r="O278" s="662"/>
      <c r="P278" s="662"/>
      <c r="Q278" s="662"/>
      <c r="R278" s="662"/>
      <c r="S278" s="662"/>
      <c r="T278" s="662"/>
      <c r="U278" s="662"/>
      <c r="V278" s="662"/>
      <c r="W278" s="662"/>
      <c r="X278" s="662"/>
      <c r="Y278" s="662"/>
      <c r="Z278" s="662"/>
      <c r="AA278" s="662"/>
      <c r="AB278" s="662"/>
      <c r="AC278" s="662"/>
      <c r="AD278" s="662"/>
      <c r="AE278" s="662"/>
      <c r="AF278" s="662"/>
      <c r="AG278" s="662"/>
      <c r="AH278" s="662"/>
      <c r="AI278" s="662"/>
      <c r="AJ278" s="662"/>
      <c r="AK278" s="662"/>
      <c r="AL278" s="662"/>
      <c r="AM278" s="662"/>
      <c r="AN278" s="662"/>
      <c r="AO278" s="662"/>
      <c r="AP278" s="662"/>
      <c r="AQ278" s="662"/>
      <c r="AR278" s="662"/>
      <c r="AS278" s="662"/>
      <c r="AT278" s="662"/>
      <c r="AU278" s="662"/>
      <c r="AV278" s="662"/>
      <c r="AW278" s="662"/>
      <c r="AX278" s="662"/>
      <c r="AY278" s="662"/>
      <c r="AZ278" s="662"/>
    </row>
    <row r="279" spans="1:52" ht="17.100000000000001" customHeight="1">
      <c r="A279" s="662"/>
      <c r="B279" s="662"/>
      <c r="C279" s="658"/>
      <c r="D279" s="658"/>
      <c r="E279" s="658"/>
      <c r="F279" s="658"/>
      <c r="G279" s="658"/>
      <c r="H279" s="658"/>
      <c r="I279" s="658"/>
      <c r="J279" s="658"/>
      <c r="K279" s="658"/>
      <c r="L279" s="658"/>
      <c r="M279" s="662"/>
      <c r="N279" s="662"/>
      <c r="O279" s="662"/>
      <c r="P279" s="662"/>
      <c r="Q279" s="662"/>
      <c r="R279" s="662"/>
      <c r="S279" s="662"/>
      <c r="T279" s="662"/>
      <c r="U279" s="662"/>
      <c r="V279" s="662"/>
      <c r="W279" s="662"/>
      <c r="X279" s="662"/>
      <c r="Y279" s="662"/>
      <c r="Z279" s="662"/>
      <c r="AA279" s="662"/>
      <c r="AB279" s="662"/>
      <c r="AC279" s="662"/>
      <c r="AD279" s="662"/>
      <c r="AE279" s="662"/>
      <c r="AF279" s="662"/>
      <c r="AG279" s="662"/>
      <c r="AH279" s="662"/>
      <c r="AI279" s="662"/>
      <c r="AJ279" s="662"/>
      <c r="AK279" s="662"/>
      <c r="AL279" s="662"/>
      <c r="AM279" s="662"/>
      <c r="AN279" s="662"/>
      <c r="AO279" s="662"/>
      <c r="AP279" s="662"/>
      <c r="AQ279" s="662"/>
      <c r="AR279" s="662"/>
      <c r="AS279" s="662"/>
      <c r="AT279" s="662"/>
      <c r="AU279" s="662"/>
      <c r="AV279" s="662"/>
      <c r="AW279" s="662"/>
      <c r="AX279" s="662"/>
      <c r="AY279" s="662"/>
      <c r="AZ279" s="662"/>
    </row>
    <row r="280" spans="1:52" ht="17.100000000000001" customHeight="1">
      <c r="A280" s="662"/>
      <c r="B280" s="662"/>
      <c r="C280" s="658"/>
      <c r="D280" s="658"/>
      <c r="E280" s="658"/>
      <c r="F280" s="658"/>
      <c r="G280" s="658"/>
      <c r="H280" s="658"/>
      <c r="I280" s="658"/>
      <c r="J280" s="658"/>
      <c r="K280" s="658"/>
      <c r="L280" s="658"/>
      <c r="M280" s="662"/>
      <c r="N280" s="662"/>
      <c r="O280" s="662"/>
      <c r="P280" s="662"/>
      <c r="Q280" s="662"/>
      <c r="R280" s="662"/>
      <c r="S280" s="662"/>
      <c r="T280" s="662"/>
      <c r="U280" s="662"/>
      <c r="V280" s="662"/>
      <c r="W280" s="662"/>
      <c r="X280" s="662"/>
      <c r="Y280" s="662"/>
      <c r="Z280" s="662"/>
      <c r="AA280" s="662"/>
      <c r="AB280" s="662"/>
      <c r="AC280" s="662"/>
      <c r="AD280" s="662"/>
      <c r="AE280" s="662"/>
      <c r="AF280" s="662"/>
      <c r="AG280" s="662"/>
      <c r="AH280" s="662"/>
      <c r="AI280" s="662"/>
      <c r="AJ280" s="662"/>
      <c r="AK280" s="662"/>
      <c r="AL280" s="662"/>
      <c r="AM280" s="662"/>
      <c r="AN280" s="662"/>
      <c r="AO280" s="662"/>
      <c r="AP280" s="662"/>
      <c r="AQ280" s="662"/>
      <c r="AR280" s="662"/>
      <c r="AS280" s="662"/>
      <c r="AT280" s="662"/>
      <c r="AU280" s="662"/>
      <c r="AV280" s="662"/>
      <c r="AW280" s="662"/>
      <c r="AX280" s="662"/>
      <c r="AY280" s="662"/>
      <c r="AZ280" s="662"/>
    </row>
    <row r="281" spans="1:52" ht="17.100000000000001" customHeight="1">
      <c r="A281" s="662"/>
      <c r="B281" s="662"/>
      <c r="C281" s="658"/>
      <c r="D281" s="658"/>
      <c r="E281" s="658"/>
      <c r="F281" s="658"/>
      <c r="G281" s="658"/>
      <c r="H281" s="658"/>
      <c r="I281" s="658"/>
      <c r="J281" s="658"/>
      <c r="K281" s="658"/>
      <c r="L281" s="658"/>
      <c r="M281" s="662"/>
      <c r="N281" s="662"/>
      <c r="O281" s="662"/>
      <c r="P281" s="662"/>
      <c r="Q281" s="662"/>
      <c r="R281" s="662"/>
      <c r="S281" s="662"/>
      <c r="T281" s="662"/>
      <c r="U281" s="662"/>
      <c r="V281" s="662"/>
      <c r="W281" s="662"/>
      <c r="X281" s="662"/>
      <c r="Y281" s="662"/>
      <c r="Z281" s="662"/>
      <c r="AA281" s="662"/>
      <c r="AB281" s="662"/>
      <c r="AC281" s="662"/>
      <c r="AD281" s="662"/>
      <c r="AE281" s="662"/>
      <c r="AF281" s="662"/>
      <c r="AG281" s="662"/>
      <c r="AH281" s="662"/>
      <c r="AI281" s="662"/>
      <c r="AJ281" s="662"/>
      <c r="AK281" s="662"/>
      <c r="AL281" s="662"/>
      <c r="AM281" s="662"/>
      <c r="AN281" s="662"/>
      <c r="AO281" s="662"/>
      <c r="AP281" s="662"/>
      <c r="AQ281" s="662"/>
      <c r="AR281" s="662"/>
      <c r="AS281" s="662"/>
      <c r="AT281" s="662"/>
      <c r="AU281" s="662"/>
      <c r="AV281" s="662"/>
      <c r="AW281" s="662"/>
      <c r="AX281" s="662"/>
      <c r="AY281" s="662"/>
      <c r="AZ281" s="662"/>
    </row>
    <row r="282" spans="1:52" ht="17.100000000000001" customHeight="1">
      <c r="A282" s="662"/>
      <c r="B282" s="662"/>
      <c r="C282" s="658"/>
      <c r="D282" s="658"/>
      <c r="E282" s="658"/>
      <c r="F282" s="658"/>
      <c r="G282" s="658"/>
      <c r="H282" s="658"/>
      <c r="I282" s="658"/>
      <c r="J282" s="658"/>
      <c r="K282" s="658"/>
      <c r="L282" s="658"/>
      <c r="M282" s="662"/>
      <c r="N282" s="662"/>
      <c r="O282" s="662"/>
      <c r="P282" s="662"/>
      <c r="Q282" s="662"/>
      <c r="R282" s="662"/>
      <c r="S282" s="662"/>
      <c r="T282" s="662"/>
      <c r="U282" s="662"/>
      <c r="V282" s="662"/>
      <c r="W282" s="662"/>
      <c r="X282" s="662"/>
      <c r="Y282" s="662"/>
      <c r="Z282" s="662"/>
      <c r="AA282" s="662"/>
      <c r="AB282" s="662"/>
      <c r="AC282" s="662"/>
      <c r="AD282" s="662"/>
      <c r="AE282" s="662"/>
      <c r="AF282" s="662"/>
      <c r="AG282" s="662"/>
      <c r="AH282" s="662"/>
      <c r="AI282" s="662"/>
      <c r="AJ282" s="662"/>
      <c r="AK282" s="662"/>
      <c r="AL282" s="662"/>
      <c r="AM282" s="662"/>
      <c r="AN282" s="662"/>
      <c r="AO282" s="662"/>
      <c r="AP282" s="662"/>
      <c r="AQ282" s="662"/>
      <c r="AR282" s="662"/>
      <c r="AS282" s="662"/>
      <c r="AT282" s="662"/>
      <c r="AU282" s="662"/>
      <c r="AV282" s="662"/>
      <c r="AW282" s="662"/>
      <c r="AX282" s="662"/>
      <c r="AY282" s="662"/>
      <c r="AZ282" s="662"/>
    </row>
    <row r="283" spans="1:52" ht="17.100000000000001" customHeight="1">
      <c r="A283" s="662"/>
      <c r="B283" s="662"/>
      <c r="C283" s="658"/>
      <c r="D283" s="658"/>
      <c r="E283" s="658"/>
      <c r="F283" s="658"/>
      <c r="G283" s="658"/>
      <c r="H283" s="658"/>
      <c r="I283" s="658"/>
      <c r="J283" s="658"/>
      <c r="K283" s="658"/>
      <c r="L283" s="658"/>
      <c r="M283" s="662"/>
      <c r="N283" s="662"/>
      <c r="O283" s="662"/>
      <c r="P283" s="662"/>
      <c r="Q283" s="662"/>
      <c r="R283" s="662"/>
      <c r="S283" s="662"/>
      <c r="T283" s="662"/>
      <c r="U283" s="662"/>
      <c r="V283" s="662"/>
      <c r="W283" s="662"/>
      <c r="X283" s="662"/>
      <c r="Y283" s="662"/>
      <c r="Z283" s="662"/>
      <c r="AA283" s="662"/>
      <c r="AB283" s="662"/>
      <c r="AC283" s="662"/>
      <c r="AD283" s="662"/>
      <c r="AE283" s="662"/>
      <c r="AF283" s="662"/>
      <c r="AG283" s="662"/>
      <c r="AH283" s="662"/>
      <c r="AI283" s="662"/>
      <c r="AJ283" s="662"/>
      <c r="AK283" s="662"/>
      <c r="AL283" s="662"/>
      <c r="AM283" s="662"/>
      <c r="AN283" s="662"/>
      <c r="AO283" s="662"/>
      <c r="AP283" s="662"/>
      <c r="AQ283" s="662"/>
      <c r="AR283" s="662"/>
      <c r="AS283" s="662"/>
      <c r="AT283" s="662"/>
      <c r="AU283" s="662"/>
      <c r="AV283" s="662"/>
      <c r="AW283" s="662"/>
      <c r="AX283" s="662"/>
      <c r="AY283" s="662"/>
      <c r="AZ283" s="662"/>
    </row>
    <row r="284" spans="1:52" ht="17.100000000000001" customHeight="1">
      <c r="A284" s="662"/>
      <c r="B284" s="662"/>
      <c r="C284" s="658"/>
      <c r="D284" s="658"/>
      <c r="E284" s="658"/>
      <c r="F284" s="658"/>
      <c r="G284" s="658"/>
      <c r="H284" s="658"/>
      <c r="I284" s="658"/>
      <c r="J284" s="658"/>
      <c r="K284" s="658"/>
      <c r="L284" s="658"/>
      <c r="M284" s="662"/>
      <c r="N284" s="662"/>
      <c r="O284" s="662"/>
      <c r="P284" s="662"/>
      <c r="Q284" s="662"/>
      <c r="R284" s="662"/>
      <c r="S284" s="662"/>
      <c r="T284" s="662"/>
      <c r="U284" s="662"/>
      <c r="V284" s="662"/>
      <c r="W284" s="662"/>
      <c r="X284" s="662"/>
      <c r="Y284" s="662"/>
      <c r="Z284" s="662"/>
      <c r="AA284" s="662"/>
      <c r="AB284" s="662"/>
      <c r="AC284" s="662"/>
      <c r="AD284" s="662"/>
      <c r="AE284" s="662"/>
      <c r="AF284" s="662"/>
      <c r="AG284" s="662"/>
      <c r="AH284" s="662"/>
      <c r="AI284" s="662"/>
      <c r="AJ284" s="662"/>
      <c r="AK284" s="662"/>
      <c r="AL284" s="662"/>
      <c r="AM284" s="662"/>
      <c r="AN284" s="662"/>
      <c r="AO284" s="662"/>
      <c r="AP284" s="662"/>
      <c r="AQ284" s="662"/>
      <c r="AR284" s="662"/>
      <c r="AS284" s="662"/>
      <c r="AT284" s="662"/>
      <c r="AU284" s="662"/>
      <c r="AV284" s="662"/>
      <c r="AW284" s="662"/>
      <c r="AX284" s="662"/>
      <c r="AY284" s="662"/>
      <c r="AZ284" s="662"/>
    </row>
    <row r="285" spans="1:52" ht="17.100000000000001" customHeight="1">
      <c r="A285" s="662"/>
      <c r="B285" s="662"/>
      <c r="C285" s="658"/>
      <c r="D285" s="658"/>
      <c r="E285" s="658"/>
      <c r="F285" s="658"/>
      <c r="G285" s="658"/>
      <c r="H285" s="658"/>
      <c r="I285" s="658"/>
      <c r="J285" s="658"/>
      <c r="K285" s="658"/>
      <c r="L285" s="658"/>
      <c r="M285" s="662"/>
      <c r="N285" s="662"/>
      <c r="O285" s="662"/>
      <c r="P285" s="662"/>
      <c r="Q285" s="662"/>
      <c r="R285" s="662"/>
      <c r="S285" s="662"/>
      <c r="T285" s="662"/>
      <c r="U285" s="662"/>
      <c r="V285" s="662"/>
      <c r="W285" s="662"/>
      <c r="X285" s="662"/>
      <c r="Y285" s="662"/>
      <c r="Z285" s="662"/>
      <c r="AA285" s="662"/>
      <c r="AB285" s="662"/>
      <c r="AC285" s="662"/>
      <c r="AD285" s="662"/>
      <c r="AE285" s="662"/>
      <c r="AF285" s="662"/>
      <c r="AG285" s="662"/>
      <c r="AH285" s="662"/>
      <c r="AI285" s="662"/>
      <c r="AJ285" s="662"/>
      <c r="AK285" s="662"/>
      <c r="AL285" s="662"/>
      <c r="AM285" s="662"/>
      <c r="AN285" s="662"/>
      <c r="AO285" s="662"/>
      <c r="AP285" s="662"/>
      <c r="AQ285" s="662"/>
      <c r="AR285" s="662"/>
      <c r="AS285" s="662"/>
      <c r="AT285" s="662"/>
      <c r="AU285" s="662"/>
      <c r="AV285" s="662"/>
      <c r="AW285" s="662"/>
      <c r="AX285" s="662"/>
      <c r="AY285" s="662"/>
      <c r="AZ285" s="662"/>
    </row>
    <row r="286" spans="1:52" ht="17.100000000000001" customHeight="1">
      <c r="A286" s="662"/>
      <c r="B286" s="662"/>
      <c r="C286" s="658"/>
      <c r="D286" s="658"/>
      <c r="E286" s="658"/>
      <c r="F286" s="658"/>
      <c r="G286" s="658"/>
      <c r="H286" s="658"/>
      <c r="I286" s="658"/>
      <c r="J286" s="658"/>
      <c r="K286" s="658"/>
      <c r="L286" s="658"/>
      <c r="M286" s="662"/>
      <c r="N286" s="662"/>
      <c r="O286" s="662"/>
      <c r="P286" s="662"/>
      <c r="Q286" s="662"/>
      <c r="R286" s="662"/>
      <c r="S286" s="662"/>
      <c r="T286" s="662"/>
      <c r="U286" s="662"/>
      <c r="V286" s="662"/>
      <c r="W286" s="662"/>
      <c r="X286" s="662"/>
      <c r="Y286" s="662"/>
      <c r="Z286" s="662"/>
      <c r="AA286" s="662"/>
      <c r="AB286" s="662"/>
      <c r="AC286" s="662"/>
      <c r="AD286" s="662"/>
      <c r="AE286" s="662"/>
      <c r="AF286" s="662"/>
      <c r="AG286" s="662"/>
      <c r="AH286" s="662"/>
      <c r="AI286" s="662"/>
      <c r="AJ286" s="662"/>
      <c r="AK286" s="662"/>
      <c r="AL286" s="662"/>
      <c r="AM286" s="662"/>
      <c r="AN286" s="662"/>
      <c r="AO286" s="662"/>
      <c r="AP286" s="662"/>
      <c r="AQ286" s="662"/>
      <c r="AR286" s="662"/>
      <c r="AS286" s="662"/>
      <c r="AT286" s="662"/>
      <c r="AU286" s="662"/>
      <c r="AV286" s="662"/>
      <c r="AW286" s="662"/>
      <c r="AX286" s="662"/>
      <c r="AY286" s="662"/>
      <c r="AZ286" s="662"/>
    </row>
    <row r="287" spans="1:52" ht="17.100000000000001" customHeight="1">
      <c r="A287" s="662"/>
      <c r="B287" s="662"/>
      <c r="C287" s="658"/>
      <c r="D287" s="658"/>
      <c r="E287" s="658"/>
      <c r="F287" s="658"/>
      <c r="G287" s="658"/>
      <c r="H287" s="658"/>
      <c r="I287" s="658"/>
      <c r="J287" s="658"/>
      <c r="K287" s="658"/>
      <c r="L287" s="658"/>
      <c r="M287" s="662"/>
      <c r="N287" s="662"/>
      <c r="O287" s="662"/>
      <c r="P287" s="662"/>
      <c r="Q287" s="662"/>
      <c r="R287" s="662"/>
      <c r="S287" s="662"/>
      <c r="T287" s="662"/>
      <c r="U287" s="662"/>
      <c r="V287" s="662"/>
      <c r="W287" s="662"/>
      <c r="X287" s="662"/>
      <c r="Y287" s="662"/>
      <c r="Z287" s="662"/>
      <c r="AA287" s="662"/>
      <c r="AB287" s="662"/>
      <c r="AC287" s="662"/>
      <c r="AD287" s="662"/>
      <c r="AE287" s="662"/>
      <c r="AF287" s="662"/>
      <c r="AG287" s="662"/>
      <c r="AH287" s="662"/>
      <c r="AI287" s="662"/>
      <c r="AJ287" s="662"/>
      <c r="AK287" s="662"/>
      <c r="AL287" s="662"/>
      <c r="AM287" s="662"/>
      <c r="AN287" s="662"/>
      <c r="AO287" s="662"/>
      <c r="AP287" s="662"/>
      <c r="AQ287" s="662"/>
      <c r="AR287" s="662"/>
      <c r="AS287" s="662"/>
      <c r="AT287" s="662"/>
      <c r="AU287" s="662"/>
      <c r="AV287" s="662"/>
      <c r="AW287" s="662"/>
      <c r="AX287" s="662"/>
      <c r="AY287" s="662"/>
      <c r="AZ287" s="662"/>
    </row>
    <row r="288" spans="1:52" ht="17.100000000000001" customHeight="1">
      <c r="A288" s="662"/>
      <c r="B288" s="662"/>
      <c r="C288" s="658"/>
      <c r="D288" s="658"/>
      <c r="E288" s="658"/>
      <c r="F288" s="658"/>
      <c r="G288" s="658"/>
      <c r="H288" s="658"/>
      <c r="I288" s="658"/>
      <c r="J288" s="658"/>
      <c r="K288" s="658"/>
      <c r="L288" s="658"/>
      <c r="M288" s="662"/>
      <c r="N288" s="662"/>
      <c r="O288" s="662"/>
      <c r="P288" s="662"/>
      <c r="Q288" s="662"/>
      <c r="R288" s="662"/>
      <c r="S288" s="662"/>
      <c r="T288" s="662"/>
      <c r="U288" s="662"/>
      <c r="V288" s="662"/>
      <c r="W288" s="662"/>
      <c r="X288" s="662"/>
      <c r="Y288" s="662"/>
      <c r="Z288" s="662"/>
      <c r="AA288" s="662"/>
      <c r="AB288" s="662"/>
      <c r="AC288" s="662"/>
      <c r="AD288" s="662"/>
      <c r="AE288" s="662"/>
      <c r="AF288" s="662"/>
      <c r="AG288" s="662"/>
      <c r="AH288" s="662"/>
      <c r="AI288" s="662"/>
      <c r="AJ288" s="662"/>
      <c r="AK288" s="662"/>
      <c r="AL288" s="662"/>
      <c r="AM288" s="662"/>
      <c r="AN288" s="662"/>
      <c r="AO288" s="662"/>
      <c r="AP288" s="662"/>
      <c r="AQ288" s="662"/>
      <c r="AR288" s="662"/>
      <c r="AS288" s="662"/>
      <c r="AT288" s="662"/>
      <c r="AU288" s="662"/>
      <c r="AV288" s="662"/>
      <c r="AW288" s="662"/>
      <c r="AX288" s="662"/>
      <c r="AY288" s="662"/>
      <c r="AZ288" s="662"/>
    </row>
    <row r="289" spans="1:52" ht="17.100000000000001" customHeight="1">
      <c r="A289" s="662"/>
      <c r="B289" s="662"/>
      <c r="C289" s="658"/>
      <c r="D289" s="658"/>
      <c r="E289" s="658"/>
      <c r="F289" s="658"/>
      <c r="G289" s="658"/>
      <c r="H289" s="658"/>
      <c r="I289" s="658"/>
      <c r="J289" s="658"/>
      <c r="K289" s="658"/>
      <c r="L289" s="658"/>
      <c r="M289" s="662"/>
      <c r="N289" s="662"/>
      <c r="O289" s="662"/>
      <c r="P289" s="662"/>
      <c r="Q289" s="662"/>
      <c r="R289" s="662"/>
      <c r="S289" s="662"/>
      <c r="T289" s="662"/>
      <c r="U289" s="662"/>
      <c r="V289" s="662"/>
      <c r="W289" s="662"/>
      <c r="X289" s="662"/>
      <c r="Y289" s="662"/>
      <c r="Z289" s="662"/>
      <c r="AA289" s="662"/>
      <c r="AB289" s="662"/>
      <c r="AC289" s="662"/>
      <c r="AD289" s="662"/>
      <c r="AE289" s="662"/>
      <c r="AF289" s="662"/>
      <c r="AG289" s="662"/>
      <c r="AH289" s="662"/>
      <c r="AI289" s="662"/>
      <c r="AJ289" s="662"/>
      <c r="AK289" s="662"/>
      <c r="AL289" s="662"/>
      <c r="AM289" s="662"/>
      <c r="AN289" s="662"/>
      <c r="AO289" s="662"/>
      <c r="AP289" s="662"/>
      <c r="AQ289" s="662"/>
      <c r="AR289" s="662"/>
      <c r="AS289" s="662"/>
      <c r="AT289" s="662"/>
      <c r="AU289" s="662"/>
      <c r="AV289" s="662"/>
      <c r="AW289" s="662"/>
      <c r="AX289" s="662"/>
      <c r="AY289" s="662"/>
      <c r="AZ289" s="662"/>
    </row>
    <row r="290" spans="1:52" ht="17.100000000000001" customHeight="1">
      <c r="A290" s="662"/>
      <c r="B290" s="662"/>
      <c r="C290" s="658"/>
      <c r="D290" s="658"/>
      <c r="E290" s="658"/>
      <c r="F290" s="658"/>
      <c r="G290" s="658"/>
      <c r="H290" s="658"/>
      <c r="I290" s="658"/>
      <c r="J290" s="658"/>
      <c r="K290" s="658"/>
      <c r="L290" s="658"/>
      <c r="M290" s="662"/>
      <c r="N290" s="662"/>
      <c r="O290" s="662"/>
      <c r="P290" s="662"/>
      <c r="Q290" s="662"/>
      <c r="R290" s="662"/>
      <c r="S290" s="662"/>
      <c r="T290" s="662"/>
      <c r="U290" s="662"/>
      <c r="V290" s="662"/>
      <c r="W290" s="662"/>
      <c r="X290" s="662"/>
      <c r="Y290" s="662"/>
      <c r="Z290" s="662"/>
      <c r="AA290" s="662"/>
      <c r="AB290" s="662"/>
      <c r="AC290" s="662"/>
      <c r="AD290" s="662"/>
      <c r="AE290" s="662"/>
      <c r="AF290" s="662"/>
      <c r="AG290" s="662"/>
      <c r="AH290" s="662"/>
      <c r="AI290" s="662"/>
      <c r="AJ290" s="662"/>
      <c r="AK290" s="662"/>
      <c r="AL290" s="662"/>
      <c r="AM290" s="662"/>
      <c r="AN290" s="662"/>
      <c r="AO290" s="662"/>
      <c r="AP290" s="662"/>
      <c r="AQ290" s="662"/>
      <c r="AR290" s="662"/>
      <c r="AS290" s="662"/>
      <c r="AT290" s="662"/>
      <c r="AU290" s="662"/>
      <c r="AV290" s="662"/>
      <c r="AW290" s="662"/>
      <c r="AX290" s="662"/>
      <c r="AY290" s="662"/>
      <c r="AZ290" s="662"/>
    </row>
    <row r="291" spans="1:52" ht="17.100000000000001" customHeight="1">
      <c r="A291" s="662"/>
      <c r="B291" s="662"/>
      <c r="C291" s="658"/>
      <c r="D291" s="658"/>
      <c r="E291" s="658"/>
      <c r="F291" s="658"/>
      <c r="G291" s="658"/>
      <c r="H291" s="658"/>
      <c r="I291" s="658"/>
      <c r="J291" s="658"/>
      <c r="K291" s="658"/>
      <c r="L291" s="658"/>
      <c r="M291" s="662"/>
      <c r="N291" s="662"/>
      <c r="O291" s="662"/>
      <c r="P291" s="662"/>
      <c r="Q291" s="662"/>
      <c r="R291" s="662"/>
      <c r="S291" s="662"/>
      <c r="T291" s="662"/>
      <c r="U291" s="662"/>
      <c r="V291" s="662"/>
      <c r="W291" s="662"/>
      <c r="X291" s="662"/>
      <c r="Y291" s="662"/>
      <c r="Z291" s="662"/>
      <c r="AA291" s="662"/>
      <c r="AB291" s="662"/>
      <c r="AC291" s="662"/>
      <c r="AD291" s="662"/>
      <c r="AE291" s="662"/>
      <c r="AF291" s="662"/>
      <c r="AG291" s="662"/>
      <c r="AH291" s="662"/>
      <c r="AI291" s="662"/>
      <c r="AJ291" s="662"/>
      <c r="AK291" s="662"/>
      <c r="AL291" s="662"/>
      <c r="AM291" s="662"/>
      <c r="AN291" s="662"/>
      <c r="AO291" s="662"/>
      <c r="AP291" s="662"/>
      <c r="AQ291" s="662"/>
      <c r="AR291" s="662"/>
      <c r="AS291" s="662"/>
      <c r="AT291" s="662"/>
      <c r="AU291" s="662"/>
      <c r="AV291" s="662"/>
      <c r="AW291" s="662"/>
      <c r="AX291" s="662"/>
      <c r="AY291" s="662"/>
      <c r="AZ291" s="662"/>
    </row>
    <row r="292" spans="1:52" ht="17.100000000000001" customHeight="1">
      <c r="A292" s="662"/>
      <c r="B292" s="662"/>
      <c r="C292" s="658"/>
      <c r="D292" s="658"/>
      <c r="E292" s="658"/>
      <c r="F292" s="658"/>
      <c r="G292" s="658"/>
      <c r="H292" s="658"/>
      <c r="I292" s="658"/>
      <c r="J292" s="658"/>
      <c r="K292" s="658"/>
      <c r="L292" s="658"/>
      <c r="M292" s="662"/>
      <c r="N292" s="662"/>
      <c r="O292" s="662"/>
      <c r="P292" s="662"/>
      <c r="Q292" s="662"/>
      <c r="R292" s="662"/>
      <c r="S292" s="662"/>
      <c r="T292" s="662"/>
      <c r="U292" s="662"/>
      <c r="V292" s="662"/>
      <c r="W292" s="662"/>
      <c r="X292" s="662"/>
      <c r="Y292" s="662"/>
      <c r="Z292" s="662"/>
      <c r="AA292" s="662"/>
      <c r="AB292" s="662"/>
      <c r="AC292" s="662"/>
      <c r="AD292" s="662"/>
      <c r="AE292" s="662"/>
      <c r="AF292" s="662"/>
      <c r="AG292" s="662"/>
      <c r="AH292" s="662"/>
      <c r="AI292" s="662"/>
      <c r="AJ292" s="662"/>
      <c r="AK292" s="662"/>
      <c r="AL292" s="662"/>
      <c r="AM292" s="662"/>
      <c r="AN292" s="662"/>
      <c r="AO292" s="662"/>
      <c r="AP292" s="662"/>
      <c r="AQ292" s="662"/>
      <c r="AR292" s="662"/>
      <c r="AS292" s="662"/>
      <c r="AT292" s="662"/>
      <c r="AU292" s="662"/>
      <c r="AV292" s="662"/>
      <c r="AW292" s="662"/>
      <c r="AX292" s="662"/>
      <c r="AY292" s="662"/>
      <c r="AZ292" s="662"/>
    </row>
    <row r="293" spans="1:52" ht="17.100000000000001" customHeight="1">
      <c r="A293" s="662"/>
      <c r="B293" s="662"/>
      <c r="C293" s="658"/>
      <c r="D293" s="658"/>
      <c r="E293" s="658"/>
      <c r="F293" s="658"/>
      <c r="G293" s="658"/>
      <c r="H293" s="658"/>
      <c r="I293" s="658"/>
      <c r="J293" s="658"/>
      <c r="K293" s="658"/>
      <c r="L293" s="658"/>
      <c r="M293" s="662"/>
      <c r="N293" s="662"/>
      <c r="O293" s="662"/>
      <c r="P293" s="662"/>
      <c r="Q293" s="662"/>
      <c r="R293" s="662"/>
      <c r="S293" s="662"/>
      <c r="T293" s="662"/>
      <c r="U293" s="662"/>
      <c r="V293" s="662"/>
      <c r="W293" s="662"/>
      <c r="X293" s="662"/>
      <c r="Y293" s="662"/>
      <c r="Z293" s="662"/>
      <c r="AA293" s="662"/>
      <c r="AB293" s="662"/>
      <c r="AC293" s="662"/>
      <c r="AD293" s="662"/>
      <c r="AE293" s="662"/>
      <c r="AF293" s="662"/>
      <c r="AG293" s="662"/>
      <c r="AH293" s="662"/>
      <c r="AI293" s="662"/>
      <c r="AJ293" s="662"/>
      <c r="AK293" s="662"/>
      <c r="AL293" s="662"/>
      <c r="AM293" s="662"/>
      <c r="AN293" s="662"/>
      <c r="AO293" s="662"/>
      <c r="AP293" s="662"/>
      <c r="AQ293" s="662"/>
      <c r="AR293" s="662"/>
      <c r="AS293" s="662"/>
      <c r="AT293" s="662"/>
      <c r="AU293" s="662"/>
      <c r="AV293" s="662"/>
      <c r="AW293" s="662"/>
      <c r="AX293" s="662"/>
      <c r="AY293" s="662"/>
      <c r="AZ293" s="662"/>
    </row>
    <row r="294" spans="1:52" ht="17.100000000000001" customHeight="1">
      <c r="A294" s="662"/>
      <c r="B294" s="662"/>
      <c r="C294" s="658"/>
      <c r="D294" s="658"/>
      <c r="E294" s="658"/>
      <c r="F294" s="658"/>
      <c r="G294" s="658"/>
      <c r="H294" s="658"/>
      <c r="I294" s="658"/>
      <c r="J294" s="658"/>
      <c r="K294" s="658"/>
      <c r="L294" s="658"/>
      <c r="M294" s="662"/>
      <c r="N294" s="662"/>
      <c r="O294" s="662"/>
      <c r="P294" s="662"/>
      <c r="Q294" s="662"/>
      <c r="R294" s="662"/>
      <c r="S294" s="662"/>
      <c r="T294" s="662"/>
      <c r="U294" s="662"/>
      <c r="V294" s="662"/>
      <c r="W294" s="662"/>
      <c r="X294" s="662"/>
      <c r="Y294" s="662"/>
      <c r="Z294" s="662"/>
      <c r="AA294" s="662"/>
      <c r="AB294" s="662"/>
      <c r="AC294" s="662"/>
      <c r="AD294" s="662"/>
      <c r="AE294" s="662"/>
      <c r="AF294" s="662"/>
      <c r="AG294" s="662"/>
      <c r="AH294" s="662"/>
      <c r="AI294" s="662"/>
      <c r="AJ294" s="662"/>
      <c r="AK294" s="662"/>
      <c r="AL294" s="662"/>
      <c r="AM294" s="662"/>
      <c r="AN294" s="662"/>
      <c r="AO294" s="662"/>
      <c r="AP294" s="662"/>
      <c r="AQ294" s="662"/>
      <c r="AR294" s="662"/>
      <c r="AS294" s="662"/>
      <c r="AT294" s="662"/>
      <c r="AU294" s="662"/>
      <c r="AV294" s="662"/>
      <c r="AW294" s="662"/>
      <c r="AX294" s="662"/>
      <c r="AY294" s="662"/>
      <c r="AZ294" s="662"/>
    </row>
    <row r="295" spans="1:52" ht="17.100000000000001" customHeight="1">
      <c r="A295" s="662"/>
      <c r="B295" s="662"/>
      <c r="C295" s="658"/>
      <c r="D295" s="658"/>
      <c r="E295" s="658"/>
      <c r="F295" s="658"/>
      <c r="G295" s="658"/>
      <c r="H295" s="658"/>
      <c r="I295" s="658"/>
      <c r="J295" s="658"/>
      <c r="K295" s="658"/>
      <c r="L295" s="658"/>
      <c r="M295" s="662"/>
      <c r="N295" s="662"/>
      <c r="O295" s="662"/>
      <c r="P295" s="662"/>
      <c r="Q295" s="662"/>
      <c r="R295" s="662"/>
      <c r="S295" s="662"/>
      <c r="T295" s="662"/>
      <c r="U295" s="662"/>
      <c r="V295" s="662"/>
      <c r="W295" s="662"/>
      <c r="X295" s="662"/>
      <c r="Y295" s="662"/>
      <c r="Z295" s="662"/>
      <c r="AA295" s="662"/>
      <c r="AB295" s="662"/>
      <c r="AC295" s="662"/>
      <c r="AD295" s="662"/>
      <c r="AE295" s="662"/>
      <c r="AF295" s="662"/>
      <c r="AG295" s="662"/>
      <c r="AH295" s="662"/>
      <c r="AI295" s="662"/>
      <c r="AJ295" s="662"/>
      <c r="AK295" s="662"/>
      <c r="AL295" s="662"/>
      <c r="AM295" s="662"/>
      <c r="AN295" s="662"/>
      <c r="AO295" s="662"/>
      <c r="AP295" s="662"/>
      <c r="AQ295" s="662"/>
      <c r="AR295" s="662"/>
      <c r="AS295" s="662"/>
      <c r="AT295" s="662"/>
      <c r="AU295" s="662"/>
      <c r="AV295" s="662"/>
      <c r="AW295" s="662"/>
      <c r="AX295" s="662"/>
      <c r="AY295" s="662"/>
      <c r="AZ295" s="662"/>
    </row>
    <row r="296" spans="1:52" ht="17.100000000000001" customHeight="1">
      <c r="A296" s="662"/>
      <c r="B296" s="662"/>
      <c r="C296" s="658"/>
      <c r="D296" s="658"/>
      <c r="E296" s="658"/>
      <c r="F296" s="658"/>
      <c r="G296" s="658"/>
      <c r="H296" s="658"/>
      <c r="I296" s="658"/>
      <c r="J296" s="658"/>
      <c r="K296" s="658"/>
      <c r="L296" s="658"/>
      <c r="M296" s="662"/>
      <c r="N296" s="662"/>
      <c r="O296" s="662"/>
      <c r="P296" s="662"/>
      <c r="Q296" s="662"/>
      <c r="R296" s="662"/>
      <c r="S296" s="662"/>
      <c r="T296" s="662"/>
      <c r="U296" s="662"/>
      <c r="V296" s="662"/>
      <c r="W296" s="662"/>
      <c r="X296" s="662"/>
      <c r="Y296" s="662"/>
      <c r="Z296" s="662"/>
      <c r="AA296" s="662"/>
      <c r="AB296" s="662"/>
      <c r="AC296" s="662"/>
      <c r="AD296" s="662"/>
      <c r="AE296" s="662"/>
      <c r="AF296" s="662"/>
      <c r="AG296" s="662"/>
      <c r="AH296" s="662"/>
      <c r="AI296" s="662"/>
      <c r="AJ296" s="662"/>
      <c r="AK296" s="662"/>
      <c r="AL296" s="662"/>
      <c r="AM296" s="662"/>
      <c r="AN296" s="662"/>
      <c r="AO296" s="662"/>
      <c r="AP296" s="662"/>
      <c r="AQ296" s="662"/>
      <c r="AR296" s="662"/>
      <c r="AS296" s="662"/>
      <c r="AT296" s="662"/>
      <c r="AU296" s="662"/>
      <c r="AV296" s="662"/>
      <c r="AW296" s="662"/>
      <c r="AX296" s="662"/>
      <c r="AY296" s="662"/>
      <c r="AZ296" s="662"/>
    </row>
    <row r="297" spans="1:52" ht="17.100000000000001" customHeight="1">
      <c r="A297" s="662"/>
      <c r="B297" s="662"/>
      <c r="C297" s="658"/>
      <c r="D297" s="658"/>
      <c r="E297" s="658"/>
      <c r="F297" s="658"/>
      <c r="G297" s="658"/>
      <c r="H297" s="658"/>
      <c r="I297" s="658"/>
      <c r="J297" s="658"/>
      <c r="K297" s="658"/>
      <c r="L297" s="658"/>
      <c r="M297" s="662"/>
      <c r="N297" s="662"/>
      <c r="O297" s="662"/>
      <c r="P297" s="662"/>
      <c r="Q297" s="662"/>
      <c r="R297" s="662"/>
      <c r="S297" s="662"/>
      <c r="T297" s="662"/>
      <c r="U297" s="662"/>
      <c r="V297" s="662"/>
      <c r="W297" s="662"/>
      <c r="X297" s="662"/>
      <c r="Y297" s="662"/>
      <c r="Z297" s="662"/>
      <c r="AA297" s="662"/>
      <c r="AB297" s="662"/>
      <c r="AC297" s="662"/>
      <c r="AD297" s="662"/>
      <c r="AE297" s="662"/>
      <c r="AF297" s="662"/>
      <c r="AG297" s="662"/>
      <c r="AH297" s="662"/>
      <c r="AI297" s="662"/>
      <c r="AJ297" s="662"/>
      <c r="AK297" s="662"/>
      <c r="AL297" s="662"/>
      <c r="AM297" s="662"/>
      <c r="AN297" s="662"/>
      <c r="AO297" s="662"/>
      <c r="AP297" s="662"/>
      <c r="AQ297" s="662"/>
      <c r="AR297" s="662"/>
      <c r="AS297" s="662"/>
      <c r="AT297" s="662"/>
      <c r="AU297" s="662"/>
      <c r="AV297" s="662"/>
      <c r="AW297" s="662"/>
      <c r="AX297" s="662"/>
      <c r="AY297" s="662"/>
      <c r="AZ297" s="662"/>
    </row>
    <row r="298" spans="1:52" ht="17.100000000000001" customHeight="1">
      <c r="A298" s="662"/>
      <c r="B298" s="662"/>
      <c r="C298" s="658"/>
      <c r="D298" s="658"/>
      <c r="E298" s="658"/>
      <c r="F298" s="658"/>
      <c r="G298" s="658"/>
      <c r="H298" s="658"/>
      <c r="I298" s="658"/>
      <c r="J298" s="658"/>
      <c r="K298" s="658"/>
      <c r="L298" s="658"/>
      <c r="M298" s="662"/>
      <c r="N298" s="662"/>
      <c r="O298" s="662"/>
      <c r="P298" s="662"/>
      <c r="Q298" s="662"/>
      <c r="R298" s="662"/>
      <c r="S298" s="662"/>
      <c r="T298" s="662"/>
      <c r="U298" s="662"/>
      <c r="V298" s="662"/>
      <c r="W298" s="662"/>
      <c r="X298" s="662"/>
      <c r="Y298" s="662"/>
      <c r="Z298" s="662"/>
      <c r="AA298" s="662"/>
      <c r="AB298" s="662"/>
      <c r="AC298" s="662"/>
      <c r="AD298" s="662"/>
      <c r="AE298" s="662"/>
      <c r="AF298" s="662"/>
      <c r="AG298" s="662"/>
      <c r="AH298" s="662"/>
      <c r="AI298" s="662"/>
      <c r="AJ298" s="662"/>
      <c r="AK298" s="662"/>
      <c r="AL298" s="662"/>
      <c r="AM298" s="662"/>
      <c r="AN298" s="662"/>
      <c r="AO298" s="662"/>
      <c r="AP298" s="662"/>
      <c r="AQ298" s="662"/>
      <c r="AR298" s="662"/>
      <c r="AS298" s="662"/>
      <c r="AT298" s="662"/>
      <c r="AU298" s="662"/>
      <c r="AV298" s="662"/>
      <c r="AW298" s="662"/>
      <c r="AX298" s="662"/>
      <c r="AY298" s="662"/>
      <c r="AZ298" s="662"/>
    </row>
    <row r="299" spans="1:52" ht="17.100000000000001" customHeight="1">
      <c r="A299" s="662"/>
      <c r="B299" s="662"/>
      <c r="C299" s="658"/>
      <c r="D299" s="658"/>
      <c r="E299" s="658"/>
      <c r="F299" s="658"/>
      <c r="G299" s="658"/>
      <c r="H299" s="658"/>
      <c r="I299" s="658"/>
      <c r="J299" s="658"/>
      <c r="K299" s="658"/>
      <c r="L299" s="658"/>
      <c r="M299" s="662"/>
      <c r="N299" s="662"/>
      <c r="O299" s="662"/>
      <c r="P299" s="662"/>
      <c r="Q299" s="662"/>
      <c r="R299" s="662"/>
      <c r="S299" s="662"/>
      <c r="T299" s="662"/>
      <c r="U299" s="662"/>
      <c r="V299" s="662"/>
      <c r="W299" s="662"/>
      <c r="X299" s="662"/>
      <c r="Y299" s="662"/>
      <c r="Z299" s="662"/>
      <c r="AA299" s="662"/>
      <c r="AB299" s="662"/>
      <c r="AC299" s="662"/>
      <c r="AD299" s="662"/>
      <c r="AE299" s="662"/>
      <c r="AF299" s="662"/>
      <c r="AG299" s="662"/>
      <c r="AH299" s="662"/>
      <c r="AI299" s="662"/>
      <c r="AJ299" s="662"/>
      <c r="AK299" s="662"/>
      <c r="AL299" s="662"/>
      <c r="AM299" s="662"/>
      <c r="AN299" s="662"/>
      <c r="AO299" s="662"/>
      <c r="AP299" s="662"/>
      <c r="AQ299" s="662"/>
      <c r="AR299" s="662"/>
      <c r="AS299" s="662"/>
      <c r="AT299" s="662"/>
      <c r="AU299" s="662"/>
      <c r="AV299" s="662"/>
      <c r="AW299" s="662"/>
      <c r="AX299" s="662"/>
      <c r="AY299" s="662"/>
      <c r="AZ299" s="662"/>
    </row>
    <row r="300" spans="1:52" ht="17.100000000000001" customHeight="1">
      <c r="A300" s="662"/>
      <c r="B300" s="662"/>
      <c r="C300" s="658"/>
      <c r="D300" s="658"/>
      <c r="E300" s="658"/>
      <c r="F300" s="658"/>
      <c r="G300" s="658"/>
      <c r="H300" s="658"/>
      <c r="I300" s="658"/>
      <c r="J300" s="658"/>
      <c r="K300" s="658"/>
      <c r="L300" s="658"/>
      <c r="M300" s="662"/>
      <c r="N300" s="662"/>
      <c r="O300" s="662"/>
      <c r="P300" s="662"/>
      <c r="Q300" s="662"/>
      <c r="R300" s="662"/>
      <c r="S300" s="662"/>
      <c r="T300" s="662"/>
      <c r="U300" s="662"/>
      <c r="V300" s="662"/>
      <c r="W300" s="662"/>
      <c r="X300" s="662"/>
      <c r="Y300" s="662"/>
      <c r="Z300" s="662"/>
      <c r="AA300" s="662"/>
      <c r="AB300" s="662"/>
      <c r="AC300" s="662"/>
      <c r="AD300" s="662"/>
      <c r="AE300" s="662"/>
      <c r="AF300" s="662"/>
      <c r="AG300" s="662"/>
      <c r="AH300" s="662"/>
      <c r="AI300" s="662"/>
      <c r="AJ300" s="662"/>
      <c r="AK300" s="662"/>
      <c r="AL300" s="662"/>
      <c r="AM300" s="662"/>
      <c r="AN300" s="662"/>
      <c r="AO300" s="662"/>
      <c r="AP300" s="662"/>
      <c r="AQ300" s="662"/>
      <c r="AR300" s="662"/>
      <c r="AS300" s="662"/>
      <c r="AT300" s="662"/>
      <c r="AU300" s="662"/>
      <c r="AV300" s="662"/>
      <c r="AW300" s="662"/>
      <c r="AX300" s="662"/>
      <c r="AY300" s="662"/>
      <c r="AZ300" s="662"/>
    </row>
    <row r="301" spans="1:52" ht="17.100000000000001" customHeight="1">
      <c r="A301" s="662"/>
      <c r="B301" s="662"/>
      <c r="C301" s="658"/>
      <c r="D301" s="658"/>
      <c r="E301" s="658"/>
      <c r="F301" s="658"/>
      <c r="G301" s="658"/>
      <c r="H301" s="658"/>
      <c r="I301" s="658"/>
      <c r="J301" s="658"/>
      <c r="K301" s="658"/>
      <c r="L301" s="658"/>
      <c r="M301" s="662"/>
      <c r="N301" s="662"/>
      <c r="O301" s="662"/>
      <c r="P301" s="662"/>
      <c r="Q301" s="662"/>
      <c r="R301" s="662"/>
      <c r="S301" s="662"/>
      <c r="T301" s="662"/>
      <c r="U301" s="662"/>
      <c r="V301" s="662"/>
      <c r="W301" s="662"/>
      <c r="X301" s="662"/>
      <c r="Y301" s="662"/>
      <c r="Z301" s="662"/>
      <c r="AA301" s="662"/>
      <c r="AB301" s="662"/>
      <c r="AC301" s="662"/>
      <c r="AD301" s="662"/>
      <c r="AE301" s="662"/>
      <c r="AF301" s="662"/>
      <c r="AG301" s="662"/>
      <c r="AH301" s="662"/>
      <c r="AI301" s="662"/>
      <c r="AJ301" s="662"/>
      <c r="AK301" s="662"/>
      <c r="AL301" s="662"/>
      <c r="AM301" s="662"/>
      <c r="AN301" s="662"/>
      <c r="AO301" s="662"/>
      <c r="AP301" s="662"/>
      <c r="AQ301" s="662"/>
      <c r="AR301" s="662"/>
      <c r="AS301" s="662"/>
      <c r="AT301" s="662"/>
      <c r="AU301" s="662"/>
      <c r="AV301" s="662"/>
      <c r="AW301" s="662"/>
      <c r="AX301" s="662"/>
      <c r="AY301" s="662"/>
      <c r="AZ301" s="662"/>
    </row>
    <row r="302" spans="1:52" ht="17.100000000000001" customHeight="1">
      <c r="A302" s="662"/>
      <c r="B302" s="662"/>
      <c r="C302" s="658"/>
      <c r="D302" s="658"/>
      <c r="E302" s="658"/>
      <c r="F302" s="658"/>
      <c r="G302" s="658"/>
      <c r="H302" s="658"/>
      <c r="I302" s="658"/>
      <c r="J302" s="658"/>
      <c r="K302" s="658"/>
      <c r="L302" s="658"/>
      <c r="M302" s="662"/>
      <c r="N302" s="662"/>
      <c r="O302" s="662"/>
      <c r="P302" s="662"/>
      <c r="Q302" s="662"/>
      <c r="R302" s="662"/>
      <c r="S302" s="662"/>
      <c r="T302" s="662"/>
      <c r="U302" s="662"/>
      <c r="V302" s="662"/>
      <c r="W302" s="662"/>
      <c r="X302" s="662"/>
      <c r="Y302" s="662"/>
      <c r="Z302" s="662"/>
      <c r="AA302" s="662"/>
      <c r="AB302" s="662"/>
      <c r="AC302" s="662"/>
      <c r="AD302" s="662"/>
      <c r="AE302" s="662"/>
      <c r="AF302" s="662"/>
      <c r="AG302" s="662"/>
      <c r="AH302" s="662"/>
      <c r="AI302" s="662"/>
      <c r="AJ302" s="662"/>
      <c r="AK302" s="662"/>
      <c r="AL302" s="662"/>
      <c r="AM302" s="662"/>
      <c r="AN302" s="662"/>
      <c r="AO302" s="662"/>
      <c r="AP302" s="662"/>
      <c r="AQ302" s="662"/>
      <c r="AR302" s="662"/>
      <c r="AS302" s="662"/>
      <c r="AT302" s="662"/>
      <c r="AU302" s="662"/>
      <c r="AV302" s="662"/>
      <c r="AW302" s="662"/>
      <c r="AX302" s="662"/>
      <c r="AY302" s="662"/>
      <c r="AZ302" s="662"/>
    </row>
    <row r="303" spans="1:52" ht="17.100000000000001" customHeight="1">
      <c r="A303" s="662"/>
      <c r="B303" s="662"/>
      <c r="C303" s="658"/>
      <c r="D303" s="658"/>
      <c r="E303" s="658"/>
      <c r="F303" s="658"/>
      <c r="G303" s="658"/>
      <c r="H303" s="658"/>
      <c r="I303" s="658"/>
      <c r="J303" s="658"/>
      <c r="K303" s="658"/>
      <c r="L303" s="658"/>
      <c r="M303" s="662"/>
      <c r="N303" s="662"/>
      <c r="O303" s="662"/>
      <c r="P303" s="662"/>
      <c r="Q303" s="662"/>
      <c r="R303" s="662"/>
      <c r="S303" s="662"/>
      <c r="T303" s="662"/>
      <c r="U303" s="662"/>
      <c r="V303" s="662"/>
      <c r="W303" s="662"/>
      <c r="X303" s="662"/>
      <c r="Y303" s="662"/>
      <c r="Z303" s="662"/>
      <c r="AA303" s="662"/>
      <c r="AB303" s="662"/>
      <c r="AC303" s="662"/>
      <c r="AD303" s="662"/>
      <c r="AE303" s="662"/>
      <c r="AF303" s="662"/>
      <c r="AG303" s="662"/>
      <c r="AH303" s="662"/>
      <c r="AI303" s="662"/>
      <c r="AJ303" s="662"/>
      <c r="AK303" s="662"/>
      <c r="AL303" s="662"/>
      <c r="AM303" s="662"/>
      <c r="AN303" s="662"/>
      <c r="AO303" s="662"/>
      <c r="AP303" s="662"/>
      <c r="AQ303" s="662"/>
      <c r="AR303" s="662"/>
      <c r="AS303" s="662"/>
      <c r="AT303" s="662"/>
      <c r="AU303" s="662"/>
      <c r="AV303" s="662"/>
      <c r="AW303" s="662"/>
      <c r="AX303" s="662"/>
      <c r="AY303" s="662"/>
      <c r="AZ303" s="662"/>
    </row>
    <row r="304" spans="1:52" ht="17.100000000000001" customHeight="1">
      <c r="A304" s="662"/>
      <c r="B304" s="662"/>
      <c r="C304" s="658"/>
      <c r="D304" s="658"/>
      <c r="E304" s="658"/>
      <c r="F304" s="658"/>
      <c r="G304" s="658"/>
      <c r="H304" s="658"/>
      <c r="I304" s="658"/>
      <c r="J304" s="658"/>
      <c r="K304" s="658"/>
      <c r="L304" s="658"/>
      <c r="M304" s="662"/>
      <c r="N304" s="662"/>
      <c r="O304" s="662"/>
      <c r="P304" s="662"/>
      <c r="Q304" s="662"/>
      <c r="R304" s="662"/>
      <c r="S304" s="662"/>
      <c r="T304" s="662"/>
      <c r="U304" s="662"/>
      <c r="V304" s="662"/>
      <c r="W304" s="662"/>
      <c r="X304" s="662"/>
      <c r="Y304" s="662"/>
      <c r="Z304" s="662"/>
      <c r="AA304" s="662"/>
      <c r="AB304" s="662"/>
      <c r="AC304" s="662"/>
      <c r="AD304" s="662"/>
      <c r="AE304" s="662"/>
      <c r="AF304" s="662"/>
      <c r="AG304" s="662"/>
      <c r="AH304" s="662"/>
      <c r="AI304" s="662"/>
      <c r="AJ304" s="662"/>
      <c r="AK304" s="662"/>
      <c r="AL304" s="662"/>
      <c r="AM304" s="662"/>
      <c r="AN304" s="662"/>
      <c r="AO304" s="662"/>
      <c r="AP304" s="662"/>
      <c r="AQ304" s="662"/>
      <c r="AR304" s="662"/>
      <c r="AS304" s="662"/>
      <c r="AT304" s="662"/>
      <c r="AU304" s="662"/>
      <c r="AV304" s="662"/>
      <c r="AW304" s="662"/>
      <c r="AX304" s="662"/>
      <c r="AY304" s="662"/>
      <c r="AZ304" s="662"/>
    </row>
    <row r="305" spans="1:52" ht="17.100000000000001" customHeight="1">
      <c r="A305" s="662"/>
      <c r="B305" s="662"/>
      <c r="C305" s="658"/>
      <c r="D305" s="658"/>
      <c r="E305" s="658"/>
      <c r="F305" s="658"/>
      <c r="G305" s="658"/>
      <c r="H305" s="658"/>
      <c r="I305" s="658"/>
      <c r="J305" s="658"/>
      <c r="K305" s="658"/>
      <c r="L305" s="658"/>
      <c r="M305" s="662"/>
      <c r="N305" s="662"/>
      <c r="O305" s="662"/>
      <c r="P305" s="662"/>
      <c r="Q305" s="662"/>
      <c r="R305" s="662"/>
      <c r="S305" s="662"/>
      <c r="T305" s="662"/>
      <c r="U305" s="662"/>
      <c r="V305" s="662"/>
      <c r="W305" s="662"/>
      <c r="X305" s="662"/>
      <c r="Y305" s="662"/>
      <c r="Z305" s="662"/>
      <c r="AA305" s="662"/>
      <c r="AB305" s="662"/>
      <c r="AC305" s="662"/>
      <c r="AD305" s="662"/>
      <c r="AE305" s="662"/>
      <c r="AF305" s="662"/>
      <c r="AG305" s="662"/>
      <c r="AH305" s="662"/>
      <c r="AI305" s="662"/>
      <c r="AJ305" s="662"/>
      <c r="AK305" s="662"/>
      <c r="AL305" s="662"/>
      <c r="AM305" s="662"/>
      <c r="AN305" s="662"/>
      <c r="AO305" s="662"/>
      <c r="AP305" s="662"/>
      <c r="AQ305" s="662"/>
      <c r="AR305" s="662"/>
      <c r="AS305" s="662"/>
      <c r="AT305" s="662"/>
      <c r="AU305" s="662"/>
      <c r="AV305" s="662"/>
      <c r="AW305" s="662"/>
      <c r="AX305" s="662"/>
      <c r="AY305" s="662"/>
      <c r="AZ305" s="662"/>
    </row>
    <row r="306" spans="1:52" ht="17.100000000000001" customHeight="1">
      <c r="A306" s="662"/>
      <c r="B306" s="662"/>
      <c r="C306" s="658"/>
      <c r="D306" s="658"/>
      <c r="E306" s="658"/>
      <c r="F306" s="658"/>
      <c r="G306" s="658"/>
      <c r="H306" s="658"/>
      <c r="I306" s="658"/>
      <c r="J306" s="658"/>
      <c r="K306" s="658"/>
      <c r="L306" s="658"/>
      <c r="M306" s="662"/>
      <c r="N306" s="662"/>
      <c r="O306" s="662"/>
      <c r="P306" s="662"/>
      <c r="Q306" s="662"/>
      <c r="R306" s="662"/>
      <c r="S306" s="662"/>
      <c r="T306" s="662"/>
      <c r="U306" s="662"/>
      <c r="V306" s="662"/>
      <c r="W306" s="662"/>
      <c r="X306" s="662"/>
      <c r="Y306" s="662"/>
      <c r="Z306" s="662"/>
      <c r="AA306" s="662"/>
      <c r="AB306" s="662"/>
      <c r="AC306" s="662"/>
      <c r="AD306" s="662"/>
      <c r="AE306" s="662"/>
      <c r="AF306" s="662"/>
      <c r="AG306" s="662"/>
      <c r="AH306" s="662"/>
      <c r="AI306" s="662"/>
      <c r="AJ306" s="662"/>
      <c r="AK306" s="662"/>
      <c r="AL306" s="662"/>
      <c r="AM306" s="662"/>
      <c r="AN306" s="662"/>
      <c r="AO306" s="662"/>
      <c r="AP306" s="662"/>
      <c r="AQ306" s="662"/>
      <c r="AR306" s="662"/>
      <c r="AS306" s="662"/>
      <c r="AT306" s="662"/>
      <c r="AU306" s="662"/>
      <c r="AV306" s="662"/>
      <c r="AW306" s="662"/>
      <c r="AX306" s="662"/>
      <c r="AY306" s="662"/>
      <c r="AZ306" s="662"/>
    </row>
    <row r="307" spans="1:52" ht="17.100000000000001" customHeight="1">
      <c r="A307" s="662"/>
      <c r="B307" s="662"/>
      <c r="C307" s="658"/>
      <c r="D307" s="658"/>
      <c r="E307" s="658"/>
      <c r="F307" s="658"/>
      <c r="G307" s="658"/>
      <c r="H307" s="658"/>
      <c r="I307" s="658"/>
      <c r="J307" s="658"/>
      <c r="K307" s="658"/>
      <c r="L307" s="658"/>
      <c r="M307" s="662"/>
      <c r="N307" s="662"/>
      <c r="O307" s="662"/>
      <c r="P307" s="662"/>
      <c r="Q307" s="662"/>
      <c r="R307" s="662"/>
      <c r="S307" s="662"/>
      <c r="T307" s="662"/>
      <c r="U307" s="662"/>
      <c r="V307" s="662"/>
      <c r="W307" s="662"/>
      <c r="X307" s="662"/>
      <c r="Y307" s="662"/>
      <c r="Z307" s="662"/>
      <c r="AA307" s="662"/>
      <c r="AB307" s="662"/>
      <c r="AC307" s="662"/>
      <c r="AD307" s="662"/>
      <c r="AE307" s="662"/>
      <c r="AF307" s="662"/>
      <c r="AG307" s="662"/>
      <c r="AH307" s="662"/>
      <c r="AI307" s="662"/>
      <c r="AJ307" s="662"/>
      <c r="AK307" s="662"/>
      <c r="AL307" s="662"/>
      <c r="AM307" s="662"/>
      <c r="AN307" s="662"/>
      <c r="AO307" s="662"/>
      <c r="AP307" s="662"/>
      <c r="AQ307" s="662"/>
      <c r="AR307" s="662"/>
      <c r="AS307" s="662"/>
      <c r="AT307" s="662"/>
      <c r="AU307" s="662"/>
      <c r="AV307" s="662"/>
      <c r="AW307" s="662"/>
      <c r="AX307" s="662"/>
      <c r="AY307" s="662"/>
      <c r="AZ307" s="662"/>
    </row>
    <row r="308" spans="1:52" ht="17.100000000000001" customHeight="1">
      <c r="A308" s="662"/>
      <c r="B308" s="662"/>
      <c r="C308" s="658"/>
      <c r="D308" s="658"/>
      <c r="E308" s="658"/>
      <c r="F308" s="658"/>
      <c r="G308" s="658"/>
      <c r="H308" s="658"/>
      <c r="I308" s="658"/>
      <c r="J308" s="658"/>
      <c r="K308" s="658"/>
      <c r="L308" s="658"/>
      <c r="M308" s="662"/>
      <c r="N308" s="662"/>
      <c r="O308" s="662"/>
      <c r="P308" s="662"/>
      <c r="Q308" s="662"/>
      <c r="R308" s="662"/>
      <c r="S308" s="662"/>
      <c r="T308" s="662"/>
      <c r="U308" s="662"/>
      <c r="V308" s="662"/>
      <c r="W308" s="662"/>
      <c r="X308" s="662"/>
      <c r="Y308" s="662"/>
      <c r="Z308" s="662"/>
      <c r="AA308" s="662"/>
      <c r="AB308" s="662"/>
      <c r="AC308" s="662"/>
      <c r="AD308" s="662"/>
      <c r="AE308" s="662"/>
      <c r="AF308" s="662"/>
      <c r="AG308" s="662"/>
      <c r="AH308" s="662"/>
      <c r="AI308" s="662"/>
      <c r="AJ308" s="662"/>
      <c r="AK308" s="662"/>
      <c r="AL308" s="662"/>
      <c r="AM308" s="662"/>
      <c r="AN308" s="662"/>
      <c r="AO308" s="662"/>
      <c r="AP308" s="662"/>
      <c r="AQ308" s="662"/>
      <c r="AR308" s="662"/>
      <c r="AS308" s="662"/>
      <c r="AT308" s="662"/>
      <c r="AU308" s="662"/>
      <c r="AV308" s="662"/>
      <c r="AW308" s="662"/>
      <c r="AX308" s="662"/>
      <c r="AY308" s="662"/>
      <c r="AZ308" s="662"/>
    </row>
    <row r="309" spans="1:52" ht="17.100000000000001" customHeight="1">
      <c r="A309" s="662"/>
      <c r="B309" s="662"/>
      <c r="C309" s="658"/>
      <c r="D309" s="658"/>
      <c r="E309" s="658"/>
      <c r="F309" s="658"/>
      <c r="G309" s="658"/>
      <c r="H309" s="658"/>
      <c r="I309" s="658"/>
      <c r="J309" s="658"/>
      <c r="K309" s="658"/>
      <c r="L309" s="658"/>
      <c r="M309" s="662"/>
      <c r="N309" s="662"/>
      <c r="O309" s="662"/>
      <c r="P309" s="662"/>
      <c r="Q309" s="662"/>
      <c r="R309" s="662"/>
      <c r="S309" s="662"/>
      <c r="T309" s="662"/>
      <c r="U309" s="662"/>
      <c r="V309" s="662"/>
      <c r="W309" s="662"/>
      <c r="X309" s="662"/>
      <c r="Y309" s="662"/>
      <c r="Z309" s="662"/>
      <c r="AA309" s="662"/>
      <c r="AB309" s="662"/>
      <c r="AC309" s="662"/>
      <c r="AD309" s="662"/>
      <c r="AE309" s="662"/>
      <c r="AF309" s="662"/>
      <c r="AG309" s="662"/>
      <c r="AH309" s="662"/>
      <c r="AI309" s="662"/>
      <c r="AJ309" s="662"/>
      <c r="AK309" s="662"/>
      <c r="AL309" s="662"/>
      <c r="AM309" s="662"/>
      <c r="AN309" s="662"/>
      <c r="AO309" s="662"/>
      <c r="AP309" s="662"/>
      <c r="AQ309" s="662"/>
      <c r="AR309" s="662"/>
      <c r="AS309" s="662"/>
      <c r="AT309" s="662"/>
      <c r="AU309" s="662"/>
      <c r="AV309" s="662"/>
      <c r="AW309" s="662"/>
      <c r="AX309" s="662"/>
      <c r="AY309" s="662"/>
      <c r="AZ309" s="662"/>
    </row>
    <row r="310" spans="1:52" ht="17.100000000000001" customHeight="1">
      <c r="A310" s="662"/>
      <c r="B310" s="662"/>
      <c r="C310" s="658"/>
      <c r="D310" s="658"/>
      <c r="E310" s="658"/>
      <c r="F310" s="658"/>
      <c r="G310" s="658"/>
      <c r="H310" s="658"/>
      <c r="I310" s="658"/>
      <c r="J310" s="658"/>
      <c r="K310" s="658"/>
      <c r="L310" s="658"/>
      <c r="M310" s="662"/>
      <c r="N310" s="662"/>
      <c r="O310" s="662"/>
      <c r="P310" s="662"/>
      <c r="Q310" s="662"/>
      <c r="R310" s="662"/>
      <c r="S310" s="662"/>
      <c r="T310" s="662"/>
      <c r="U310" s="662"/>
      <c r="V310" s="662"/>
      <c r="W310" s="662"/>
      <c r="X310" s="662"/>
      <c r="Y310" s="662"/>
      <c r="Z310" s="662"/>
      <c r="AA310" s="662"/>
      <c r="AB310" s="662"/>
      <c r="AC310" s="662"/>
      <c r="AD310" s="662"/>
      <c r="AE310" s="662"/>
      <c r="AF310" s="662"/>
      <c r="AG310" s="662"/>
      <c r="AH310" s="662"/>
      <c r="AI310" s="662"/>
      <c r="AJ310" s="662"/>
      <c r="AK310" s="662"/>
      <c r="AL310" s="662"/>
      <c r="AM310" s="662"/>
      <c r="AN310" s="662"/>
      <c r="AO310" s="662"/>
      <c r="AP310" s="662"/>
      <c r="AQ310" s="662"/>
      <c r="AR310" s="662"/>
      <c r="AS310" s="662"/>
      <c r="AT310" s="662"/>
      <c r="AU310" s="662"/>
      <c r="AV310" s="662"/>
      <c r="AW310" s="662"/>
      <c r="AX310" s="662"/>
      <c r="AY310" s="662"/>
      <c r="AZ310" s="662"/>
    </row>
    <row r="311" spans="1:52" ht="17.100000000000001" customHeight="1">
      <c r="A311" s="662"/>
      <c r="B311" s="662"/>
      <c r="C311" s="658"/>
      <c r="D311" s="658"/>
      <c r="E311" s="658"/>
      <c r="F311" s="658"/>
      <c r="G311" s="658"/>
      <c r="H311" s="658"/>
      <c r="I311" s="658"/>
      <c r="J311" s="658"/>
      <c r="K311" s="658"/>
      <c r="L311" s="658"/>
      <c r="M311" s="662"/>
      <c r="N311" s="662"/>
      <c r="O311" s="662"/>
      <c r="P311" s="662"/>
      <c r="Q311" s="662"/>
      <c r="R311" s="662"/>
      <c r="S311" s="662"/>
      <c r="T311" s="662"/>
      <c r="U311" s="662"/>
      <c r="V311" s="662"/>
      <c r="W311" s="662"/>
      <c r="X311" s="662"/>
      <c r="Y311" s="662"/>
      <c r="Z311" s="662"/>
      <c r="AA311" s="662"/>
      <c r="AB311" s="662"/>
      <c r="AC311" s="662"/>
      <c r="AD311" s="662"/>
      <c r="AE311" s="662"/>
      <c r="AF311" s="662"/>
      <c r="AG311" s="662"/>
      <c r="AH311" s="662"/>
      <c r="AI311" s="662"/>
      <c r="AJ311" s="662"/>
      <c r="AK311" s="662"/>
      <c r="AL311" s="662"/>
      <c r="AM311" s="662"/>
      <c r="AN311" s="662"/>
      <c r="AO311" s="662"/>
      <c r="AP311" s="662"/>
      <c r="AQ311" s="662"/>
      <c r="AR311" s="662"/>
      <c r="AS311" s="662"/>
      <c r="AT311" s="662"/>
      <c r="AU311" s="662"/>
      <c r="AV311" s="662"/>
      <c r="AW311" s="662"/>
      <c r="AX311" s="662"/>
      <c r="AY311" s="662"/>
      <c r="AZ311" s="662"/>
    </row>
    <row r="312" spans="1:52" ht="17.100000000000001" customHeight="1">
      <c r="A312" s="662"/>
      <c r="B312" s="662"/>
      <c r="C312" s="658"/>
      <c r="D312" s="658"/>
      <c r="E312" s="658"/>
      <c r="F312" s="658"/>
      <c r="G312" s="658"/>
      <c r="H312" s="658"/>
      <c r="I312" s="658"/>
      <c r="J312" s="658"/>
      <c r="K312" s="658"/>
      <c r="L312" s="658"/>
      <c r="M312" s="662"/>
      <c r="N312" s="662"/>
      <c r="O312" s="662"/>
      <c r="P312" s="662"/>
      <c r="Q312" s="662"/>
      <c r="R312" s="662"/>
      <c r="S312" s="662"/>
      <c r="T312" s="662"/>
      <c r="U312" s="662"/>
      <c r="V312" s="662"/>
      <c r="W312" s="662"/>
      <c r="X312" s="662"/>
      <c r="Y312" s="662"/>
      <c r="Z312" s="662"/>
      <c r="AA312" s="662"/>
      <c r="AB312" s="662"/>
      <c r="AC312" s="662"/>
      <c r="AD312" s="662"/>
      <c r="AE312" s="662"/>
      <c r="AF312" s="662"/>
      <c r="AG312" s="662"/>
      <c r="AH312" s="662"/>
      <c r="AI312" s="662"/>
      <c r="AJ312" s="662"/>
      <c r="AK312" s="662"/>
      <c r="AL312" s="662"/>
      <c r="AM312" s="662"/>
      <c r="AN312" s="662"/>
      <c r="AO312" s="662"/>
      <c r="AP312" s="662"/>
      <c r="AQ312" s="662"/>
      <c r="AR312" s="662"/>
      <c r="AS312" s="662"/>
      <c r="AT312" s="662"/>
      <c r="AU312" s="662"/>
      <c r="AV312" s="662"/>
      <c r="AW312" s="662"/>
      <c r="AX312" s="662"/>
      <c r="AY312" s="662"/>
      <c r="AZ312" s="662"/>
    </row>
    <row r="313" spans="1:52" ht="17.100000000000001" customHeight="1">
      <c r="A313" s="662"/>
      <c r="B313" s="662"/>
      <c r="C313" s="658"/>
      <c r="D313" s="658"/>
      <c r="E313" s="658"/>
      <c r="F313" s="658"/>
      <c r="G313" s="658"/>
      <c r="H313" s="658"/>
      <c r="I313" s="658"/>
      <c r="J313" s="658"/>
      <c r="K313" s="658"/>
      <c r="L313" s="658"/>
      <c r="M313" s="662"/>
      <c r="N313" s="662"/>
      <c r="O313" s="662"/>
      <c r="P313" s="662"/>
      <c r="Q313" s="662"/>
      <c r="R313" s="662"/>
      <c r="S313" s="662"/>
      <c r="T313" s="662"/>
      <c r="U313" s="662"/>
      <c r="V313" s="662"/>
      <c r="W313" s="662"/>
      <c r="X313" s="662"/>
      <c r="Y313" s="662"/>
      <c r="Z313" s="662"/>
      <c r="AA313" s="662"/>
      <c r="AB313" s="662"/>
      <c r="AC313" s="662"/>
      <c r="AD313" s="662"/>
      <c r="AE313" s="662"/>
      <c r="AF313" s="662"/>
      <c r="AG313" s="662"/>
      <c r="AH313" s="662"/>
      <c r="AI313" s="662"/>
      <c r="AJ313" s="662"/>
      <c r="AK313" s="662"/>
      <c r="AL313" s="662"/>
      <c r="AM313" s="662"/>
      <c r="AN313" s="662"/>
      <c r="AO313" s="662"/>
      <c r="AP313" s="662"/>
      <c r="AQ313" s="662"/>
      <c r="AR313" s="662"/>
      <c r="AS313" s="662"/>
      <c r="AT313" s="662"/>
      <c r="AU313" s="662"/>
      <c r="AV313" s="662"/>
      <c r="AW313" s="662"/>
      <c r="AX313" s="662"/>
      <c r="AY313" s="662"/>
      <c r="AZ313" s="662"/>
    </row>
    <row r="314" spans="1:52" ht="17.100000000000001" customHeight="1">
      <c r="A314" s="662"/>
      <c r="B314" s="662"/>
      <c r="C314" s="658"/>
      <c r="D314" s="658"/>
      <c r="E314" s="658"/>
      <c r="F314" s="658"/>
      <c r="G314" s="658"/>
      <c r="H314" s="658"/>
      <c r="I314" s="658"/>
      <c r="J314" s="658"/>
      <c r="K314" s="658"/>
      <c r="L314" s="658"/>
      <c r="M314" s="662"/>
      <c r="N314" s="662"/>
      <c r="O314" s="662"/>
      <c r="P314" s="662"/>
      <c r="Q314" s="662"/>
      <c r="R314" s="662"/>
      <c r="S314" s="662"/>
      <c r="T314" s="662"/>
      <c r="U314" s="662"/>
      <c r="V314" s="662"/>
      <c r="W314" s="662"/>
      <c r="X314" s="662"/>
      <c r="Y314" s="662"/>
      <c r="Z314" s="662"/>
      <c r="AA314" s="662"/>
      <c r="AB314" s="662"/>
      <c r="AC314" s="662"/>
      <c r="AD314" s="662"/>
      <c r="AE314" s="662"/>
      <c r="AF314" s="662"/>
      <c r="AG314" s="662"/>
      <c r="AH314" s="662"/>
      <c r="AI314" s="662"/>
      <c r="AJ314" s="662"/>
      <c r="AK314" s="662"/>
      <c r="AL314" s="662"/>
      <c r="AM314" s="662"/>
      <c r="AN314" s="662"/>
      <c r="AO314" s="662"/>
      <c r="AP314" s="662"/>
      <c r="AQ314" s="662"/>
      <c r="AR314" s="662"/>
      <c r="AS314" s="662"/>
      <c r="AT314" s="662"/>
      <c r="AU314" s="662"/>
      <c r="AV314" s="662"/>
      <c r="AW314" s="662"/>
      <c r="AX314" s="662"/>
      <c r="AY314" s="662"/>
      <c r="AZ314" s="662"/>
    </row>
    <row r="315" spans="1:52" ht="17.100000000000001" customHeight="1">
      <c r="A315" s="662"/>
      <c r="B315" s="662"/>
      <c r="C315" s="658"/>
      <c r="D315" s="658"/>
      <c r="E315" s="658"/>
      <c r="F315" s="658"/>
      <c r="G315" s="658"/>
      <c r="H315" s="658"/>
      <c r="I315" s="658"/>
      <c r="J315" s="658"/>
      <c r="K315" s="658"/>
      <c r="L315" s="658"/>
      <c r="M315" s="662"/>
      <c r="N315" s="662"/>
      <c r="O315" s="662"/>
      <c r="P315" s="662"/>
      <c r="Q315" s="662"/>
      <c r="R315" s="662"/>
      <c r="S315" s="662"/>
      <c r="T315" s="662"/>
      <c r="U315" s="662"/>
      <c r="V315" s="662"/>
      <c r="W315" s="662"/>
      <c r="X315" s="662"/>
      <c r="Y315" s="662"/>
      <c r="Z315" s="662"/>
      <c r="AA315" s="662"/>
      <c r="AB315" s="662"/>
      <c r="AC315" s="662"/>
      <c r="AD315" s="662"/>
      <c r="AE315" s="662"/>
      <c r="AF315" s="662"/>
      <c r="AG315" s="662"/>
      <c r="AH315" s="662"/>
      <c r="AI315" s="662"/>
      <c r="AJ315" s="662"/>
      <c r="AK315" s="662"/>
      <c r="AL315" s="662"/>
      <c r="AM315" s="662"/>
      <c r="AN315" s="662"/>
      <c r="AO315" s="662"/>
      <c r="AP315" s="662"/>
      <c r="AQ315" s="662"/>
      <c r="AR315" s="662"/>
      <c r="AS315" s="662"/>
      <c r="AT315" s="662"/>
      <c r="AU315" s="662"/>
      <c r="AV315" s="662"/>
      <c r="AW315" s="662"/>
      <c r="AX315" s="662"/>
      <c r="AY315" s="662"/>
      <c r="AZ315" s="662"/>
    </row>
    <row r="316" spans="1:52" ht="17.100000000000001" customHeight="1">
      <c r="A316" s="662"/>
      <c r="B316" s="662"/>
      <c r="C316" s="658"/>
      <c r="D316" s="658"/>
      <c r="E316" s="658"/>
      <c r="F316" s="658"/>
      <c r="G316" s="658"/>
      <c r="H316" s="658"/>
      <c r="I316" s="658"/>
      <c r="J316" s="658"/>
      <c r="K316" s="658"/>
      <c r="L316" s="658"/>
      <c r="M316" s="662"/>
      <c r="N316" s="662"/>
      <c r="O316" s="662"/>
      <c r="P316" s="662"/>
      <c r="Q316" s="662"/>
      <c r="R316" s="662"/>
      <c r="S316" s="662"/>
      <c r="T316" s="662"/>
      <c r="U316" s="662"/>
      <c r="V316" s="662"/>
      <c r="W316" s="662"/>
      <c r="X316" s="662"/>
      <c r="Y316" s="662"/>
      <c r="Z316" s="662"/>
      <c r="AA316" s="662"/>
      <c r="AB316" s="662"/>
      <c r="AC316" s="662"/>
      <c r="AD316" s="662"/>
      <c r="AE316" s="662"/>
      <c r="AF316" s="662"/>
      <c r="AG316" s="662"/>
      <c r="AH316" s="662"/>
      <c r="AI316" s="662"/>
      <c r="AJ316" s="662"/>
      <c r="AK316" s="662"/>
      <c r="AL316" s="662"/>
      <c r="AM316" s="662"/>
      <c r="AN316" s="662"/>
      <c r="AO316" s="662"/>
      <c r="AP316" s="662"/>
      <c r="AQ316" s="662"/>
      <c r="AR316" s="662"/>
      <c r="AS316" s="662"/>
      <c r="AT316" s="662"/>
      <c r="AU316" s="662"/>
      <c r="AV316" s="662"/>
      <c r="AW316" s="662"/>
      <c r="AX316" s="662"/>
      <c r="AY316" s="662"/>
      <c r="AZ316" s="662"/>
    </row>
    <row r="317" spans="1:52" ht="17.100000000000001" customHeight="1">
      <c r="A317" s="662"/>
      <c r="B317" s="662"/>
      <c r="C317" s="658"/>
      <c r="D317" s="658"/>
      <c r="E317" s="658"/>
      <c r="F317" s="658"/>
      <c r="G317" s="658"/>
      <c r="H317" s="658"/>
      <c r="I317" s="658"/>
      <c r="J317" s="658"/>
      <c r="K317" s="658"/>
      <c r="L317" s="658"/>
      <c r="M317" s="662"/>
      <c r="N317" s="662"/>
      <c r="O317" s="662"/>
      <c r="P317" s="662"/>
      <c r="Q317" s="662"/>
      <c r="R317" s="662"/>
      <c r="S317" s="662"/>
      <c r="T317" s="662"/>
      <c r="U317" s="662"/>
      <c r="V317" s="662"/>
      <c r="W317" s="662"/>
      <c r="X317" s="662"/>
      <c r="Y317" s="662"/>
      <c r="Z317" s="662"/>
      <c r="AA317" s="662"/>
      <c r="AB317" s="662"/>
      <c r="AC317" s="662"/>
      <c r="AD317" s="662"/>
      <c r="AE317" s="662"/>
      <c r="AF317" s="662"/>
      <c r="AG317" s="662"/>
      <c r="AH317" s="662"/>
      <c r="AI317" s="662"/>
      <c r="AJ317" s="662"/>
      <c r="AK317" s="662"/>
      <c r="AL317" s="662"/>
      <c r="AM317" s="662"/>
      <c r="AN317" s="662"/>
      <c r="AO317" s="662"/>
      <c r="AP317" s="662"/>
      <c r="AQ317" s="662"/>
      <c r="AR317" s="662"/>
      <c r="AS317" s="662"/>
      <c r="AT317" s="662"/>
      <c r="AU317" s="662"/>
      <c r="AV317" s="662"/>
      <c r="AW317" s="662"/>
      <c r="AX317" s="662"/>
      <c r="AY317" s="662"/>
      <c r="AZ317" s="662"/>
    </row>
    <row r="318" spans="1:52" ht="17.100000000000001" customHeight="1">
      <c r="A318" s="662"/>
      <c r="B318" s="662"/>
      <c r="C318" s="658"/>
      <c r="D318" s="658"/>
      <c r="E318" s="658"/>
      <c r="F318" s="658"/>
      <c r="G318" s="658"/>
      <c r="H318" s="658"/>
      <c r="I318" s="658"/>
      <c r="J318" s="658"/>
      <c r="K318" s="658"/>
      <c r="L318" s="658"/>
      <c r="M318" s="662"/>
      <c r="N318" s="662"/>
      <c r="O318" s="662"/>
      <c r="P318" s="662"/>
      <c r="Q318" s="662"/>
      <c r="R318" s="662"/>
      <c r="S318" s="662"/>
      <c r="T318" s="662"/>
      <c r="U318" s="662"/>
      <c r="V318" s="662"/>
      <c r="W318" s="662"/>
      <c r="X318" s="662"/>
      <c r="Y318" s="662"/>
      <c r="Z318" s="662"/>
      <c r="AA318" s="662"/>
      <c r="AB318" s="662"/>
      <c r="AC318" s="662"/>
      <c r="AD318" s="662"/>
      <c r="AE318" s="662"/>
      <c r="AF318" s="662"/>
      <c r="AG318" s="662"/>
      <c r="AH318" s="662"/>
      <c r="AI318" s="662"/>
      <c r="AJ318" s="662"/>
      <c r="AK318" s="662"/>
      <c r="AL318" s="662"/>
      <c r="AM318" s="662"/>
      <c r="AN318" s="662"/>
      <c r="AO318" s="662"/>
      <c r="AP318" s="662"/>
      <c r="AQ318" s="662"/>
      <c r="AR318" s="662"/>
      <c r="AS318" s="662"/>
      <c r="AT318" s="662"/>
      <c r="AU318" s="662"/>
      <c r="AV318" s="662"/>
      <c r="AW318" s="662"/>
      <c r="AX318" s="662"/>
      <c r="AY318" s="662"/>
      <c r="AZ318" s="662"/>
    </row>
    <row r="319" spans="1:52" ht="17.100000000000001" customHeight="1">
      <c r="A319" s="662"/>
      <c r="B319" s="662"/>
      <c r="C319" s="658"/>
      <c r="D319" s="658"/>
      <c r="E319" s="658"/>
      <c r="F319" s="658"/>
      <c r="G319" s="658"/>
      <c r="H319" s="658"/>
      <c r="I319" s="658"/>
      <c r="J319" s="658"/>
      <c r="K319" s="658"/>
      <c r="L319" s="658"/>
      <c r="M319" s="662"/>
      <c r="N319" s="662"/>
      <c r="O319" s="662"/>
      <c r="P319" s="662"/>
      <c r="Q319" s="662"/>
      <c r="R319" s="662"/>
      <c r="S319" s="662"/>
      <c r="T319" s="662"/>
      <c r="U319" s="662"/>
      <c r="V319" s="662"/>
      <c r="W319" s="662"/>
      <c r="X319" s="662"/>
      <c r="Y319" s="662"/>
      <c r="Z319" s="662"/>
      <c r="AA319" s="662"/>
      <c r="AB319" s="662"/>
      <c r="AC319" s="662"/>
      <c r="AD319" s="662"/>
      <c r="AE319" s="662"/>
      <c r="AF319" s="662"/>
      <c r="AG319" s="662"/>
      <c r="AH319" s="662"/>
      <c r="AI319" s="662"/>
      <c r="AJ319" s="662"/>
      <c r="AK319" s="662"/>
      <c r="AL319" s="662"/>
      <c r="AM319" s="662"/>
      <c r="AN319" s="662"/>
      <c r="AO319" s="662"/>
      <c r="AP319" s="662"/>
      <c r="AQ319" s="662"/>
      <c r="AR319" s="662"/>
      <c r="AS319" s="662"/>
      <c r="AT319" s="662"/>
      <c r="AU319" s="662"/>
      <c r="AV319" s="662"/>
      <c r="AW319" s="662"/>
      <c r="AX319" s="662"/>
      <c r="AY319" s="662"/>
      <c r="AZ319" s="662"/>
    </row>
    <row r="320" spans="1:52" ht="17.100000000000001" customHeight="1">
      <c r="A320" s="662"/>
      <c r="B320" s="662"/>
      <c r="C320" s="658"/>
      <c r="D320" s="658"/>
      <c r="E320" s="658"/>
      <c r="F320" s="658"/>
      <c r="G320" s="658"/>
      <c r="H320" s="658"/>
      <c r="I320" s="658"/>
      <c r="J320" s="658"/>
      <c r="K320" s="658"/>
      <c r="L320" s="658"/>
      <c r="M320" s="662"/>
      <c r="N320" s="662"/>
      <c r="O320" s="662"/>
      <c r="P320" s="662"/>
      <c r="Q320" s="662"/>
      <c r="R320" s="662"/>
      <c r="S320" s="662"/>
      <c r="T320" s="662"/>
      <c r="U320" s="662"/>
      <c r="V320" s="662"/>
      <c r="W320" s="662"/>
      <c r="X320" s="662"/>
      <c r="Y320" s="662"/>
      <c r="Z320" s="662"/>
      <c r="AA320" s="662"/>
      <c r="AB320" s="662"/>
      <c r="AC320" s="662"/>
      <c r="AD320" s="662"/>
      <c r="AE320" s="662"/>
      <c r="AF320" s="662"/>
      <c r="AG320" s="662"/>
      <c r="AH320" s="662"/>
      <c r="AI320" s="662"/>
      <c r="AJ320" s="662"/>
      <c r="AK320" s="662"/>
      <c r="AL320" s="662"/>
      <c r="AM320" s="662"/>
      <c r="AN320" s="662"/>
      <c r="AO320" s="662"/>
      <c r="AP320" s="662"/>
      <c r="AQ320" s="662"/>
      <c r="AR320" s="662"/>
      <c r="AS320" s="662"/>
      <c r="AT320" s="662"/>
      <c r="AU320" s="662"/>
      <c r="AV320" s="662"/>
      <c r="AW320" s="662"/>
      <c r="AX320" s="662"/>
      <c r="AY320" s="662"/>
      <c r="AZ320" s="662"/>
    </row>
    <row r="321" spans="1:52" ht="17.100000000000001" customHeight="1">
      <c r="A321" s="662"/>
      <c r="B321" s="662"/>
      <c r="C321" s="658"/>
      <c r="D321" s="658"/>
      <c r="E321" s="658"/>
      <c r="F321" s="658"/>
      <c r="G321" s="658"/>
      <c r="H321" s="658"/>
      <c r="I321" s="658"/>
      <c r="J321" s="658"/>
      <c r="K321" s="658"/>
      <c r="L321" s="658"/>
      <c r="M321" s="662"/>
      <c r="N321" s="662"/>
      <c r="O321" s="662"/>
      <c r="P321" s="662"/>
      <c r="Q321" s="662"/>
      <c r="R321" s="662"/>
      <c r="S321" s="662"/>
      <c r="T321" s="662"/>
      <c r="U321" s="662"/>
      <c r="V321" s="662"/>
      <c r="W321" s="662"/>
      <c r="X321" s="662"/>
      <c r="Y321" s="662"/>
      <c r="Z321" s="662"/>
      <c r="AA321" s="662"/>
      <c r="AB321" s="662"/>
      <c r="AC321" s="662"/>
      <c r="AD321" s="662"/>
      <c r="AE321" s="662"/>
      <c r="AF321" s="662"/>
      <c r="AG321" s="662"/>
      <c r="AH321" s="662"/>
      <c r="AI321" s="662"/>
      <c r="AJ321" s="662"/>
      <c r="AK321" s="662"/>
      <c r="AL321" s="662"/>
      <c r="AM321" s="662"/>
      <c r="AN321" s="662"/>
      <c r="AO321" s="662"/>
      <c r="AP321" s="662"/>
      <c r="AQ321" s="662"/>
      <c r="AR321" s="662"/>
      <c r="AS321" s="662"/>
      <c r="AT321" s="662"/>
      <c r="AU321" s="662"/>
      <c r="AV321" s="662"/>
      <c r="AW321" s="662"/>
      <c r="AX321" s="662"/>
      <c r="AY321" s="662"/>
      <c r="AZ321" s="662"/>
    </row>
    <row r="322" spans="1:52" ht="17.100000000000001" customHeight="1">
      <c r="A322" s="662"/>
      <c r="B322" s="662"/>
      <c r="C322" s="658"/>
      <c r="D322" s="658"/>
      <c r="E322" s="658"/>
      <c r="F322" s="658"/>
      <c r="G322" s="658"/>
      <c r="H322" s="658"/>
      <c r="I322" s="658"/>
      <c r="J322" s="658"/>
      <c r="K322" s="658"/>
      <c r="L322" s="658"/>
      <c r="M322" s="662"/>
      <c r="N322" s="662"/>
      <c r="O322" s="662"/>
      <c r="P322" s="662"/>
      <c r="Q322" s="662"/>
      <c r="R322" s="662"/>
      <c r="S322" s="662"/>
      <c r="T322" s="662"/>
      <c r="U322" s="662"/>
      <c r="V322" s="662"/>
      <c r="W322" s="662"/>
      <c r="X322" s="662"/>
      <c r="Y322" s="662"/>
      <c r="Z322" s="662"/>
      <c r="AA322" s="662"/>
      <c r="AB322" s="662"/>
      <c r="AC322" s="662"/>
      <c r="AD322" s="662"/>
      <c r="AE322" s="662"/>
      <c r="AF322" s="662"/>
      <c r="AG322" s="662"/>
      <c r="AH322" s="662"/>
      <c r="AI322" s="662"/>
      <c r="AJ322" s="662"/>
      <c r="AK322" s="662"/>
      <c r="AL322" s="662"/>
      <c r="AM322" s="662"/>
      <c r="AN322" s="662"/>
      <c r="AO322" s="662"/>
      <c r="AP322" s="662"/>
      <c r="AQ322" s="662"/>
      <c r="AR322" s="662"/>
      <c r="AS322" s="662"/>
      <c r="AT322" s="662"/>
      <c r="AU322" s="662"/>
      <c r="AV322" s="662"/>
      <c r="AW322" s="662"/>
      <c r="AX322" s="662"/>
      <c r="AY322" s="662"/>
      <c r="AZ322" s="662"/>
    </row>
    <row r="323" spans="1:52" ht="17.100000000000001" customHeight="1">
      <c r="A323" s="662"/>
      <c r="B323" s="662"/>
      <c r="C323" s="658"/>
      <c r="D323" s="658"/>
      <c r="E323" s="658"/>
      <c r="F323" s="658"/>
      <c r="G323" s="658"/>
      <c r="H323" s="658"/>
      <c r="I323" s="658"/>
      <c r="J323" s="658"/>
      <c r="K323" s="658"/>
      <c r="L323" s="658"/>
      <c r="M323" s="662"/>
      <c r="N323" s="662"/>
      <c r="O323" s="662"/>
      <c r="P323" s="662"/>
      <c r="Q323" s="662"/>
      <c r="R323" s="662"/>
      <c r="S323" s="662"/>
      <c r="T323" s="662"/>
      <c r="U323" s="662"/>
      <c r="V323" s="662"/>
      <c r="W323" s="662"/>
      <c r="X323" s="662"/>
      <c r="Y323" s="662"/>
      <c r="Z323" s="662"/>
      <c r="AA323" s="662"/>
      <c r="AB323" s="662"/>
      <c r="AC323" s="662"/>
      <c r="AD323" s="662"/>
      <c r="AE323" s="662"/>
      <c r="AF323" s="662"/>
      <c r="AG323" s="662"/>
      <c r="AH323" s="662"/>
      <c r="AI323" s="662"/>
      <c r="AJ323" s="662"/>
      <c r="AK323" s="662"/>
      <c r="AL323" s="662"/>
      <c r="AM323" s="662"/>
      <c r="AN323" s="662"/>
      <c r="AO323" s="662"/>
      <c r="AP323" s="662"/>
      <c r="AQ323" s="662"/>
      <c r="AR323" s="662"/>
      <c r="AS323" s="662"/>
      <c r="AT323" s="662"/>
      <c r="AU323" s="662"/>
      <c r="AV323" s="662"/>
      <c r="AW323" s="662"/>
      <c r="AX323" s="662"/>
      <c r="AY323" s="662"/>
      <c r="AZ323" s="662"/>
    </row>
    <row r="324" spans="1:52" ht="17.100000000000001" customHeight="1">
      <c r="A324" s="662"/>
      <c r="B324" s="662"/>
      <c r="C324" s="658"/>
      <c r="D324" s="658"/>
      <c r="E324" s="658"/>
      <c r="F324" s="658"/>
      <c r="G324" s="658"/>
      <c r="H324" s="658"/>
      <c r="I324" s="658"/>
      <c r="J324" s="658"/>
      <c r="K324" s="658"/>
      <c r="L324" s="658"/>
      <c r="M324" s="662"/>
      <c r="N324" s="662"/>
      <c r="O324" s="662"/>
      <c r="P324" s="662"/>
      <c r="Q324" s="662"/>
      <c r="R324" s="662"/>
      <c r="S324" s="662"/>
      <c r="T324" s="662"/>
      <c r="U324" s="662"/>
      <c r="V324" s="662"/>
      <c r="W324" s="662"/>
      <c r="X324" s="662"/>
      <c r="Y324" s="662"/>
      <c r="Z324" s="662"/>
      <c r="AA324" s="662"/>
      <c r="AB324" s="662"/>
      <c r="AC324" s="662"/>
      <c r="AD324" s="662"/>
      <c r="AE324" s="662"/>
      <c r="AF324" s="662"/>
      <c r="AG324" s="662"/>
      <c r="AH324" s="662"/>
      <c r="AI324" s="662"/>
      <c r="AJ324" s="662"/>
      <c r="AK324" s="662"/>
      <c r="AL324" s="662"/>
      <c r="AM324" s="662"/>
      <c r="AN324" s="662"/>
      <c r="AO324" s="662"/>
      <c r="AP324" s="662"/>
      <c r="AQ324" s="662"/>
      <c r="AR324" s="662"/>
      <c r="AS324" s="662"/>
      <c r="AT324" s="662"/>
      <c r="AU324" s="662"/>
      <c r="AV324" s="662"/>
      <c r="AW324" s="662"/>
      <c r="AX324" s="662"/>
      <c r="AY324" s="662"/>
      <c r="AZ324" s="662"/>
    </row>
    <row r="325" spans="1:52" ht="17.100000000000001" customHeight="1">
      <c r="A325" s="662"/>
      <c r="B325" s="662"/>
      <c r="C325" s="658"/>
      <c r="D325" s="658"/>
      <c r="E325" s="658"/>
      <c r="F325" s="658"/>
      <c r="G325" s="658"/>
      <c r="H325" s="658"/>
      <c r="I325" s="658"/>
      <c r="J325" s="658"/>
      <c r="K325" s="658"/>
      <c r="L325" s="658"/>
      <c r="M325" s="662"/>
      <c r="N325" s="662"/>
      <c r="O325" s="662"/>
      <c r="P325" s="662"/>
      <c r="Q325" s="662"/>
      <c r="R325" s="662"/>
      <c r="S325" s="662"/>
      <c r="T325" s="662"/>
      <c r="U325" s="662"/>
      <c r="V325" s="662"/>
      <c r="W325" s="662"/>
      <c r="X325" s="662"/>
      <c r="Y325" s="662"/>
      <c r="Z325" s="662"/>
      <c r="AA325" s="662"/>
      <c r="AB325" s="662"/>
      <c r="AC325" s="662"/>
      <c r="AD325" s="662"/>
      <c r="AE325" s="662"/>
      <c r="AF325" s="662"/>
      <c r="AG325" s="662"/>
      <c r="AH325" s="662"/>
      <c r="AI325" s="662"/>
      <c r="AJ325" s="662"/>
      <c r="AK325" s="662"/>
      <c r="AL325" s="662"/>
      <c r="AM325" s="662"/>
      <c r="AN325" s="662"/>
      <c r="AO325" s="662"/>
      <c r="AP325" s="662"/>
      <c r="AQ325" s="662"/>
      <c r="AR325" s="662"/>
      <c r="AS325" s="662"/>
      <c r="AT325" s="662"/>
      <c r="AU325" s="662"/>
      <c r="AV325" s="662"/>
      <c r="AW325" s="662"/>
      <c r="AX325" s="662"/>
      <c r="AY325" s="662"/>
      <c r="AZ325" s="662"/>
    </row>
  </sheetData>
  <phoneticPr fontId="21" type="noConversion"/>
  <pageMargins left="0.75" right="0.75" top="1" bottom="1" header="0.5" footer="0.5"/>
  <pageSetup paperSize="9" firstPageNumber="4294963191"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33" r:id="rId4" name="Drop Down 25">
              <controlPr defaultSize="0" autoLine="0" autoPict="0">
                <anchor moveWithCells="1">
                  <from>
                    <xdr:col>1</xdr:col>
                    <xdr:colOff>9525</xdr:colOff>
                    <xdr:row>3</xdr:row>
                    <xdr:rowOff>9525</xdr:rowOff>
                  </from>
                  <to>
                    <xdr:col>1</xdr:col>
                    <xdr:colOff>1552575</xdr:colOff>
                    <xdr:row>3</xdr:row>
                    <xdr:rowOff>200025</xdr:rowOff>
                  </to>
                </anchor>
              </controlPr>
            </control>
          </mc:Choice>
        </mc:AlternateContent>
        <mc:AlternateContent xmlns:mc="http://schemas.openxmlformats.org/markup-compatibility/2006">
          <mc:Choice Requires="x14">
            <control shapeId="17435" r:id="rId5" name="Drop Down 27">
              <controlPr defaultSize="0" autoLine="0" autoPict="0">
                <anchor moveWithCells="1">
                  <from>
                    <xdr:col>1</xdr:col>
                    <xdr:colOff>9525</xdr:colOff>
                    <xdr:row>4</xdr:row>
                    <xdr:rowOff>0</xdr:rowOff>
                  </from>
                  <to>
                    <xdr:col>1</xdr:col>
                    <xdr:colOff>1552575</xdr:colOff>
                    <xdr:row>4</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M82"/>
  <sheetViews>
    <sheetView workbookViewId="0">
      <selection activeCell="K20" sqref="K20"/>
    </sheetView>
  </sheetViews>
  <sheetFormatPr defaultColWidth="9" defaultRowHeight="14.25"/>
  <cols>
    <col min="1" max="1" width="3.5" bestFit="1" customWidth="1"/>
    <col min="2" max="2" width="27.75" customWidth="1"/>
    <col min="3" max="3" width="10.5" bestFit="1" customWidth="1"/>
    <col min="6" max="6" width="11.625" bestFit="1" customWidth="1"/>
    <col min="7" max="9" width="9.5" bestFit="1" customWidth="1"/>
    <col min="10" max="10" width="9.875" customWidth="1"/>
    <col min="13" max="13" width="11.625" bestFit="1" customWidth="1"/>
  </cols>
  <sheetData>
    <row r="1" spans="1:13">
      <c r="B1" s="302" t="s">
        <v>343</v>
      </c>
      <c r="C1" t="s">
        <v>344</v>
      </c>
      <c r="D1" t="s">
        <v>345</v>
      </c>
    </row>
    <row r="2" spans="1:13">
      <c r="B2" s="302" t="s">
        <v>346</v>
      </c>
      <c r="C2">
        <v>5</v>
      </c>
    </row>
    <row r="3" spans="1:13">
      <c r="B3" s="302" t="s">
        <v>347</v>
      </c>
      <c r="C3">
        <v>5</v>
      </c>
    </row>
    <row r="4" spans="1:13">
      <c r="B4" s="302" t="s">
        <v>348</v>
      </c>
      <c r="C4" t="s">
        <v>349</v>
      </c>
    </row>
    <row r="5" spans="1:13">
      <c r="B5" s="302" t="s">
        <v>350</v>
      </c>
      <c r="C5">
        <v>76</v>
      </c>
    </row>
    <row r="6" spans="1:13">
      <c r="A6" s="303" t="s">
        <v>351</v>
      </c>
      <c r="B6" s="303" t="s">
        <v>352</v>
      </c>
      <c r="C6" s="303" t="s">
        <v>353</v>
      </c>
      <c r="D6" s="303" t="s">
        <v>354</v>
      </c>
      <c r="E6" s="303" t="s">
        <v>355</v>
      </c>
      <c r="F6" s="303" t="s">
        <v>356</v>
      </c>
      <c r="G6" s="303" t="s">
        <v>357</v>
      </c>
      <c r="H6" s="303" t="s">
        <v>358</v>
      </c>
      <c r="I6" s="303" t="s">
        <v>359</v>
      </c>
      <c r="J6" s="303" t="s">
        <v>353</v>
      </c>
      <c r="K6" s="303" t="s">
        <v>354</v>
      </c>
      <c r="L6" s="303" t="s">
        <v>355</v>
      </c>
      <c r="M6" s="303" t="s">
        <v>356</v>
      </c>
    </row>
    <row r="7" spans="1:13">
      <c r="A7">
        <v>1</v>
      </c>
      <c r="B7" t="s">
        <v>78</v>
      </c>
      <c r="C7" t="s">
        <v>22</v>
      </c>
      <c r="D7" t="s">
        <v>360</v>
      </c>
      <c r="E7" t="s">
        <v>18</v>
      </c>
      <c r="F7" t="s">
        <v>361</v>
      </c>
      <c r="G7">
        <v>1</v>
      </c>
      <c r="H7" t="s">
        <v>362</v>
      </c>
      <c r="I7">
        <v>0</v>
      </c>
      <c r="J7" t="s">
        <v>22</v>
      </c>
      <c r="K7" t="s">
        <v>363</v>
      </c>
      <c r="L7" t="s">
        <v>18</v>
      </c>
      <c r="M7" t="s">
        <v>174</v>
      </c>
    </row>
    <row r="8" spans="1:13">
      <c r="A8">
        <v>2</v>
      </c>
      <c r="B8" t="s">
        <v>364</v>
      </c>
      <c r="C8" t="s">
        <v>22</v>
      </c>
      <c r="D8" t="s">
        <v>365</v>
      </c>
      <c r="E8" t="s">
        <v>18</v>
      </c>
      <c r="F8" t="s">
        <v>366</v>
      </c>
    </row>
    <row r="9" spans="1:13">
      <c r="A9">
        <v>3</v>
      </c>
      <c r="B9" t="s">
        <v>367</v>
      </c>
      <c r="C9" t="s">
        <v>22</v>
      </c>
      <c r="D9" t="s">
        <v>368</v>
      </c>
      <c r="E9" t="s">
        <v>18</v>
      </c>
      <c r="F9" t="s">
        <v>369</v>
      </c>
    </row>
    <row r="10" spans="1:13">
      <c r="A10">
        <v>4</v>
      </c>
      <c r="B10" t="s">
        <v>96</v>
      </c>
      <c r="C10" t="s">
        <v>22</v>
      </c>
      <c r="D10" t="s">
        <v>370</v>
      </c>
      <c r="E10" t="s">
        <v>18</v>
      </c>
      <c r="F10" t="s">
        <v>371</v>
      </c>
    </row>
    <row r="11" spans="1:13">
      <c r="A11">
        <v>5</v>
      </c>
      <c r="B11" t="s">
        <v>372</v>
      </c>
      <c r="C11" t="s">
        <v>22</v>
      </c>
      <c r="D11" t="s">
        <v>373</v>
      </c>
      <c r="E11" t="s">
        <v>18</v>
      </c>
      <c r="F11" t="s">
        <v>374</v>
      </c>
    </row>
    <row r="12" spans="1:13">
      <c r="A12">
        <v>6</v>
      </c>
      <c r="B12" t="s">
        <v>188</v>
      </c>
      <c r="C12" t="s">
        <v>22</v>
      </c>
      <c r="D12" t="s">
        <v>375</v>
      </c>
      <c r="E12" t="s">
        <v>18</v>
      </c>
      <c r="F12" t="s">
        <v>376</v>
      </c>
    </row>
    <row r="13" spans="1:13">
      <c r="A13">
        <v>7</v>
      </c>
      <c r="B13" t="s">
        <v>190</v>
      </c>
      <c r="C13" t="s">
        <v>22</v>
      </c>
      <c r="D13" t="s">
        <v>377</v>
      </c>
      <c r="E13" t="s">
        <v>18</v>
      </c>
      <c r="F13" t="s">
        <v>378</v>
      </c>
    </row>
    <row r="14" spans="1:13">
      <c r="A14">
        <v>8</v>
      </c>
      <c r="B14" t="s">
        <v>192</v>
      </c>
      <c r="C14" t="s">
        <v>22</v>
      </c>
      <c r="D14" t="s">
        <v>379</v>
      </c>
      <c r="E14" t="s">
        <v>18</v>
      </c>
      <c r="F14" t="s">
        <v>380</v>
      </c>
    </row>
    <row r="15" spans="1:13">
      <c r="A15">
        <v>9</v>
      </c>
      <c r="B15" t="s">
        <v>194</v>
      </c>
      <c r="C15" t="s">
        <v>22</v>
      </c>
      <c r="D15" t="s">
        <v>381</v>
      </c>
      <c r="E15" t="s">
        <v>18</v>
      </c>
      <c r="F15" t="s">
        <v>382</v>
      </c>
    </row>
    <row r="16" spans="1:13">
      <c r="A16">
        <v>10</v>
      </c>
      <c r="B16" t="s">
        <v>195</v>
      </c>
      <c r="C16" t="s">
        <v>22</v>
      </c>
      <c r="D16" t="s">
        <v>383</v>
      </c>
      <c r="E16" t="s">
        <v>18</v>
      </c>
      <c r="F16" t="s">
        <v>384</v>
      </c>
    </row>
    <row r="17" spans="1:6">
      <c r="A17">
        <v>11</v>
      </c>
      <c r="B17" t="s">
        <v>197</v>
      </c>
      <c r="C17" t="s">
        <v>22</v>
      </c>
      <c r="D17" t="s">
        <v>385</v>
      </c>
      <c r="E17" t="s">
        <v>18</v>
      </c>
      <c r="F17" t="s">
        <v>386</v>
      </c>
    </row>
    <row r="18" spans="1:6">
      <c r="A18">
        <v>12</v>
      </c>
      <c r="B18" t="s">
        <v>199</v>
      </c>
      <c r="C18" t="s">
        <v>22</v>
      </c>
      <c r="D18" t="s">
        <v>387</v>
      </c>
      <c r="E18" t="s">
        <v>18</v>
      </c>
      <c r="F18" t="s">
        <v>388</v>
      </c>
    </row>
    <row r="19" spans="1:6">
      <c r="A19">
        <v>13</v>
      </c>
      <c r="B19" t="s">
        <v>201</v>
      </c>
      <c r="C19" t="s">
        <v>22</v>
      </c>
      <c r="D19" t="s">
        <v>389</v>
      </c>
      <c r="E19" t="s">
        <v>18</v>
      </c>
      <c r="F19" t="s">
        <v>390</v>
      </c>
    </row>
    <row r="20" spans="1:6">
      <c r="A20">
        <v>14</v>
      </c>
      <c r="B20" t="s">
        <v>203</v>
      </c>
      <c r="C20" t="s">
        <v>22</v>
      </c>
      <c r="D20" t="s">
        <v>391</v>
      </c>
      <c r="E20" t="s">
        <v>18</v>
      </c>
      <c r="F20" t="s">
        <v>392</v>
      </c>
    </row>
    <row r="21" spans="1:6">
      <c r="A21">
        <v>15</v>
      </c>
      <c r="B21" t="s">
        <v>205</v>
      </c>
      <c r="C21" t="s">
        <v>22</v>
      </c>
      <c r="D21" t="s">
        <v>393</v>
      </c>
      <c r="E21" t="s">
        <v>18</v>
      </c>
      <c r="F21" t="s">
        <v>394</v>
      </c>
    </row>
    <row r="22" spans="1:6">
      <c r="A22">
        <v>16</v>
      </c>
      <c r="B22" t="s">
        <v>395</v>
      </c>
      <c r="C22" t="s">
        <v>22</v>
      </c>
      <c r="D22" t="s">
        <v>396</v>
      </c>
      <c r="E22" t="s">
        <v>18</v>
      </c>
      <c r="F22" t="s">
        <v>397</v>
      </c>
    </row>
    <row r="23" spans="1:6">
      <c r="A23">
        <v>17</v>
      </c>
      <c r="B23" t="s">
        <v>209</v>
      </c>
      <c r="C23" t="s">
        <v>22</v>
      </c>
      <c r="D23" t="s">
        <v>398</v>
      </c>
      <c r="E23" t="s">
        <v>18</v>
      </c>
      <c r="F23" t="s">
        <v>399</v>
      </c>
    </row>
    <row r="24" spans="1:6">
      <c r="A24">
        <v>18</v>
      </c>
      <c r="B24" t="s">
        <v>214</v>
      </c>
      <c r="C24" t="s">
        <v>26</v>
      </c>
      <c r="D24" t="s">
        <v>400</v>
      </c>
      <c r="E24" t="s">
        <v>18</v>
      </c>
      <c r="F24" t="s">
        <v>401</v>
      </c>
    </row>
    <row r="25" spans="1:6">
      <c r="A25">
        <v>19</v>
      </c>
      <c r="B25" t="s">
        <v>219</v>
      </c>
      <c r="C25" t="s">
        <v>26</v>
      </c>
      <c r="D25" t="s">
        <v>402</v>
      </c>
      <c r="E25" t="s">
        <v>18</v>
      </c>
      <c r="F25" t="s">
        <v>403</v>
      </c>
    </row>
    <row r="26" spans="1:6">
      <c r="A26">
        <v>20</v>
      </c>
      <c r="B26" t="s">
        <v>231</v>
      </c>
      <c r="C26" t="s">
        <v>26</v>
      </c>
      <c r="D26" t="s">
        <v>404</v>
      </c>
      <c r="E26" t="s">
        <v>18</v>
      </c>
      <c r="F26" t="s">
        <v>405</v>
      </c>
    </row>
    <row r="27" spans="1:6">
      <c r="A27">
        <v>21</v>
      </c>
      <c r="B27" t="s">
        <v>229</v>
      </c>
      <c r="C27" t="s">
        <v>26</v>
      </c>
      <c r="D27" t="s">
        <v>406</v>
      </c>
      <c r="E27" t="s">
        <v>18</v>
      </c>
      <c r="F27" t="s">
        <v>407</v>
      </c>
    </row>
    <row r="28" spans="1:6">
      <c r="A28">
        <v>22</v>
      </c>
      <c r="B28" t="s">
        <v>408</v>
      </c>
      <c r="C28" t="s">
        <v>26</v>
      </c>
      <c r="D28" t="s">
        <v>409</v>
      </c>
      <c r="E28" t="s">
        <v>18</v>
      </c>
      <c r="F28" t="s">
        <v>410</v>
      </c>
    </row>
    <row r="29" spans="1:6">
      <c r="A29">
        <v>23</v>
      </c>
      <c r="B29" t="s">
        <v>233</v>
      </c>
      <c r="C29" t="s">
        <v>26</v>
      </c>
      <c r="D29" t="s">
        <v>411</v>
      </c>
      <c r="E29" t="s">
        <v>18</v>
      </c>
      <c r="F29" t="s">
        <v>377</v>
      </c>
    </row>
    <row r="30" spans="1:6">
      <c r="A30">
        <v>24</v>
      </c>
      <c r="B30" t="s">
        <v>801</v>
      </c>
      <c r="C30" t="s">
        <v>26</v>
      </c>
      <c r="D30" t="s">
        <v>462</v>
      </c>
      <c r="E30" t="s">
        <v>18</v>
      </c>
      <c r="F30" t="s">
        <v>802</v>
      </c>
    </row>
    <row r="31" spans="1:6">
      <c r="A31">
        <v>25</v>
      </c>
      <c r="B31" t="s">
        <v>235</v>
      </c>
      <c r="C31" t="s">
        <v>26</v>
      </c>
      <c r="D31" t="s">
        <v>412</v>
      </c>
      <c r="E31" t="s">
        <v>18</v>
      </c>
      <c r="F31" t="s">
        <v>381</v>
      </c>
    </row>
    <row r="32" spans="1:6">
      <c r="A32">
        <v>26</v>
      </c>
      <c r="B32" t="s">
        <v>236</v>
      </c>
      <c r="C32" t="s">
        <v>26</v>
      </c>
      <c r="D32" t="s">
        <v>413</v>
      </c>
      <c r="E32" t="s">
        <v>18</v>
      </c>
      <c r="F32" t="s">
        <v>383</v>
      </c>
    </row>
    <row r="33" spans="1:6">
      <c r="A33">
        <v>27</v>
      </c>
      <c r="B33" t="s">
        <v>238</v>
      </c>
      <c r="C33" t="s">
        <v>26</v>
      </c>
      <c r="D33" t="s">
        <v>414</v>
      </c>
      <c r="E33" t="s">
        <v>18</v>
      </c>
      <c r="F33" t="s">
        <v>803</v>
      </c>
    </row>
    <row r="34" spans="1:6">
      <c r="A34">
        <v>28</v>
      </c>
      <c r="B34" t="s">
        <v>131</v>
      </c>
      <c r="C34" t="s">
        <v>26</v>
      </c>
      <c r="D34" t="s">
        <v>415</v>
      </c>
      <c r="E34" t="s">
        <v>18</v>
      </c>
      <c r="F34" t="s">
        <v>804</v>
      </c>
    </row>
    <row r="35" spans="1:6">
      <c r="A35">
        <v>29</v>
      </c>
      <c r="B35" t="s">
        <v>239</v>
      </c>
      <c r="C35" t="s">
        <v>26</v>
      </c>
      <c r="D35" t="s">
        <v>416</v>
      </c>
      <c r="E35" t="s">
        <v>18</v>
      </c>
      <c r="F35" t="s">
        <v>805</v>
      </c>
    </row>
    <row r="36" spans="1:6">
      <c r="A36">
        <v>30</v>
      </c>
      <c r="B36" t="s">
        <v>241</v>
      </c>
      <c r="C36" t="s">
        <v>26</v>
      </c>
      <c r="D36" t="s">
        <v>417</v>
      </c>
      <c r="E36" t="s">
        <v>18</v>
      </c>
      <c r="F36" t="s">
        <v>418</v>
      </c>
    </row>
    <row r="37" spans="1:6">
      <c r="A37">
        <v>31</v>
      </c>
      <c r="B37" t="s">
        <v>243</v>
      </c>
      <c r="C37" t="s">
        <v>26</v>
      </c>
      <c r="D37" t="s">
        <v>419</v>
      </c>
      <c r="E37" t="s">
        <v>18</v>
      </c>
      <c r="F37" t="s">
        <v>420</v>
      </c>
    </row>
    <row r="38" spans="1:6">
      <c r="A38">
        <v>32</v>
      </c>
      <c r="B38" t="s">
        <v>245</v>
      </c>
      <c r="C38" t="s">
        <v>26</v>
      </c>
      <c r="D38" t="s">
        <v>421</v>
      </c>
      <c r="E38" t="s">
        <v>18</v>
      </c>
      <c r="F38" t="s">
        <v>422</v>
      </c>
    </row>
    <row r="39" spans="1:6">
      <c r="A39">
        <v>33</v>
      </c>
      <c r="B39" t="s">
        <v>247</v>
      </c>
      <c r="C39" t="s">
        <v>26</v>
      </c>
      <c r="D39" t="s">
        <v>423</v>
      </c>
      <c r="E39" t="s">
        <v>18</v>
      </c>
      <c r="F39" t="s">
        <v>387</v>
      </c>
    </row>
    <row r="40" spans="1:6">
      <c r="A40">
        <v>34</v>
      </c>
      <c r="B40" t="s">
        <v>424</v>
      </c>
      <c r="C40" t="s">
        <v>26</v>
      </c>
      <c r="D40" t="s">
        <v>425</v>
      </c>
      <c r="E40" t="s">
        <v>18</v>
      </c>
      <c r="F40" t="s">
        <v>389</v>
      </c>
    </row>
    <row r="41" spans="1:6">
      <c r="A41">
        <v>35</v>
      </c>
      <c r="B41" t="s">
        <v>250</v>
      </c>
      <c r="C41" t="s">
        <v>26</v>
      </c>
      <c r="D41" t="s">
        <v>426</v>
      </c>
      <c r="E41" t="s">
        <v>18</v>
      </c>
      <c r="F41" t="s">
        <v>427</v>
      </c>
    </row>
    <row r="42" spans="1:6">
      <c r="A42">
        <v>36</v>
      </c>
      <c r="B42" t="s">
        <v>253</v>
      </c>
      <c r="C42" t="s">
        <v>26</v>
      </c>
      <c r="D42" t="s">
        <v>428</v>
      </c>
      <c r="E42" t="s">
        <v>18</v>
      </c>
      <c r="F42" t="s">
        <v>429</v>
      </c>
    </row>
    <row r="43" spans="1:6">
      <c r="A43">
        <v>37</v>
      </c>
      <c r="B43" t="s">
        <v>255</v>
      </c>
      <c r="C43" t="s">
        <v>26</v>
      </c>
      <c r="D43" t="s">
        <v>430</v>
      </c>
      <c r="E43" t="s">
        <v>18</v>
      </c>
      <c r="F43" t="s">
        <v>391</v>
      </c>
    </row>
    <row r="44" spans="1:6">
      <c r="A44">
        <v>38</v>
      </c>
      <c r="B44" t="s">
        <v>257</v>
      </c>
      <c r="C44" t="s">
        <v>26</v>
      </c>
      <c r="D44" t="s">
        <v>431</v>
      </c>
      <c r="E44" t="s">
        <v>18</v>
      </c>
      <c r="F44" t="s">
        <v>432</v>
      </c>
    </row>
    <row r="45" spans="1:6">
      <c r="A45">
        <v>39</v>
      </c>
      <c r="B45" t="s">
        <v>259</v>
      </c>
      <c r="C45" t="s">
        <v>26</v>
      </c>
      <c r="D45" t="s">
        <v>433</v>
      </c>
      <c r="E45" t="s">
        <v>18</v>
      </c>
      <c r="F45" t="s">
        <v>434</v>
      </c>
    </row>
    <row r="46" spans="1:6">
      <c r="A46">
        <v>40</v>
      </c>
      <c r="B46" t="s">
        <v>261</v>
      </c>
      <c r="C46" t="s">
        <v>26</v>
      </c>
      <c r="D46" t="s">
        <v>435</v>
      </c>
      <c r="E46" t="s">
        <v>18</v>
      </c>
      <c r="F46" t="s">
        <v>436</v>
      </c>
    </row>
    <row r="47" spans="1:6">
      <c r="A47">
        <v>41</v>
      </c>
      <c r="B47" t="s">
        <v>263</v>
      </c>
      <c r="C47" t="s">
        <v>26</v>
      </c>
      <c r="D47" t="s">
        <v>437</v>
      </c>
      <c r="E47" t="s">
        <v>18</v>
      </c>
      <c r="F47" t="s">
        <v>438</v>
      </c>
    </row>
    <row r="48" spans="1:6">
      <c r="A48">
        <v>42</v>
      </c>
      <c r="B48" t="s">
        <v>265</v>
      </c>
      <c r="C48" t="s">
        <v>26</v>
      </c>
      <c r="D48" t="s">
        <v>439</v>
      </c>
      <c r="E48" t="s">
        <v>18</v>
      </c>
      <c r="F48" t="s">
        <v>440</v>
      </c>
    </row>
    <row r="49" spans="1:6">
      <c r="A49">
        <v>43</v>
      </c>
      <c r="B49" t="s">
        <v>270</v>
      </c>
      <c r="C49" t="s">
        <v>26</v>
      </c>
      <c r="D49" t="s">
        <v>441</v>
      </c>
      <c r="E49" t="s">
        <v>18</v>
      </c>
      <c r="F49" t="s">
        <v>398</v>
      </c>
    </row>
    <row r="50" spans="1:6">
      <c r="A50">
        <v>44</v>
      </c>
      <c r="B50" t="s">
        <v>272</v>
      </c>
      <c r="C50" t="s">
        <v>26</v>
      </c>
      <c r="D50" t="s">
        <v>442</v>
      </c>
      <c r="E50" t="s">
        <v>18</v>
      </c>
      <c r="F50" t="s">
        <v>443</v>
      </c>
    </row>
    <row r="51" spans="1:6">
      <c r="A51">
        <v>45</v>
      </c>
      <c r="B51" t="s">
        <v>274</v>
      </c>
      <c r="C51" t="s">
        <v>26</v>
      </c>
      <c r="D51" t="s">
        <v>444</v>
      </c>
      <c r="E51" t="s">
        <v>18</v>
      </c>
      <c r="F51" t="s">
        <v>445</v>
      </c>
    </row>
    <row r="52" spans="1:6">
      <c r="A52">
        <v>46</v>
      </c>
      <c r="B52" t="s">
        <v>276</v>
      </c>
      <c r="C52" t="s">
        <v>26</v>
      </c>
      <c r="D52" t="s">
        <v>446</v>
      </c>
      <c r="E52" t="s">
        <v>18</v>
      </c>
      <c r="F52" t="s">
        <v>447</v>
      </c>
    </row>
    <row r="53" spans="1:6">
      <c r="A53">
        <v>47</v>
      </c>
      <c r="B53" t="s">
        <v>278</v>
      </c>
      <c r="C53" t="s">
        <v>26</v>
      </c>
      <c r="D53" t="s">
        <v>448</v>
      </c>
      <c r="E53" t="s">
        <v>18</v>
      </c>
      <c r="F53" t="s">
        <v>449</v>
      </c>
    </row>
    <row r="54" spans="1:6">
      <c r="A54">
        <v>48</v>
      </c>
      <c r="B54" t="s">
        <v>280</v>
      </c>
      <c r="C54" t="s">
        <v>26</v>
      </c>
      <c r="D54" t="s">
        <v>450</v>
      </c>
      <c r="E54" t="s">
        <v>18</v>
      </c>
      <c r="F54" t="s">
        <v>451</v>
      </c>
    </row>
    <row r="55" spans="1:6">
      <c r="A55">
        <v>49</v>
      </c>
      <c r="B55" t="s">
        <v>282</v>
      </c>
      <c r="C55" t="s">
        <v>26</v>
      </c>
      <c r="D55" t="s">
        <v>452</v>
      </c>
      <c r="E55" t="s">
        <v>18</v>
      </c>
      <c r="F55" t="s">
        <v>453</v>
      </c>
    </row>
    <row r="56" spans="1:6">
      <c r="A56">
        <v>50</v>
      </c>
      <c r="B56" t="s">
        <v>285</v>
      </c>
      <c r="C56" t="s">
        <v>26</v>
      </c>
      <c r="D56" t="s">
        <v>454</v>
      </c>
      <c r="E56" t="s">
        <v>18</v>
      </c>
      <c r="F56" t="s">
        <v>455</v>
      </c>
    </row>
    <row r="57" spans="1:6">
      <c r="A57">
        <v>51</v>
      </c>
      <c r="B57" t="s">
        <v>287</v>
      </c>
      <c r="C57" t="s">
        <v>26</v>
      </c>
      <c r="D57" t="s">
        <v>456</v>
      </c>
      <c r="E57" t="s">
        <v>18</v>
      </c>
      <c r="F57" t="s">
        <v>457</v>
      </c>
    </row>
    <row r="58" spans="1:6">
      <c r="A58">
        <v>52</v>
      </c>
      <c r="B58" t="s">
        <v>808</v>
      </c>
      <c r="C58" t="s">
        <v>26</v>
      </c>
      <c r="D58" t="s">
        <v>809</v>
      </c>
      <c r="E58" t="s">
        <v>18</v>
      </c>
      <c r="F58" t="s">
        <v>810</v>
      </c>
    </row>
    <row r="59" spans="1:6">
      <c r="A59">
        <v>53</v>
      </c>
      <c r="B59" t="s">
        <v>292</v>
      </c>
      <c r="C59" t="s">
        <v>26</v>
      </c>
      <c r="D59" t="s">
        <v>458</v>
      </c>
      <c r="E59" t="s">
        <v>18</v>
      </c>
      <c r="F59" t="s">
        <v>811</v>
      </c>
    </row>
    <row r="60" spans="1:6">
      <c r="A60">
        <v>54</v>
      </c>
      <c r="B60" t="s">
        <v>293</v>
      </c>
      <c r="C60" t="s">
        <v>26</v>
      </c>
      <c r="D60" t="s">
        <v>459</v>
      </c>
      <c r="E60" t="s">
        <v>18</v>
      </c>
      <c r="F60" t="s">
        <v>812</v>
      </c>
    </row>
    <row r="61" spans="1:6">
      <c r="A61">
        <v>55</v>
      </c>
      <c r="B61" t="s">
        <v>294</v>
      </c>
      <c r="C61" t="s">
        <v>26</v>
      </c>
      <c r="D61" t="s">
        <v>460</v>
      </c>
      <c r="E61" t="s">
        <v>18</v>
      </c>
      <c r="F61" t="s">
        <v>813</v>
      </c>
    </row>
    <row r="62" spans="1:6">
      <c r="A62">
        <v>56</v>
      </c>
      <c r="B62" t="s">
        <v>295</v>
      </c>
      <c r="C62" t="s">
        <v>26</v>
      </c>
      <c r="D62" t="s">
        <v>461</v>
      </c>
      <c r="E62" t="s">
        <v>18</v>
      </c>
      <c r="F62" t="s">
        <v>462</v>
      </c>
    </row>
    <row r="63" spans="1:6">
      <c r="A63">
        <v>57</v>
      </c>
      <c r="B63" t="s">
        <v>297</v>
      </c>
      <c r="C63" t="s">
        <v>26</v>
      </c>
      <c r="D63" t="s">
        <v>463</v>
      </c>
      <c r="E63" t="s">
        <v>18</v>
      </c>
      <c r="F63" t="s">
        <v>412</v>
      </c>
    </row>
    <row r="64" spans="1:6">
      <c r="A64">
        <v>58</v>
      </c>
      <c r="B64" t="s">
        <v>299</v>
      </c>
      <c r="C64" t="s">
        <v>26</v>
      </c>
      <c r="D64" t="s">
        <v>464</v>
      </c>
      <c r="E64" t="s">
        <v>18</v>
      </c>
      <c r="F64" t="s">
        <v>465</v>
      </c>
    </row>
    <row r="65" spans="1:6">
      <c r="A65">
        <v>59</v>
      </c>
      <c r="B65" t="s">
        <v>301</v>
      </c>
      <c r="C65" t="s">
        <v>26</v>
      </c>
      <c r="D65" t="s">
        <v>466</v>
      </c>
      <c r="E65" t="s">
        <v>18</v>
      </c>
      <c r="F65" t="s">
        <v>467</v>
      </c>
    </row>
    <row r="66" spans="1:6">
      <c r="A66">
        <v>60</v>
      </c>
      <c r="B66" t="s">
        <v>303</v>
      </c>
      <c r="C66" t="s">
        <v>26</v>
      </c>
      <c r="D66" t="s">
        <v>468</v>
      </c>
      <c r="E66" t="s">
        <v>18</v>
      </c>
      <c r="F66" t="s">
        <v>413</v>
      </c>
    </row>
    <row r="67" spans="1:6">
      <c r="A67">
        <v>61</v>
      </c>
      <c r="B67" t="s">
        <v>305</v>
      </c>
      <c r="C67" t="s">
        <v>26</v>
      </c>
      <c r="D67" t="s">
        <v>469</v>
      </c>
      <c r="E67" t="s">
        <v>18</v>
      </c>
      <c r="F67" t="s">
        <v>470</v>
      </c>
    </row>
    <row r="68" spans="1:6">
      <c r="A68">
        <v>62</v>
      </c>
      <c r="B68" t="s">
        <v>307</v>
      </c>
      <c r="C68" t="s">
        <v>26</v>
      </c>
      <c r="D68" t="s">
        <v>471</v>
      </c>
      <c r="E68" t="s">
        <v>18</v>
      </c>
      <c r="F68" t="s">
        <v>414</v>
      </c>
    </row>
    <row r="69" spans="1:6">
      <c r="A69">
        <v>63</v>
      </c>
      <c r="B69" t="s">
        <v>309</v>
      </c>
      <c r="C69" t="s">
        <v>26</v>
      </c>
      <c r="D69" t="s">
        <v>472</v>
      </c>
      <c r="E69" t="s">
        <v>18</v>
      </c>
      <c r="F69" t="s">
        <v>473</v>
      </c>
    </row>
    <row r="70" spans="1:6">
      <c r="A70">
        <v>64</v>
      </c>
      <c r="B70" t="s">
        <v>311</v>
      </c>
      <c r="C70" t="s">
        <v>26</v>
      </c>
      <c r="D70" t="s">
        <v>474</v>
      </c>
      <c r="E70" t="s">
        <v>18</v>
      </c>
      <c r="F70" t="s">
        <v>475</v>
      </c>
    </row>
    <row r="71" spans="1:6">
      <c r="A71">
        <v>65</v>
      </c>
      <c r="B71" t="s">
        <v>313</v>
      </c>
      <c r="C71" t="s">
        <v>26</v>
      </c>
      <c r="D71" t="s">
        <v>476</v>
      </c>
      <c r="E71" t="s">
        <v>18</v>
      </c>
      <c r="F71" t="s">
        <v>421</v>
      </c>
    </row>
    <row r="72" spans="1:6">
      <c r="A72">
        <v>66</v>
      </c>
      <c r="B72" t="s">
        <v>315</v>
      </c>
      <c r="C72" t="s">
        <v>26</v>
      </c>
      <c r="D72" t="s">
        <v>477</v>
      </c>
      <c r="E72" t="s">
        <v>18</v>
      </c>
      <c r="F72" t="s">
        <v>423</v>
      </c>
    </row>
    <row r="73" spans="1:6">
      <c r="A73">
        <v>67</v>
      </c>
      <c r="B73" t="s">
        <v>317</v>
      </c>
      <c r="C73" t="s">
        <v>26</v>
      </c>
      <c r="D73" t="s">
        <v>478</v>
      </c>
      <c r="E73" t="s">
        <v>18</v>
      </c>
      <c r="F73" t="s">
        <v>479</v>
      </c>
    </row>
    <row r="74" spans="1:6">
      <c r="A74">
        <v>68</v>
      </c>
      <c r="B74" t="s">
        <v>319</v>
      </c>
      <c r="C74" t="s">
        <v>26</v>
      </c>
      <c r="D74" t="s">
        <v>480</v>
      </c>
      <c r="E74" t="s">
        <v>18</v>
      </c>
      <c r="F74" t="s">
        <v>425</v>
      </c>
    </row>
    <row r="75" spans="1:6">
      <c r="A75">
        <v>69</v>
      </c>
      <c r="B75" t="s">
        <v>321</v>
      </c>
      <c r="C75" t="s">
        <v>26</v>
      </c>
      <c r="D75" t="s">
        <v>481</v>
      </c>
      <c r="E75" t="s">
        <v>18</v>
      </c>
      <c r="F75" t="s">
        <v>482</v>
      </c>
    </row>
    <row r="76" spans="1:6">
      <c r="A76">
        <v>70</v>
      </c>
      <c r="B76" t="s">
        <v>323</v>
      </c>
      <c r="C76" t="s">
        <v>26</v>
      </c>
      <c r="D76" t="s">
        <v>483</v>
      </c>
      <c r="E76" t="s">
        <v>18</v>
      </c>
      <c r="F76" t="s">
        <v>484</v>
      </c>
    </row>
    <row r="77" spans="1:6">
      <c r="A77">
        <v>71</v>
      </c>
      <c r="B77" t="s">
        <v>326</v>
      </c>
      <c r="C77" t="s">
        <v>26</v>
      </c>
      <c r="D77" t="s">
        <v>485</v>
      </c>
      <c r="E77" t="s">
        <v>18</v>
      </c>
      <c r="F77" t="s">
        <v>486</v>
      </c>
    </row>
    <row r="78" spans="1:6">
      <c r="A78">
        <v>72</v>
      </c>
      <c r="B78" t="s">
        <v>328</v>
      </c>
      <c r="C78" t="s">
        <v>26</v>
      </c>
      <c r="D78" t="s">
        <v>487</v>
      </c>
      <c r="E78" t="s">
        <v>18</v>
      </c>
      <c r="F78" t="s">
        <v>426</v>
      </c>
    </row>
    <row r="79" spans="1:6">
      <c r="A79">
        <v>73</v>
      </c>
      <c r="B79" t="s">
        <v>330</v>
      </c>
      <c r="C79" t="s">
        <v>26</v>
      </c>
      <c r="D79" t="s">
        <v>488</v>
      </c>
      <c r="E79" t="s">
        <v>18</v>
      </c>
      <c r="F79" t="s">
        <v>489</v>
      </c>
    </row>
    <row r="80" spans="1:6">
      <c r="A80">
        <v>74</v>
      </c>
      <c r="B80" t="s">
        <v>335</v>
      </c>
      <c r="C80" t="s">
        <v>26</v>
      </c>
      <c r="D80" t="s">
        <v>490</v>
      </c>
      <c r="E80" t="s">
        <v>18</v>
      </c>
      <c r="F80" t="s">
        <v>428</v>
      </c>
    </row>
    <row r="81" spans="1:6">
      <c r="A81">
        <v>75</v>
      </c>
      <c r="B81" t="s">
        <v>339</v>
      </c>
      <c r="C81" t="s">
        <v>26</v>
      </c>
      <c r="D81" t="s">
        <v>806</v>
      </c>
      <c r="E81" t="s">
        <v>18</v>
      </c>
      <c r="F81" t="s">
        <v>799</v>
      </c>
    </row>
    <row r="82" spans="1:6">
      <c r="A82">
        <v>76</v>
      </c>
      <c r="B82" t="s">
        <v>341</v>
      </c>
      <c r="C82" t="s">
        <v>26</v>
      </c>
      <c r="D82" t="s">
        <v>807</v>
      </c>
      <c r="E82" t="s">
        <v>18</v>
      </c>
      <c r="F82" t="s">
        <v>800</v>
      </c>
    </row>
  </sheetData>
  <phoneticPr fontId="64" type="noConversion"/>
  <pageMargins left="0.75" right="0.75" top="1" bottom="1" header="0.5" footer="0.5"/>
  <pageSetup firstPageNumber="4294963191"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2:F8"/>
  <sheetViews>
    <sheetView workbookViewId="0">
      <selection activeCell="N7" sqref="N7"/>
    </sheetView>
  </sheetViews>
  <sheetFormatPr defaultColWidth="9" defaultRowHeight="14.25"/>
  <cols>
    <col min="2" max="2" width="16.125" bestFit="1" customWidth="1"/>
    <col min="3" max="3" width="2.5" bestFit="1" customWidth="1"/>
    <col min="5" max="5" width="16.125" bestFit="1" customWidth="1"/>
    <col min="6" max="6" width="2.5" bestFit="1" customWidth="1"/>
  </cols>
  <sheetData>
    <row r="2" spans="2:6">
      <c r="B2" t="s">
        <v>816</v>
      </c>
      <c r="C2">
        <v>1</v>
      </c>
      <c r="E2" t="s">
        <v>817</v>
      </c>
      <c r="F2">
        <v>2</v>
      </c>
    </row>
    <row r="3" spans="2:6">
      <c r="B3" t="s">
        <v>817</v>
      </c>
      <c r="C3">
        <v>2</v>
      </c>
      <c r="E3" t="s">
        <v>491</v>
      </c>
      <c r="F3">
        <v>4</v>
      </c>
    </row>
    <row r="4" spans="2:6">
      <c r="B4" t="s">
        <v>492</v>
      </c>
      <c r="C4">
        <v>3</v>
      </c>
      <c r="E4" t="s">
        <v>815</v>
      </c>
      <c r="F4">
        <v>6</v>
      </c>
    </row>
    <row r="5" spans="2:6">
      <c r="B5" t="s">
        <v>491</v>
      </c>
      <c r="C5">
        <v>4</v>
      </c>
      <c r="E5" t="s">
        <v>493</v>
      </c>
      <c r="F5">
        <v>7</v>
      </c>
    </row>
    <row r="6" spans="2:6">
      <c r="B6" t="s">
        <v>814</v>
      </c>
      <c r="C6">
        <v>5</v>
      </c>
      <c r="E6" s="1894" t="s">
        <v>1255</v>
      </c>
      <c r="F6">
        <v>8</v>
      </c>
    </row>
    <row r="7" spans="2:6">
      <c r="B7" t="s">
        <v>815</v>
      </c>
      <c r="C7">
        <v>6</v>
      </c>
    </row>
    <row r="8" spans="2:6">
      <c r="B8" t="s">
        <v>493</v>
      </c>
      <c r="C8">
        <v>7</v>
      </c>
    </row>
  </sheetData>
  <phoneticPr fontId="64" type="noConversion"/>
  <pageMargins left="0.75" right="0.75" top="1" bottom="1" header="0.5" footer="0.5"/>
  <pageSetup firstPageNumber="4294963191"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0000"/>
  </sheetPr>
  <dimension ref="A1:W89"/>
  <sheetViews>
    <sheetView showGridLines="0" workbookViewId="0">
      <selection activeCell="P2" sqref="P2"/>
    </sheetView>
  </sheetViews>
  <sheetFormatPr defaultColWidth="9" defaultRowHeight="17.25"/>
  <cols>
    <col min="1" max="1" width="2.375" style="1695" customWidth="1"/>
    <col min="2" max="2" width="15.375" style="1700" customWidth="1"/>
    <col min="3" max="3" width="8.875" style="1695" customWidth="1"/>
    <col min="4" max="4" width="9.5" style="1695" bestFit="1" customWidth="1"/>
    <col min="5" max="16384" width="9" style="1695"/>
  </cols>
  <sheetData>
    <row r="1" spans="1:23" ht="12" customHeight="1"/>
    <row r="2" spans="1:23" ht="15" thickBot="1">
      <c r="B2" s="2158" t="s">
        <v>1240</v>
      </c>
      <c r="C2" s="1697"/>
      <c r="D2" s="1697"/>
      <c r="E2" s="1697"/>
      <c r="F2" s="1697"/>
      <c r="G2" s="1697"/>
      <c r="H2" s="1698"/>
      <c r="I2" s="1699"/>
      <c r="J2" s="1698"/>
      <c r="K2" s="1698"/>
      <c r="L2" s="1698"/>
      <c r="M2" s="1698"/>
      <c r="N2" s="1698"/>
      <c r="O2" s="1698"/>
      <c r="P2" s="1698"/>
      <c r="Q2" s="1698"/>
    </row>
    <row r="3" spans="1:23" ht="16.5" customHeight="1">
      <c r="A3" s="1938"/>
      <c r="B3" s="1929" t="s">
        <v>1315</v>
      </c>
      <c r="C3" s="1755"/>
      <c r="D3" s="1755"/>
      <c r="E3" s="1755"/>
      <c r="F3" s="1755"/>
      <c r="G3" s="1755"/>
      <c r="H3" s="1756"/>
      <c r="I3" s="1756"/>
      <c r="J3" s="1756"/>
      <c r="K3" s="1756"/>
      <c r="L3" s="1756">
        <f>公司说明!B1</f>
        <v>2019</v>
      </c>
      <c r="M3" s="1756">
        <f>L3+1</f>
        <v>2020</v>
      </c>
      <c r="N3" s="1756">
        <f>M3+1</f>
        <v>2021</v>
      </c>
      <c r="O3" s="1756">
        <f>N3+1</f>
        <v>2022</v>
      </c>
      <c r="P3" s="1756">
        <f>O3+1</f>
        <v>2023</v>
      </c>
      <c r="Q3" s="1757">
        <f>P3+1</f>
        <v>2024</v>
      </c>
    </row>
    <row r="4" spans="1:23" ht="15">
      <c r="A4" s="1938"/>
      <c r="B4" s="2159"/>
      <c r="C4" s="1729">
        <f t="shared" ref="C4:J4" si="0">D4-1</f>
        <v>2010</v>
      </c>
      <c r="D4" s="1729">
        <f t="shared" si="0"/>
        <v>2011</v>
      </c>
      <c r="E4" s="1729">
        <f t="shared" si="0"/>
        <v>2012</v>
      </c>
      <c r="F4" s="1729">
        <f t="shared" si="0"/>
        <v>2013</v>
      </c>
      <c r="G4" s="1729">
        <f t="shared" si="0"/>
        <v>2014</v>
      </c>
      <c r="H4" s="1729">
        <f t="shared" si="0"/>
        <v>2015</v>
      </c>
      <c r="I4" s="1729">
        <f t="shared" si="0"/>
        <v>2016</v>
      </c>
      <c r="J4" s="1729">
        <f t="shared" si="0"/>
        <v>2017</v>
      </c>
      <c r="K4" s="1729">
        <f>L4-1</f>
        <v>2018</v>
      </c>
      <c r="L4" s="1729">
        <f>公司说明!B1</f>
        <v>2019</v>
      </c>
      <c r="M4" s="1729" t="str">
        <f>M3 &amp; "E"</f>
        <v>2020E</v>
      </c>
      <c r="N4" s="1729" t="str">
        <f>N3 &amp; "E"</f>
        <v>2021E</v>
      </c>
      <c r="O4" s="1729" t="str">
        <f>O3 &amp; "E"</f>
        <v>2022E</v>
      </c>
      <c r="P4" s="1729" t="str">
        <f>P3 &amp; "E"</f>
        <v>2023E</v>
      </c>
      <c r="Q4" s="1730" t="str">
        <f>Q3 &amp; "E"</f>
        <v>2024E</v>
      </c>
    </row>
    <row r="5" spans="1:23" ht="15">
      <c r="A5" s="1938"/>
      <c r="B5" s="2160" t="s">
        <v>1327</v>
      </c>
      <c r="C5" s="1731">
        <f>C10+C16+C22+C28+C34+C40+C46+C52+C58+C64</f>
        <v>0</v>
      </c>
      <c r="D5" s="1731">
        <f t="shared" ref="D5:Q5" si="1">D10+D16+D22+D28+D34+D40+D46+D52+D58+D64</f>
        <v>0</v>
      </c>
      <c r="E5" s="1731">
        <f t="shared" si="1"/>
        <v>0</v>
      </c>
      <c r="F5" s="1731">
        <f t="shared" si="1"/>
        <v>0</v>
      </c>
      <c r="G5" s="1731">
        <f t="shared" si="1"/>
        <v>0</v>
      </c>
      <c r="H5" s="1731">
        <f t="shared" si="1"/>
        <v>0</v>
      </c>
      <c r="I5" s="1731">
        <f t="shared" si="1"/>
        <v>0</v>
      </c>
      <c r="J5" s="1731">
        <f t="shared" si="1"/>
        <v>0</v>
      </c>
      <c r="K5" s="1731">
        <f t="shared" si="1"/>
        <v>0</v>
      </c>
      <c r="L5" s="1731">
        <f t="shared" si="1"/>
        <v>0</v>
      </c>
      <c r="M5" s="1732">
        <f t="shared" si="1"/>
        <v>0</v>
      </c>
      <c r="N5" s="1732">
        <f t="shared" si="1"/>
        <v>0</v>
      </c>
      <c r="O5" s="1732">
        <f t="shared" si="1"/>
        <v>0</v>
      </c>
      <c r="P5" s="1732">
        <f t="shared" si="1"/>
        <v>0</v>
      </c>
      <c r="Q5" s="1733">
        <f t="shared" si="1"/>
        <v>0</v>
      </c>
    </row>
    <row r="6" spans="1:23" ht="15">
      <c r="A6" s="1938"/>
      <c r="B6" s="2161" t="s">
        <v>1103</v>
      </c>
      <c r="C6" s="1734"/>
      <c r="D6" s="1734">
        <f t="shared" ref="D6:K6" si="2">IF(C5=0,0,D5/C5-1)</f>
        <v>0</v>
      </c>
      <c r="E6" s="1734">
        <f t="shared" si="2"/>
        <v>0</v>
      </c>
      <c r="F6" s="1734">
        <f t="shared" si="2"/>
        <v>0</v>
      </c>
      <c r="G6" s="1734">
        <f t="shared" si="2"/>
        <v>0</v>
      </c>
      <c r="H6" s="1734">
        <f t="shared" si="2"/>
        <v>0</v>
      </c>
      <c r="I6" s="1734">
        <f t="shared" si="2"/>
        <v>0</v>
      </c>
      <c r="J6" s="1734">
        <f t="shared" si="2"/>
        <v>0</v>
      </c>
      <c r="K6" s="1734">
        <f t="shared" si="2"/>
        <v>0</v>
      </c>
      <c r="L6" s="1734">
        <f>IF(K5=0,0,L5/K5-1)</f>
        <v>0</v>
      </c>
      <c r="M6" s="1735" t="e">
        <f>M5/L5-1</f>
        <v>#DIV/0!</v>
      </c>
      <c r="N6" s="1735" t="e">
        <f>N5/M5-1</f>
        <v>#DIV/0!</v>
      </c>
      <c r="O6" s="1735" t="e">
        <f>O5/N5-1</f>
        <v>#DIV/0!</v>
      </c>
      <c r="P6" s="1735" t="e">
        <f>P5/O5-1</f>
        <v>#DIV/0!</v>
      </c>
      <c r="Q6" s="1736" t="e">
        <f>Q5/P5-1</f>
        <v>#DIV/0!</v>
      </c>
    </row>
    <row r="7" spans="1:23" ht="15">
      <c r="A7" s="1938"/>
      <c r="B7" s="2162" t="s">
        <v>954</v>
      </c>
      <c r="C7" s="1870">
        <f>C13+C19+C25+C31+C37+C43+C49+C55+C61+C67</f>
        <v>0</v>
      </c>
      <c r="D7" s="1870">
        <f t="shared" ref="D7:Q7" si="3">D13+D19+D25+D31+D37+D43+D49+D55+D61+D67</f>
        <v>0</v>
      </c>
      <c r="E7" s="1870">
        <f t="shared" si="3"/>
        <v>0</v>
      </c>
      <c r="F7" s="1870">
        <f t="shared" si="3"/>
        <v>0</v>
      </c>
      <c r="G7" s="1870">
        <f t="shared" si="3"/>
        <v>0</v>
      </c>
      <c r="H7" s="1870">
        <f t="shared" si="3"/>
        <v>0</v>
      </c>
      <c r="I7" s="1870">
        <f t="shared" si="3"/>
        <v>0</v>
      </c>
      <c r="J7" s="1870">
        <f t="shared" si="3"/>
        <v>0</v>
      </c>
      <c r="K7" s="1870">
        <f t="shared" si="3"/>
        <v>0</v>
      </c>
      <c r="L7" s="1870">
        <f t="shared" si="3"/>
        <v>0</v>
      </c>
      <c r="M7" s="1871">
        <f t="shared" si="3"/>
        <v>0</v>
      </c>
      <c r="N7" s="1871">
        <f t="shared" si="3"/>
        <v>0</v>
      </c>
      <c r="O7" s="1871">
        <f t="shared" si="3"/>
        <v>0</v>
      </c>
      <c r="P7" s="1871">
        <f t="shared" si="3"/>
        <v>0</v>
      </c>
      <c r="Q7" s="1872">
        <f t="shared" si="3"/>
        <v>0</v>
      </c>
    </row>
    <row r="8" spans="1:23" ht="15">
      <c r="A8" s="1938"/>
      <c r="B8" s="2161" t="s">
        <v>1329</v>
      </c>
      <c r="C8" s="1734" t="e">
        <f>1-C7/C5</f>
        <v>#DIV/0!</v>
      </c>
      <c r="D8" s="1734" t="e">
        <f t="shared" ref="D8:L8" si="4">1-D7/D5</f>
        <v>#DIV/0!</v>
      </c>
      <c r="E8" s="1734" t="e">
        <f t="shared" si="4"/>
        <v>#DIV/0!</v>
      </c>
      <c r="F8" s="1734" t="e">
        <f t="shared" si="4"/>
        <v>#DIV/0!</v>
      </c>
      <c r="G8" s="1734" t="e">
        <f t="shared" si="4"/>
        <v>#DIV/0!</v>
      </c>
      <c r="H8" s="1734" t="e">
        <f t="shared" si="4"/>
        <v>#DIV/0!</v>
      </c>
      <c r="I8" s="1734" t="e">
        <f t="shared" si="4"/>
        <v>#DIV/0!</v>
      </c>
      <c r="J8" s="1734" t="e">
        <f t="shared" si="4"/>
        <v>#DIV/0!</v>
      </c>
      <c r="K8" s="1734" t="e">
        <f t="shared" si="4"/>
        <v>#DIV/0!</v>
      </c>
      <c r="L8" s="1734" t="e">
        <f t="shared" si="4"/>
        <v>#DIV/0!</v>
      </c>
      <c r="M8" s="1735" t="e">
        <f>1-M7/M5</f>
        <v>#DIV/0!</v>
      </c>
      <c r="N8" s="1735" t="e">
        <f t="shared" ref="N8:Q8" si="5">1-N7/N5</f>
        <v>#DIV/0!</v>
      </c>
      <c r="O8" s="1735" t="e">
        <f t="shared" si="5"/>
        <v>#DIV/0!</v>
      </c>
      <c r="P8" s="1735" t="e">
        <f t="shared" si="5"/>
        <v>#DIV/0!</v>
      </c>
      <c r="Q8" s="1736" t="e">
        <f t="shared" si="5"/>
        <v>#DIV/0!</v>
      </c>
      <c r="W8" s="1695" t="s">
        <v>1241</v>
      </c>
    </row>
    <row r="9" spans="1:23" ht="15">
      <c r="A9" s="1938"/>
      <c r="B9" s="2163">
        <v>1</v>
      </c>
      <c r="C9" s="1737"/>
      <c r="D9" s="1737"/>
      <c r="E9" s="1737"/>
      <c r="F9" s="1737"/>
      <c r="G9" s="1737"/>
      <c r="H9" s="1737"/>
      <c r="I9" s="1737"/>
      <c r="J9" s="1737"/>
      <c r="K9" s="1737"/>
      <c r="L9" s="1737"/>
      <c r="M9" s="1737"/>
      <c r="N9" s="1737"/>
      <c r="O9" s="1737"/>
      <c r="P9" s="1737"/>
      <c r="Q9" s="1738"/>
    </row>
    <row r="10" spans="1:23" ht="15">
      <c r="A10" s="1938"/>
      <c r="B10" s="2162" t="s">
        <v>1331</v>
      </c>
      <c r="C10" s="1748">
        <v>0</v>
      </c>
      <c r="D10" s="1731">
        <f>C10*(1+D11)</f>
        <v>0</v>
      </c>
      <c r="E10" s="1731">
        <f t="shared" ref="E10:L10" si="6">D10*(1+E11)</f>
        <v>0</v>
      </c>
      <c r="F10" s="1731">
        <f t="shared" si="6"/>
        <v>0</v>
      </c>
      <c r="G10" s="1731">
        <f t="shared" si="6"/>
        <v>0</v>
      </c>
      <c r="H10" s="1731">
        <f t="shared" si="6"/>
        <v>0</v>
      </c>
      <c r="I10" s="1731">
        <f t="shared" si="6"/>
        <v>0</v>
      </c>
      <c r="J10" s="1731">
        <f t="shared" si="6"/>
        <v>0</v>
      </c>
      <c r="K10" s="1731">
        <f t="shared" si="6"/>
        <v>0</v>
      </c>
      <c r="L10" s="1731">
        <f t="shared" si="6"/>
        <v>0</v>
      </c>
      <c r="M10" s="1732">
        <f>L10*(1+M11)</f>
        <v>0</v>
      </c>
      <c r="N10" s="1732">
        <f>M10*(1+N11)</f>
        <v>0</v>
      </c>
      <c r="O10" s="1732">
        <f>N10*(1+O11)</f>
        <v>0</v>
      </c>
      <c r="P10" s="1732">
        <f>O10*(1+P11)</f>
        <v>0</v>
      </c>
      <c r="Q10" s="1733">
        <f>P10*(1+Q11)</f>
        <v>0</v>
      </c>
    </row>
    <row r="11" spans="1:23" ht="15">
      <c r="A11" s="1938"/>
      <c r="B11" s="2161" t="s">
        <v>1103</v>
      </c>
      <c r="C11" s="1739"/>
      <c r="D11" s="1739">
        <v>0</v>
      </c>
      <c r="E11" s="1739">
        <v>0</v>
      </c>
      <c r="F11" s="1739">
        <v>0</v>
      </c>
      <c r="G11" s="1739">
        <v>0</v>
      </c>
      <c r="H11" s="1739">
        <v>0</v>
      </c>
      <c r="I11" s="1739">
        <v>0</v>
      </c>
      <c r="J11" s="1739">
        <v>0</v>
      </c>
      <c r="K11" s="1739">
        <v>0</v>
      </c>
      <c r="L11" s="1739">
        <v>0</v>
      </c>
      <c r="M11" s="1740">
        <v>0</v>
      </c>
      <c r="N11" s="1740">
        <v>0</v>
      </c>
      <c r="O11" s="1740">
        <v>0</v>
      </c>
      <c r="P11" s="1740">
        <v>0</v>
      </c>
      <c r="Q11" s="1741">
        <v>0</v>
      </c>
    </row>
    <row r="12" spans="1:23" ht="15">
      <c r="A12" s="1938"/>
      <c r="B12" s="2161" t="s">
        <v>1323</v>
      </c>
      <c r="C12" s="1734"/>
      <c r="D12" s="1734" t="e">
        <f t="shared" ref="D12:Q12" si="7">D10/D$5</f>
        <v>#DIV/0!</v>
      </c>
      <c r="E12" s="1734" t="e">
        <f t="shared" si="7"/>
        <v>#DIV/0!</v>
      </c>
      <c r="F12" s="1734" t="e">
        <f t="shared" si="7"/>
        <v>#DIV/0!</v>
      </c>
      <c r="G12" s="1734" t="e">
        <f t="shared" si="7"/>
        <v>#DIV/0!</v>
      </c>
      <c r="H12" s="1734" t="e">
        <f t="shared" si="7"/>
        <v>#DIV/0!</v>
      </c>
      <c r="I12" s="1734" t="e">
        <f t="shared" si="7"/>
        <v>#DIV/0!</v>
      </c>
      <c r="J12" s="1734" t="e">
        <f t="shared" si="7"/>
        <v>#DIV/0!</v>
      </c>
      <c r="K12" s="1734" t="e">
        <f t="shared" si="7"/>
        <v>#DIV/0!</v>
      </c>
      <c r="L12" s="1734" t="e">
        <f t="shared" si="7"/>
        <v>#DIV/0!</v>
      </c>
      <c r="M12" s="1735" t="e">
        <f t="shared" si="7"/>
        <v>#DIV/0!</v>
      </c>
      <c r="N12" s="1735" t="e">
        <f t="shared" si="7"/>
        <v>#DIV/0!</v>
      </c>
      <c r="O12" s="1735" t="e">
        <f t="shared" si="7"/>
        <v>#DIV/0!</v>
      </c>
      <c r="P12" s="1735" t="e">
        <f t="shared" si="7"/>
        <v>#DIV/0!</v>
      </c>
      <c r="Q12" s="1736" t="e">
        <f t="shared" si="7"/>
        <v>#DIV/0!</v>
      </c>
    </row>
    <row r="13" spans="1:23" ht="15">
      <c r="A13" s="1938"/>
      <c r="B13" s="2162" t="s">
        <v>1328</v>
      </c>
      <c r="C13" s="1870">
        <f>(1-C14)*C10</f>
        <v>0</v>
      </c>
      <c r="D13" s="1870">
        <f t="shared" ref="D13:Q13" si="8">(1-D14)*D10</f>
        <v>0</v>
      </c>
      <c r="E13" s="1870">
        <f t="shared" si="8"/>
        <v>0</v>
      </c>
      <c r="F13" s="1870">
        <f t="shared" si="8"/>
        <v>0</v>
      </c>
      <c r="G13" s="1870">
        <f t="shared" si="8"/>
        <v>0</v>
      </c>
      <c r="H13" s="1870">
        <f t="shared" si="8"/>
        <v>0</v>
      </c>
      <c r="I13" s="1870">
        <f t="shared" si="8"/>
        <v>0</v>
      </c>
      <c r="J13" s="1870">
        <f t="shared" si="8"/>
        <v>0</v>
      </c>
      <c r="K13" s="1870">
        <f t="shared" si="8"/>
        <v>0</v>
      </c>
      <c r="L13" s="1870">
        <f t="shared" si="8"/>
        <v>0</v>
      </c>
      <c r="M13" s="1873">
        <f t="shared" si="8"/>
        <v>0</v>
      </c>
      <c r="N13" s="1873">
        <f t="shared" si="8"/>
        <v>0</v>
      </c>
      <c r="O13" s="1873">
        <f t="shared" si="8"/>
        <v>0</v>
      </c>
      <c r="P13" s="1873">
        <f t="shared" si="8"/>
        <v>0</v>
      </c>
      <c r="Q13" s="1874">
        <f t="shared" si="8"/>
        <v>0</v>
      </c>
    </row>
    <row r="14" spans="1:23" ht="15">
      <c r="A14" s="1938"/>
      <c r="B14" s="2161" t="s">
        <v>1329</v>
      </c>
      <c r="C14" s="1739">
        <v>0</v>
      </c>
      <c r="D14" s="1739">
        <v>0</v>
      </c>
      <c r="E14" s="1739">
        <v>0</v>
      </c>
      <c r="F14" s="1739">
        <v>0</v>
      </c>
      <c r="G14" s="1739">
        <v>0</v>
      </c>
      <c r="H14" s="1739">
        <v>0</v>
      </c>
      <c r="I14" s="1739">
        <v>0</v>
      </c>
      <c r="J14" s="1739">
        <v>0</v>
      </c>
      <c r="K14" s="1739">
        <v>0</v>
      </c>
      <c r="L14" s="1739">
        <v>0</v>
      </c>
      <c r="M14" s="1740">
        <v>0</v>
      </c>
      <c r="N14" s="1740">
        <v>0</v>
      </c>
      <c r="O14" s="1740">
        <v>0</v>
      </c>
      <c r="P14" s="1740">
        <v>0</v>
      </c>
      <c r="Q14" s="1741">
        <v>0</v>
      </c>
    </row>
    <row r="15" spans="1:23" ht="15">
      <c r="A15" s="1938"/>
      <c r="B15" s="2163">
        <v>2</v>
      </c>
      <c r="C15" s="1737"/>
      <c r="D15" s="1737"/>
      <c r="E15" s="1737"/>
      <c r="F15" s="1737"/>
      <c r="G15" s="1737"/>
      <c r="H15" s="1737"/>
      <c r="I15" s="1737"/>
      <c r="J15" s="1737"/>
      <c r="K15" s="1737"/>
      <c r="L15" s="1737"/>
      <c r="M15" s="1737"/>
      <c r="N15" s="1737"/>
      <c r="O15" s="1737"/>
      <c r="P15" s="1737"/>
      <c r="Q15" s="1738"/>
    </row>
    <row r="16" spans="1:23" ht="15">
      <c r="A16" s="1938"/>
      <c r="B16" s="2162" t="s">
        <v>1330</v>
      </c>
      <c r="C16" s="1748">
        <v>0</v>
      </c>
      <c r="D16" s="1731">
        <f>C16*(1+D17)</f>
        <v>0</v>
      </c>
      <c r="E16" s="1731">
        <f t="shared" ref="E16:L16" si="9">D16*(1+E17)</f>
        <v>0</v>
      </c>
      <c r="F16" s="1731">
        <f t="shared" si="9"/>
        <v>0</v>
      </c>
      <c r="G16" s="1731">
        <f t="shared" si="9"/>
        <v>0</v>
      </c>
      <c r="H16" s="1731">
        <f t="shared" si="9"/>
        <v>0</v>
      </c>
      <c r="I16" s="1731">
        <f t="shared" si="9"/>
        <v>0</v>
      </c>
      <c r="J16" s="1731">
        <f t="shared" si="9"/>
        <v>0</v>
      </c>
      <c r="K16" s="1731">
        <f t="shared" si="9"/>
        <v>0</v>
      </c>
      <c r="L16" s="1731">
        <f t="shared" si="9"/>
        <v>0</v>
      </c>
      <c r="M16" s="1732">
        <f>L16*(1+M17)</f>
        <v>0</v>
      </c>
      <c r="N16" s="1732">
        <f>M16*(1+N17)</f>
        <v>0</v>
      </c>
      <c r="O16" s="1732">
        <f>N16*(1+O17)</f>
        <v>0</v>
      </c>
      <c r="P16" s="1732">
        <f>O16*(1+P17)</f>
        <v>0</v>
      </c>
      <c r="Q16" s="1733">
        <f>P16*(1+Q17)</f>
        <v>0</v>
      </c>
    </row>
    <row r="17" spans="1:17" ht="15">
      <c r="A17" s="1938"/>
      <c r="B17" s="2161" t="s">
        <v>1103</v>
      </c>
      <c r="C17" s="1739"/>
      <c r="D17" s="1739">
        <v>0</v>
      </c>
      <c r="E17" s="1739">
        <v>0</v>
      </c>
      <c r="F17" s="1739">
        <v>0</v>
      </c>
      <c r="G17" s="1739">
        <v>0</v>
      </c>
      <c r="H17" s="1739">
        <v>0</v>
      </c>
      <c r="I17" s="1739">
        <v>0</v>
      </c>
      <c r="J17" s="1739">
        <v>0</v>
      </c>
      <c r="K17" s="1739">
        <v>0</v>
      </c>
      <c r="L17" s="1739">
        <v>0</v>
      </c>
      <c r="M17" s="1740">
        <v>0</v>
      </c>
      <c r="N17" s="1740">
        <v>0</v>
      </c>
      <c r="O17" s="1740">
        <v>0</v>
      </c>
      <c r="P17" s="1740">
        <v>0</v>
      </c>
      <c r="Q17" s="1741">
        <v>0</v>
      </c>
    </row>
    <row r="18" spans="1:17" ht="15">
      <c r="A18" s="1938"/>
      <c r="B18" s="2161" t="s">
        <v>1323</v>
      </c>
      <c r="C18" s="1734"/>
      <c r="D18" s="1734" t="e">
        <f t="shared" ref="D18:Q18" si="10">D16/D$5</f>
        <v>#DIV/0!</v>
      </c>
      <c r="E18" s="1734" t="e">
        <f t="shared" si="10"/>
        <v>#DIV/0!</v>
      </c>
      <c r="F18" s="1734" t="e">
        <f t="shared" si="10"/>
        <v>#DIV/0!</v>
      </c>
      <c r="G18" s="1734" t="e">
        <f t="shared" si="10"/>
        <v>#DIV/0!</v>
      </c>
      <c r="H18" s="1734" t="e">
        <f t="shared" si="10"/>
        <v>#DIV/0!</v>
      </c>
      <c r="I18" s="1734" t="e">
        <f t="shared" si="10"/>
        <v>#DIV/0!</v>
      </c>
      <c r="J18" s="1734" t="e">
        <f t="shared" si="10"/>
        <v>#DIV/0!</v>
      </c>
      <c r="K18" s="1734" t="e">
        <f t="shared" si="10"/>
        <v>#DIV/0!</v>
      </c>
      <c r="L18" s="1734" t="e">
        <f t="shared" si="10"/>
        <v>#DIV/0!</v>
      </c>
      <c r="M18" s="1735" t="e">
        <f t="shared" si="10"/>
        <v>#DIV/0!</v>
      </c>
      <c r="N18" s="1735" t="e">
        <f t="shared" si="10"/>
        <v>#DIV/0!</v>
      </c>
      <c r="O18" s="1735" t="e">
        <f t="shared" si="10"/>
        <v>#DIV/0!</v>
      </c>
      <c r="P18" s="1735" t="e">
        <f t="shared" si="10"/>
        <v>#DIV/0!</v>
      </c>
      <c r="Q18" s="1736" t="e">
        <f t="shared" si="10"/>
        <v>#DIV/0!</v>
      </c>
    </row>
    <row r="19" spans="1:17" ht="15">
      <c r="A19" s="1938"/>
      <c r="B19" s="2162" t="s">
        <v>1328</v>
      </c>
      <c r="C19" s="1870">
        <f>(1-C20)*C16</f>
        <v>0</v>
      </c>
      <c r="D19" s="1870">
        <f t="shared" ref="D19:Q19" si="11">(1-D20)*D16</f>
        <v>0</v>
      </c>
      <c r="E19" s="1870">
        <f t="shared" si="11"/>
        <v>0</v>
      </c>
      <c r="F19" s="1870">
        <f t="shared" si="11"/>
        <v>0</v>
      </c>
      <c r="G19" s="1870">
        <f t="shared" si="11"/>
        <v>0</v>
      </c>
      <c r="H19" s="1870">
        <f t="shared" si="11"/>
        <v>0</v>
      </c>
      <c r="I19" s="1870">
        <f t="shared" si="11"/>
        <v>0</v>
      </c>
      <c r="J19" s="1870">
        <f t="shared" si="11"/>
        <v>0</v>
      </c>
      <c r="K19" s="1870">
        <f t="shared" si="11"/>
        <v>0</v>
      </c>
      <c r="L19" s="1870">
        <f t="shared" si="11"/>
        <v>0</v>
      </c>
      <c r="M19" s="1873">
        <f t="shared" si="11"/>
        <v>0</v>
      </c>
      <c r="N19" s="1873">
        <f t="shared" si="11"/>
        <v>0</v>
      </c>
      <c r="O19" s="1873">
        <f t="shared" si="11"/>
        <v>0</v>
      </c>
      <c r="P19" s="1873">
        <f t="shared" si="11"/>
        <v>0</v>
      </c>
      <c r="Q19" s="1874">
        <f t="shared" si="11"/>
        <v>0</v>
      </c>
    </row>
    <row r="20" spans="1:17" ht="15">
      <c r="A20" s="1938"/>
      <c r="B20" s="2161" t="s">
        <v>1329</v>
      </c>
      <c r="C20" s="1739">
        <v>0</v>
      </c>
      <c r="D20" s="1739">
        <v>0</v>
      </c>
      <c r="E20" s="1739">
        <v>0</v>
      </c>
      <c r="F20" s="1739">
        <v>0</v>
      </c>
      <c r="G20" s="1739">
        <v>0</v>
      </c>
      <c r="H20" s="1739">
        <v>0</v>
      </c>
      <c r="I20" s="1739">
        <v>0</v>
      </c>
      <c r="J20" s="1739">
        <v>0</v>
      </c>
      <c r="K20" s="1739">
        <v>0</v>
      </c>
      <c r="L20" s="1739">
        <v>0</v>
      </c>
      <c r="M20" s="1740">
        <v>0</v>
      </c>
      <c r="N20" s="1740">
        <v>0</v>
      </c>
      <c r="O20" s="1740">
        <v>0</v>
      </c>
      <c r="P20" s="1740">
        <v>0</v>
      </c>
      <c r="Q20" s="1741">
        <v>0</v>
      </c>
    </row>
    <row r="21" spans="1:17" ht="15">
      <c r="A21" s="1938"/>
      <c r="B21" s="2163">
        <v>3</v>
      </c>
      <c r="C21" s="1737"/>
      <c r="D21" s="1737"/>
      <c r="E21" s="1737"/>
      <c r="F21" s="1737"/>
      <c r="G21" s="1737"/>
      <c r="H21" s="1737"/>
      <c r="I21" s="1737"/>
      <c r="J21" s="1737"/>
      <c r="K21" s="1737"/>
      <c r="L21" s="1737"/>
      <c r="M21" s="1737"/>
      <c r="N21" s="1737"/>
      <c r="O21" s="1737"/>
      <c r="P21" s="1737"/>
      <c r="Q21" s="1738"/>
    </row>
    <row r="22" spans="1:17" ht="15">
      <c r="A22" s="1938"/>
      <c r="B22" s="2162" t="s">
        <v>1331</v>
      </c>
      <c r="C22" s="1748">
        <v>0</v>
      </c>
      <c r="D22" s="1731">
        <f>C22*(1+D23)</f>
        <v>0</v>
      </c>
      <c r="E22" s="1731">
        <f t="shared" ref="E22:L22" si="12">D22*(1+E23)</f>
        <v>0</v>
      </c>
      <c r="F22" s="1731">
        <f t="shared" si="12"/>
        <v>0</v>
      </c>
      <c r="G22" s="1731">
        <f t="shared" si="12"/>
        <v>0</v>
      </c>
      <c r="H22" s="1731">
        <f t="shared" si="12"/>
        <v>0</v>
      </c>
      <c r="I22" s="1731">
        <f t="shared" si="12"/>
        <v>0</v>
      </c>
      <c r="J22" s="1731">
        <f t="shared" si="12"/>
        <v>0</v>
      </c>
      <c r="K22" s="1731">
        <f t="shared" si="12"/>
        <v>0</v>
      </c>
      <c r="L22" s="1731">
        <f t="shared" si="12"/>
        <v>0</v>
      </c>
      <c r="M22" s="1732">
        <f>L22*(1+M23)</f>
        <v>0</v>
      </c>
      <c r="N22" s="1732">
        <f>M22*(1+N23)</f>
        <v>0</v>
      </c>
      <c r="O22" s="1732">
        <f>N22*(1+O23)</f>
        <v>0</v>
      </c>
      <c r="P22" s="1732">
        <f>O22*(1+P23)</f>
        <v>0</v>
      </c>
      <c r="Q22" s="1733">
        <f>P22*(1+Q23)</f>
        <v>0</v>
      </c>
    </row>
    <row r="23" spans="1:17" ht="15">
      <c r="A23" s="1938"/>
      <c r="B23" s="2161" t="s">
        <v>1103</v>
      </c>
      <c r="C23" s="1739"/>
      <c r="D23" s="1739">
        <v>0</v>
      </c>
      <c r="E23" s="1739">
        <v>0</v>
      </c>
      <c r="F23" s="1739">
        <v>0</v>
      </c>
      <c r="G23" s="1739">
        <v>0</v>
      </c>
      <c r="H23" s="1739">
        <v>0</v>
      </c>
      <c r="I23" s="1739">
        <v>0</v>
      </c>
      <c r="J23" s="1739">
        <v>0</v>
      </c>
      <c r="K23" s="1739">
        <v>0</v>
      </c>
      <c r="L23" s="1739">
        <v>0</v>
      </c>
      <c r="M23" s="1740">
        <v>0</v>
      </c>
      <c r="N23" s="1740">
        <v>0</v>
      </c>
      <c r="O23" s="1740">
        <v>0</v>
      </c>
      <c r="P23" s="1740">
        <v>0</v>
      </c>
      <c r="Q23" s="1741">
        <v>0</v>
      </c>
    </row>
    <row r="24" spans="1:17" ht="15">
      <c r="A24" s="1938"/>
      <c r="B24" s="2161" t="s">
        <v>1323</v>
      </c>
      <c r="C24" s="1734"/>
      <c r="D24" s="1734" t="e">
        <f t="shared" ref="D24:Q24" si="13">D22/D$5</f>
        <v>#DIV/0!</v>
      </c>
      <c r="E24" s="1734" t="e">
        <f t="shared" si="13"/>
        <v>#DIV/0!</v>
      </c>
      <c r="F24" s="1734" t="e">
        <f t="shared" si="13"/>
        <v>#DIV/0!</v>
      </c>
      <c r="G24" s="1734" t="e">
        <f t="shared" si="13"/>
        <v>#DIV/0!</v>
      </c>
      <c r="H24" s="1734" t="e">
        <f t="shared" si="13"/>
        <v>#DIV/0!</v>
      </c>
      <c r="I24" s="1734" t="e">
        <f t="shared" si="13"/>
        <v>#DIV/0!</v>
      </c>
      <c r="J24" s="1734" t="e">
        <f t="shared" si="13"/>
        <v>#DIV/0!</v>
      </c>
      <c r="K24" s="1734" t="e">
        <f t="shared" si="13"/>
        <v>#DIV/0!</v>
      </c>
      <c r="L24" s="1734" t="e">
        <f t="shared" si="13"/>
        <v>#DIV/0!</v>
      </c>
      <c r="M24" s="1735" t="e">
        <f t="shared" si="13"/>
        <v>#DIV/0!</v>
      </c>
      <c r="N24" s="1735" t="e">
        <f t="shared" si="13"/>
        <v>#DIV/0!</v>
      </c>
      <c r="O24" s="1735" t="e">
        <f t="shared" si="13"/>
        <v>#DIV/0!</v>
      </c>
      <c r="P24" s="1735" t="e">
        <f t="shared" si="13"/>
        <v>#DIV/0!</v>
      </c>
      <c r="Q24" s="1736" t="e">
        <f t="shared" si="13"/>
        <v>#DIV/0!</v>
      </c>
    </row>
    <row r="25" spans="1:17" ht="15">
      <c r="A25" s="1938"/>
      <c r="B25" s="2162" t="s">
        <v>1328</v>
      </c>
      <c r="C25" s="1870">
        <f>(1-C26)*C22</f>
        <v>0</v>
      </c>
      <c r="D25" s="1870">
        <f t="shared" ref="D25:Q25" si="14">(1-D26)*D22</f>
        <v>0</v>
      </c>
      <c r="E25" s="1870">
        <f t="shared" si="14"/>
        <v>0</v>
      </c>
      <c r="F25" s="1870">
        <f t="shared" si="14"/>
        <v>0</v>
      </c>
      <c r="G25" s="1870">
        <f t="shared" si="14"/>
        <v>0</v>
      </c>
      <c r="H25" s="1870">
        <f t="shared" si="14"/>
        <v>0</v>
      </c>
      <c r="I25" s="1870">
        <f t="shared" si="14"/>
        <v>0</v>
      </c>
      <c r="J25" s="1870">
        <f t="shared" si="14"/>
        <v>0</v>
      </c>
      <c r="K25" s="1870">
        <f t="shared" si="14"/>
        <v>0</v>
      </c>
      <c r="L25" s="1870">
        <f t="shared" si="14"/>
        <v>0</v>
      </c>
      <c r="M25" s="1873">
        <f t="shared" si="14"/>
        <v>0</v>
      </c>
      <c r="N25" s="1873">
        <f t="shared" si="14"/>
        <v>0</v>
      </c>
      <c r="O25" s="1873">
        <f t="shared" si="14"/>
        <v>0</v>
      </c>
      <c r="P25" s="1873">
        <f t="shared" si="14"/>
        <v>0</v>
      </c>
      <c r="Q25" s="1874">
        <f t="shared" si="14"/>
        <v>0</v>
      </c>
    </row>
    <row r="26" spans="1:17" ht="15">
      <c r="A26" s="1938"/>
      <c r="B26" s="2161" t="s">
        <v>1322</v>
      </c>
      <c r="C26" s="1739">
        <v>0</v>
      </c>
      <c r="D26" s="1739">
        <v>0</v>
      </c>
      <c r="E26" s="1739">
        <v>0</v>
      </c>
      <c r="F26" s="1739">
        <v>0</v>
      </c>
      <c r="G26" s="1739">
        <v>0</v>
      </c>
      <c r="H26" s="1739">
        <v>0</v>
      </c>
      <c r="I26" s="1739">
        <v>0</v>
      </c>
      <c r="J26" s="1739">
        <v>0</v>
      </c>
      <c r="K26" s="1739">
        <v>0</v>
      </c>
      <c r="L26" s="1739">
        <v>0</v>
      </c>
      <c r="M26" s="1740">
        <v>0</v>
      </c>
      <c r="N26" s="1740">
        <v>0</v>
      </c>
      <c r="O26" s="1740">
        <v>0</v>
      </c>
      <c r="P26" s="1740">
        <v>0</v>
      </c>
      <c r="Q26" s="1741">
        <v>0</v>
      </c>
    </row>
    <row r="27" spans="1:17" ht="15">
      <c r="A27" s="1938"/>
      <c r="B27" s="2163">
        <v>4</v>
      </c>
      <c r="C27" s="1737"/>
      <c r="D27" s="1737"/>
      <c r="E27" s="1737"/>
      <c r="F27" s="1737"/>
      <c r="G27" s="1737"/>
      <c r="H27" s="1737"/>
      <c r="I27" s="1737"/>
      <c r="J27" s="1737"/>
      <c r="K27" s="1737"/>
      <c r="L27" s="1737"/>
      <c r="M27" s="1737"/>
      <c r="N27" s="1737"/>
      <c r="O27" s="1737"/>
      <c r="P27" s="1737"/>
      <c r="Q27" s="1738"/>
    </row>
    <row r="28" spans="1:17" ht="15">
      <c r="A28" s="1938"/>
      <c r="B28" s="2162" t="s">
        <v>1331</v>
      </c>
      <c r="C28" s="1748">
        <v>0</v>
      </c>
      <c r="D28" s="1731">
        <f>C28*(1+D29)</f>
        <v>0</v>
      </c>
      <c r="E28" s="1731">
        <f t="shared" ref="E28:L28" si="15">D28*(1+E29)</f>
        <v>0</v>
      </c>
      <c r="F28" s="1731">
        <f t="shared" si="15"/>
        <v>0</v>
      </c>
      <c r="G28" s="1731">
        <f t="shared" si="15"/>
        <v>0</v>
      </c>
      <c r="H28" s="1731">
        <f t="shared" si="15"/>
        <v>0</v>
      </c>
      <c r="I28" s="1731">
        <f t="shared" si="15"/>
        <v>0</v>
      </c>
      <c r="J28" s="1731">
        <f t="shared" si="15"/>
        <v>0</v>
      </c>
      <c r="K28" s="1731">
        <f t="shared" si="15"/>
        <v>0</v>
      </c>
      <c r="L28" s="1731">
        <f t="shared" si="15"/>
        <v>0</v>
      </c>
      <c r="M28" s="1732">
        <f>L28*(1+M29)</f>
        <v>0</v>
      </c>
      <c r="N28" s="1732">
        <f>M28*(1+N29)</f>
        <v>0</v>
      </c>
      <c r="O28" s="1732">
        <f>N28*(1+O29)</f>
        <v>0</v>
      </c>
      <c r="P28" s="1732">
        <f>O28*(1+P29)</f>
        <v>0</v>
      </c>
      <c r="Q28" s="1733">
        <f>P28*(1+Q29)</f>
        <v>0</v>
      </c>
    </row>
    <row r="29" spans="1:17" ht="15">
      <c r="A29" s="1938"/>
      <c r="B29" s="2161" t="s">
        <v>1103</v>
      </c>
      <c r="C29" s="1739"/>
      <c r="D29" s="1739">
        <v>0</v>
      </c>
      <c r="E29" s="1739">
        <v>0</v>
      </c>
      <c r="F29" s="1739">
        <v>0</v>
      </c>
      <c r="G29" s="1739">
        <v>0</v>
      </c>
      <c r="H29" s="1739">
        <v>0</v>
      </c>
      <c r="I29" s="1739">
        <v>0</v>
      </c>
      <c r="J29" s="1739">
        <v>0</v>
      </c>
      <c r="K29" s="1739">
        <v>0</v>
      </c>
      <c r="L29" s="1739">
        <v>0</v>
      </c>
      <c r="M29" s="1740">
        <v>0</v>
      </c>
      <c r="N29" s="1740">
        <v>0</v>
      </c>
      <c r="O29" s="1740">
        <v>0</v>
      </c>
      <c r="P29" s="1740">
        <v>0</v>
      </c>
      <c r="Q29" s="1741">
        <v>0</v>
      </c>
    </row>
    <row r="30" spans="1:17" ht="15">
      <c r="A30" s="1938"/>
      <c r="B30" s="2161" t="s">
        <v>1323</v>
      </c>
      <c r="C30" s="1734"/>
      <c r="D30" s="1734" t="e">
        <f t="shared" ref="D30:Q30" si="16">D28/D$5</f>
        <v>#DIV/0!</v>
      </c>
      <c r="E30" s="1734" t="e">
        <f t="shared" si="16"/>
        <v>#DIV/0!</v>
      </c>
      <c r="F30" s="1734" t="e">
        <f t="shared" si="16"/>
        <v>#DIV/0!</v>
      </c>
      <c r="G30" s="1734" t="e">
        <f t="shared" si="16"/>
        <v>#DIV/0!</v>
      </c>
      <c r="H30" s="1734" t="e">
        <f t="shared" si="16"/>
        <v>#DIV/0!</v>
      </c>
      <c r="I30" s="1734" t="e">
        <f t="shared" si="16"/>
        <v>#DIV/0!</v>
      </c>
      <c r="J30" s="1734" t="e">
        <f t="shared" si="16"/>
        <v>#DIV/0!</v>
      </c>
      <c r="K30" s="1734" t="e">
        <f t="shared" si="16"/>
        <v>#DIV/0!</v>
      </c>
      <c r="L30" s="1734" t="e">
        <f t="shared" si="16"/>
        <v>#DIV/0!</v>
      </c>
      <c r="M30" s="1735" t="e">
        <f t="shared" si="16"/>
        <v>#DIV/0!</v>
      </c>
      <c r="N30" s="1735" t="e">
        <f t="shared" si="16"/>
        <v>#DIV/0!</v>
      </c>
      <c r="O30" s="1735" t="e">
        <f t="shared" si="16"/>
        <v>#DIV/0!</v>
      </c>
      <c r="P30" s="1735" t="e">
        <f t="shared" si="16"/>
        <v>#DIV/0!</v>
      </c>
      <c r="Q30" s="1736" t="e">
        <f t="shared" si="16"/>
        <v>#DIV/0!</v>
      </c>
    </row>
    <row r="31" spans="1:17" ht="15">
      <c r="A31" s="1938"/>
      <c r="B31" s="2162" t="s">
        <v>1326</v>
      </c>
      <c r="C31" s="1870">
        <f>(1-C32)*C28</f>
        <v>0</v>
      </c>
      <c r="D31" s="1870">
        <f t="shared" ref="D31:Q31" si="17">(1-D32)*D28</f>
        <v>0</v>
      </c>
      <c r="E31" s="1870">
        <f t="shared" si="17"/>
        <v>0</v>
      </c>
      <c r="F31" s="1870">
        <f t="shared" si="17"/>
        <v>0</v>
      </c>
      <c r="G31" s="1870">
        <f t="shared" si="17"/>
        <v>0</v>
      </c>
      <c r="H31" s="1870">
        <f t="shared" si="17"/>
        <v>0</v>
      </c>
      <c r="I31" s="1870">
        <f t="shared" si="17"/>
        <v>0</v>
      </c>
      <c r="J31" s="1870">
        <f t="shared" si="17"/>
        <v>0</v>
      </c>
      <c r="K31" s="1870">
        <f t="shared" si="17"/>
        <v>0</v>
      </c>
      <c r="L31" s="1870">
        <f t="shared" si="17"/>
        <v>0</v>
      </c>
      <c r="M31" s="1873">
        <f t="shared" si="17"/>
        <v>0</v>
      </c>
      <c r="N31" s="1873">
        <f t="shared" si="17"/>
        <v>0</v>
      </c>
      <c r="O31" s="1873">
        <f t="shared" si="17"/>
        <v>0</v>
      </c>
      <c r="P31" s="1873">
        <f t="shared" si="17"/>
        <v>0</v>
      </c>
      <c r="Q31" s="1874">
        <f t="shared" si="17"/>
        <v>0</v>
      </c>
    </row>
    <row r="32" spans="1:17" ht="15">
      <c r="A32" s="1938"/>
      <c r="B32" s="2161" t="s">
        <v>1322</v>
      </c>
      <c r="C32" s="1739">
        <v>0</v>
      </c>
      <c r="D32" s="1739">
        <v>0</v>
      </c>
      <c r="E32" s="1739">
        <v>0</v>
      </c>
      <c r="F32" s="1739">
        <v>0</v>
      </c>
      <c r="G32" s="1739">
        <v>0</v>
      </c>
      <c r="H32" s="1739">
        <v>0</v>
      </c>
      <c r="I32" s="1739">
        <v>0</v>
      </c>
      <c r="J32" s="1739">
        <v>0</v>
      </c>
      <c r="K32" s="1739">
        <v>0</v>
      </c>
      <c r="L32" s="1739">
        <v>0</v>
      </c>
      <c r="M32" s="1740">
        <v>0</v>
      </c>
      <c r="N32" s="1740">
        <v>0</v>
      </c>
      <c r="O32" s="1740">
        <v>0</v>
      </c>
      <c r="P32" s="1740">
        <v>0</v>
      </c>
      <c r="Q32" s="1741">
        <v>0</v>
      </c>
    </row>
    <row r="33" spans="1:17" ht="15">
      <c r="A33" s="1938"/>
      <c r="B33" s="2163">
        <v>5</v>
      </c>
      <c r="C33" s="1737"/>
      <c r="D33" s="1737"/>
      <c r="E33" s="1737"/>
      <c r="F33" s="1737"/>
      <c r="G33" s="1737"/>
      <c r="H33" s="1737"/>
      <c r="I33" s="1737"/>
      <c r="J33" s="1737"/>
      <c r="K33" s="1737"/>
      <c r="L33" s="1737"/>
      <c r="M33" s="1737"/>
      <c r="N33" s="1737"/>
      <c r="O33" s="1737"/>
      <c r="P33" s="1737"/>
      <c r="Q33" s="1738"/>
    </row>
    <row r="34" spans="1:17" ht="15">
      <c r="A34" s="1938"/>
      <c r="B34" s="2162" t="s">
        <v>1331</v>
      </c>
      <c r="C34" s="1748">
        <v>0</v>
      </c>
      <c r="D34" s="1731">
        <f>C34*(1+D35)</f>
        <v>0</v>
      </c>
      <c r="E34" s="1731">
        <f t="shared" ref="E34:L34" si="18">D34*(1+E35)</f>
        <v>0</v>
      </c>
      <c r="F34" s="1731">
        <f t="shared" si="18"/>
        <v>0</v>
      </c>
      <c r="G34" s="1731">
        <f t="shared" si="18"/>
        <v>0</v>
      </c>
      <c r="H34" s="1731">
        <f t="shared" si="18"/>
        <v>0</v>
      </c>
      <c r="I34" s="1731">
        <f t="shared" si="18"/>
        <v>0</v>
      </c>
      <c r="J34" s="1731">
        <f t="shared" si="18"/>
        <v>0</v>
      </c>
      <c r="K34" s="1731">
        <f t="shared" si="18"/>
        <v>0</v>
      </c>
      <c r="L34" s="1731">
        <f t="shared" si="18"/>
        <v>0</v>
      </c>
      <c r="M34" s="1732">
        <f>L34*(1+M35)</f>
        <v>0</v>
      </c>
      <c r="N34" s="1732">
        <f>M34*(1+N35)</f>
        <v>0</v>
      </c>
      <c r="O34" s="1732">
        <f>N34*(1+O35)</f>
        <v>0</v>
      </c>
      <c r="P34" s="1732">
        <f>O34*(1+P35)</f>
        <v>0</v>
      </c>
      <c r="Q34" s="1733">
        <f>P34*(1+Q35)</f>
        <v>0</v>
      </c>
    </row>
    <row r="35" spans="1:17" ht="15">
      <c r="A35" s="1938"/>
      <c r="B35" s="2161" t="s">
        <v>1103</v>
      </c>
      <c r="C35" s="1739"/>
      <c r="D35" s="1739">
        <v>0</v>
      </c>
      <c r="E35" s="1739">
        <v>0</v>
      </c>
      <c r="F35" s="1739">
        <v>0</v>
      </c>
      <c r="G35" s="1739">
        <v>0</v>
      </c>
      <c r="H35" s="1739">
        <v>0</v>
      </c>
      <c r="I35" s="1739">
        <v>0</v>
      </c>
      <c r="J35" s="1739">
        <v>0</v>
      </c>
      <c r="K35" s="1739">
        <v>0</v>
      </c>
      <c r="L35" s="1739">
        <v>0</v>
      </c>
      <c r="M35" s="1740">
        <v>0</v>
      </c>
      <c r="N35" s="1740">
        <v>0</v>
      </c>
      <c r="O35" s="1740">
        <v>0</v>
      </c>
      <c r="P35" s="1740">
        <v>0</v>
      </c>
      <c r="Q35" s="1741">
        <v>0</v>
      </c>
    </row>
    <row r="36" spans="1:17" ht="15">
      <c r="A36" s="1938"/>
      <c r="B36" s="2161" t="s">
        <v>1323</v>
      </c>
      <c r="C36" s="1734"/>
      <c r="D36" s="1734" t="e">
        <f t="shared" ref="D36:Q36" si="19">D34/D$5</f>
        <v>#DIV/0!</v>
      </c>
      <c r="E36" s="1734" t="e">
        <f t="shared" si="19"/>
        <v>#DIV/0!</v>
      </c>
      <c r="F36" s="1734" t="e">
        <f t="shared" si="19"/>
        <v>#DIV/0!</v>
      </c>
      <c r="G36" s="1734" t="e">
        <f t="shared" si="19"/>
        <v>#DIV/0!</v>
      </c>
      <c r="H36" s="1734" t="e">
        <f t="shared" si="19"/>
        <v>#DIV/0!</v>
      </c>
      <c r="I36" s="1734" t="e">
        <f t="shared" si="19"/>
        <v>#DIV/0!</v>
      </c>
      <c r="J36" s="1734" t="e">
        <f t="shared" si="19"/>
        <v>#DIV/0!</v>
      </c>
      <c r="K36" s="1734" t="e">
        <f t="shared" si="19"/>
        <v>#DIV/0!</v>
      </c>
      <c r="L36" s="1734" t="e">
        <f t="shared" si="19"/>
        <v>#DIV/0!</v>
      </c>
      <c r="M36" s="1735" t="e">
        <f t="shared" si="19"/>
        <v>#DIV/0!</v>
      </c>
      <c r="N36" s="1735" t="e">
        <f t="shared" si="19"/>
        <v>#DIV/0!</v>
      </c>
      <c r="O36" s="1735" t="e">
        <f t="shared" si="19"/>
        <v>#DIV/0!</v>
      </c>
      <c r="P36" s="1735" t="e">
        <f t="shared" si="19"/>
        <v>#DIV/0!</v>
      </c>
      <c r="Q36" s="1736" t="e">
        <f t="shared" si="19"/>
        <v>#DIV/0!</v>
      </c>
    </row>
    <row r="37" spans="1:17" ht="15">
      <c r="A37" s="1938"/>
      <c r="B37" s="2162" t="s">
        <v>1326</v>
      </c>
      <c r="C37" s="1870">
        <f>(1-C38)*C34</f>
        <v>0</v>
      </c>
      <c r="D37" s="1870">
        <f t="shared" ref="D37:Q37" si="20">(1-D38)*D34</f>
        <v>0</v>
      </c>
      <c r="E37" s="1870">
        <f t="shared" si="20"/>
        <v>0</v>
      </c>
      <c r="F37" s="1870">
        <f t="shared" si="20"/>
        <v>0</v>
      </c>
      <c r="G37" s="1870">
        <f t="shared" si="20"/>
        <v>0</v>
      </c>
      <c r="H37" s="1870">
        <f t="shared" si="20"/>
        <v>0</v>
      </c>
      <c r="I37" s="1870">
        <f t="shared" si="20"/>
        <v>0</v>
      </c>
      <c r="J37" s="1870">
        <f t="shared" si="20"/>
        <v>0</v>
      </c>
      <c r="K37" s="1870">
        <f t="shared" si="20"/>
        <v>0</v>
      </c>
      <c r="L37" s="1870">
        <f t="shared" si="20"/>
        <v>0</v>
      </c>
      <c r="M37" s="1873">
        <f t="shared" si="20"/>
        <v>0</v>
      </c>
      <c r="N37" s="1873">
        <f t="shared" si="20"/>
        <v>0</v>
      </c>
      <c r="O37" s="1873">
        <f t="shared" si="20"/>
        <v>0</v>
      </c>
      <c r="P37" s="1873">
        <f t="shared" si="20"/>
        <v>0</v>
      </c>
      <c r="Q37" s="1874">
        <f t="shared" si="20"/>
        <v>0</v>
      </c>
    </row>
    <row r="38" spans="1:17" ht="15">
      <c r="A38" s="1938"/>
      <c r="B38" s="2161" t="s">
        <v>1329</v>
      </c>
      <c r="C38" s="1739">
        <v>0</v>
      </c>
      <c r="D38" s="1739">
        <v>0</v>
      </c>
      <c r="E38" s="1739">
        <v>0</v>
      </c>
      <c r="F38" s="1739">
        <v>0</v>
      </c>
      <c r="G38" s="1739">
        <v>0</v>
      </c>
      <c r="H38" s="1739">
        <v>0</v>
      </c>
      <c r="I38" s="1739">
        <v>0</v>
      </c>
      <c r="J38" s="1739">
        <v>0</v>
      </c>
      <c r="K38" s="1739">
        <v>0</v>
      </c>
      <c r="L38" s="1739">
        <v>0</v>
      </c>
      <c r="M38" s="1740">
        <v>0</v>
      </c>
      <c r="N38" s="1740">
        <v>0</v>
      </c>
      <c r="O38" s="1740">
        <v>0</v>
      </c>
      <c r="P38" s="1740">
        <v>0</v>
      </c>
      <c r="Q38" s="1741">
        <v>0</v>
      </c>
    </row>
    <row r="39" spans="1:17" ht="15">
      <c r="A39" s="1938"/>
      <c r="B39" s="2163">
        <v>6</v>
      </c>
      <c r="C39" s="1737"/>
      <c r="D39" s="1737"/>
      <c r="E39" s="1737"/>
      <c r="F39" s="1737"/>
      <c r="G39" s="1737"/>
      <c r="H39" s="1737"/>
      <c r="I39" s="1737"/>
      <c r="J39" s="1737"/>
      <c r="K39" s="1737"/>
      <c r="L39" s="1737"/>
      <c r="M39" s="1737"/>
      <c r="N39" s="1737"/>
      <c r="O39" s="1737"/>
      <c r="P39" s="1737"/>
      <c r="Q39" s="1738"/>
    </row>
    <row r="40" spans="1:17" ht="15">
      <c r="A40" s="1938"/>
      <c r="B40" s="2162" t="s">
        <v>1331</v>
      </c>
      <c r="C40" s="1748">
        <v>0</v>
      </c>
      <c r="D40" s="1731">
        <f>C40*(1+D41)</f>
        <v>0</v>
      </c>
      <c r="E40" s="1731">
        <f t="shared" ref="E40:L40" si="21">D40*(1+E41)</f>
        <v>0</v>
      </c>
      <c r="F40" s="1731">
        <f t="shared" si="21"/>
        <v>0</v>
      </c>
      <c r="G40" s="1731">
        <f t="shared" si="21"/>
        <v>0</v>
      </c>
      <c r="H40" s="1731">
        <f t="shared" si="21"/>
        <v>0</v>
      </c>
      <c r="I40" s="1731">
        <f t="shared" si="21"/>
        <v>0</v>
      </c>
      <c r="J40" s="1731">
        <f t="shared" si="21"/>
        <v>0</v>
      </c>
      <c r="K40" s="1731">
        <f t="shared" si="21"/>
        <v>0</v>
      </c>
      <c r="L40" s="1731">
        <f t="shared" si="21"/>
        <v>0</v>
      </c>
      <c r="M40" s="1732">
        <f>L40*(1+M41)</f>
        <v>0</v>
      </c>
      <c r="N40" s="1732">
        <f>M40*(1+N41)</f>
        <v>0</v>
      </c>
      <c r="O40" s="1732">
        <f>N40*(1+O41)</f>
        <v>0</v>
      </c>
      <c r="P40" s="1732">
        <f>O40*(1+P41)</f>
        <v>0</v>
      </c>
      <c r="Q40" s="1733">
        <f>P40*(1+Q41)</f>
        <v>0</v>
      </c>
    </row>
    <row r="41" spans="1:17" ht="15">
      <c r="A41" s="1938"/>
      <c r="B41" s="2161" t="s">
        <v>1103</v>
      </c>
      <c r="C41" s="1739"/>
      <c r="D41" s="1739">
        <v>0</v>
      </c>
      <c r="E41" s="1739">
        <v>0</v>
      </c>
      <c r="F41" s="1739">
        <v>0</v>
      </c>
      <c r="G41" s="1739">
        <v>0</v>
      </c>
      <c r="H41" s="1739">
        <v>0</v>
      </c>
      <c r="I41" s="1739">
        <v>0</v>
      </c>
      <c r="J41" s="1739">
        <v>0</v>
      </c>
      <c r="K41" s="1739">
        <v>0</v>
      </c>
      <c r="L41" s="1739">
        <v>0</v>
      </c>
      <c r="M41" s="1740">
        <v>0</v>
      </c>
      <c r="N41" s="1740">
        <v>0</v>
      </c>
      <c r="O41" s="1740">
        <v>0</v>
      </c>
      <c r="P41" s="1740">
        <v>0</v>
      </c>
      <c r="Q41" s="1741">
        <v>0</v>
      </c>
    </row>
    <row r="42" spans="1:17" ht="15">
      <c r="A42" s="1938"/>
      <c r="B42" s="2161" t="s">
        <v>1323</v>
      </c>
      <c r="C42" s="1734"/>
      <c r="D42" s="1734" t="e">
        <f t="shared" ref="D42:Q42" si="22">D40/D$5</f>
        <v>#DIV/0!</v>
      </c>
      <c r="E42" s="1734" t="e">
        <f t="shared" si="22"/>
        <v>#DIV/0!</v>
      </c>
      <c r="F42" s="1734" t="e">
        <f t="shared" si="22"/>
        <v>#DIV/0!</v>
      </c>
      <c r="G42" s="1734" t="e">
        <f t="shared" si="22"/>
        <v>#DIV/0!</v>
      </c>
      <c r="H42" s="1734" t="e">
        <f t="shared" si="22"/>
        <v>#DIV/0!</v>
      </c>
      <c r="I42" s="1734" t="e">
        <f t="shared" si="22"/>
        <v>#DIV/0!</v>
      </c>
      <c r="J42" s="1734" t="e">
        <f t="shared" si="22"/>
        <v>#DIV/0!</v>
      </c>
      <c r="K42" s="1734" t="e">
        <f t="shared" si="22"/>
        <v>#DIV/0!</v>
      </c>
      <c r="L42" s="1734" t="e">
        <f t="shared" si="22"/>
        <v>#DIV/0!</v>
      </c>
      <c r="M42" s="1735" t="e">
        <f t="shared" si="22"/>
        <v>#DIV/0!</v>
      </c>
      <c r="N42" s="1735" t="e">
        <f t="shared" si="22"/>
        <v>#DIV/0!</v>
      </c>
      <c r="O42" s="1735" t="e">
        <f t="shared" si="22"/>
        <v>#DIV/0!</v>
      </c>
      <c r="P42" s="1735" t="e">
        <f t="shared" si="22"/>
        <v>#DIV/0!</v>
      </c>
      <c r="Q42" s="1736" t="e">
        <f t="shared" si="22"/>
        <v>#DIV/0!</v>
      </c>
    </row>
    <row r="43" spans="1:17" ht="15">
      <c r="A43" s="1938"/>
      <c r="B43" s="2162" t="s">
        <v>1326</v>
      </c>
      <c r="C43" s="1870">
        <f>(1-C44)*C40</f>
        <v>0</v>
      </c>
      <c r="D43" s="1870">
        <f t="shared" ref="D43:Q43" si="23">(1-D44)*D40</f>
        <v>0</v>
      </c>
      <c r="E43" s="1870">
        <f t="shared" si="23"/>
        <v>0</v>
      </c>
      <c r="F43" s="1870">
        <f t="shared" si="23"/>
        <v>0</v>
      </c>
      <c r="G43" s="1870">
        <f t="shared" si="23"/>
        <v>0</v>
      </c>
      <c r="H43" s="1870">
        <f t="shared" si="23"/>
        <v>0</v>
      </c>
      <c r="I43" s="1870">
        <f t="shared" si="23"/>
        <v>0</v>
      </c>
      <c r="J43" s="1870">
        <f t="shared" si="23"/>
        <v>0</v>
      </c>
      <c r="K43" s="1870">
        <f t="shared" si="23"/>
        <v>0</v>
      </c>
      <c r="L43" s="1870">
        <f t="shared" si="23"/>
        <v>0</v>
      </c>
      <c r="M43" s="1873">
        <f t="shared" si="23"/>
        <v>0</v>
      </c>
      <c r="N43" s="1873">
        <f t="shared" si="23"/>
        <v>0</v>
      </c>
      <c r="O43" s="1873">
        <f t="shared" si="23"/>
        <v>0</v>
      </c>
      <c r="P43" s="1873">
        <f t="shared" si="23"/>
        <v>0</v>
      </c>
      <c r="Q43" s="1874">
        <f t="shared" si="23"/>
        <v>0</v>
      </c>
    </row>
    <row r="44" spans="1:17" ht="15">
      <c r="A44" s="1938"/>
      <c r="B44" s="2161" t="s">
        <v>1329</v>
      </c>
      <c r="C44" s="1739">
        <v>0</v>
      </c>
      <c r="D44" s="1739">
        <v>0</v>
      </c>
      <c r="E44" s="1739">
        <v>0</v>
      </c>
      <c r="F44" s="1739">
        <v>0</v>
      </c>
      <c r="G44" s="1739">
        <v>0</v>
      </c>
      <c r="H44" s="1739">
        <v>0</v>
      </c>
      <c r="I44" s="1739">
        <v>0</v>
      </c>
      <c r="J44" s="1739">
        <v>0</v>
      </c>
      <c r="K44" s="1739">
        <v>0</v>
      </c>
      <c r="L44" s="1739">
        <v>0</v>
      </c>
      <c r="M44" s="1740">
        <v>0</v>
      </c>
      <c r="N44" s="1740">
        <v>0</v>
      </c>
      <c r="O44" s="1740">
        <v>0</v>
      </c>
      <c r="P44" s="1740">
        <v>0</v>
      </c>
      <c r="Q44" s="1741">
        <v>0</v>
      </c>
    </row>
    <row r="45" spans="1:17" ht="15">
      <c r="A45" s="1938"/>
      <c r="B45" s="2163">
        <v>7</v>
      </c>
      <c r="C45" s="1737"/>
      <c r="D45" s="1737"/>
      <c r="E45" s="1737"/>
      <c r="F45" s="1737"/>
      <c r="G45" s="1737"/>
      <c r="H45" s="1737"/>
      <c r="I45" s="1737"/>
      <c r="J45" s="1737"/>
      <c r="K45" s="1737"/>
      <c r="L45" s="1737"/>
      <c r="M45" s="1737"/>
      <c r="N45" s="1737"/>
      <c r="O45" s="1737"/>
      <c r="P45" s="1737"/>
      <c r="Q45" s="1738"/>
    </row>
    <row r="46" spans="1:17" ht="15">
      <c r="A46" s="1938"/>
      <c r="B46" s="2162" t="s">
        <v>1331</v>
      </c>
      <c r="C46" s="1748">
        <v>0</v>
      </c>
      <c r="D46" s="1731">
        <f>C46*(1+D47)</f>
        <v>0</v>
      </c>
      <c r="E46" s="1731">
        <f t="shared" ref="E46:L46" si="24">D46*(1+E47)</f>
        <v>0</v>
      </c>
      <c r="F46" s="1731">
        <f t="shared" si="24"/>
        <v>0</v>
      </c>
      <c r="G46" s="1731">
        <f t="shared" si="24"/>
        <v>0</v>
      </c>
      <c r="H46" s="1731">
        <f t="shared" si="24"/>
        <v>0</v>
      </c>
      <c r="I46" s="1731">
        <f t="shared" si="24"/>
        <v>0</v>
      </c>
      <c r="J46" s="1731">
        <f t="shared" si="24"/>
        <v>0</v>
      </c>
      <c r="K46" s="1731">
        <f t="shared" si="24"/>
        <v>0</v>
      </c>
      <c r="L46" s="1731">
        <f t="shared" si="24"/>
        <v>0</v>
      </c>
      <c r="M46" s="1732">
        <f>L46*(1+M47)</f>
        <v>0</v>
      </c>
      <c r="N46" s="1732">
        <f>M46*(1+N47)</f>
        <v>0</v>
      </c>
      <c r="O46" s="1732">
        <f>N46*(1+O47)</f>
        <v>0</v>
      </c>
      <c r="P46" s="1732">
        <f>O46*(1+P47)</f>
        <v>0</v>
      </c>
      <c r="Q46" s="1733">
        <f>P46*(1+Q47)</f>
        <v>0</v>
      </c>
    </row>
    <row r="47" spans="1:17" ht="15">
      <c r="A47" s="1938"/>
      <c r="B47" s="2161" t="s">
        <v>1103</v>
      </c>
      <c r="C47" s="1739"/>
      <c r="D47" s="1739">
        <v>0</v>
      </c>
      <c r="E47" s="1739">
        <v>0</v>
      </c>
      <c r="F47" s="1739">
        <v>0</v>
      </c>
      <c r="G47" s="1739">
        <v>0</v>
      </c>
      <c r="H47" s="1739">
        <v>0</v>
      </c>
      <c r="I47" s="1739">
        <v>0</v>
      </c>
      <c r="J47" s="1739">
        <v>0</v>
      </c>
      <c r="K47" s="1739">
        <v>0</v>
      </c>
      <c r="L47" s="1739">
        <v>0</v>
      </c>
      <c r="M47" s="1740">
        <v>0</v>
      </c>
      <c r="N47" s="1740">
        <v>0</v>
      </c>
      <c r="O47" s="1740">
        <v>0</v>
      </c>
      <c r="P47" s="1740">
        <v>0</v>
      </c>
      <c r="Q47" s="1741">
        <v>0</v>
      </c>
    </row>
    <row r="48" spans="1:17" ht="15">
      <c r="A48" s="1938"/>
      <c r="B48" s="2161" t="s">
        <v>1323</v>
      </c>
      <c r="C48" s="1734"/>
      <c r="D48" s="1734" t="e">
        <f t="shared" ref="D48:Q48" si="25">D46/D$5</f>
        <v>#DIV/0!</v>
      </c>
      <c r="E48" s="1734" t="e">
        <f t="shared" si="25"/>
        <v>#DIV/0!</v>
      </c>
      <c r="F48" s="1734" t="e">
        <f t="shared" si="25"/>
        <v>#DIV/0!</v>
      </c>
      <c r="G48" s="1734" t="e">
        <f t="shared" si="25"/>
        <v>#DIV/0!</v>
      </c>
      <c r="H48" s="1734" t="e">
        <f t="shared" si="25"/>
        <v>#DIV/0!</v>
      </c>
      <c r="I48" s="1734" t="e">
        <f t="shared" si="25"/>
        <v>#DIV/0!</v>
      </c>
      <c r="J48" s="1734" t="e">
        <f t="shared" si="25"/>
        <v>#DIV/0!</v>
      </c>
      <c r="K48" s="1734" t="e">
        <f t="shared" si="25"/>
        <v>#DIV/0!</v>
      </c>
      <c r="L48" s="1734" t="e">
        <f t="shared" si="25"/>
        <v>#DIV/0!</v>
      </c>
      <c r="M48" s="1735" t="e">
        <f t="shared" si="25"/>
        <v>#DIV/0!</v>
      </c>
      <c r="N48" s="1735" t="e">
        <f t="shared" si="25"/>
        <v>#DIV/0!</v>
      </c>
      <c r="O48" s="1735" t="e">
        <f t="shared" si="25"/>
        <v>#DIV/0!</v>
      </c>
      <c r="P48" s="1735" t="e">
        <f t="shared" si="25"/>
        <v>#DIV/0!</v>
      </c>
      <c r="Q48" s="1736" t="e">
        <f t="shared" si="25"/>
        <v>#DIV/0!</v>
      </c>
    </row>
    <row r="49" spans="1:17" ht="15">
      <c r="A49" s="1938"/>
      <c r="B49" s="2162" t="s">
        <v>1326</v>
      </c>
      <c r="C49" s="1870">
        <f>(1-C50)*C46</f>
        <v>0</v>
      </c>
      <c r="D49" s="1870">
        <f t="shared" ref="D49:Q49" si="26">(1-D50)*D46</f>
        <v>0</v>
      </c>
      <c r="E49" s="1870">
        <f t="shared" si="26"/>
        <v>0</v>
      </c>
      <c r="F49" s="1870">
        <f t="shared" si="26"/>
        <v>0</v>
      </c>
      <c r="G49" s="1870">
        <f t="shared" si="26"/>
        <v>0</v>
      </c>
      <c r="H49" s="1870">
        <f t="shared" si="26"/>
        <v>0</v>
      </c>
      <c r="I49" s="1870">
        <f t="shared" si="26"/>
        <v>0</v>
      </c>
      <c r="J49" s="1870">
        <f t="shared" si="26"/>
        <v>0</v>
      </c>
      <c r="K49" s="1870">
        <f t="shared" si="26"/>
        <v>0</v>
      </c>
      <c r="L49" s="1870">
        <f t="shared" si="26"/>
        <v>0</v>
      </c>
      <c r="M49" s="1873">
        <f t="shared" si="26"/>
        <v>0</v>
      </c>
      <c r="N49" s="1873">
        <f t="shared" si="26"/>
        <v>0</v>
      </c>
      <c r="O49" s="1873">
        <f t="shared" si="26"/>
        <v>0</v>
      </c>
      <c r="P49" s="1873">
        <f t="shared" si="26"/>
        <v>0</v>
      </c>
      <c r="Q49" s="1874">
        <f t="shared" si="26"/>
        <v>0</v>
      </c>
    </row>
    <row r="50" spans="1:17" ht="15">
      <c r="A50" s="1938"/>
      <c r="B50" s="2161" t="s">
        <v>1329</v>
      </c>
      <c r="C50" s="1739">
        <v>0</v>
      </c>
      <c r="D50" s="1739">
        <v>0</v>
      </c>
      <c r="E50" s="1739">
        <v>0</v>
      </c>
      <c r="F50" s="1739">
        <v>0</v>
      </c>
      <c r="G50" s="1739">
        <v>0</v>
      </c>
      <c r="H50" s="1739">
        <v>0</v>
      </c>
      <c r="I50" s="1739">
        <v>0</v>
      </c>
      <c r="J50" s="1739">
        <v>0</v>
      </c>
      <c r="K50" s="1739">
        <v>0</v>
      </c>
      <c r="L50" s="1739">
        <v>0</v>
      </c>
      <c r="M50" s="1740">
        <v>0</v>
      </c>
      <c r="N50" s="1740">
        <v>0</v>
      </c>
      <c r="O50" s="1740">
        <v>0</v>
      </c>
      <c r="P50" s="1740">
        <v>0</v>
      </c>
      <c r="Q50" s="1741">
        <v>0</v>
      </c>
    </row>
    <row r="51" spans="1:17" ht="15">
      <c r="A51" s="1938"/>
      <c r="B51" s="2163">
        <v>8</v>
      </c>
      <c r="C51" s="1737"/>
      <c r="D51" s="1737"/>
      <c r="E51" s="1737"/>
      <c r="F51" s="1737"/>
      <c r="G51" s="1737"/>
      <c r="H51" s="1737"/>
      <c r="I51" s="1737"/>
      <c r="J51" s="1737"/>
      <c r="K51" s="1737"/>
      <c r="L51" s="1737"/>
      <c r="M51" s="1737"/>
      <c r="N51" s="1737"/>
      <c r="O51" s="1737"/>
      <c r="P51" s="1737"/>
      <c r="Q51" s="1738"/>
    </row>
    <row r="52" spans="1:17" ht="15">
      <c r="A52" s="1938"/>
      <c r="B52" s="2162" t="s">
        <v>1331</v>
      </c>
      <c r="C52" s="1748">
        <v>0</v>
      </c>
      <c r="D52" s="1731">
        <f>C52*(1+D53)</f>
        <v>0</v>
      </c>
      <c r="E52" s="1731">
        <f t="shared" ref="E52:L52" si="27">D52*(1+E53)</f>
        <v>0</v>
      </c>
      <c r="F52" s="1731">
        <f t="shared" si="27"/>
        <v>0</v>
      </c>
      <c r="G52" s="1731">
        <f t="shared" si="27"/>
        <v>0</v>
      </c>
      <c r="H52" s="1731">
        <f t="shared" si="27"/>
        <v>0</v>
      </c>
      <c r="I52" s="1731">
        <f t="shared" si="27"/>
        <v>0</v>
      </c>
      <c r="J52" s="1731">
        <f t="shared" si="27"/>
        <v>0</v>
      </c>
      <c r="K52" s="1731">
        <f t="shared" si="27"/>
        <v>0</v>
      </c>
      <c r="L52" s="1731">
        <f t="shared" si="27"/>
        <v>0</v>
      </c>
      <c r="M52" s="1732">
        <f>L52*(1+M53)</f>
        <v>0</v>
      </c>
      <c r="N52" s="1732">
        <f>M52*(1+N53)</f>
        <v>0</v>
      </c>
      <c r="O52" s="1732">
        <f>N52*(1+O53)</f>
        <v>0</v>
      </c>
      <c r="P52" s="1732">
        <f>O52*(1+P53)</f>
        <v>0</v>
      </c>
      <c r="Q52" s="1733">
        <f>P52*(1+Q53)</f>
        <v>0</v>
      </c>
    </row>
    <row r="53" spans="1:17" ht="15">
      <c r="A53" s="1938"/>
      <c r="B53" s="2161" t="s">
        <v>1103</v>
      </c>
      <c r="C53" s="1739"/>
      <c r="D53" s="1739">
        <v>0</v>
      </c>
      <c r="E53" s="1739">
        <v>0</v>
      </c>
      <c r="F53" s="1739">
        <v>0</v>
      </c>
      <c r="G53" s="1739">
        <v>0</v>
      </c>
      <c r="H53" s="1739">
        <v>0</v>
      </c>
      <c r="I53" s="1739">
        <v>0</v>
      </c>
      <c r="J53" s="1739">
        <v>0</v>
      </c>
      <c r="K53" s="1739">
        <v>0</v>
      </c>
      <c r="L53" s="1739">
        <v>0</v>
      </c>
      <c r="M53" s="1740">
        <v>0</v>
      </c>
      <c r="N53" s="1740">
        <v>0</v>
      </c>
      <c r="O53" s="1740">
        <v>0</v>
      </c>
      <c r="P53" s="1740">
        <v>0</v>
      </c>
      <c r="Q53" s="1741">
        <v>0</v>
      </c>
    </row>
    <row r="54" spans="1:17" ht="15">
      <c r="A54" s="1938"/>
      <c r="B54" s="2161" t="s">
        <v>1323</v>
      </c>
      <c r="C54" s="1734"/>
      <c r="D54" s="1734" t="e">
        <f t="shared" ref="D54:Q54" si="28">D52/D$5</f>
        <v>#DIV/0!</v>
      </c>
      <c r="E54" s="1734" t="e">
        <f t="shared" si="28"/>
        <v>#DIV/0!</v>
      </c>
      <c r="F54" s="1734" t="e">
        <f t="shared" si="28"/>
        <v>#DIV/0!</v>
      </c>
      <c r="G54" s="1734" t="e">
        <f t="shared" si="28"/>
        <v>#DIV/0!</v>
      </c>
      <c r="H54" s="1734" t="e">
        <f t="shared" si="28"/>
        <v>#DIV/0!</v>
      </c>
      <c r="I54" s="1734" t="e">
        <f t="shared" si="28"/>
        <v>#DIV/0!</v>
      </c>
      <c r="J54" s="1734" t="e">
        <f t="shared" si="28"/>
        <v>#DIV/0!</v>
      </c>
      <c r="K54" s="1734" t="e">
        <f t="shared" si="28"/>
        <v>#DIV/0!</v>
      </c>
      <c r="L54" s="1734" t="e">
        <f t="shared" si="28"/>
        <v>#DIV/0!</v>
      </c>
      <c r="M54" s="1735" t="e">
        <f t="shared" si="28"/>
        <v>#DIV/0!</v>
      </c>
      <c r="N54" s="1735" t="e">
        <f t="shared" si="28"/>
        <v>#DIV/0!</v>
      </c>
      <c r="O54" s="1735" t="e">
        <f t="shared" si="28"/>
        <v>#DIV/0!</v>
      </c>
      <c r="P54" s="1735" t="e">
        <f t="shared" si="28"/>
        <v>#DIV/0!</v>
      </c>
      <c r="Q54" s="1736" t="e">
        <f t="shared" si="28"/>
        <v>#DIV/0!</v>
      </c>
    </row>
    <row r="55" spans="1:17" ht="15">
      <c r="A55" s="1938"/>
      <c r="B55" s="2162" t="s">
        <v>954</v>
      </c>
      <c r="C55" s="1870">
        <f>(1-C56)*C52</f>
        <v>0</v>
      </c>
      <c r="D55" s="1870">
        <f t="shared" ref="D55:Q55" si="29">(1-D56)*D52</f>
        <v>0</v>
      </c>
      <c r="E55" s="1870">
        <f t="shared" si="29"/>
        <v>0</v>
      </c>
      <c r="F55" s="1870">
        <f t="shared" si="29"/>
        <v>0</v>
      </c>
      <c r="G55" s="1870">
        <f t="shared" si="29"/>
        <v>0</v>
      </c>
      <c r="H55" s="1870">
        <f t="shared" si="29"/>
        <v>0</v>
      </c>
      <c r="I55" s="1870">
        <f t="shared" si="29"/>
        <v>0</v>
      </c>
      <c r="J55" s="1870">
        <f t="shared" si="29"/>
        <v>0</v>
      </c>
      <c r="K55" s="1870">
        <f t="shared" si="29"/>
        <v>0</v>
      </c>
      <c r="L55" s="1870">
        <f t="shared" si="29"/>
        <v>0</v>
      </c>
      <c r="M55" s="1873">
        <f t="shared" si="29"/>
        <v>0</v>
      </c>
      <c r="N55" s="1873">
        <f t="shared" si="29"/>
        <v>0</v>
      </c>
      <c r="O55" s="1873">
        <f t="shared" si="29"/>
        <v>0</v>
      </c>
      <c r="P55" s="1873">
        <f t="shared" si="29"/>
        <v>0</v>
      </c>
      <c r="Q55" s="1874">
        <f t="shared" si="29"/>
        <v>0</v>
      </c>
    </row>
    <row r="56" spans="1:17" ht="15">
      <c r="A56" s="1938"/>
      <c r="B56" s="2161" t="s">
        <v>1329</v>
      </c>
      <c r="C56" s="1739">
        <v>0</v>
      </c>
      <c r="D56" s="1739">
        <v>0</v>
      </c>
      <c r="E56" s="1739">
        <v>0</v>
      </c>
      <c r="F56" s="1739">
        <v>0</v>
      </c>
      <c r="G56" s="1739">
        <v>0</v>
      </c>
      <c r="H56" s="1739">
        <v>0</v>
      </c>
      <c r="I56" s="1739">
        <v>0</v>
      </c>
      <c r="J56" s="1739">
        <v>0</v>
      </c>
      <c r="K56" s="1739">
        <v>0</v>
      </c>
      <c r="L56" s="1739">
        <v>0</v>
      </c>
      <c r="M56" s="1740">
        <v>0</v>
      </c>
      <c r="N56" s="1740">
        <v>0</v>
      </c>
      <c r="O56" s="1740">
        <v>0</v>
      </c>
      <c r="P56" s="1740">
        <v>0</v>
      </c>
      <c r="Q56" s="1741">
        <v>0</v>
      </c>
    </row>
    <row r="57" spans="1:17" ht="15">
      <c r="A57" s="1938"/>
      <c r="B57" s="2163">
        <v>9</v>
      </c>
      <c r="C57" s="1737"/>
      <c r="D57" s="1737"/>
      <c r="E57" s="1737"/>
      <c r="F57" s="1737"/>
      <c r="G57" s="1737"/>
      <c r="H57" s="1737"/>
      <c r="I57" s="1737"/>
      <c r="J57" s="1737"/>
      <c r="K57" s="1737"/>
      <c r="L57" s="1737"/>
      <c r="M57" s="1737"/>
      <c r="N57" s="1737"/>
      <c r="O57" s="1737"/>
      <c r="P57" s="1737"/>
      <c r="Q57" s="1738"/>
    </row>
    <row r="58" spans="1:17" ht="15">
      <c r="A58" s="1938"/>
      <c r="B58" s="2162" t="s">
        <v>1325</v>
      </c>
      <c r="C58" s="1748">
        <v>0</v>
      </c>
      <c r="D58" s="1731">
        <f>C58*(1+D59)</f>
        <v>0</v>
      </c>
      <c r="E58" s="1731">
        <f t="shared" ref="E58:L58" si="30">D58*(1+E59)</f>
        <v>0</v>
      </c>
      <c r="F58" s="1731">
        <f t="shared" si="30"/>
        <v>0</v>
      </c>
      <c r="G58" s="1731">
        <f t="shared" si="30"/>
        <v>0</v>
      </c>
      <c r="H58" s="1731">
        <f t="shared" si="30"/>
        <v>0</v>
      </c>
      <c r="I58" s="1731">
        <f t="shared" si="30"/>
        <v>0</v>
      </c>
      <c r="J58" s="1731">
        <f t="shared" si="30"/>
        <v>0</v>
      </c>
      <c r="K58" s="1731">
        <f t="shared" si="30"/>
        <v>0</v>
      </c>
      <c r="L58" s="1731">
        <f t="shared" si="30"/>
        <v>0</v>
      </c>
      <c r="M58" s="1732">
        <f>L58*(1+M59)</f>
        <v>0</v>
      </c>
      <c r="N58" s="1732">
        <f>M58*(1+N59)</f>
        <v>0</v>
      </c>
      <c r="O58" s="1732">
        <f>N58*(1+O59)</f>
        <v>0</v>
      </c>
      <c r="P58" s="1732">
        <f>O58*(1+P59)</f>
        <v>0</v>
      </c>
      <c r="Q58" s="1733">
        <f>P58*(1+Q59)</f>
        <v>0</v>
      </c>
    </row>
    <row r="59" spans="1:17" ht="15">
      <c r="A59" s="1938"/>
      <c r="B59" s="2161" t="s">
        <v>1103</v>
      </c>
      <c r="C59" s="1739"/>
      <c r="D59" s="1739">
        <v>0</v>
      </c>
      <c r="E59" s="1739">
        <v>0</v>
      </c>
      <c r="F59" s="1739">
        <v>0</v>
      </c>
      <c r="G59" s="1739">
        <v>0</v>
      </c>
      <c r="H59" s="1739">
        <v>0</v>
      </c>
      <c r="I59" s="1739">
        <v>0</v>
      </c>
      <c r="J59" s="1739">
        <v>0</v>
      </c>
      <c r="K59" s="1739">
        <v>0</v>
      </c>
      <c r="L59" s="1739">
        <v>0</v>
      </c>
      <c r="M59" s="1740">
        <v>0</v>
      </c>
      <c r="N59" s="1740">
        <v>0</v>
      </c>
      <c r="O59" s="1740">
        <v>0</v>
      </c>
      <c r="P59" s="1740">
        <v>0</v>
      </c>
      <c r="Q59" s="1741">
        <v>0</v>
      </c>
    </row>
    <row r="60" spans="1:17" ht="15">
      <c r="A60" s="1938"/>
      <c r="B60" s="2161" t="s">
        <v>1323</v>
      </c>
      <c r="C60" s="1734"/>
      <c r="D60" s="1734" t="e">
        <f t="shared" ref="D60:Q60" si="31">D58/D$5</f>
        <v>#DIV/0!</v>
      </c>
      <c r="E60" s="1734" t="e">
        <f t="shared" si="31"/>
        <v>#DIV/0!</v>
      </c>
      <c r="F60" s="1734" t="e">
        <f t="shared" si="31"/>
        <v>#DIV/0!</v>
      </c>
      <c r="G60" s="1734" t="e">
        <f t="shared" si="31"/>
        <v>#DIV/0!</v>
      </c>
      <c r="H60" s="1734" t="e">
        <f t="shared" si="31"/>
        <v>#DIV/0!</v>
      </c>
      <c r="I60" s="1734" t="e">
        <f t="shared" si="31"/>
        <v>#DIV/0!</v>
      </c>
      <c r="J60" s="1734" t="e">
        <f t="shared" si="31"/>
        <v>#DIV/0!</v>
      </c>
      <c r="K60" s="1734" t="e">
        <f t="shared" si="31"/>
        <v>#DIV/0!</v>
      </c>
      <c r="L60" s="1734" t="e">
        <f t="shared" si="31"/>
        <v>#DIV/0!</v>
      </c>
      <c r="M60" s="1735" t="e">
        <f t="shared" si="31"/>
        <v>#DIV/0!</v>
      </c>
      <c r="N60" s="1735" t="e">
        <f t="shared" si="31"/>
        <v>#DIV/0!</v>
      </c>
      <c r="O60" s="1735" t="e">
        <f t="shared" si="31"/>
        <v>#DIV/0!</v>
      </c>
      <c r="P60" s="1735" t="e">
        <f t="shared" si="31"/>
        <v>#DIV/0!</v>
      </c>
      <c r="Q60" s="1736" t="e">
        <f t="shared" si="31"/>
        <v>#DIV/0!</v>
      </c>
    </row>
    <row r="61" spans="1:17" ht="15">
      <c r="A61" s="1938"/>
      <c r="B61" s="2162" t="s">
        <v>1328</v>
      </c>
      <c r="C61" s="1870">
        <f>(1-C62)*C58</f>
        <v>0</v>
      </c>
      <c r="D61" s="1870">
        <f t="shared" ref="D61:Q61" si="32">(1-D62)*D58</f>
        <v>0</v>
      </c>
      <c r="E61" s="1870">
        <f t="shared" si="32"/>
        <v>0</v>
      </c>
      <c r="F61" s="1870">
        <f t="shared" si="32"/>
        <v>0</v>
      </c>
      <c r="G61" s="1870">
        <f t="shared" si="32"/>
        <v>0</v>
      </c>
      <c r="H61" s="1870">
        <f t="shared" si="32"/>
        <v>0</v>
      </c>
      <c r="I61" s="1870">
        <f t="shared" si="32"/>
        <v>0</v>
      </c>
      <c r="J61" s="1870">
        <f t="shared" si="32"/>
        <v>0</v>
      </c>
      <c r="K61" s="1870">
        <f t="shared" si="32"/>
        <v>0</v>
      </c>
      <c r="L61" s="1870">
        <f t="shared" si="32"/>
        <v>0</v>
      </c>
      <c r="M61" s="1873">
        <f t="shared" si="32"/>
        <v>0</v>
      </c>
      <c r="N61" s="1873">
        <f t="shared" si="32"/>
        <v>0</v>
      </c>
      <c r="O61" s="1873">
        <f t="shared" si="32"/>
        <v>0</v>
      </c>
      <c r="P61" s="1873">
        <f t="shared" si="32"/>
        <v>0</v>
      </c>
      <c r="Q61" s="1874">
        <f t="shared" si="32"/>
        <v>0</v>
      </c>
    </row>
    <row r="62" spans="1:17" ht="15">
      <c r="A62" s="1938"/>
      <c r="B62" s="2161" t="s">
        <v>1324</v>
      </c>
      <c r="C62" s="1739">
        <v>0</v>
      </c>
      <c r="D62" s="1739">
        <v>0</v>
      </c>
      <c r="E62" s="1739">
        <v>0</v>
      </c>
      <c r="F62" s="1739">
        <v>0</v>
      </c>
      <c r="G62" s="1739">
        <v>0</v>
      </c>
      <c r="H62" s="1739">
        <v>0</v>
      </c>
      <c r="I62" s="1739">
        <v>0</v>
      </c>
      <c r="J62" s="1739">
        <v>0</v>
      </c>
      <c r="K62" s="1739">
        <v>0</v>
      </c>
      <c r="L62" s="1739">
        <v>0</v>
      </c>
      <c r="M62" s="1740">
        <v>0</v>
      </c>
      <c r="N62" s="1740">
        <v>0</v>
      </c>
      <c r="O62" s="1740">
        <v>0</v>
      </c>
      <c r="P62" s="1740">
        <v>0</v>
      </c>
      <c r="Q62" s="1741">
        <v>0</v>
      </c>
    </row>
    <row r="63" spans="1:17" ht="15">
      <c r="A63" s="1938"/>
      <c r="B63" s="2163">
        <v>10</v>
      </c>
      <c r="C63" s="1737"/>
      <c r="D63" s="1737"/>
      <c r="E63" s="1737"/>
      <c r="F63" s="1737"/>
      <c r="G63" s="1737"/>
      <c r="H63" s="1737"/>
      <c r="I63" s="1737"/>
      <c r="J63" s="1737"/>
      <c r="K63" s="1737"/>
      <c r="L63" s="1737"/>
      <c r="M63" s="1737"/>
      <c r="N63" s="1737"/>
      <c r="O63" s="1737"/>
      <c r="P63" s="1737"/>
      <c r="Q63" s="1738"/>
    </row>
    <row r="64" spans="1:17" ht="15">
      <c r="A64" s="1938"/>
      <c r="B64" s="2162" t="s">
        <v>1330</v>
      </c>
      <c r="C64" s="1748">
        <v>0</v>
      </c>
      <c r="D64" s="1731">
        <f>C64*(1+D65)</f>
        <v>0</v>
      </c>
      <c r="E64" s="1731">
        <f t="shared" ref="E64:L64" si="33">D64*(1+E65)</f>
        <v>0</v>
      </c>
      <c r="F64" s="1731">
        <f t="shared" si="33"/>
        <v>0</v>
      </c>
      <c r="G64" s="1731">
        <f t="shared" si="33"/>
        <v>0</v>
      </c>
      <c r="H64" s="1731">
        <f t="shared" si="33"/>
        <v>0</v>
      </c>
      <c r="I64" s="1731">
        <f t="shared" si="33"/>
        <v>0</v>
      </c>
      <c r="J64" s="1731">
        <f t="shared" si="33"/>
        <v>0</v>
      </c>
      <c r="K64" s="1731">
        <f t="shared" si="33"/>
        <v>0</v>
      </c>
      <c r="L64" s="1731">
        <f t="shared" si="33"/>
        <v>0</v>
      </c>
      <c r="M64" s="1732">
        <f>L64*(1+M65)</f>
        <v>0</v>
      </c>
      <c r="N64" s="1732">
        <f>M64*(1+N65)</f>
        <v>0</v>
      </c>
      <c r="O64" s="1732">
        <f>N64*(1+O65)</f>
        <v>0</v>
      </c>
      <c r="P64" s="1732">
        <f>O64*(1+P65)</f>
        <v>0</v>
      </c>
      <c r="Q64" s="1733">
        <f>P64*(1+Q65)</f>
        <v>0</v>
      </c>
    </row>
    <row r="65" spans="1:22" ht="15">
      <c r="A65" s="1938"/>
      <c r="B65" s="2161" t="s">
        <v>1103</v>
      </c>
      <c r="C65" s="1739"/>
      <c r="D65" s="1739">
        <v>0</v>
      </c>
      <c r="E65" s="1739">
        <v>0</v>
      </c>
      <c r="F65" s="1739">
        <v>0</v>
      </c>
      <c r="G65" s="1739">
        <v>0</v>
      </c>
      <c r="H65" s="1739">
        <v>0</v>
      </c>
      <c r="I65" s="1739">
        <v>0</v>
      </c>
      <c r="J65" s="1739">
        <v>0</v>
      </c>
      <c r="K65" s="1739">
        <v>0</v>
      </c>
      <c r="L65" s="1739">
        <v>0</v>
      </c>
      <c r="M65" s="1740">
        <v>0</v>
      </c>
      <c r="N65" s="1740">
        <v>0</v>
      </c>
      <c r="O65" s="1740">
        <v>0</v>
      </c>
      <c r="P65" s="1740">
        <v>0</v>
      </c>
      <c r="Q65" s="1741">
        <v>0</v>
      </c>
    </row>
    <row r="66" spans="1:22" ht="15">
      <c r="A66" s="1938"/>
      <c r="B66" s="2161" t="s">
        <v>1323</v>
      </c>
      <c r="C66" s="1734"/>
      <c r="D66" s="1734" t="e">
        <f t="shared" ref="D66:Q66" si="34">D64/D$5</f>
        <v>#DIV/0!</v>
      </c>
      <c r="E66" s="1734" t="e">
        <f t="shared" si="34"/>
        <v>#DIV/0!</v>
      </c>
      <c r="F66" s="1734" t="e">
        <f t="shared" si="34"/>
        <v>#DIV/0!</v>
      </c>
      <c r="G66" s="1734" t="e">
        <f t="shared" si="34"/>
        <v>#DIV/0!</v>
      </c>
      <c r="H66" s="1734" t="e">
        <f t="shared" si="34"/>
        <v>#DIV/0!</v>
      </c>
      <c r="I66" s="1734" t="e">
        <f t="shared" si="34"/>
        <v>#DIV/0!</v>
      </c>
      <c r="J66" s="1734" t="e">
        <f t="shared" si="34"/>
        <v>#DIV/0!</v>
      </c>
      <c r="K66" s="1734" t="e">
        <f t="shared" si="34"/>
        <v>#DIV/0!</v>
      </c>
      <c r="L66" s="1734" t="e">
        <f t="shared" si="34"/>
        <v>#DIV/0!</v>
      </c>
      <c r="M66" s="1735" t="e">
        <f t="shared" si="34"/>
        <v>#DIV/0!</v>
      </c>
      <c r="N66" s="1735" t="e">
        <f t="shared" si="34"/>
        <v>#DIV/0!</v>
      </c>
      <c r="O66" s="1735" t="e">
        <f t="shared" si="34"/>
        <v>#DIV/0!</v>
      </c>
      <c r="P66" s="1735" t="e">
        <f t="shared" si="34"/>
        <v>#DIV/0!</v>
      </c>
      <c r="Q66" s="1736" t="e">
        <f t="shared" si="34"/>
        <v>#DIV/0!</v>
      </c>
    </row>
    <row r="67" spans="1:22" ht="15">
      <c r="A67" s="1938"/>
      <c r="B67" s="2162" t="s">
        <v>1326</v>
      </c>
      <c r="C67" s="1870">
        <f>(1-C68)*C64</f>
        <v>0</v>
      </c>
      <c r="D67" s="1870">
        <f t="shared" ref="D67:Q67" si="35">(1-D68)*D64</f>
        <v>0</v>
      </c>
      <c r="E67" s="1870">
        <f t="shared" si="35"/>
        <v>0</v>
      </c>
      <c r="F67" s="1870">
        <f t="shared" si="35"/>
        <v>0</v>
      </c>
      <c r="G67" s="1870">
        <f t="shared" si="35"/>
        <v>0</v>
      </c>
      <c r="H67" s="1870">
        <f t="shared" si="35"/>
        <v>0</v>
      </c>
      <c r="I67" s="1870">
        <f t="shared" si="35"/>
        <v>0</v>
      </c>
      <c r="J67" s="1870">
        <f t="shared" si="35"/>
        <v>0</v>
      </c>
      <c r="K67" s="1870">
        <f t="shared" si="35"/>
        <v>0</v>
      </c>
      <c r="L67" s="1870">
        <f t="shared" si="35"/>
        <v>0</v>
      </c>
      <c r="M67" s="1873">
        <f t="shared" si="35"/>
        <v>0</v>
      </c>
      <c r="N67" s="1873">
        <f t="shared" si="35"/>
        <v>0</v>
      </c>
      <c r="O67" s="1873">
        <f t="shared" si="35"/>
        <v>0</v>
      </c>
      <c r="P67" s="1873">
        <f t="shared" si="35"/>
        <v>0</v>
      </c>
      <c r="Q67" s="1874">
        <f t="shared" si="35"/>
        <v>0</v>
      </c>
    </row>
    <row r="68" spans="1:22" ht="15">
      <c r="A68" s="1938"/>
      <c r="B68" s="2161" t="s">
        <v>1324</v>
      </c>
      <c r="C68" s="1739">
        <v>0</v>
      </c>
      <c r="D68" s="1739">
        <v>0</v>
      </c>
      <c r="E68" s="1739">
        <v>0</v>
      </c>
      <c r="F68" s="1739">
        <v>0</v>
      </c>
      <c r="G68" s="1739">
        <v>0</v>
      </c>
      <c r="H68" s="1739">
        <v>0</v>
      </c>
      <c r="I68" s="1739">
        <v>0</v>
      </c>
      <c r="J68" s="1739">
        <v>0</v>
      </c>
      <c r="K68" s="1739">
        <v>0</v>
      </c>
      <c r="L68" s="1739">
        <v>0</v>
      </c>
      <c r="M68" s="1740">
        <v>0</v>
      </c>
      <c r="N68" s="1740">
        <v>0</v>
      </c>
      <c r="O68" s="1740">
        <v>0</v>
      </c>
      <c r="P68" s="1740">
        <v>0</v>
      </c>
      <c r="Q68" s="1741">
        <v>0</v>
      </c>
    </row>
    <row r="69" spans="1:22" ht="15.75" thickBot="1">
      <c r="A69" s="1938"/>
      <c r="B69" s="2164"/>
      <c r="C69" s="1742"/>
      <c r="D69" s="1742"/>
      <c r="E69" s="1742"/>
      <c r="F69" s="1742"/>
      <c r="G69" s="1743"/>
      <c r="H69" s="1743"/>
      <c r="I69" s="1743"/>
      <c r="J69" s="1743"/>
      <c r="K69" s="1743"/>
      <c r="L69" s="1743"/>
      <c r="M69" s="1743"/>
      <c r="N69" s="1743"/>
      <c r="O69" s="1743"/>
      <c r="P69" s="1743"/>
      <c r="Q69" s="1744"/>
    </row>
    <row r="70" spans="1:22" ht="15">
      <c r="B70" s="1745"/>
      <c r="C70" s="1746"/>
      <c r="D70" s="1746"/>
      <c r="E70" s="1746"/>
      <c r="F70" s="1746"/>
      <c r="G70" s="1746"/>
      <c r="H70" s="1747"/>
      <c r="I70" s="1747"/>
      <c r="J70" s="1747"/>
      <c r="K70" s="1747"/>
      <c r="L70" s="1747"/>
      <c r="M70" s="1747"/>
      <c r="N70" s="1747"/>
      <c r="O70" s="1747"/>
      <c r="P70" s="1747"/>
      <c r="Q70" s="1747"/>
    </row>
    <row r="71" spans="1:22" thickBot="1">
      <c r="B71" s="1696" t="s">
        <v>1240</v>
      </c>
      <c r="C71" s="1701"/>
      <c r="D71" s="1701"/>
      <c r="E71" s="1701"/>
      <c r="F71" s="1701"/>
      <c r="G71" s="1701"/>
      <c r="H71" s="1701"/>
      <c r="I71" s="1701"/>
      <c r="J71" s="1701"/>
      <c r="K71" s="1701"/>
      <c r="L71" s="1701"/>
      <c r="M71" s="1701"/>
      <c r="N71" s="1701"/>
      <c r="O71" s="1701"/>
      <c r="P71" s="1701"/>
      <c r="Q71" s="1701"/>
    </row>
    <row r="72" spans="1:22" ht="18.75" customHeight="1">
      <c r="B72" s="1929" t="s">
        <v>1317</v>
      </c>
      <c r="C72" s="1758"/>
      <c r="D72" s="1758"/>
      <c r="E72" s="1758"/>
      <c r="F72" s="1758"/>
      <c r="G72" s="1758"/>
      <c r="H72" s="1758"/>
      <c r="I72" s="1758"/>
      <c r="J72" s="1758"/>
      <c r="K72" s="1758"/>
      <c r="L72" s="1758"/>
      <c r="M72" s="1758"/>
      <c r="N72" s="1758"/>
      <c r="O72" s="1758"/>
      <c r="P72" s="1758"/>
      <c r="Q72" s="1759"/>
    </row>
    <row r="73" spans="1:22" ht="15">
      <c r="B73" s="2159"/>
      <c r="C73" s="1729">
        <f>C4</f>
        <v>2010</v>
      </c>
      <c r="D73" s="1729">
        <f t="shared" ref="D73:Q73" si="36">D4</f>
        <v>2011</v>
      </c>
      <c r="E73" s="1729">
        <f t="shared" si="36"/>
        <v>2012</v>
      </c>
      <c r="F73" s="1729">
        <f t="shared" si="36"/>
        <v>2013</v>
      </c>
      <c r="G73" s="1729">
        <f t="shared" si="36"/>
        <v>2014</v>
      </c>
      <c r="H73" s="1729">
        <f t="shared" si="36"/>
        <v>2015</v>
      </c>
      <c r="I73" s="1729">
        <f t="shared" si="36"/>
        <v>2016</v>
      </c>
      <c r="J73" s="1729">
        <f t="shared" si="36"/>
        <v>2017</v>
      </c>
      <c r="K73" s="1729">
        <f t="shared" si="36"/>
        <v>2018</v>
      </c>
      <c r="L73" s="1729">
        <f t="shared" si="36"/>
        <v>2019</v>
      </c>
      <c r="M73" s="1729" t="str">
        <f t="shared" si="36"/>
        <v>2020E</v>
      </c>
      <c r="N73" s="1729" t="str">
        <f t="shared" si="36"/>
        <v>2021E</v>
      </c>
      <c r="O73" s="1729" t="str">
        <f t="shared" si="36"/>
        <v>2022E</v>
      </c>
      <c r="P73" s="1729" t="str">
        <f t="shared" si="36"/>
        <v>2023E</v>
      </c>
      <c r="Q73" s="1730" t="str">
        <f t="shared" si="36"/>
        <v>2024E</v>
      </c>
    </row>
    <row r="74" spans="1:22" ht="15">
      <c r="B74" s="2163">
        <v>1</v>
      </c>
      <c r="C74" s="1737"/>
      <c r="D74" s="1737"/>
      <c r="E74" s="1737"/>
      <c r="F74" s="1737"/>
      <c r="G74" s="1737"/>
      <c r="H74" s="1737"/>
      <c r="I74" s="1737"/>
      <c r="J74" s="1737"/>
      <c r="K74" s="1737"/>
      <c r="L74" s="1737"/>
      <c r="M74" s="1737"/>
      <c r="N74" s="1737"/>
      <c r="O74" s="1737"/>
      <c r="P74" s="1737"/>
      <c r="Q74" s="1738"/>
    </row>
    <row r="75" spans="1:22" ht="15">
      <c r="B75" s="2162" t="s">
        <v>1333</v>
      </c>
      <c r="C75" s="1748">
        <v>0</v>
      </c>
      <c r="D75" s="1748">
        <v>0</v>
      </c>
      <c r="E75" s="1748">
        <v>0</v>
      </c>
      <c r="F75" s="1748">
        <v>0</v>
      </c>
      <c r="G75" s="1748">
        <v>0</v>
      </c>
      <c r="H75" s="1748">
        <v>0</v>
      </c>
      <c r="I75" s="1748">
        <v>0</v>
      </c>
      <c r="J75" s="1748">
        <v>0</v>
      </c>
      <c r="K75" s="1748">
        <v>0</v>
      </c>
      <c r="L75" s="1748">
        <v>0</v>
      </c>
      <c r="M75" s="1749">
        <v>0</v>
      </c>
      <c r="N75" s="1749">
        <v>0</v>
      </c>
      <c r="O75" s="1749">
        <v>0</v>
      </c>
      <c r="P75" s="1749">
        <v>0</v>
      </c>
      <c r="Q75" s="1750">
        <v>0</v>
      </c>
    </row>
    <row r="76" spans="1:22" ht="15">
      <c r="B76" s="2161" t="s">
        <v>1332</v>
      </c>
      <c r="C76" s="1739">
        <v>0</v>
      </c>
      <c r="D76" s="1739">
        <v>0</v>
      </c>
      <c r="E76" s="1739">
        <v>0</v>
      </c>
      <c r="F76" s="1739">
        <v>0</v>
      </c>
      <c r="G76" s="1739">
        <v>0</v>
      </c>
      <c r="H76" s="1739">
        <v>0</v>
      </c>
      <c r="I76" s="1739">
        <v>0</v>
      </c>
      <c r="J76" s="1739">
        <v>0</v>
      </c>
      <c r="K76" s="1739">
        <v>0</v>
      </c>
      <c r="L76" s="1739">
        <v>0</v>
      </c>
      <c r="M76" s="1751">
        <v>0</v>
      </c>
      <c r="N76" s="1751">
        <v>0</v>
      </c>
      <c r="O76" s="1751">
        <v>0</v>
      </c>
      <c r="P76" s="1751">
        <v>0</v>
      </c>
      <c r="Q76" s="1752">
        <v>0</v>
      </c>
      <c r="V76" s="1695" t="s">
        <v>1242</v>
      </c>
    </row>
    <row r="77" spans="1:22" ht="15">
      <c r="B77" s="2162" t="s">
        <v>1334</v>
      </c>
      <c r="C77" s="1748">
        <v>0</v>
      </c>
      <c r="D77" s="1748">
        <v>0</v>
      </c>
      <c r="E77" s="1748">
        <v>0</v>
      </c>
      <c r="F77" s="1748">
        <v>0</v>
      </c>
      <c r="G77" s="1748">
        <v>0</v>
      </c>
      <c r="H77" s="1748">
        <v>0</v>
      </c>
      <c r="I77" s="1748">
        <v>0</v>
      </c>
      <c r="J77" s="1748">
        <v>0</v>
      </c>
      <c r="K77" s="1748">
        <v>0</v>
      </c>
      <c r="L77" s="1748">
        <v>0</v>
      </c>
      <c r="M77" s="1749">
        <v>0</v>
      </c>
      <c r="N77" s="1749">
        <v>0</v>
      </c>
      <c r="O77" s="1749">
        <v>0</v>
      </c>
      <c r="P77" s="1749">
        <v>0</v>
      </c>
      <c r="Q77" s="1750">
        <v>0</v>
      </c>
    </row>
    <row r="78" spans="1:22" ht="15">
      <c r="B78" s="2162" t="s">
        <v>1335</v>
      </c>
      <c r="C78" s="1731">
        <f>C75*C76*C77</f>
        <v>0</v>
      </c>
      <c r="D78" s="1731">
        <f t="shared" ref="D78:Q78" si="37">D75*D76*D77</f>
        <v>0</v>
      </c>
      <c r="E78" s="1731">
        <f t="shared" si="37"/>
        <v>0</v>
      </c>
      <c r="F78" s="1731">
        <f t="shared" si="37"/>
        <v>0</v>
      </c>
      <c r="G78" s="1731">
        <f t="shared" si="37"/>
        <v>0</v>
      </c>
      <c r="H78" s="1731">
        <f t="shared" si="37"/>
        <v>0</v>
      </c>
      <c r="I78" s="1731">
        <f t="shared" si="37"/>
        <v>0</v>
      </c>
      <c r="J78" s="1731">
        <f t="shared" si="37"/>
        <v>0</v>
      </c>
      <c r="K78" s="1731">
        <f t="shared" si="37"/>
        <v>0</v>
      </c>
      <c r="L78" s="1731">
        <f t="shared" si="37"/>
        <v>0</v>
      </c>
      <c r="M78" s="1732">
        <f t="shared" si="37"/>
        <v>0</v>
      </c>
      <c r="N78" s="1732">
        <f t="shared" si="37"/>
        <v>0</v>
      </c>
      <c r="O78" s="1732">
        <f t="shared" si="37"/>
        <v>0</v>
      </c>
      <c r="P78" s="1732">
        <f t="shared" si="37"/>
        <v>0</v>
      </c>
      <c r="Q78" s="1733">
        <f t="shared" si="37"/>
        <v>0</v>
      </c>
    </row>
    <row r="79" spans="1:22" ht="15.75" thickBot="1">
      <c r="B79" s="2164"/>
      <c r="C79" s="1742"/>
      <c r="D79" s="1742"/>
      <c r="E79" s="1742"/>
      <c r="F79" s="1742"/>
      <c r="G79" s="1743"/>
      <c r="H79" s="1743"/>
      <c r="I79" s="1743"/>
      <c r="J79" s="1743"/>
      <c r="K79" s="1743"/>
      <c r="L79" s="1743"/>
      <c r="M79" s="1743"/>
      <c r="N79" s="1743"/>
      <c r="O79" s="1743"/>
      <c r="P79" s="1743"/>
      <c r="Q79" s="1744"/>
    </row>
    <row r="80" spans="1:22" thickBot="1">
      <c r="B80" s="1696" t="s">
        <v>1243</v>
      </c>
      <c r="C80" s="1701"/>
      <c r="D80" s="1701"/>
      <c r="E80" s="1701"/>
      <c r="F80" s="1701"/>
      <c r="G80" s="1701"/>
      <c r="H80" s="1701"/>
      <c r="I80" s="1701"/>
      <c r="J80" s="1701"/>
      <c r="K80" s="1701"/>
      <c r="L80" s="1701"/>
      <c r="M80" s="1701"/>
      <c r="N80" s="1701"/>
      <c r="O80" s="1701"/>
      <c r="P80" s="1701"/>
      <c r="Q80" s="1701"/>
    </row>
    <row r="81" spans="2:17" ht="18.75" customHeight="1">
      <c r="B81" s="1929" t="s">
        <v>1316</v>
      </c>
      <c r="C81" s="1758"/>
      <c r="D81" s="1758"/>
      <c r="E81" s="1758"/>
      <c r="F81" s="1758"/>
      <c r="G81" s="1758"/>
      <c r="H81" s="1758"/>
      <c r="I81" s="1758"/>
      <c r="J81" s="1758"/>
      <c r="K81" s="1758"/>
      <c r="L81" s="1758"/>
      <c r="M81" s="1758"/>
      <c r="N81" s="1758"/>
      <c r="O81" s="1758"/>
      <c r="P81" s="1758"/>
      <c r="Q81" s="1759"/>
    </row>
    <row r="82" spans="2:17" ht="15">
      <c r="B82" s="2159"/>
      <c r="C82" s="1729">
        <f>C4</f>
        <v>2010</v>
      </c>
      <c r="D82" s="1729">
        <f t="shared" ref="D82:Q82" si="38">D4</f>
        <v>2011</v>
      </c>
      <c r="E82" s="1729">
        <f t="shared" si="38"/>
        <v>2012</v>
      </c>
      <c r="F82" s="1729">
        <f t="shared" si="38"/>
        <v>2013</v>
      </c>
      <c r="G82" s="1729">
        <f t="shared" si="38"/>
        <v>2014</v>
      </c>
      <c r="H82" s="1729">
        <f t="shared" si="38"/>
        <v>2015</v>
      </c>
      <c r="I82" s="1729">
        <f t="shared" si="38"/>
        <v>2016</v>
      </c>
      <c r="J82" s="1729">
        <f t="shared" si="38"/>
        <v>2017</v>
      </c>
      <c r="K82" s="1729">
        <f t="shared" si="38"/>
        <v>2018</v>
      </c>
      <c r="L82" s="1729">
        <f t="shared" si="38"/>
        <v>2019</v>
      </c>
      <c r="M82" s="1729" t="str">
        <f t="shared" si="38"/>
        <v>2020E</v>
      </c>
      <c r="N82" s="1729" t="str">
        <f t="shared" si="38"/>
        <v>2021E</v>
      </c>
      <c r="O82" s="1729" t="str">
        <f t="shared" si="38"/>
        <v>2022E</v>
      </c>
      <c r="P82" s="1729" t="str">
        <f t="shared" si="38"/>
        <v>2023E</v>
      </c>
      <c r="Q82" s="1730" t="str">
        <f t="shared" si="38"/>
        <v>2024E</v>
      </c>
    </row>
    <row r="83" spans="2:17" ht="15">
      <c r="B83" s="2163">
        <v>2</v>
      </c>
      <c r="C83" s="1737"/>
      <c r="D83" s="1737"/>
      <c r="E83" s="1737"/>
      <c r="F83" s="1737"/>
      <c r="G83" s="1737"/>
      <c r="H83" s="1737"/>
      <c r="I83" s="1737"/>
      <c r="J83" s="1737"/>
      <c r="K83" s="1737"/>
      <c r="L83" s="1737"/>
      <c r="M83" s="1737"/>
      <c r="N83" s="1737"/>
      <c r="O83" s="1737"/>
      <c r="P83" s="1737"/>
      <c r="Q83" s="1738"/>
    </row>
    <row r="84" spans="2:17" ht="15">
      <c r="B84" s="2162" t="s">
        <v>718</v>
      </c>
      <c r="C84" s="1731">
        <f>C86*C88</f>
        <v>0</v>
      </c>
      <c r="D84" s="1731">
        <f t="shared" ref="D84:Q84" si="39">D86*D88</f>
        <v>0</v>
      </c>
      <c r="E84" s="1731">
        <f t="shared" si="39"/>
        <v>0</v>
      </c>
      <c r="F84" s="1731">
        <f t="shared" si="39"/>
        <v>0</v>
      </c>
      <c r="G84" s="1731">
        <f t="shared" si="39"/>
        <v>0</v>
      </c>
      <c r="H84" s="1731">
        <f t="shared" si="39"/>
        <v>0</v>
      </c>
      <c r="I84" s="1731">
        <f t="shared" si="39"/>
        <v>0</v>
      </c>
      <c r="J84" s="1731">
        <f t="shared" si="39"/>
        <v>0</v>
      </c>
      <c r="K84" s="1731">
        <f t="shared" si="39"/>
        <v>0</v>
      </c>
      <c r="L84" s="1731">
        <f t="shared" si="39"/>
        <v>0</v>
      </c>
      <c r="M84" s="1753">
        <f t="shared" si="39"/>
        <v>0</v>
      </c>
      <c r="N84" s="1753">
        <f t="shared" si="39"/>
        <v>0</v>
      </c>
      <c r="O84" s="1753">
        <f t="shared" si="39"/>
        <v>0</v>
      </c>
      <c r="P84" s="1753">
        <f t="shared" si="39"/>
        <v>0</v>
      </c>
      <c r="Q84" s="1754">
        <f t="shared" si="39"/>
        <v>0</v>
      </c>
    </row>
    <row r="85" spans="2:17" ht="15">
      <c r="B85" s="2161" t="s">
        <v>1336</v>
      </c>
      <c r="C85" s="1937"/>
      <c r="D85" s="1937" t="e">
        <f>D84/C84-1</f>
        <v>#DIV/0!</v>
      </c>
      <c r="E85" s="1937" t="e">
        <f t="shared" ref="E85:L85" si="40">E84/D84-1</f>
        <v>#DIV/0!</v>
      </c>
      <c r="F85" s="1937" t="e">
        <f t="shared" si="40"/>
        <v>#DIV/0!</v>
      </c>
      <c r="G85" s="1937" t="e">
        <f t="shared" si="40"/>
        <v>#DIV/0!</v>
      </c>
      <c r="H85" s="1937" t="e">
        <f t="shared" si="40"/>
        <v>#DIV/0!</v>
      </c>
      <c r="I85" s="1937" t="e">
        <f t="shared" si="40"/>
        <v>#DIV/0!</v>
      </c>
      <c r="J85" s="1937" t="e">
        <f t="shared" si="40"/>
        <v>#DIV/0!</v>
      </c>
      <c r="K85" s="1937" t="e">
        <f t="shared" si="40"/>
        <v>#DIV/0!</v>
      </c>
      <c r="L85" s="1937" t="e">
        <f t="shared" si="40"/>
        <v>#DIV/0!</v>
      </c>
      <c r="M85" s="1875" t="e">
        <f>M84/L84-1</f>
        <v>#DIV/0!</v>
      </c>
      <c r="N85" s="1875" t="e">
        <f>N84/M84-1</f>
        <v>#DIV/0!</v>
      </c>
      <c r="O85" s="1875" t="e">
        <f>O84/N84-1</f>
        <v>#DIV/0!</v>
      </c>
      <c r="P85" s="1875" t="e">
        <f>P84/O84-1</f>
        <v>#DIV/0!</v>
      </c>
      <c r="Q85" s="1876" t="e">
        <f>Q84/P84-1</f>
        <v>#DIV/0!</v>
      </c>
    </row>
    <row r="86" spans="2:17" ht="15">
      <c r="B86" s="2162" t="s">
        <v>1337</v>
      </c>
      <c r="C86" s="1748">
        <v>0</v>
      </c>
      <c r="D86" s="1731">
        <f>C86*(1+D87)</f>
        <v>0</v>
      </c>
      <c r="E86" s="1731">
        <f t="shared" ref="E86:L86" si="41">D86*(1+E87)</f>
        <v>0</v>
      </c>
      <c r="F86" s="1731">
        <f t="shared" si="41"/>
        <v>0</v>
      </c>
      <c r="G86" s="1731">
        <f t="shared" si="41"/>
        <v>0</v>
      </c>
      <c r="H86" s="1731">
        <f t="shared" si="41"/>
        <v>0</v>
      </c>
      <c r="I86" s="1731">
        <f t="shared" si="41"/>
        <v>0</v>
      </c>
      <c r="J86" s="1731">
        <f t="shared" si="41"/>
        <v>0</v>
      </c>
      <c r="K86" s="1731">
        <f t="shared" si="41"/>
        <v>0</v>
      </c>
      <c r="L86" s="1731">
        <f t="shared" si="41"/>
        <v>0</v>
      </c>
      <c r="M86" s="1753">
        <f>L86*(1+M87)</f>
        <v>0</v>
      </c>
      <c r="N86" s="1753">
        <f>M86*(1+N87)</f>
        <v>0</v>
      </c>
      <c r="O86" s="1753">
        <f>N86*(1+O87)</f>
        <v>0</v>
      </c>
      <c r="P86" s="1753">
        <f>O86*(1+P87)</f>
        <v>0</v>
      </c>
      <c r="Q86" s="1754">
        <f>P86*(1+Q87)</f>
        <v>0</v>
      </c>
    </row>
    <row r="87" spans="2:17" ht="15">
      <c r="B87" s="2161" t="s">
        <v>1336</v>
      </c>
      <c r="C87" s="1739"/>
      <c r="D87" s="1739">
        <v>0</v>
      </c>
      <c r="E87" s="1739">
        <v>0</v>
      </c>
      <c r="F87" s="1739">
        <v>0</v>
      </c>
      <c r="G87" s="1739">
        <v>0</v>
      </c>
      <c r="H87" s="1739">
        <v>0</v>
      </c>
      <c r="I87" s="1739">
        <v>0</v>
      </c>
      <c r="J87" s="1739">
        <v>0</v>
      </c>
      <c r="K87" s="1739">
        <v>0</v>
      </c>
      <c r="L87" s="1739">
        <v>0</v>
      </c>
      <c r="M87" s="1751">
        <v>0</v>
      </c>
      <c r="N87" s="1751">
        <v>0</v>
      </c>
      <c r="O87" s="1751">
        <v>0</v>
      </c>
      <c r="P87" s="1751">
        <v>0</v>
      </c>
      <c r="Q87" s="1752">
        <v>0</v>
      </c>
    </row>
    <row r="88" spans="2:17" ht="15">
      <c r="B88" s="2162" t="s">
        <v>1338</v>
      </c>
      <c r="C88" s="1739">
        <v>0</v>
      </c>
      <c r="D88" s="1739">
        <v>0</v>
      </c>
      <c r="E88" s="1739">
        <v>0</v>
      </c>
      <c r="F88" s="1739">
        <v>0</v>
      </c>
      <c r="G88" s="1739">
        <v>0</v>
      </c>
      <c r="H88" s="1739">
        <v>0</v>
      </c>
      <c r="I88" s="1739">
        <v>0</v>
      </c>
      <c r="J88" s="1739">
        <v>0</v>
      </c>
      <c r="K88" s="1739">
        <v>0</v>
      </c>
      <c r="L88" s="1739">
        <v>0</v>
      </c>
      <c r="M88" s="1751">
        <v>0</v>
      </c>
      <c r="N88" s="1751">
        <v>0</v>
      </c>
      <c r="O88" s="1751">
        <v>0</v>
      </c>
      <c r="P88" s="1751">
        <v>0</v>
      </c>
      <c r="Q88" s="1752">
        <v>0</v>
      </c>
    </row>
    <row r="89" spans="2:17" ht="15.75" thickBot="1">
      <c r="B89" s="2164"/>
      <c r="C89" s="1742"/>
      <c r="D89" s="1742"/>
      <c r="E89" s="1742"/>
      <c r="F89" s="1742"/>
      <c r="G89" s="1743"/>
      <c r="H89" s="1743"/>
      <c r="I89" s="1743"/>
      <c r="J89" s="1743"/>
      <c r="K89" s="1743"/>
      <c r="L89" s="1743"/>
      <c r="M89" s="1743"/>
      <c r="N89" s="1743"/>
      <c r="O89" s="1743"/>
      <c r="P89" s="1743"/>
      <c r="Q89" s="1744"/>
    </row>
  </sheetData>
  <phoneticPr fontId="21"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0"/>
  </sheetPr>
  <dimension ref="A1:AZ354"/>
  <sheetViews>
    <sheetView showGridLines="0" workbookViewId="0">
      <pane xSplit="8" ySplit="3" topLeftCell="I4" activePane="bottomRight" state="frozen"/>
      <selection pane="topRight"/>
      <selection pane="bottomLeft"/>
      <selection pane="bottomRight" activeCell="S3" sqref="S3"/>
    </sheetView>
  </sheetViews>
  <sheetFormatPr defaultRowHeight="17.100000000000001" customHeight="1"/>
  <cols>
    <col min="1" max="1" width="2.375" style="897" customWidth="1"/>
    <col min="2" max="2" width="20.875" style="897" customWidth="1"/>
    <col min="3" max="8" width="2.625" style="897" customWidth="1"/>
    <col min="9" max="9" width="9.625" style="897" customWidth="1"/>
    <col min="10" max="10" width="9.875" style="897" customWidth="1"/>
    <col min="11" max="18" width="9.625" style="897" customWidth="1"/>
    <col min="19" max="16384" width="9" style="897"/>
  </cols>
  <sheetData>
    <row r="1" spans="1:52" ht="12" customHeight="1" thickBot="1">
      <c r="A1" s="894"/>
      <c r="B1" s="894"/>
      <c r="C1" s="894"/>
      <c r="D1" s="894"/>
      <c r="E1" s="894"/>
      <c r="F1" s="894"/>
      <c r="G1" s="894"/>
      <c r="H1" s="894"/>
      <c r="I1" s="896"/>
      <c r="J1" s="896"/>
      <c r="K1" s="896"/>
      <c r="L1" s="896"/>
      <c r="M1" s="896"/>
      <c r="N1" s="896"/>
      <c r="O1" s="896"/>
      <c r="P1" s="896"/>
      <c r="Q1" s="896"/>
      <c r="R1" s="895"/>
      <c r="S1" s="895"/>
      <c r="T1" s="894"/>
      <c r="U1" s="894"/>
      <c r="V1" s="894"/>
      <c r="W1" s="1073"/>
      <c r="X1" s="1073"/>
      <c r="Y1" s="1073"/>
      <c r="Z1" s="1073"/>
      <c r="AA1" s="1073"/>
      <c r="AB1" s="1073"/>
      <c r="AC1" s="1073"/>
      <c r="AD1" s="1073"/>
      <c r="AE1" s="1073"/>
      <c r="AF1" s="1073"/>
      <c r="AG1" s="1073"/>
      <c r="AH1" s="1073"/>
      <c r="AI1" s="1073"/>
      <c r="AJ1" s="1073"/>
      <c r="AK1" s="1073"/>
      <c r="AL1" s="1073"/>
      <c r="AM1" s="1073"/>
      <c r="AN1" s="1073"/>
      <c r="AO1" s="1073"/>
      <c r="AP1" s="1073"/>
      <c r="AQ1" s="1073"/>
      <c r="AR1" s="1073"/>
      <c r="AS1" s="1073"/>
      <c r="AT1" s="1073"/>
      <c r="AU1" s="1073"/>
      <c r="AV1" s="1073"/>
      <c r="AW1" s="1073"/>
      <c r="AX1" s="1073"/>
      <c r="AY1" s="1073"/>
      <c r="AZ1" s="1073"/>
    </row>
    <row r="2" spans="1:52" ht="17.100000000000001" customHeight="1">
      <c r="A2" s="109"/>
      <c r="B2" s="186" t="s">
        <v>22</v>
      </c>
      <c r="C2" s="1074"/>
      <c r="D2" s="1074"/>
      <c r="E2" s="1074"/>
      <c r="F2" s="1074"/>
      <c r="G2" s="1074"/>
      <c r="H2" s="1074"/>
      <c r="I2" s="636">
        <f t="shared" ref="I2:L3" si="0">J2-1</f>
        <v>2015</v>
      </c>
      <c r="J2" s="636">
        <f t="shared" si="0"/>
        <v>2016</v>
      </c>
      <c r="K2" s="636">
        <f t="shared" si="0"/>
        <v>2017</v>
      </c>
      <c r="L2" s="636">
        <f t="shared" si="0"/>
        <v>2018</v>
      </c>
      <c r="M2" s="636">
        <f>公司说明!B1</f>
        <v>2019</v>
      </c>
      <c r="N2" s="636">
        <f>M3+1</f>
        <v>2020</v>
      </c>
      <c r="O2" s="636">
        <f>N2+1</f>
        <v>2021</v>
      </c>
      <c r="P2" s="636">
        <f>O2+1</f>
        <v>2022</v>
      </c>
      <c r="Q2" s="636">
        <f>P2+1</f>
        <v>2023</v>
      </c>
      <c r="R2" s="636">
        <f>Q2+1</f>
        <v>2024</v>
      </c>
      <c r="S2" s="2378"/>
      <c r="T2" s="1927"/>
      <c r="U2" s="109"/>
      <c r="V2" s="109"/>
      <c r="W2" s="1075"/>
      <c r="X2" s="1075"/>
      <c r="Y2" s="1075"/>
      <c r="Z2" s="1075"/>
      <c r="AA2" s="1075"/>
      <c r="AB2" s="1075"/>
      <c r="AC2" s="1075"/>
      <c r="AD2" s="1075"/>
      <c r="AE2" s="1075"/>
      <c r="AF2" s="1075"/>
      <c r="AG2" s="1075"/>
      <c r="AH2" s="1075"/>
      <c r="AI2" s="1075"/>
      <c r="AJ2" s="1075"/>
      <c r="AK2" s="1075"/>
      <c r="AL2" s="1075"/>
      <c r="AM2" s="1075"/>
      <c r="AN2" s="1075"/>
      <c r="AO2" s="1075"/>
      <c r="AP2" s="1075"/>
      <c r="AQ2" s="1075"/>
      <c r="AR2" s="1075"/>
      <c r="AS2" s="1075"/>
      <c r="AT2" s="1075"/>
      <c r="AU2" s="1075"/>
      <c r="AV2" s="1075"/>
      <c r="AW2" s="1075"/>
      <c r="AX2" s="1075"/>
      <c r="AY2" s="1075"/>
      <c r="AZ2" s="1075"/>
    </row>
    <row r="3" spans="1:52" s="1079" customFormat="1" ht="18" customHeight="1">
      <c r="A3" s="106"/>
      <c r="B3" s="2165"/>
      <c r="C3" s="1076"/>
      <c r="D3" s="1076"/>
      <c r="E3" s="1076"/>
      <c r="F3" s="1076"/>
      <c r="G3" s="1076"/>
      <c r="H3" s="1077"/>
      <c r="I3" s="643">
        <f t="shared" si="0"/>
        <v>2015</v>
      </c>
      <c r="J3" s="643">
        <f t="shared" si="0"/>
        <v>2016</v>
      </c>
      <c r="K3" s="643">
        <f t="shared" si="0"/>
        <v>2017</v>
      </c>
      <c r="L3" s="643">
        <f t="shared" si="0"/>
        <v>2018</v>
      </c>
      <c r="M3" s="643">
        <f>公司说明!B1</f>
        <v>2019</v>
      </c>
      <c r="N3" s="643" t="str">
        <f>N2&amp;"E"</f>
        <v>2020E</v>
      </c>
      <c r="O3" s="643" t="str">
        <f>O2&amp;"E"</f>
        <v>2021E</v>
      </c>
      <c r="P3" s="643" t="str">
        <f>P2&amp;"E"</f>
        <v>2022E</v>
      </c>
      <c r="Q3" s="643" t="str">
        <f>Q2&amp;"E"</f>
        <v>2023E</v>
      </c>
      <c r="R3" s="2328" t="str">
        <f>R2&amp;"E"</f>
        <v>2024E</v>
      </c>
      <c r="S3" s="2346"/>
      <c r="T3" s="1928"/>
      <c r="U3" s="106"/>
      <c r="V3" s="106"/>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row>
    <row r="4" spans="1:52" ht="18" customHeight="1">
      <c r="A4" s="1080"/>
      <c r="B4" s="1760" t="s">
        <v>1125</v>
      </c>
      <c r="C4" s="1081"/>
      <c r="D4" s="1081"/>
      <c r="E4" s="1081"/>
      <c r="F4" s="1081"/>
      <c r="G4" s="1081"/>
      <c r="H4" s="1082"/>
      <c r="I4" s="1083">
        <v>3332.8047714200002</v>
      </c>
      <c r="J4" s="1083">
        <v>3951.6072652299999</v>
      </c>
      <c r="K4" s="1083">
        <v>4584.9197615800003</v>
      </c>
      <c r="L4" s="1083">
        <v>4809.73609786</v>
      </c>
      <c r="M4" s="1083">
        <v>6378.1513559200002</v>
      </c>
      <c r="N4" s="1084">
        <f>N43</f>
        <v>6378.1513559200002</v>
      </c>
      <c r="O4" s="1084">
        <f>O43</f>
        <v>6378.1513559200002</v>
      </c>
      <c r="P4" s="1084">
        <f>P43</f>
        <v>6378.1513559200002</v>
      </c>
      <c r="Q4" s="1084">
        <f>Q43</f>
        <v>6378.1513559200002</v>
      </c>
      <c r="R4" s="2373">
        <f>R43</f>
        <v>6378.1513559200002</v>
      </c>
      <c r="S4" s="2379"/>
      <c r="T4" s="1080"/>
      <c r="U4" s="1080"/>
      <c r="V4" s="1080"/>
      <c r="W4" s="1075"/>
      <c r="X4" s="1075"/>
      <c r="Y4" s="1075"/>
      <c r="Z4" s="1075"/>
      <c r="AA4" s="1075"/>
      <c r="AB4" s="1075"/>
      <c r="AC4" s="1075"/>
      <c r="AD4" s="1075"/>
      <c r="AE4" s="1075"/>
      <c r="AF4" s="1075"/>
      <c r="AG4" s="1075"/>
      <c r="AH4" s="1075"/>
      <c r="AI4" s="1075"/>
      <c r="AJ4" s="1075"/>
      <c r="AK4" s="1075"/>
      <c r="AL4" s="1075"/>
      <c r="AM4" s="1075"/>
      <c r="AN4" s="1075"/>
      <c r="AO4" s="1075"/>
      <c r="AP4" s="1075"/>
      <c r="AQ4" s="1075"/>
      <c r="AR4" s="1075"/>
      <c r="AS4" s="1075"/>
      <c r="AT4" s="1075"/>
      <c r="AU4" s="1075"/>
      <c r="AV4" s="1075"/>
      <c r="AW4" s="1075"/>
      <c r="AX4" s="1075"/>
      <c r="AY4" s="1075"/>
      <c r="AZ4" s="1075"/>
    </row>
    <row r="5" spans="1:52" ht="18" customHeight="1">
      <c r="A5" s="1080"/>
      <c r="B5" s="1760" t="s">
        <v>1126</v>
      </c>
      <c r="C5" s="1081"/>
      <c r="D5" s="1081"/>
      <c r="E5" s="1081"/>
      <c r="F5" s="1081"/>
      <c r="G5" s="1081"/>
      <c r="H5" s="1082"/>
      <c r="I5" s="1083">
        <v>3332.8047714200002</v>
      </c>
      <c r="J5" s="1083">
        <v>3951.6072652299999</v>
      </c>
      <c r="K5" s="1083">
        <v>4584.9197615800003</v>
      </c>
      <c r="L5" s="1083">
        <v>4809.73609786</v>
      </c>
      <c r="M5" s="1083">
        <v>6378.1513559200002</v>
      </c>
      <c r="N5" s="1084">
        <f>N45</f>
        <v>6378.1513559200002</v>
      </c>
      <c r="O5" s="1084">
        <f>O45</f>
        <v>6378.1513559200002</v>
      </c>
      <c r="P5" s="1084">
        <f>P45</f>
        <v>6378.1513559200002</v>
      </c>
      <c r="Q5" s="1084">
        <f>Q45</f>
        <v>6378.1513559200002</v>
      </c>
      <c r="R5" s="2373">
        <f>R45</f>
        <v>6378.1513559200002</v>
      </c>
      <c r="S5" s="2379"/>
      <c r="T5" s="1080"/>
      <c r="U5" s="1080"/>
      <c r="V5" s="1080"/>
      <c r="W5" s="1075"/>
      <c r="X5" s="1075"/>
      <c r="Y5" s="1075"/>
      <c r="Z5" s="1075"/>
      <c r="AA5" s="1075"/>
      <c r="AB5" s="1075"/>
      <c r="AC5" s="1075"/>
      <c r="AD5" s="1075"/>
      <c r="AE5" s="1075"/>
      <c r="AF5" s="1075"/>
      <c r="AG5" s="1075"/>
      <c r="AH5" s="1075"/>
      <c r="AI5" s="1075"/>
      <c r="AJ5" s="1075"/>
      <c r="AK5" s="1075"/>
      <c r="AL5" s="1075"/>
      <c r="AM5" s="1075"/>
      <c r="AN5" s="1075"/>
      <c r="AO5" s="1075"/>
      <c r="AP5" s="1075"/>
      <c r="AQ5" s="1075"/>
      <c r="AR5" s="1075"/>
      <c r="AS5" s="1075"/>
      <c r="AT5" s="1075"/>
      <c r="AU5" s="1075"/>
      <c r="AV5" s="1075"/>
      <c r="AW5" s="1075"/>
      <c r="AX5" s="1075"/>
      <c r="AY5" s="1075"/>
      <c r="AZ5" s="1075"/>
    </row>
    <row r="6" spans="1:52" ht="18" customHeight="1">
      <c r="A6" s="1080"/>
      <c r="B6" s="1760" t="s">
        <v>1127</v>
      </c>
      <c r="C6" s="1081"/>
      <c r="D6" s="1081"/>
      <c r="E6" s="1081"/>
      <c r="F6" s="1081"/>
      <c r="G6" s="1081"/>
      <c r="H6" s="1082"/>
      <c r="I6" s="1083">
        <v>0</v>
      </c>
      <c r="J6" s="1083">
        <v>0</v>
      </c>
      <c r="K6" s="1083">
        <v>0</v>
      </c>
      <c r="L6" s="1083">
        <v>0</v>
      </c>
      <c r="M6" s="1083">
        <v>0</v>
      </c>
      <c r="N6" s="1084">
        <f>N47</f>
        <v>0</v>
      </c>
      <c r="O6" s="1084">
        <f>O47</f>
        <v>0</v>
      </c>
      <c r="P6" s="1084">
        <f>P47</f>
        <v>0</v>
      </c>
      <c r="Q6" s="1084">
        <f>Q47</f>
        <v>0</v>
      </c>
      <c r="R6" s="2373">
        <f>R47</f>
        <v>0</v>
      </c>
      <c r="S6" s="2379"/>
      <c r="T6" s="1080"/>
      <c r="U6" s="1080"/>
      <c r="V6" s="1080"/>
      <c r="W6" s="1075"/>
      <c r="X6" s="1075"/>
      <c r="Y6" s="1075"/>
      <c r="Z6" s="1075"/>
      <c r="AA6" s="1075"/>
      <c r="AB6" s="1075"/>
      <c r="AC6" s="1075"/>
      <c r="AD6" s="1075"/>
      <c r="AE6" s="1075"/>
      <c r="AF6" s="1075"/>
      <c r="AG6" s="1075"/>
      <c r="AH6" s="1075"/>
      <c r="AI6" s="1075"/>
      <c r="AJ6" s="1075"/>
      <c r="AK6" s="1075"/>
      <c r="AL6" s="1075"/>
      <c r="AM6" s="1075"/>
      <c r="AN6" s="1075"/>
      <c r="AO6" s="1075"/>
      <c r="AP6" s="1075"/>
      <c r="AQ6" s="1075"/>
      <c r="AR6" s="1075"/>
      <c r="AS6" s="1075"/>
      <c r="AT6" s="1075"/>
      <c r="AU6" s="1075"/>
      <c r="AV6" s="1075"/>
      <c r="AW6" s="1075"/>
      <c r="AX6" s="1075"/>
      <c r="AY6" s="1075"/>
      <c r="AZ6" s="1075"/>
    </row>
    <row r="7" spans="1:52" ht="18" customHeight="1">
      <c r="A7" s="1080"/>
      <c r="B7" s="1762" t="s">
        <v>1339</v>
      </c>
      <c r="C7" s="1085"/>
      <c r="D7" s="1085"/>
      <c r="E7" s="1085"/>
      <c r="F7" s="1085"/>
      <c r="G7" s="1085"/>
      <c r="H7" s="1086"/>
      <c r="I7" s="1083">
        <v>2665.0461144999999</v>
      </c>
      <c r="J7" s="1083">
        <v>3029.2470500100003</v>
      </c>
      <c r="K7" s="1083">
        <v>3961.2420510700003</v>
      </c>
      <c r="L7" s="1083">
        <v>4331.7590222899998</v>
      </c>
      <c r="M7" s="1083">
        <v>5514.07059192</v>
      </c>
      <c r="N7" s="1084">
        <f t="shared" ref="N7:R8" ca="1" si="1">N49</f>
        <v>7884.1366412316775</v>
      </c>
      <c r="O7" s="1084">
        <f t="shared" ca="1" si="1"/>
        <v>8143.9739502080538</v>
      </c>
      <c r="P7" s="1084">
        <f t="shared" ca="1" si="1"/>
        <v>8134.435336486551</v>
      </c>
      <c r="Q7" s="1084">
        <f t="shared" ca="1" si="1"/>
        <v>8136.5391332678682</v>
      </c>
      <c r="R7" s="2373">
        <f t="shared" ca="1" si="1"/>
        <v>8138.3161399874916</v>
      </c>
      <c r="S7" s="2379"/>
      <c r="T7" s="1080"/>
      <c r="U7" s="1080"/>
      <c r="V7" s="1080"/>
      <c r="W7" s="1075"/>
      <c r="X7" s="1075"/>
      <c r="Y7" s="1075"/>
      <c r="Z7" s="1075"/>
      <c r="AA7" s="1075"/>
      <c r="AB7" s="1075"/>
      <c r="AC7" s="1075"/>
      <c r="AD7" s="1075"/>
      <c r="AE7" s="1075"/>
      <c r="AF7" s="1075"/>
      <c r="AG7" s="1075"/>
      <c r="AH7" s="1075"/>
      <c r="AI7" s="1075"/>
      <c r="AJ7" s="1075"/>
      <c r="AK7" s="1075"/>
      <c r="AL7" s="1075"/>
      <c r="AM7" s="1075"/>
      <c r="AN7" s="1075"/>
      <c r="AO7" s="1075"/>
      <c r="AP7" s="1075"/>
      <c r="AQ7" s="1075"/>
      <c r="AR7" s="1075"/>
      <c r="AS7" s="1075"/>
      <c r="AT7" s="1075"/>
      <c r="AU7" s="1075"/>
      <c r="AV7" s="1075"/>
      <c r="AW7" s="1075"/>
      <c r="AX7" s="1075"/>
      <c r="AY7" s="1075"/>
      <c r="AZ7" s="1075"/>
    </row>
    <row r="8" spans="1:52" ht="18" customHeight="1">
      <c r="A8" s="1080"/>
      <c r="B8" s="1087" t="s">
        <v>1340</v>
      </c>
      <c r="C8" s="1085"/>
      <c r="D8" s="1085"/>
      <c r="E8" s="1085"/>
      <c r="F8" s="1085"/>
      <c r="G8" s="1085"/>
      <c r="H8" s="1086"/>
      <c r="I8" s="1083">
        <v>2238.2859384899998</v>
      </c>
      <c r="J8" s="1083">
        <v>2755.1810214400002</v>
      </c>
      <c r="K8" s="1083">
        <v>3625.9091715999998</v>
      </c>
      <c r="L8" s="1083">
        <v>3863.78724121</v>
      </c>
      <c r="M8" s="1083">
        <v>5079.2705365800002</v>
      </c>
      <c r="N8" s="1084">
        <f t="shared" si="1"/>
        <v>5082.3547035464026</v>
      </c>
      <c r="O8" s="1084">
        <f t="shared" si="1"/>
        <v>5095.1205406454546</v>
      </c>
      <c r="P8" s="1084">
        <f t="shared" si="1"/>
        <v>5085.5819269239528</v>
      </c>
      <c r="Q8" s="1084">
        <f t="shared" si="1"/>
        <v>5087.68572370527</v>
      </c>
      <c r="R8" s="2373">
        <f t="shared" si="1"/>
        <v>5089.4627304248925</v>
      </c>
      <c r="S8" s="2379"/>
      <c r="T8" s="1080"/>
      <c r="U8" s="1080"/>
      <c r="V8" s="1080"/>
      <c r="W8" s="1075"/>
      <c r="X8" s="1075"/>
      <c r="Y8" s="1075"/>
      <c r="Z8" s="1075"/>
      <c r="AA8" s="1075"/>
      <c r="AB8" s="1075"/>
      <c r="AC8" s="1075"/>
      <c r="AD8" s="1075"/>
      <c r="AE8" s="1075"/>
      <c r="AF8" s="1075"/>
      <c r="AG8" s="1075"/>
      <c r="AH8" s="1075"/>
      <c r="AI8" s="1075"/>
      <c r="AJ8" s="1075"/>
      <c r="AK8" s="1075"/>
      <c r="AL8" s="1075"/>
      <c r="AM8" s="1075"/>
      <c r="AN8" s="1075"/>
      <c r="AO8" s="1075"/>
      <c r="AP8" s="1075"/>
      <c r="AQ8" s="1075"/>
      <c r="AR8" s="1075"/>
      <c r="AS8" s="1075"/>
      <c r="AT8" s="1075"/>
      <c r="AU8" s="1075"/>
      <c r="AV8" s="1075"/>
      <c r="AW8" s="1075"/>
      <c r="AX8" s="1075"/>
      <c r="AY8" s="1075"/>
      <c r="AZ8" s="1075"/>
    </row>
    <row r="9" spans="1:52" ht="18" customHeight="1">
      <c r="A9" s="1080"/>
      <c r="B9" s="1087" t="s">
        <v>1128</v>
      </c>
      <c r="C9" s="1085"/>
      <c r="D9" s="1085"/>
      <c r="E9" s="1085"/>
      <c r="F9" s="1085"/>
      <c r="G9" s="1085"/>
      <c r="H9" s="1086"/>
      <c r="I9" s="1083">
        <v>1.1368683772161603E-13</v>
      </c>
      <c r="J9" s="1083">
        <v>5.6843418860808015E-14</v>
      </c>
      <c r="K9" s="1083">
        <v>5.3645976549887564E-13</v>
      </c>
      <c r="L9" s="1083">
        <v>-1.8474111129762605E-13</v>
      </c>
      <c r="M9" s="1083">
        <v>-2.2554180745260055E-13</v>
      </c>
      <c r="N9" s="1084">
        <f>N53</f>
        <v>9.191727929501206E-14</v>
      </c>
      <c r="O9" s="1084">
        <f>O53</f>
        <v>-1.2620273053833497E-13</v>
      </c>
      <c r="P9" s="1084">
        <f>P53</f>
        <v>-8.6609086231974492E-14</v>
      </c>
      <c r="Q9" s="1084">
        <f>Q53</f>
        <v>-4.0298179158432472E-14</v>
      </c>
      <c r="R9" s="2373">
        <f>R53</f>
        <v>-8.4369998642913975E-14</v>
      </c>
      <c r="S9" s="2379"/>
      <c r="T9" s="1080"/>
      <c r="U9" s="1080"/>
      <c r="V9" s="1080"/>
      <c r="W9" s="1075"/>
      <c r="X9" s="1075"/>
      <c r="Y9" s="1075"/>
      <c r="Z9" s="1075"/>
      <c r="AA9" s="1075"/>
      <c r="AB9" s="1075"/>
      <c r="AC9" s="1075"/>
      <c r="AD9" s="1075"/>
      <c r="AE9" s="1075"/>
      <c r="AF9" s="1075"/>
      <c r="AG9" s="1075"/>
      <c r="AH9" s="1075"/>
      <c r="AI9" s="1075"/>
      <c r="AJ9" s="1075"/>
      <c r="AK9" s="1075"/>
      <c r="AL9" s="1075"/>
      <c r="AM9" s="1075"/>
      <c r="AN9" s="1075"/>
      <c r="AO9" s="1075"/>
      <c r="AP9" s="1075"/>
      <c r="AQ9" s="1075"/>
      <c r="AR9" s="1075"/>
      <c r="AS9" s="1075"/>
      <c r="AT9" s="1075"/>
      <c r="AU9" s="1075"/>
      <c r="AV9" s="1075"/>
      <c r="AW9" s="1075"/>
      <c r="AX9" s="1075"/>
      <c r="AY9" s="1075"/>
      <c r="AZ9" s="1075"/>
    </row>
    <row r="10" spans="1:52" ht="18" customHeight="1">
      <c r="A10" s="1080"/>
      <c r="B10" s="1087" t="s">
        <v>1205</v>
      </c>
      <c r="C10" s="1085"/>
      <c r="D10" s="1085"/>
      <c r="E10" s="1085"/>
      <c r="F10" s="1085"/>
      <c r="G10" s="1085"/>
      <c r="H10" s="1086"/>
      <c r="I10" s="1083">
        <v>16.865364629999998</v>
      </c>
      <c r="J10" s="1083">
        <v>22.981753170000001</v>
      </c>
      <c r="K10" s="1083">
        <v>26.899063820000002</v>
      </c>
      <c r="L10" s="1083">
        <v>19.415506629999999</v>
      </c>
      <c r="M10" s="1083">
        <v>21.80349241</v>
      </c>
      <c r="N10" s="1088">
        <f>N56</f>
        <v>21.80349241</v>
      </c>
      <c r="O10" s="1088">
        <f>O56</f>
        <v>21.80349241</v>
      </c>
      <c r="P10" s="1088">
        <f>P56</f>
        <v>21.80349241</v>
      </c>
      <c r="Q10" s="1088">
        <f>Q56</f>
        <v>21.80349241</v>
      </c>
      <c r="R10" s="2374">
        <f>R56</f>
        <v>21.80349241</v>
      </c>
      <c r="S10" s="2379"/>
      <c r="T10" s="1080"/>
      <c r="U10" s="1080"/>
      <c r="V10" s="1080"/>
      <c r="W10" s="1075"/>
      <c r="X10" s="1075"/>
      <c r="Y10" s="1075"/>
      <c r="Z10" s="1075"/>
      <c r="AA10" s="1075"/>
      <c r="AB10" s="1075"/>
      <c r="AC10" s="1075"/>
      <c r="AD10" s="1075"/>
      <c r="AE10" s="1075"/>
      <c r="AF10" s="1075"/>
      <c r="AG10" s="1075"/>
      <c r="AH10" s="1075"/>
      <c r="AI10" s="1075"/>
      <c r="AJ10" s="1075"/>
      <c r="AK10" s="1075"/>
      <c r="AL10" s="1075"/>
      <c r="AM10" s="1075"/>
      <c r="AN10" s="1075"/>
      <c r="AO10" s="1075"/>
      <c r="AP10" s="1075"/>
      <c r="AQ10" s="1075"/>
      <c r="AR10" s="1075"/>
      <c r="AS10" s="1075"/>
      <c r="AT10" s="1075"/>
      <c r="AU10" s="1075"/>
      <c r="AV10" s="1075"/>
      <c r="AW10" s="1075"/>
      <c r="AX10" s="1075"/>
      <c r="AY10" s="1075"/>
      <c r="AZ10" s="1075"/>
    </row>
    <row r="11" spans="1:52" ht="18" customHeight="1">
      <c r="A11" s="1080"/>
      <c r="B11" s="1087" t="s">
        <v>96</v>
      </c>
      <c r="C11" s="1085"/>
      <c r="D11" s="1085"/>
      <c r="E11" s="1085"/>
      <c r="F11" s="1085"/>
      <c r="G11" s="1085"/>
      <c r="H11" s="1086"/>
      <c r="I11" s="1083">
        <v>55.81457365</v>
      </c>
      <c r="J11" s="1083">
        <v>63.990855880000005</v>
      </c>
      <c r="K11" s="1083">
        <v>78.155881199999996</v>
      </c>
      <c r="L11" s="1083">
        <v>86.986311489999991</v>
      </c>
      <c r="M11" s="1083">
        <v>112.84909105</v>
      </c>
      <c r="N11" s="1088">
        <f>N59</f>
        <v>112.84909104999998</v>
      </c>
      <c r="O11" s="1088">
        <f>O59</f>
        <v>112.84909104999998</v>
      </c>
      <c r="P11" s="1088">
        <f>P59</f>
        <v>112.84909104999998</v>
      </c>
      <c r="Q11" s="1088">
        <f>Q59</f>
        <v>112.84909104999998</v>
      </c>
      <c r="R11" s="2374">
        <f>R59</f>
        <v>112.84909104999998</v>
      </c>
      <c r="S11" s="2379"/>
      <c r="T11" s="1080"/>
      <c r="U11" s="1080"/>
      <c r="V11" s="1080"/>
      <c r="W11" s="1075"/>
      <c r="X11" s="1075"/>
      <c r="Y11" s="1075"/>
      <c r="Z11" s="1075"/>
      <c r="AA11" s="1075"/>
      <c r="AB11" s="1075"/>
      <c r="AC11" s="1075"/>
      <c r="AD11" s="1075"/>
      <c r="AE11" s="1075"/>
      <c r="AF11" s="1075"/>
      <c r="AG11" s="1075"/>
      <c r="AH11" s="1075"/>
      <c r="AI11" s="1075"/>
      <c r="AJ11" s="1075"/>
      <c r="AK11" s="1075"/>
      <c r="AL11" s="1075"/>
      <c r="AM11" s="1075"/>
      <c r="AN11" s="1075"/>
      <c r="AO11" s="1075"/>
      <c r="AP11" s="1075"/>
      <c r="AQ11" s="1075"/>
      <c r="AR11" s="1075"/>
      <c r="AS11" s="1075"/>
      <c r="AT11" s="1075"/>
      <c r="AU11" s="1075"/>
      <c r="AV11" s="1075"/>
      <c r="AW11" s="1075"/>
      <c r="AX11" s="1075"/>
      <c r="AY11" s="1075"/>
      <c r="AZ11" s="1075"/>
    </row>
    <row r="12" spans="1:52" ht="18" customHeight="1">
      <c r="A12" s="1080"/>
      <c r="B12" s="1087" t="s">
        <v>372</v>
      </c>
      <c r="C12" s="1085"/>
      <c r="D12" s="1085"/>
      <c r="E12" s="1085"/>
      <c r="F12" s="1085"/>
      <c r="G12" s="1085"/>
      <c r="H12" s="1086"/>
      <c r="I12" s="1083">
        <v>193.75757265999999</v>
      </c>
      <c r="J12" s="1083">
        <v>209.36716736000002</v>
      </c>
      <c r="K12" s="1083">
        <v>79.338761969999993</v>
      </c>
      <c r="L12" s="1083">
        <v>84.266100010000002</v>
      </c>
      <c r="M12" s="1083">
        <v>97.549293969999994</v>
      </c>
      <c r="N12" s="1088">
        <f>N62</f>
        <v>97.549293969999994</v>
      </c>
      <c r="O12" s="1088">
        <f>O62</f>
        <v>97.549293969999994</v>
      </c>
      <c r="P12" s="1088">
        <f>P62</f>
        <v>97.549293969999994</v>
      </c>
      <c r="Q12" s="1088">
        <f>Q62</f>
        <v>97.549293969999994</v>
      </c>
      <c r="R12" s="2374">
        <f>R62</f>
        <v>97.549293969999994</v>
      </c>
      <c r="S12" s="2379"/>
      <c r="T12" s="1080"/>
      <c r="U12" s="1080"/>
      <c r="V12" s="1080"/>
      <c r="W12" s="1075"/>
      <c r="X12" s="1075"/>
      <c r="Y12" s="1075"/>
      <c r="Z12" s="1075"/>
      <c r="AA12" s="1075"/>
      <c r="AB12" s="1075"/>
      <c r="AC12" s="1075"/>
      <c r="AD12" s="1075"/>
      <c r="AE12" s="1075"/>
      <c r="AF12" s="1075"/>
      <c r="AG12" s="1075"/>
      <c r="AH12" s="1075"/>
      <c r="AI12" s="1075"/>
      <c r="AJ12" s="1075"/>
      <c r="AK12" s="1075"/>
      <c r="AL12" s="1075"/>
      <c r="AM12" s="1075"/>
      <c r="AN12" s="1075"/>
      <c r="AO12" s="1075"/>
      <c r="AP12" s="1075"/>
      <c r="AQ12" s="1075"/>
      <c r="AR12" s="1075"/>
      <c r="AS12" s="1075"/>
      <c r="AT12" s="1075"/>
      <c r="AU12" s="1075"/>
      <c r="AV12" s="1075"/>
      <c r="AW12" s="1075"/>
      <c r="AX12" s="1075"/>
      <c r="AY12" s="1075"/>
      <c r="AZ12" s="1075"/>
    </row>
    <row r="13" spans="1:52" ht="18" customHeight="1">
      <c r="A13" s="1080"/>
      <c r="B13" s="1087" t="s">
        <v>1399</v>
      </c>
      <c r="C13" s="1085"/>
      <c r="D13" s="1085"/>
      <c r="E13" s="1085"/>
      <c r="F13" s="1085"/>
      <c r="G13" s="1085"/>
      <c r="H13" s="1086"/>
      <c r="I13" s="1083">
        <v>0</v>
      </c>
      <c r="J13" s="1083">
        <v>0</v>
      </c>
      <c r="K13" s="1083">
        <v>152.83954233</v>
      </c>
      <c r="L13" s="1083">
        <v>179.47818361</v>
      </c>
      <c r="M13" s="1083">
        <v>202.87571151</v>
      </c>
      <c r="N13" s="1088">
        <f>N65</f>
        <v>202.87571151</v>
      </c>
      <c r="O13" s="1088">
        <f t="shared" ref="O13:R13" si="2">O65</f>
        <v>202.87571151</v>
      </c>
      <c r="P13" s="1088">
        <f t="shared" si="2"/>
        <v>202.87571151</v>
      </c>
      <c r="Q13" s="1088">
        <f t="shared" si="2"/>
        <v>202.87571151</v>
      </c>
      <c r="R13" s="2374">
        <f t="shared" si="2"/>
        <v>202.87571151</v>
      </c>
      <c r="S13" s="2379"/>
      <c r="T13" s="1080"/>
      <c r="U13" s="1080"/>
      <c r="V13" s="1080"/>
      <c r="W13" s="1075"/>
      <c r="X13" s="1075"/>
      <c r="Y13" s="1075"/>
      <c r="Z13" s="1075"/>
      <c r="AA13" s="1075"/>
      <c r="AB13" s="1075"/>
      <c r="AC13" s="1075"/>
      <c r="AD13" s="1075"/>
      <c r="AE13" s="1075"/>
      <c r="AF13" s="1075"/>
      <c r="AG13" s="1075"/>
      <c r="AH13" s="1075"/>
      <c r="AI13" s="1075"/>
      <c r="AJ13" s="1075"/>
      <c r="AK13" s="1075"/>
      <c r="AL13" s="1075"/>
      <c r="AM13" s="1075"/>
      <c r="AN13" s="1075"/>
      <c r="AO13" s="1075"/>
      <c r="AP13" s="1075"/>
      <c r="AQ13" s="1075"/>
      <c r="AR13" s="1075"/>
      <c r="AS13" s="1075"/>
      <c r="AT13" s="1075"/>
      <c r="AU13" s="1075"/>
      <c r="AV13" s="1075"/>
      <c r="AW13" s="1075"/>
      <c r="AX13" s="1075"/>
      <c r="AY13" s="1075"/>
      <c r="AZ13" s="1075"/>
    </row>
    <row r="14" spans="1:52" ht="18" customHeight="1">
      <c r="A14" s="1080"/>
      <c r="B14" s="1087" t="s">
        <v>1345</v>
      </c>
      <c r="C14" s="1085"/>
      <c r="D14" s="1085"/>
      <c r="E14" s="1085"/>
      <c r="F14" s="1085"/>
      <c r="G14" s="1085"/>
      <c r="H14" s="1086"/>
      <c r="I14" s="1083">
        <v>30.090965140000002</v>
      </c>
      <c r="J14" s="1083">
        <v>10.62166856</v>
      </c>
      <c r="K14" s="1083">
        <v>14.219765599999999</v>
      </c>
      <c r="L14" s="1083">
        <v>-5.4848195300000002</v>
      </c>
      <c r="M14" s="1083">
        <v>-0.27753359999999999</v>
      </c>
      <c r="N14" s="1088">
        <f ca="1">N68</f>
        <v>2366.7043487452747</v>
      </c>
      <c r="O14" s="1088">
        <f ca="1">O68</f>
        <v>2613.7758206225985</v>
      </c>
      <c r="P14" s="1088">
        <f ca="1">P68</f>
        <v>2613.7758206225985</v>
      </c>
      <c r="Q14" s="1088">
        <f ca="1">Q68</f>
        <v>2613.7758206225985</v>
      </c>
      <c r="R14" s="2374">
        <f ca="1">R68</f>
        <v>2613.7758206225985</v>
      </c>
      <c r="S14" s="2379"/>
      <c r="T14" s="1080"/>
      <c r="U14" s="1080"/>
      <c r="V14" s="1080"/>
      <c r="W14" s="1075"/>
      <c r="X14" s="1075"/>
      <c r="Y14" s="1075"/>
      <c r="Z14" s="1075"/>
      <c r="AA14" s="1075"/>
      <c r="AB14" s="1075"/>
      <c r="AC14" s="1075"/>
      <c r="AD14" s="1075"/>
      <c r="AE14" s="1075"/>
      <c r="AF14" s="1075"/>
      <c r="AG14" s="1075"/>
      <c r="AH14" s="1075"/>
      <c r="AI14" s="1075"/>
      <c r="AJ14" s="1075"/>
      <c r="AK14" s="1075"/>
      <c r="AL14" s="1075"/>
      <c r="AM14" s="1075"/>
      <c r="AN14" s="1075"/>
      <c r="AO14" s="1075"/>
      <c r="AP14" s="1075"/>
      <c r="AQ14" s="1075"/>
      <c r="AR14" s="1075"/>
      <c r="AS14" s="1075"/>
      <c r="AT14" s="1075"/>
      <c r="AU14" s="1075"/>
      <c r="AV14" s="1075"/>
      <c r="AW14" s="1075"/>
      <c r="AX14" s="1075"/>
      <c r="AY14" s="1075"/>
      <c r="AZ14" s="1075"/>
    </row>
    <row r="15" spans="1:52" ht="18" customHeight="1">
      <c r="A15" s="1080"/>
      <c r="B15" s="1087" t="s">
        <v>1400</v>
      </c>
      <c r="C15" s="1085"/>
      <c r="D15" s="1085"/>
      <c r="E15" s="1085"/>
      <c r="F15" s="1085"/>
      <c r="G15" s="1085"/>
      <c r="H15" s="1086"/>
      <c r="I15" s="1083">
        <v>0</v>
      </c>
      <c r="J15" s="1083">
        <v>0</v>
      </c>
      <c r="K15" s="1083">
        <v>10.979866320000001</v>
      </c>
      <c r="L15" s="1083">
        <v>319.01791910000003</v>
      </c>
      <c r="M15" s="1083">
        <v>30.198438449999998</v>
      </c>
      <c r="N15" s="1088">
        <f>N96</f>
        <v>30.198438449999998</v>
      </c>
      <c r="O15" s="1088">
        <f>O96</f>
        <v>30.198438449999998</v>
      </c>
      <c r="P15" s="1088">
        <f>P96</f>
        <v>30.198438449999998</v>
      </c>
      <c r="Q15" s="1088">
        <f>Q96</f>
        <v>30.198438449999998</v>
      </c>
      <c r="R15" s="2374">
        <f>R96</f>
        <v>30.198438449999998</v>
      </c>
      <c r="S15" s="2379"/>
      <c r="T15" s="1080"/>
      <c r="U15" s="1080"/>
      <c r="V15" s="1080"/>
      <c r="W15" s="1075"/>
      <c r="X15" s="1075"/>
      <c r="Y15" s="1075"/>
      <c r="Z15" s="1075"/>
      <c r="AA15" s="1075"/>
      <c r="AB15" s="1075"/>
      <c r="AC15" s="1075"/>
      <c r="AD15" s="1075"/>
      <c r="AE15" s="1075"/>
      <c r="AF15" s="1075"/>
      <c r="AG15" s="1075"/>
      <c r="AH15" s="1075"/>
      <c r="AI15" s="1075"/>
      <c r="AJ15" s="1075"/>
      <c r="AK15" s="1075"/>
      <c r="AL15" s="1075"/>
      <c r="AM15" s="1075"/>
      <c r="AN15" s="1075"/>
      <c r="AO15" s="1075"/>
      <c r="AP15" s="1075"/>
      <c r="AQ15" s="1075"/>
      <c r="AR15" s="1075"/>
      <c r="AS15" s="1075"/>
      <c r="AT15" s="1075"/>
      <c r="AU15" s="1075"/>
      <c r="AV15" s="1075"/>
      <c r="AW15" s="1075"/>
      <c r="AX15" s="1075"/>
      <c r="AY15" s="1075"/>
      <c r="AZ15" s="1075"/>
    </row>
    <row r="16" spans="1:52" ht="18" customHeight="1">
      <c r="A16" s="1080"/>
      <c r="B16" s="1087" t="s">
        <v>1044</v>
      </c>
      <c r="C16" s="1085"/>
      <c r="D16" s="1085"/>
      <c r="E16" s="1085"/>
      <c r="F16" s="1085"/>
      <c r="G16" s="1085"/>
      <c r="H16" s="1086"/>
      <c r="I16" s="1083">
        <v>75.772078430000008</v>
      </c>
      <c r="J16" s="1083">
        <v>47.882001659999993</v>
      </c>
      <c r="K16" s="1083">
        <v>47.830630929999998</v>
      </c>
      <c r="L16" s="1083">
        <v>61.685950349999999</v>
      </c>
      <c r="M16" s="1083">
        <v>26.918021679999999</v>
      </c>
      <c r="N16" s="1088">
        <f>N98</f>
        <v>26.918021679999999</v>
      </c>
      <c r="O16" s="1088">
        <f>O98</f>
        <v>26.918021679999999</v>
      </c>
      <c r="P16" s="1088">
        <f>P98</f>
        <v>26.918021679999999</v>
      </c>
      <c r="Q16" s="1088">
        <f>Q98</f>
        <v>26.918021679999999</v>
      </c>
      <c r="R16" s="2374">
        <f>R98</f>
        <v>26.918021679999999</v>
      </c>
      <c r="S16" s="2379"/>
      <c r="T16" s="1080"/>
      <c r="U16" s="1080"/>
      <c r="V16" s="1080"/>
      <c r="W16" s="1075"/>
      <c r="X16" s="1075"/>
      <c r="Y16" s="1075"/>
      <c r="Z16" s="1075"/>
      <c r="AA16" s="1075"/>
      <c r="AB16" s="1075"/>
      <c r="AC16" s="1075"/>
      <c r="AD16" s="1075"/>
      <c r="AE16" s="1075"/>
      <c r="AF16" s="1075"/>
      <c r="AG16" s="1075"/>
      <c r="AH16" s="1075"/>
      <c r="AI16" s="1075"/>
      <c r="AJ16" s="1075"/>
      <c r="AK16" s="1075"/>
      <c r="AL16" s="1075"/>
      <c r="AM16" s="1075"/>
      <c r="AN16" s="1075"/>
      <c r="AO16" s="1075"/>
      <c r="AP16" s="1075"/>
      <c r="AQ16" s="1075"/>
      <c r="AR16" s="1075"/>
      <c r="AS16" s="1075"/>
      <c r="AT16" s="1075"/>
      <c r="AU16" s="1075"/>
      <c r="AV16" s="1075"/>
      <c r="AW16" s="1075"/>
      <c r="AX16" s="1075"/>
      <c r="AY16" s="1075"/>
      <c r="AZ16" s="1075"/>
    </row>
    <row r="17" spans="1:52" ht="18" customHeight="1">
      <c r="A17" s="1080"/>
      <c r="B17" s="1087" t="s">
        <v>1401</v>
      </c>
      <c r="C17" s="1085"/>
      <c r="D17" s="1085"/>
      <c r="E17" s="1085"/>
      <c r="F17" s="1085"/>
      <c r="G17" s="1085"/>
      <c r="H17" s="1086"/>
      <c r="I17" s="1083">
        <v>0</v>
      </c>
      <c r="J17" s="1083">
        <v>0</v>
      </c>
      <c r="K17" s="1083">
        <v>0</v>
      </c>
      <c r="L17" s="1083">
        <v>0</v>
      </c>
      <c r="M17" s="1083">
        <v>0</v>
      </c>
      <c r="N17" s="1088">
        <f>N102</f>
        <v>0</v>
      </c>
      <c r="O17" s="1088">
        <f t="shared" ref="O17:R17" si="3">O102</f>
        <v>0</v>
      </c>
      <c r="P17" s="1088">
        <f t="shared" si="3"/>
        <v>0</v>
      </c>
      <c r="Q17" s="1088">
        <f t="shared" si="3"/>
        <v>0</v>
      </c>
      <c r="R17" s="2374">
        <f t="shared" si="3"/>
        <v>0</v>
      </c>
      <c r="S17" s="2379"/>
      <c r="T17" s="1080"/>
      <c r="U17" s="1080"/>
      <c r="V17" s="1080"/>
      <c r="W17" s="1075"/>
      <c r="X17" s="1075"/>
      <c r="Y17" s="1075"/>
      <c r="Z17" s="1075"/>
      <c r="AA17" s="1075"/>
      <c r="AB17" s="1075"/>
      <c r="AC17" s="1075"/>
      <c r="AD17" s="1075"/>
      <c r="AE17" s="1075"/>
      <c r="AF17" s="1075"/>
      <c r="AG17" s="1075"/>
      <c r="AH17" s="1075"/>
      <c r="AI17" s="1075"/>
      <c r="AJ17" s="1075"/>
      <c r="AK17" s="1075"/>
      <c r="AL17" s="1075"/>
      <c r="AM17" s="1075"/>
      <c r="AN17" s="1075"/>
      <c r="AO17" s="1075"/>
      <c r="AP17" s="1075"/>
      <c r="AQ17" s="1075"/>
      <c r="AR17" s="1075"/>
      <c r="AS17" s="1075"/>
      <c r="AT17" s="1075"/>
      <c r="AU17" s="1075"/>
      <c r="AV17" s="1075"/>
      <c r="AW17" s="1075"/>
      <c r="AX17" s="1075"/>
      <c r="AY17" s="1075"/>
      <c r="AZ17" s="1075"/>
    </row>
    <row r="18" spans="1:52" ht="18" customHeight="1">
      <c r="A18" s="1080"/>
      <c r="B18" s="1087" t="s">
        <v>1402</v>
      </c>
      <c r="C18" s="1085"/>
      <c r="D18" s="1085"/>
      <c r="E18" s="1085"/>
      <c r="F18" s="1085"/>
      <c r="G18" s="1085"/>
      <c r="H18" s="1086"/>
      <c r="I18" s="1083">
        <v>0</v>
      </c>
      <c r="J18" s="1083">
        <v>0</v>
      </c>
      <c r="K18" s="1083">
        <v>1.0483</v>
      </c>
      <c r="L18" s="1083">
        <v>-0.26352584000000001</v>
      </c>
      <c r="M18" s="1083">
        <v>-0.30307613999999999</v>
      </c>
      <c r="N18" s="1088">
        <f>N104</f>
        <v>0</v>
      </c>
      <c r="O18" s="1088">
        <f>O104</f>
        <v>0</v>
      </c>
      <c r="P18" s="1088">
        <f>P104</f>
        <v>0</v>
      </c>
      <c r="Q18" s="1088">
        <f>Q104</f>
        <v>0</v>
      </c>
      <c r="R18" s="2374">
        <f>R104</f>
        <v>0</v>
      </c>
      <c r="S18" s="2379"/>
      <c r="T18" s="1080"/>
      <c r="U18" s="1080"/>
      <c r="V18" s="1080"/>
      <c r="W18" s="1075"/>
      <c r="X18" s="1075"/>
      <c r="Y18" s="1075"/>
      <c r="Z18" s="1075"/>
      <c r="AA18" s="1075"/>
      <c r="AB18" s="1075"/>
      <c r="AC18" s="1075"/>
      <c r="AD18" s="1075"/>
      <c r="AE18" s="1075"/>
      <c r="AF18" s="1075"/>
      <c r="AG18" s="1075"/>
      <c r="AH18" s="1075"/>
      <c r="AI18" s="1075"/>
      <c r="AJ18" s="1075"/>
      <c r="AK18" s="1075"/>
      <c r="AL18" s="1075"/>
      <c r="AM18" s="1075"/>
      <c r="AN18" s="1075"/>
      <c r="AO18" s="1075"/>
      <c r="AP18" s="1075"/>
      <c r="AQ18" s="1075"/>
      <c r="AR18" s="1075"/>
      <c r="AS18" s="1075"/>
      <c r="AT18" s="1075"/>
      <c r="AU18" s="1075"/>
      <c r="AV18" s="1075"/>
      <c r="AW18" s="1075"/>
      <c r="AX18" s="1075"/>
      <c r="AY18" s="1075"/>
      <c r="AZ18" s="1075"/>
    </row>
    <row r="19" spans="1:52" ht="18" customHeight="1">
      <c r="A19" s="1080"/>
      <c r="B19" s="1087" t="s">
        <v>1580</v>
      </c>
      <c r="C19" s="1085"/>
      <c r="D19" s="1085"/>
      <c r="E19" s="1085"/>
      <c r="F19" s="1085"/>
      <c r="G19" s="1085"/>
      <c r="H19" s="1086"/>
      <c r="I19" s="1083">
        <v>0</v>
      </c>
      <c r="J19" s="1083">
        <v>0</v>
      </c>
      <c r="K19" s="1083">
        <v>0</v>
      </c>
      <c r="L19" s="1083">
        <v>0</v>
      </c>
      <c r="M19" s="1083">
        <v>111.36973515000001</v>
      </c>
      <c r="N19" s="1088">
        <f>N88</f>
        <v>0</v>
      </c>
      <c r="O19" s="1088">
        <f>O88</f>
        <v>0</v>
      </c>
      <c r="P19" s="1088">
        <f>P88</f>
        <v>0</v>
      </c>
      <c r="Q19" s="1088">
        <f>Q88</f>
        <v>0</v>
      </c>
      <c r="R19" s="2374">
        <f>R88</f>
        <v>0</v>
      </c>
      <c r="S19" s="2379"/>
      <c r="T19" s="1080"/>
      <c r="U19" s="1080"/>
      <c r="V19" s="1080"/>
      <c r="W19" s="1075"/>
      <c r="X19" s="1075"/>
      <c r="Y19" s="1075"/>
      <c r="Z19" s="1075"/>
      <c r="AA19" s="1075"/>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row>
    <row r="20" spans="1:52" ht="18" customHeight="1">
      <c r="A20" s="1080"/>
      <c r="B20" s="1087" t="s">
        <v>1581</v>
      </c>
      <c r="C20" s="1085"/>
      <c r="D20" s="1085"/>
      <c r="E20" s="1085"/>
      <c r="F20" s="1085"/>
      <c r="G20" s="1085"/>
      <c r="H20" s="1086"/>
      <c r="I20" s="1083">
        <v>-130.23169993000002</v>
      </c>
      <c r="J20" s="1083">
        <v>32.895416400000002</v>
      </c>
      <c r="K20" s="1083">
        <v>16.120135449999999</v>
      </c>
      <c r="L20" s="1083">
        <v>-103.31049887</v>
      </c>
      <c r="M20" s="1083">
        <v>-4.6279200500000002</v>
      </c>
      <c r="N20" s="1088">
        <f>N79</f>
        <v>0</v>
      </c>
      <c r="O20" s="1088">
        <f>O79</f>
        <v>0</v>
      </c>
      <c r="P20" s="1088">
        <f>P79</f>
        <v>0</v>
      </c>
      <c r="Q20" s="1088">
        <f>Q79</f>
        <v>0</v>
      </c>
      <c r="R20" s="2374">
        <f>R79</f>
        <v>0</v>
      </c>
      <c r="S20" s="2379"/>
      <c r="T20" s="1080"/>
      <c r="U20" s="1080"/>
      <c r="V20" s="1080"/>
      <c r="W20" s="1075"/>
      <c r="X20" s="1075"/>
      <c r="Y20" s="1075"/>
      <c r="Z20" s="1075"/>
      <c r="AA20" s="1075"/>
      <c r="AB20" s="1075"/>
      <c r="AC20" s="1075"/>
      <c r="AD20" s="1075"/>
      <c r="AE20" s="1075"/>
      <c r="AF20" s="1075"/>
      <c r="AG20" s="1075"/>
      <c r="AH20" s="1075"/>
      <c r="AI20" s="1075"/>
      <c r="AJ20" s="1075"/>
      <c r="AK20" s="1075"/>
      <c r="AL20" s="1075"/>
      <c r="AM20" s="1075"/>
      <c r="AN20" s="1075"/>
      <c r="AO20" s="1075"/>
      <c r="AP20" s="1075"/>
      <c r="AQ20" s="1075"/>
      <c r="AR20" s="1075"/>
      <c r="AS20" s="1075"/>
      <c r="AT20" s="1075"/>
      <c r="AU20" s="1075"/>
      <c r="AV20" s="1075"/>
      <c r="AW20" s="1075"/>
      <c r="AX20" s="1075"/>
      <c r="AY20" s="1075"/>
      <c r="AZ20" s="1075"/>
    </row>
    <row r="21" spans="1:52" ht="18" customHeight="1">
      <c r="A21" s="1080"/>
      <c r="B21" s="1817" t="s">
        <v>1202</v>
      </c>
      <c r="C21" s="1085"/>
      <c r="D21" s="1085"/>
      <c r="E21" s="1085"/>
      <c r="F21" s="1085"/>
      <c r="G21" s="1085"/>
      <c r="H21" s="1086"/>
      <c r="I21" s="1083">
        <v>0</v>
      </c>
      <c r="J21" s="1083">
        <v>-0.76108692</v>
      </c>
      <c r="K21" s="1083">
        <v>-6.6013670499999995</v>
      </c>
      <c r="L21" s="1083">
        <v>-4.7505499999999999E-2</v>
      </c>
      <c r="M21" s="1083">
        <v>66.626262619999991</v>
      </c>
      <c r="N21" s="1088">
        <f>N106</f>
        <v>66.626262619999991</v>
      </c>
      <c r="O21" s="1088">
        <f>O106</f>
        <v>66.626262619999991</v>
      </c>
      <c r="P21" s="1088">
        <f>P106</f>
        <v>66.626262619999991</v>
      </c>
      <c r="Q21" s="1088">
        <f>Q106</f>
        <v>66.626262619999991</v>
      </c>
      <c r="R21" s="2374">
        <f>R106</f>
        <v>66.626262619999991</v>
      </c>
      <c r="S21" s="2379"/>
      <c r="T21" s="1080"/>
      <c r="U21" s="1080"/>
      <c r="V21" s="1080"/>
      <c r="W21" s="1075"/>
      <c r="X21" s="1075"/>
      <c r="Y21" s="1075"/>
      <c r="Z21" s="1075"/>
      <c r="AA21" s="1075"/>
      <c r="AB21" s="1075"/>
      <c r="AC21" s="1075"/>
      <c r="AD21" s="1075"/>
      <c r="AE21" s="1075"/>
      <c r="AF21" s="1075"/>
      <c r="AG21" s="1075"/>
      <c r="AH21" s="1075"/>
      <c r="AI21" s="1075"/>
      <c r="AJ21" s="1075"/>
      <c r="AK21" s="1075"/>
      <c r="AL21" s="1075"/>
      <c r="AM21" s="1075"/>
      <c r="AN21" s="1075"/>
      <c r="AO21" s="1075"/>
      <c r="AP21" s="1075"/>
      <c r="AQ21" s="1075"/>
      <c r="AR21" s="1075"/>
      <c r="AS21" s="1075"/>
      <c r="AT21" s="1075"/>
      <c r="AU21" s="1075"/>
      <c r="AV21" s="1075"/>
      <c r="AW21" s="1075"/>
      <c r="AX21" s="1075"/>
      <c r="AY21" s="1075"/>
      <c r="AZ21" s="1075"/>
    </row>
    <row r="22" spans="1:52" ht="18" customHeight="1">
      <c r="A22" s="1080"/>
      <c r="B22" s="1817" t="s">
        <v>1467</v>
      </c>
      <c r="C22" s="1085"/>
      <c r="D22" s="1085"/>
      <c r="E22" s="1085"/>
      <c r="F22" s="1085"/>
      <c r="G22" s="1085"/>
      <c r="H22" s="1086"/>
      <c r="I22" s="1083">
        <v>0</v>
      </c>
      <c r="J22" s="1083">
        <v>0</v>
      </c>
      <c r="K22" s="1083">
        <v>0</v>
      </c>
      <c r="L22" s="1083">
        <v>0</v>
      </c>
      <c r="M22" s="1083">
        <v>0</v>
      </c>
      <c r="N22" s="1088">
        <f>N108</f>
        <v>0</v>
      </c>
      <c r="O22" s="1088">
        <f t="shared" ref="O22:R22" si="4">O108</f>
        <v>0</v>
      </c>
      <c r="P22" s="1088">
        <f t="shared" si="4"/>
        <v>0</v>
      </c>
      <c r="Q22" s="1088">
        <f t="shared" si="4"/>
        <v>0</v>
      </c>
      <c r="R22" s="2374">
        <f t="shared" si="4"/>
        <v>0</v>
      </c>
      <c r="S22" s="2379"/>
      <c r="T22" s="1080"/>
      <c r="U22" s="1080"/>
      <c r="V22" s="1080"/>
      <c r="W22" s="1075"/>
      <c r="X22" s="1075"/>
      <c r="Y22" s="1075"/>
      <c r="Z22" s="1075"/>
      <c r="AA22" s="1075"/>
      <c r="AB22" s="1075"/>
      <c r="AC22" s="1075"/>
      <c r="AD22" s="1075"/>
      <c r="AE22" s="1075"/>
      <c r="AF22" s="1075"/>
      <c r="AG22" s="1075"/>
      <c r="AH22" s="1075"/>
      <c r="AI22" s="1075"/>
      <c r="AJ22" s="1075"/>
      <c r="AK22" s="1075"/>
      <c r="AL22" s="1075"/>
      <c r="AM22" s="1075"/>
      <c r="AN22" s="1075"/>
      <c r="AO22" s="1075"/>
      <c r="AP22" s="1075"/>
      <c r="AQ22" s="1075"/>
      <c r="AR22" s="1075"/>
      <c r="AS22" s="1075"/>
      <c r="AT22" s="1075"/>
      <c r="AU22" s="1075"/>
      <c r="AV22" s="1075"/>
      <c r="AW22" s="1075"/>
      <c r="AX22" s="1075"/>
      <c r="AY22" s="1075"/>
      <c r="AZ22" s="1075"/>
    </row>
    <row r="23" spans="1:52" ht="18" customHeight="1">
      <c r="A23" s="1080"/>
      <c r="B23" s="1762" t="s">
        <v>1341</v>
      </c>
      <c r="C23" s="1085"/>
      <c r="D23" s="1085"/>
      <c r="E23" s="1085"/>
      <c r="F23" s="1085"/>
      <c r="G23" s="1085"/>
      <c r="H23" s="1086"/>
      <c r="I23" s="1083">
        <v>743.53073534999999</v>
      </c>
      <c r="J23" s="1083">
        <v>969.48112996000009</v>
      </c>
      <c r="K23" s="1083">
        <v>676.93514071000004</v>
      </c>
      <c r="L23" s="1083">
        <v>858.36991367999997</v>
      </c>
      <c r="M23" s="1083">
        <v>1094.2622257099999</v>
      </c>
      <c r="N23" s="1088">
        <f ca="1">N110</f>
        <v>-1382.242562561677</v>
      </c>
      <c r="O23" s="1088">
        <f ca="1">O110</f>
        <v>-1642.0798715380527</v>
      </c>
      <c r="P23" s="1088">
        <f ca="1">P110</f>
        <v>-1632.541257816551</v>
      </c>
      <c r="Q23" s="1088">
        <f ca="1">Q110</f>
        <v>-1634.6450545978682</v>
      </c>
      <c r="R23" s="2374">
        <f ca="1">R110</f>
        <v>-1636.4220613174907</v>
      </c>
      <c r="S23" s="2379"/>
      <c r="T23" s="1080"/>
      <c r="U23" s="1080"/>
      <c r="V23" s="1080"/>
      <c r="W23" s="1075"/>
      <c r="X23" s="1075"/>
      <c r="Y23" s="1075"/>
      <c r="Z23" s="1075"/>
      <c r="AA23" s="1075"/>
      <c r="AB23" s="1075"/>
      <c r="AC23" s="1075"/>
      <c r="AD23" s="1075"/>
      <c r="AE23" s="1075"/>
      <c r="AF23" s="1075"/>
      <c r="AG23" s="1075"/>
      <c r="AH23" s="1075"/>
      <c r="AI23" s="1075"/>
      <c r="AJ23" s="1075"/>
      <c r="AK23" s="1075"/>
      <c r="AL23" s="1075"/>
      <c r="AM23" s="1075"/>
      <c r="AN23" s="1075"/>
      <c r="AO23" s="1075"/>
      <c r="AP23" s="1075"/>
      <c r="AQ23" s="1075"/>
      <c r="AR23" s="1075"/>
      <c r="AS23" s="1075"/>
      <c r="AT23" s="1075"/>
      <c r="AU23" s="1075"/>
      <c r="AV23" s="1075"/>
      <c r="AW23" s="1075"/>
      <c r="AX23" s="1075"/>
      <c r="AY23" s="1075"/>
      <c r="AZ23" s="1075"/>
    </row>
    <row r="24" spans="1:52" ht="18" customHeight="1">
      <c r="A24" s="1080"/>
      <c r="B24" s="1087" t="s">
        <v>1045</v>
      </c>
      <c r="C24" s="1085"/>
      <c r="D24" s="1085"/>
      <c r="E24" s="1085"/>
      <c r="F24" s="1085"/>
      <c r="G24" s="1085"/>
      <c r="H24" s="1086"/>
      <c r="I24" s="1083">
        <v>22.37969477</v>
      </c>
      <c r="J24" s="1083">
        <v>16.342176390000002</v>
      </c>
      <c r="K24" s="1083">
        <v>0.32713144999999999</v>
      </c>
      <c r="L24" s="1083">
        <v>0.20957967000000002</v>
      </c>
      <c r="M24" s="1083">
        <v>1.8447618700000001</v>
      </c>
      <c r="N24" s="1088">
        <f t="shared" ref="N24:R25" si="5">N113</f>
        <v>0</v>
      </c>
      <c r="O24" s="1088">
        <f t="shared" si="5"/>
        <v>0</v>
      </c>
      <c r="P24" s="1088">
        <f t="shared" si="5"/>
        <v>0</v>
      </c>
      <c r="Q24" s="1088">
        <f t="shared" si="5"/>
        <v>0</v>
      </c>
      <c r="R24" s="2374">
        <f t="shared" si="5"/>
        <v>0</v>
      </c>
      <c r="S24" s="2379"/>
      <c r="T24" s="1080"/>
      <c r="U24" s="1080"/>
      <c r="V24" s="1080"/>
      <c r="W24" s="1075"/>
      <c r="X24" s="1075"/>
      <c r="Y24" s="1075"/>
      <c r="Z24" s="1075"/>
      <c r="AA24" s="1075"/>
      <c r="AB24" s="1075"/>
      <c r="AC24" s="1075"/>
      <c r="AD24" s="1075"/>
      <c r="AE24" s="1075"/>
      <c r="AF24" s="1075"/>
      <c r="AG24" s="1075"/>
      <c r="AH24" s="1075"/>
      <c r="AI24" s="1075"/>
      <c r="AJ24" s="1075"/>
      <c r="AK24" s="1075"/>
      <c r="AL24" s="1075"/>
      <c r="AM24" s="1075"/>
      <c r="AN24" s="1075"/>
      <c r="AO24" s="1075"/>
      <c r="AP24" s="1075"/>
      <c r="AQ24" s="1075"/>
      <c r="AR24" s="1075"/>
      <c r="AS24" s="1075"/>
      <c r="AT24" s="1075"/>
      <c r="AU24" s="1075"/>
      <c r="AV24" s="1075"/>
      <c r="AW24" s="1075"/>
      <c r="AX24" s="1075"/>
      <c r="AY24" s="1075"/>
      <c r="AZ24" s="1075"/>
    </row>
    <row r="25" spans="1:52" ht="18" customHeight="1">
      <c r="A25" s="1080"/>
      <c r="B25" s="1089" t="s">
        <v>1046</v>
      </c>
      <c r="C25" s="1090"/>
      <c r="D25" s="1090"/>
      <c r="E25" s="1090"/>
      <c r="F25" s="1090"/>
      <c r="G25" s="1090"/>
      <c r="H25" s="1091"/>
      <c r="I25" s="1083">
        <v>12.148624640000001</v>
      </c>
      <c r="J25" s="1083">
        <v>2.00412262</v>
      </c>
      <c r="K25" s="1083">
        <v>2.1196094700000003</v>
      </c>
      <c r="L25" s="1083">
        <v>2.81924851</v>
      </c>
      <c r="M25" s="1083">
        <v>3.8136368799999998</v>
      </c>
      <c r="N25" s="1088">
        <f t="shared" si="5"/>
        <v>0</v>
      </c>
      <c r="O25" s="1088">
        <f t="shared" si="5"/>
        <v>0</v>
      </c>
      <c r="P25" s="1088">
        <f t="shared" si="5"/>
        <v>0</v>
      </c>
      <c r="Q25" s="1088">
        <f t="shared" si="5"/>
        <v>0</v>
      </c>
      <c r="R25" s="2374">
        <f t="shared" si="5"/>
        <v>0</v>
      </c>
      <c r="S25" s="2379"/>
      <c r="T25" s="1080"/>
      <c r="U25" s="1080"/>
      <c r="V25" s="1080"/>
      <c r="W25" s="1075"/>
      <c r="X25" s="1075"/>
      <c r="Y25" s="1075"/>
      <c r="Z25" s="1075"/>
      <c r="AA25" s="1075"/>
      <c r="AB25" s="1075"/>
      <c r="AC25" s="1075"/>
      <c r="AD25" s="1075"/>
      <c r="AE25" s="1075"/>
      <c r="AF25" s="1075"/>
      <c r="AG25" s="1075"/>
      <c r="AH25" s="1075"/>
      <c r="AI25" s="1075"/>
      <c r="AJ25" s="1075"/>
      <c r="AK25" s="1075"/>
      <c r="AL25" s="1075"/>
      <c r="AM25" s="1075"/>
      <c r="AN25" s="1075"/>
      <c r="AO25" s="1075"/>
      <c r="AP25" s="1075"/>
      <c r="AQ25" s="1075"/>
      <c r="AR25" s="1075"/>
      <c r="AS25" s="1075"/>
      <c r="AT25" s="1075"/>
      <c r="AU25" s="1075"/>
      <c r="AV25" s="1075"/>
      <c r="AW25" s="1075"/>
      <c r="AX25" s="1075"/>
      <c r="AY25" s="1075"/>
      <c r="AZ25" s="1075"/>
    </row>
    <row r="26" spans="1:52" ht="18" customHeight="1">
      <c r="A26" s="1080"/>
      <c r="B26" s="2166" t="s">
        <v>1342</v>
      </c>
      <c r="C26" s="1090"/>
      <c r="D26" s="1090"/>
      <c r="E26" s="1090"/>
      <c r="F26" s="1090"/>
      <c r="G26" s="1090"/>
      <c r="H26" s="1091"/>
      <c r="I26" s="1083">
        <v>753.76180548000002</v>
      </c>
      <c r="J26" s="1083">
        <v>983.81918372999996</v>
      </c>
      <c r="K26" s="1083">
        <v>675.14266269000007</v>
      </c>
      <c r="L26" s="1083">
        <v>855.76024484000004</v>
      </c>
      <c r="M26" s="1083">
        <v>1092.2933507</v>
      </c>
      <c r="N26" s="1088">
        <f ca="1">N116</f>
        <v>-1382.242562561677</v>
      </c>
      <c r="O26" s="1088">
        <f ca="1">O116</f>
        <v>-1642.0798715380527</v>
      </c>
      <c r="P26" s="1088">
        <f ca="1">P116</f>
        <v>-1632.541257816551</v>
      </c>
      <c r="Q26" s="1088">
        <f ca="1">Q116</f>
        <v>-1634.6450545978682</v>
      </c>
      <c r="R26" s="2374">
        <f ca="1">R116</f>
        <v>-1636.4220613174907</v>
      </c>
      <c r="S26" s="2379"/>
      <c r="T26" s="1080"/>
      <c r="U26" s="1080"/>
      <c r="V26" s="1080"/>
      <c r="W26" s="1075"/>
      <c r="X26" s="1075"/>
      <c r="Y26" s="1075"/>
      <c r="Z26" s="1075"/>
      <c r="AA26" s="1075"/>
      <c r="AB26" s="1075"/>
      <c r="AC26" s="1075"/>
      <c r="AD26" s="1075"/>
      <c r="AE26" s="1075"/>
      <c r="AF26" s="1075"/>
      <c r="AG26" s="1075"/>
      <c r="AH26" s="1075"/>
      <c r="AI26" s="1075"/>
      <c r="AJ26" s="1075"/>
      <c r="AK26" s="1075"/>
      <c r="AL26" s="1075"/>
      <c r="AM26" s="1075"/>
      <c r="AN26" s="1075"/>
      <c r="AO26" s="1075"/>
      <c r="AP26" s="1075"/>
      <c r="AQ26" s="1075"/>
      <c r="AR26" s="1075"/>
      <c r="AS26" s="1075"/>
      <c r="AT26" s="1075"/>
      <c r="AU26" s="1075"/>
      <c r="AV26" s="1075"/>
      <c r="AW26" s="1075"/>
      <c r="AX26" s="1075"/>
      <c r="AY26" s="1075"/>
      <c r="AZ26" s="1075"/>
    </row>
    <row r="27" spans="1:52" ht="18" customHeight="1">
      <c r="A27" s="1080"/>
      <c r="B27" s="1089" t="s">
        <v>1047</v>
      </c>
      <c r="C27" s="1090"/>
      <c r="D27" s="1090"/>
      <c r="E27" s="1090"/>
      <c r="F27" s="1090"/>
      <c r="G27" s="1090"/>
      <c r="H27" s="1091"/>
      <c r="I27" s="1083">
        <v>106.46913868</v>
      </c>
      <c r="J27" s="1083">
        <v>136.06376972000001</v>
      </c>
      <c r="K27" s="1083">
        <v>89.94329212000001</v>
      </c>
      <c r="L27" s="1083">
        <v>105.70510836</v>
      </c>
      <c r="M27" s="1083">
        <v>137.25753891999997</v>
      </c>
      <c r="N27" s="1088">
        <f ca="1">N118</f>
        <v>0</v>
      </c>
      <c r="O27" s="1088">
        <f ca="1">O118</f>
        <v>0</v>
      </c>
      <c r="P27" s="1088">
        <f ca="1">P118</f>
        <v>0</v>
      </c>
      <c r="Q27" s="1088">
        <f ca="1">Q118</f>
        <v>0</v>
      </c>
      <c r="R27" s="2374">
        <f ca="1">R118</f>
        <v>0</v>
      </c>
      <c r="S27" s="2379"/>
      <c r="T27" s="1080"/>
      <c r="U27" s="1080"/>
      <c r="V27" s="1080"/>
      <c r="W27" s="1075"/>
      <c r="X27" s="1075"/>
      <c r="Y27" s="1075"/>
      <c r="Z27" s="1075"/>
      <c r="AA27" s="1075"/>
      <c r="AB27" s="1075"/>
      <c r="AC27" s="1075"/>
      <c r="AD27" s="1075"/>
      <c r="AE27" s="1075"/>
      <c r="AF27" s="1075"/>
      <c r="AG27" s="1075"/>
      <c r="AH27" s="1075"/>
      <c r="AI27" s="1075"/>
      <c r="AJ27" s="1075"/>
      <c r="AK27" s="1075"/>
      <c r="AL27" s="1075"/>
      <c r="AM27" s="1075"/>
      <c r="AN27" s="1075"/>
      <c r="AO27" s="1075"/>
      <c r="AP27" s="1075"/>
      <c r="AQ27" s="1075"/>
      <c r="AR27" s="1075"/>
      <c r="AS27" s="1075"/>
      <c r="AT27" s="1075"/>
      <c r="AU27" s="1075"/>
      <c r="AV27" s="1075"/>
      <c r="AW27" s="1075"/>
      <c r="AX27" s="1075"/>
      <c r="AY27" s="1075"/>
      <c r="AZ27" s="1075"/>
    </row>
    <row r="28" spans="1:52" ht="18" customHeight="1">
      <c r="A28" s="1080"/>
      <c r="B28" s="1762" t="s">
        <v>1343</v>
      </c>
      <c r="C28" s="1085"/>
      <c r="D28" s="1085"/>
      <c r="E28" s="1085"/>
      <c r="F28" s="1085"/>
      <c r="G28" s="1085"/>
      <c r="H28" s="1086"/>
      <c r="I28" s="1083">
        <v>647.29266680000001</v>
      </c>
      <c r="J28" s="1083">
        <v>847.75541400999998</v>
      </c>
      <c r="K28" s="1083">
        <v>585.19937057000004</v>
      </c>
      <c r="L28" s="1083">
        <v>750.05513647999999</v>
      </c>
      <c r="M28" s="1083">
        <v>955.03581178000002</v>
      </c>
      <c r="N28" s="1088">
        <f ca="1">N121</f>
        <v>-1382.242562561677</v>
      </c>
      <c r="O28" s="1088">
        <f ca="1">O121</f>
        <v>-1642.0798715380527</v>
      </c>
      <c r="P28" s="1088">
        <f ca="1">P121</f>
        <v>-1632.541257816551</v>
      </c>
      <c r="Q28" s="1088">
        <f ca="1">Q121</f>
        <v>-1634.6450545978682</v>
      </c>
      <c r="R28" s="2374">
        <f ca="1">R121</f>
        <v>-1636.4220613174907</v>
      </c>
      <c r="S28" s="2379"/>
      <c r="T28" s="1080"/>
      <c r="U28" s="1080"/>
      <c r="V28" s="1080"/>
      <c r="W28" s="1075"/>
      <c r="X28" s="1075"/>
      <c r="Y28" s="1075"/>
      <c r="Z28" s="1075"/>
      <c r="AA28" s="1075"/>
      <c r="AB28" s="1075"/>
      <c r="AC28" s="1075"/>
      <c r="AD28" s="1075"/>
      <c r="AE28" s="1075"/>
      <c r="AF28" s="1075"/>
      <c r="AG28" s="1075"/>
      <c r="AH28" s="1075"/>
      <c r="AI28" s="1075"/>
      <c r="AJ28" s="1075"/>
      <c r="AK28" s="1075"/>
      <c r="AL28" s="1075"/>
      <c r="AM28" s="1075"/>
      <c r="AN28" s="1075"/>
      <c r="AO28" s="1075"/>
      <c r="AP28" s="1075"/>
      <c r="AQ28" s="1075"/>
      <c r="AR28" s="1075"/>
      <c r="AS28" s="1075"/>
      <c r="AT28" s="1075"/>
      <c r="AU28" s="1075"/>
      <c r="AV28" s="1075"/>
      <c r="AW28" s="1075"/>
      <c r="AX28" s="1075"/>
      <c r="AY28" s="1075"/>
      <c r="AZ28" s="1075"/>
    </row>
    <row r="29" spans="1:52" ht="18" customHeight="1">
      <c r="A29" s="1080"/>
      <c r="B29" s="1087" t="s">
        <v>1203</v>
      </c>
      <c r="C29" s="1085"/>
      <c r="D29" s="1085"/>
      <c r="E29" s="1085"/>
      <c r="F29" s="1085"/>
      <c r="G29" s="1085"/>
      <c r="H29" s="1086"/>
      <c r="I29" s="1083">
        <v>0</v>
      </c>
      <c r="J29" s="1083">
        <v>847.75541400999998</v>
      </c>
      <c r="K29" s="1083">
        <v>585.19937057000004</v>
      </c>
      <c r="L29" s="1083">
        <v>750.05513647999999</v>
      </c>
      <c r="M29" s="1083">
        <v>955.03581178000002</v>
      </c>
      <c r="N29" s="1088">
        <f ca="1">N123</f>
        <v>-1382.242562561677</v>
      </c>
      <c r="O29" s="1088">
        <f t="shared" ref="O29:R29" ca="1" si="6">O123</f>
        <v>-1642.0798715380527</v>
      </c>
      <c r="P29" s="1088">
        <f t="shared" ca="1" si="6"/>
        <v>-1632.541257816551</v>
      </c>
      <c r="Q29" s="1088">
        <f t="shared" ca="1" si="6"/>
        <v>-1634.6450545978682</v>
      </c>
      <c r="R29" s="2374">
        <f t="shared" ca="1" si="6"/>
        <v>-1636.4220613174907</v>
      </c>
      <c r="S29" s="2379"/>
      <c r="T29" s="1080"/>
      <c r="U29" s="1080"/>
      <c r="V29" s="1080"/>
      <c r="W29" s="1075"/>
      <c r="X29" s="1075"/>
      <c r="Y29" s="1075"/>
      <c r="Z29" s="1075"/>
      <c r="AA29" s="1075"/>
      <c r="AB29" s="1075"/>
      <c r="AC29" s="1075"/>
      <c r="AD29" s="1075"/>
      <c r="AE29" s="1075"/>
      <c r="AF29" s="1075"/>
      <c r="AG29" s="1075"/>
      <c r="AH29" s="1075"/>
      <c r="AI29" s="1075"/>
      <c r="AJ29" s="1075"/>
      <c r="AK29" s="1075"/>
      <c r="AL29" s="1075"/>
      <c r="AM29" s="1075"/>
      <c r="AN29" s="1075"/>
      <c r="AO29" s="1075"/>
      <c r="AP29" s="1075"/>
      <c r="AQ29" s="1075"/>
      <c r="AR29" s="1075"/>
      <c r="AS29" s="1075"/>
      <c r="AT29" s="1075"/>
      <c r="AU29" s="1075"/>
      <c r="AV29" s="1075"/>
      <c r="AW29" s="1075"/>
      <c r="AX29" s="1075"/>
      <c r="AY29" s="1075"/>
      <c r="AZ29" s="1075"/>
    </row>
    <row r="30" spans="1:52" ht="18" customHeight="1">
      <c r="A30" s="1080"/>
      <c r="B30" s="1087" t="s">
        <v>1204</v>
      </c>
      <c r="C30" s="1085"/>
      <c r="D30" s="1085"/>
      <c r="E30" s="1085"/>
      <c r="F30" s="1085"/>
      <c r="G30" s="1085"/>
      <c r="H30" s="1086"/>
      <c r="I30" s="1083">
        <v>0</v>
      </c>
      <c r="J30" s="1083">
        <v>0</v>
      </c>
      <c r="K30" s="1083">
        <v>0</v>
      </c>
      <c r="L30" s="1083">
        <v>0</v>
      </c>
      <c r="M30" s="1083">
        <v>0</v>
      </c>
      <c r="N30" s="1088">
        <f ca="1">N125</f>
        <v>0</v>
      </c>
      <c r="O30" s="1088">
        <f t="shared" ref="O30:R30" ca="1" si="7">O125</f>
        <v>0</v>
      </c>
      <c r="P30" s="1088">
        <f t="shared" ca="1" si="7"/>
        <v>0</v>
      </c>
      <c r="Q30" s="1088">
        <f t="shared" ca="1" si="7"/>
        <v>0</v>
      </c>
      <c r="R30" s="2374">
        <f t="shared" ca="1" si="7"/>
        <v>0</v>
      </c>
      <c r="S30" s="2379"/>
      <c r="T30" s="1080"/>
      <c r="U30" s="1080"/>
      <c r="V30" s="1080"/>
      <c r="W30" s="1075"/>
      <c r="X30" s="1075"/>
      <c r="Y30" s="1075"/>
      <c r="Z30" s="1075"/>
      <c r="AA30" s="1075"/>
      <c r="AB30" s="1075"/>
      <c r="AC30" s="1075"/>
      <c r="AD30" s="1075"/>
      <c r="AE30" s="1075"/>
      <c r="AF30" s="1075"/>
      <c r="AG30" s="1075"/>
      <c r="AH30" s="1075"/>
      <c r="AI30" s="1075"/>
      <c r="AJ30" s="1075"/>
      <c r="AK30" s="1075"/>
      <c r="AL30" s="1075"/>
      <c r="AM30" s="1075"/>
      <c r="AN30" s="1075"/>
      <c r="AO30" s="1075"/>
      <c r="AP30" s="1075"/>
      <c r="AQ30" s="1075"/>
      <c r="AR30" s="1075"/>
      <c r="AS30" s="1075"/>
      <c r="AT30" s="1075"/>
      <c r="AU30" s="1075"/>
      <c r="AV30" s="1075"/>
      <c r="AW30" s="1075"/>
      <c r="AX30" s="1075"/>
      <c r="AY30" s="1075"/>
      <c r="AZ30" s="1075"/>
    </row>
    <row r="31" spans="1:52" ht="18" customHeight="1">
      <c r="A31" s="1080"/>
      <c r="B31" s="1087" t="s">
        <v>209</v>
      </c>
      <c r="C31" s="1085"/>
      <c r="D31" s="1085"/>
      <c r="E31" s="1085"/>
      <c r="F31" s="1085"/>
      <c r="G31" s="1085"/>
      <c r="H31" s="1086"/>
      <c r="I31" s="1083">
        <v>-1.9081500000000002E-3</v>
      </c>
      <c r="J31" s="1083">
        <v>1.9518689999999998E-2</v>
      </c>
      <c r="K31" s="1083">
        <v>7.3581599999999999E-3</v>
      </c>
      <c r="L31" s="1083">
        <v>-1.20235479</v>
      </c>
      <c r="M31" s="1083">
        <v>-2.0269835299999999</v>
      </c>
      <c r="N31" s="1088">
        <f ca="1">N127</f>
        <v>2.9336940816444761</v>
      </c>
      <c r="O31" s="1088">
        <f ca="1">O127</f>
        <v>3.4851770095914341</v>
      </c>
      <c r="P31" s="1088">
        <f ca="1">P127</f>
        <v>3.4649321007890301</v>
      </c>
      <c r="Q31" s="1088">
        <f ca="1">Q127</f>
        <v>3.4693972332726482</v>
      </c>
      <c r="R31" s="2374">
        <f ca="1">R127</f>
        <v>3.4731687812177041</v>
      </c>
      <c r="S31" s="2379"/>
      <c r="T31" s="1080"/>
      <c r="U31" s="1080"/>
      <c r="V31" s="1080"/>
      <c r="W31" s="1075"/>
      <c r="X31" s="1075"/>
      <c r="Y31" s="1075"/>
      <c r="Z31" s="1075"/>
      <c r="AA31" s="1075"/>
      <c r="AB31" s="1075"/>
      <c r="AC31" s="1075"/>
      <c r="AD31" s="1075"/>
      <c r="AE31" s="1075"/>
      <c r="AF31" s="1075"/>
      <c r="AG31" s="1075"/>
      <c r="AH31" s="1075"/>
      <c r="AI31" s="1075"/>
      <c r="AJ31" s="1075"/>
      <c r="AK31" s="1075"/>
      <c r="AL31" s="1075"/>
      <c r="AM31" s="1075"/>
      <c r="AN31" s="1075"/>
      <c r="AO31" s="1075"/>
      <c r="AP31" s="1075"/>
      <c r="AQ31" s="1075"/>
      <c r="AR31" s="1075"/>
      <c r="AS31" s="1075"/>
      <c r="AT31" s="1075"/>
      <c r="AU31" s="1075"/>
      <c r="AV31" s="1075"/>
      <c r="AW31" s="1075"/>
      <c r="AX31" s="1075"/>
      <c r="AY31" s="1075"/>
      <c r="AZ31" s="1075"/>
    </row>
    <row r="32" spans="1:52" ht="18" customHeight="1">
      <c r="A32" s="1080"/>
      <c r="B32" s="1087" t="s">
        <v>106</v>
      </c>
      <c r="C32" s="1085"/>
      <c r="D32" s="1085"/>
      <c r="E32" s="1085"/>
      <c r="F32" s="1085"/>
      <c r="G32" s="1085"/>
      <c r="H32" s="1086"/>
      <c r="I32" s="1083">
        <v>647.29457495000008</v>
      </c>
      <c r="J32" s="1083">
        <v>847.73589532000005</v>
      </c>
      <c r="K32" s="1083">
        <v>585.19201240999996</v>
      </c>
      <c r="L32" s="1083">
        <v>751.25749126999995</v>
      </c>
      <c r="M32" s="1083">
        <v>957.06279530999996</v>
      </c>
      <c r="N32" s="1088">
        <f ca="1">N130</f>
        <v>-1385.1762566433215</v>
      </c>
      <c r="O32" s="1088">
        <f ca="1">O130</f>
        <v>-1645.565048547644</v>
      </c>
      <c r="P32" s="1088">
        <f ca="1">P130</f>
        <v>-1636.00618991734</v>
      </c>
      <c r="Q32" s="1088">
        <f ca="1">Q130</f>
        <v>-1638.114451831141</v>
      </c>
      <c r="R32" s="2374">
        <f ca="1">R130</f>
        <v>-1639.8952300987085</v>
      </c>
      <c r="S32" s="2379"/>
      <c r="T32" s="1080"/>
      <c r="U32" s="1080"/>
      <c r="V32" s="1080"/>
      <c r="W32" s="1075"/>
      <c r="X32" s="1075"/>
      <c r="Y32" s="1075"/>
      <c r="Z32" s="1075"/>
      <c r="AA32" s="1075"/>
      <c r="AB32" s="1075"/>
      <c r="AC32" s="1075"/>
      <c r="AD32" s="1075"/>
      <c r="AE32" s="1075"/>
      <c r="AF32" s="1075"/>
      <c r="AG32" s="1075"/>
      <c r="AH32" s="1075"/>
      <c r="AI32" s="1075"/>
      <c r="AJ32" s="1075"/>
      <c r="AK32" s="1075"/>
      <c r="AL32" s="1075"/>
      <c r="AM32" s="1075"/>
      <c r="AN32" s="1075"/>
      <c r="AO32" s="1075"/>
      <c r="AP32" s="1075"/>
      <c r="AQ32" s="1075"/>
      <c r="AR32" s="1075"/>
      <c r="AS32" s="1075"/>
      <c r="AT32" s="1075"/>
      <c r="AU32" s="1075"/>
      <c r="AV32" s="1075"/>
      <c r="AW32" s="1075"/>
      <c r="AX32" s="1075"/>
      <c r="AY32" s="1075"/>
      <c r="AZ32" s="1075"/>
    </row>
    <row r="33" spans="1:52" ht="18" customHeight="1">
      <c r="A33" s="1080"/>
      <c r="B33" s="1762" t="s">
        <v>1129</v>
      </c>
      <c r="C33" s="1085"/>
      <c r="D33" s="1085"/>
      <c r="E33" s="1085"/>
      <c r="F33" s="1085"/>
      <c r="G33" s="1085"/>
      <c r="H33" s="1086"/>
      <c r="I33" s="1083">
        <v>0</v>
      </c>
      <c r="J33" s="1083">
        <v>5.1555380900000003</v>
      </c>
      <c r="K33" s="1083">
        <v>3.6901823399999998</v>
      </c>
      <c r="L33" s="1083">
        <v>17.136473239999997</v>
      </c>
      <c r="M33" s="1083">
        <v>41.755905229999996</v>
      </c>
      <c r="N33" s="1088">
        <f>N133</f>
        <v>0</v>
      </c>
      <c r="O33" s="1088">
        <f>O133</f>
        <v>0</v>
      </c>
      <c r="P33" s="1088">
        <f>P133</f>
        <v>0</v>
      </c>
      <c r="Q33" s="1088">
        <f>Q133</f>
        <v>0</v>
      </c>
      <c r="R33" s="2374">
        <f>R133</f>
        <v>0</v>
      </c>
      <c r="S33" s="2379"/>
      <c r="T33" s="1080"/>
      <c r="U33" s="1080"/>
      <c r="V33" s="1080"/>
      <c r="W33" s="1075"/>
      <c r="X33" s="1075"/>
      <c r="Y33" s="1075"/>
      <c r="Z33" s="1075"/>
      <c r="AA33" s="1075"/>
      <c r="AB33" s="1075"/>
      <c r="AC33" s="1075"/>
      <c r="AD33" s="1075"/>
      <c r="AE33" s="1075"/>
      <c r="AF33" s="1075"/>
      <c r="AG33" s="1075"/>
      <c r="AH33" s="1075"/>
      <c r="AI33" s="1075"/>
      <c r="AJ33" s="1075"/>
      <c r="AK33" s="1075"/>
      <c r="AL33" s="1075"/>
      <c r="AM33" s="1075"/>
      <c r="AN33" s="1075"/>
      <c r="AO33" s="1075"/>
      <c r="AP33" s="1075"/>
      <c r="AQ33" s="1075"/>
      <c r="AR33" s="1075"/>
      <c r="AS33" s="1075"/>
      <c r="AT33" s="1075"/>
      <c r="AU33" s="1075"/>
      <c r="AV33" s="1075"/>
      <c r="AW33" s="1075"/>
      <c r="AX33" s="1075"/>
      <c r="AY33" s="1075"/>
      <c r="AZ33" s="1075"/>
    </row>
    <row r="34" spans="1:52" ht="18" customHeight="1">
      <c r="A34" s="1080"/>
      <c r="B34" s="1762" t="s">
        <v>1256</v>
      </c>
      <c r="C34" s="1085"/>
      <c r="D34" s="1085"/>
      <c r="E34" s="1085"/>
      <c r="F34" s="1085"/>
      <c r="G34" s="1085"/>
      <c r="H34" s="1086"/>
      <c r="I34" s="1083">
        <v>647.29266680000012</v>
      </c>
      <c r="J34" s="1083">
        <v>852.91095210000003</v>
      </c>
      <c r="K34" s="1083">
        <v>588.88955291000002</v>
      </c>
      <c r="L34" s="1083">
        <v>767.19160971999997</v>
      </c>
      <c r="M34" s="1083">
        <v>996.79171700999996</v>
      </c>
      <c r="N34" s="1088">
        <f ca="1">N138</f>
        <v>-1382.242562561677</v>
      </c>
      <c r="O34" s="1088">
        <f t="shared" ref="O34:R34" ca="1" si="8">O138</f>
        <v>-1642.0798715380527</v>
      </c>
      <c r="P34" s="1088">
        <f t="shared" ca="1" si="8"/>
        <v>-1632.541257816551</v>
      </c>
      <c r="Q34" s="1088">
        <f t="shared" ca="1" si="8"/>
        <v>-1634.6450545978682</v>
      </c>
      <c r="R34" s="2374">
        <f t="shared" ca="1" si="8"/>
        <v>-1636.4220613174907</v>
      </c>
      <c r="S34" s="2379"/>
      <c r="T34" s="1080"/>
      <c r="U34" s="1080"/>
      <c r="V34" s="1080"/>
      <c r="W34" s="1075"/>
      <c r="X34" s="1075"/>
      <c r="Y34" s="1075"/>
      <c r="Z34" s="1075"/>
      <c r="AA34" s="1075"/>
      <c r="AB34" s="1075"/>
      <c r="AC34" s="1075"/>
      <c r="AD34" s="1075"/>
      <c r="AE34" s="1075"/>
      <c r="AF34" s="1075"/>
      <c r="AG34" s="1075"/>
      <c r="AH34" s="1075"/>
      <c r="AI34" s="1075"/>
      <c r="AJ34" s="1075"/>
      <c r="AK34" s="1075"/>
      <c r="AL34" s="1075"/>
      <c r="AM34" s="1075"/>
      <c r="AN34" s="1075"/>
      <c r="AO34" s="1075"/>
      <c r="AP34" s="1075"/>
      <c r="AQ34" s="1075"/>
      <c r="AR34" s="1075"/>
      <c r="AS34" s="1075"/>
      <c r="AT34" s="1075"/>
      <c r="AU34" s="1075"/>
      <c r="AV34" s="1075"/>
      <c r="AW34" s="1075"/>
      <c r="AX34" s="1075"/>
      <c r="AY34" s="1075"/>
      <c r="AZ34" s="1075"/>
    </row>
    <row r="35" spans="1:52" ht="18" customHeight="1">
      <c r="A35" s="1080"/>
      <c r="B35" s="1087" t="s">
        <v>1257</v>
      </c>
      <c r="C35" s="1085"/>
      <c r="D35" s="1085"/>
      <c r="E35" s="1085"/>
      <c r="F35" s="1085"/>
      <c r="G35" s="1085"/>
      <c r="H35" s="1086"/>
      <c r="I35" s="1083">
        <v>647.29457495000008</v>
      </c>
      <c r="J35" s="1083">
        <v>852.89143340999999</v>
      </c>
      <c r="K35" s="1083">
        <v>588.88219475000005</v>
      </c>
      <c r="L35" s="1083">
        <v>768.39396451000005</v>
      </c>
      <c r="M35" s="1083">
        <v>998.81870054000001</v>
      </c>
      <c r="N35" s="1088">
        <f ca="1">N141</f>
        <v>-1385.1762566433215</v>
      </c>
      <c r="O35" s="1088">
        <f t="shared" ref="O35:R35" ca="1" si="9">O141</f>
        <v>-1645.565048547644</v>
      </c>
      <c r="P35" s="1088">
        <f t="shared" ca="1" si="9"/>
        <v>-1636.00618991734</v>
      </c>
      <c r="Q35" s="1088">
        <f t="shared" ca="1" si="9"/>
        <v>-1638.114451831141</v>
      </c>
      <c r="R35" s="2374">
        <f t="shared" ca="1" si="9"/>
        <v>-1639.8952300987085</v>
      </c>
      <c r="S35" s="2379"/>
      <c r="T35" s="1080"/>
      <c r="U35" s="1080"/>
      <c r="V35" s="1080"/>
      <c r="W35" s="1075"/>
      <c r="X35" s="1075"/>
      <c r="Y35" s="1075"/>
      <c r="Z35" s="1075"/>
      <c r="AA35" s="1075"/>
      <c r="AB35" s="1075"/>
      <c r="AC35" s="1075"/>
      <c r="AD35" s="1075"/>
      <c r="AE35" s="1075"/>
      <c r="AF35" s="1075"/>
      <c r="AG35" s="1075"/>
      <c r="AH35" s="1075"/>
      <c r="AI35" s="1075"/>
      <c r="AJ35" s="1075"/>
      <c r="AK35" s="1075"/>
      <c r="AL35" s="1075"/>
      <c r="AM35" s="1075"/>
      <c r="AN35" s="1075"/>
      <c r="AO35" s="1075"/>
      <c r="AP35" s="1075"/>
      <c r="AQ35" s="1075"/>
      <c r="AR35" s="1075"/>
      <c r="AS35" s="1075"/>
      <c r="AT35" s="1075"/>
      <c r="AU35" s="1075"/>
      <c r="AV35" s="1075"/>
      <c r="AW35" s="1075"/>
      <c r="AX35" s="1075"/>
      <c r="AY35" s="1075"/>
      <c r="AZ35" s="1075"/>
    </row>
    <row r="36" spans="1:52" ht="18" customHeight="1">
      <c r="A36" s="1080"/>
      <c r="B36" s="1762" t="s">
        <v>1258</v>
      </c>
      <c r="C36" s="1085"/>
      <c r="D36" s="1085"/>
      <c r="E36" s="1085"/>
      <c r="F36" s="1085"/>
      <c r="G36" s="1085"/>
      <c r="H36" s="1086"/>
      <c r="I36" s="1092">
        <v>1.61</v>
      </c>
      <c r="J36" s="1092">
        <v>2.11</v>
      </c>
      <c r="K36" s="1092">
        <v>1.46</v>
      </c>
      <c r="L36" s="1092">
        <v>1.44</v>
      </c>
      <c r="M36" s="1092">
        <v>1.83</v>
      </c>
      <c r="N36" s="1093">
        <f ca="1">N32/公司说明!$C$6</f>
        <v>-2.6505477547709941</v>
      </c>
      <c r="O36" s="1093">
        <f ca="1">O32/公司说明!$C$6</f>
        <v>-3.1488041495362493</v>
      </c>
      <c r="P36" s="1093">
        <f ca="1">P32/公司说明!$C$6</f>
        <v>-3.1305131839214311</v>
      </c>
      <c r="Q36" s="1093">
        <f ca="1">Q32/公司说明!$C$6</f>
        <v>-3.1345473628609661</v>
      </c>
      <c r="R36" s="2375">
        <f ca="1">R32/公司说明!$C$6</f>
        <v>-3.1379548987728825</v>
      </c>
      <c r="S36" s="2379"/>
      <c r="T36" s="1080"/>
      <c r="U36" s="1080"/>
      <c r="V36" s="1080"/>
      <c r="W36" s="1075"/>
      <c r="X36" s="1075"/>
      <c r="Y36" s="1075"/>
      <c r="Z36" s="1075"/>
      <c r="AA36" s="1075"/>
      <c r="AB36" s="1075"/>
      <c r="AC36" s="1075"/>
      <c r="AD36" s="1075"/>
      <c r="AE36" s="1075"/>
      <c r="AF36" s="1075"/>
      <c r="AG36" s="1075"/>
      <c r="AH36" s="1075"/>
      <c r="AI36" s="1075"/>
      <c r="AJ36" s="1075"/>
      <c r="AK36" s="1075"/>
      <c r="AL36" s="1075"/>
      <c r="AM36" s="1075"/>
      <c r="AN36" s="1075"/>
      <c r="AO36" s="1075"/>
      <c r="AP36" s="1075"/>
      <c r="AQ36" s="1075"/>
      <c r="AR36" s="1075"/>
      <c r="AS36" s="1075"/>
      <c r="AT36" s="1075"/>
      <c r="AU36" s="1075"/>
      <c r="AV36" s="1075"/>
      <c r="AW36" s="1075"/>
      <c r="AX36" s="1075"/>
      <c r="AY36" s="1075"/>
      <c r="AZ36" s="1075"/>
    </row>
    <row r="37" spans="1:52" ht="18" customHeight="1" thickBot="1">
      <c r="A37" s="1080"/>
      <c r="B37" s="2167" t="s">
        <v>1344</v>
      </c>
      <c r="C37" s="1094"/>
      <c r="D37" s="1094"/>
      <c r="E37" s="1094"/>
      <c r="F37" s="1094"/>
      <c r="G37" s="1094"/>
      <c r="H37" s="1095"/>
      <c r="I37" s="1096">
        <f>I32/公司说明!$C$6</f>
        <v>1.2386042383275928</v>
      </c>
      <c r="J37" s="1096">
        <f>J32/公司说明!$C$6</f>
        <v>1.6221505842326829</v>
      </c>
      <c r="K37" s="1096">
        <f>K32/公司说明!$C$6</f>
        <v>1.1197704026215076</v>
      </c>
      <c r="L37" s="1096">
        <f>L32/公司说明!$C$6</f>
        <v>1.4375382534825869</v>
      </c>
      <c r="M37" s="1096">
        <f>M32/公司说明!$C$6</f>
        <v>1.8313486324339838</v>
      </c>
      <c r="N37" s="1761">
        <f ca="1">N32/N38*公司说明!$E$9</f>
        <v>-2.6505477547709941</v>
      </c>
      <c r="O37" s="1761">
        <f ca="1">O32/O38*公司说明!$E$9</f>
        <v>-3.1488041495362493</v>
      </c>
      <c r="P37" s="1761">
        <f ca="1">P32/P38*公司说明!$E$9</f>
        <v>-3.1305131839214311</v>
      </c>
      <c r="Q37" s="1761">
        <f ca="1">Q32/Q38*公司说明!$E$9</f>
        <v>-3.1345473628609661</v>
      </c>
      <c r="R37" s="2376">
        <f ca="1">R32/R38*公司说明!$E$9</f>
        <v>-3.1379548987728825</v>
      </c>
      <c r="S37" s="2379"/>
      <c r="T37" s="1080"/>
      <c r="U37" s="1080"/>
      <c r="V37" s="1080"/>
      <c r="W37" s="1075"/>
      <c r="X37" s="1075"/>
      <c r="Y37" s="1075"/>
      <c r="Z37" s="1075"/>
      <c r="AA37" s="1075"/>
      <c r="AB37" s="1075"/>
      <c r="AC37" s="1075"/>
      <c r="AD37" s="1075"/>
      <c r="AE37" s="1075"/>
      <c r="AF37" s="1075"/>
      <c r="AG37" s="1075"/>
      <c r="AH37" s="1075"/>
      <c r="AI37" s="1075"/>
      <c r="AJ37" s="1075"/>
      <c r="AK37" s="1075"/>
      <c r="AL37" s="1075"/>
      <c r="AM37" s="1075"/>
      <c r="AN37" s="1075"/>
      <c r="AO37" s="1075"/>
      <c r="AP37" s="1075"/>
      <c r="AQ37" s="1075"/>
      <c r="AR37" s="1075"/>
      <c r="AS37" s="1075"/>
      <c r="AT37" s="1075"/>
      <c r="AU37" s="1075"/>
      <c r="AV37" s="1075"/>
      <c r="AW37" s="1075"/>
      <c r="AX37" s="1075"/>
      <c r="AY37" s="1075"/>
      <c r="AZ37" s="1075"/>
    </row>
    <row r="38" spans="1:52" s="1101" customFormat="1" ht="16.5" customHeight="1" thickBot="1">
      <c r="A38" s="1080"/>
      <c r="B38" s="1898" t="s">
        <v>1206</v>
      </c>
      <c r="C38" s="1097"/>
      <c r="D38" s="1097"/>
      <c r="E38" s="1097"/>
      <c r="F38" s="1097"/>
      <c r="G38" s="1097"/>
      <c r="H38" s="1098"/>
      <c r="I38" s="1099">
        <f>资产负债!I265</f>
        <v>402</v>
      </c>
      <c r="J38" s="1099">
        <f>资产负债!J265</f>
        <v>402</v>
      </c>
      <c r="K38" s="1099">
        <f>资产负债!K265</f>
        <v>402</v>
      </c>
      <c r="L38" s="1099">
        <f>资产负债!L265</f>
        <v>522.6</v>
      </c>
      <c r="M38" s="1099">
        <f>资产负债!M265</f>
        <v>522.6</v>
      </c>
      <c r="N38" s="1099">
        <f>资产负债!N265</f>
        <v>522.6</v>
      </c>
      <c r="O38" s="1099">
        <f>资产负债!O265</f>
        <v>522.6</v>
      </c>
      <c r="P38" s="1099">
        <f>资产负债!P265</f>
        <v>522.6</v>
      </c>
      <c r="Q38" s="1099">
        <f>资产负债!Q265</f>
        <v>522.6</v>
      </c>
      <c r="R38" s="2377">
        <f>资产负债!R265</f>
        <v>522.6</v>
      </c>
      <c r="S38" s="2379"/>
      <c r="T38" s="1080"/>
      <c r="U38" s="1080"/>
      <c r="V38" s="1080"/>
      <c r="W38" s="1100"/>
      <c r="X38" s="1100"/>
      <c r="Y38" s="1100"/>
      <c r="Z38" s="1100"/>
      <c r="AA38" s="1100"/>
      <c r="AB38" s="1100"/>
      <c r="AC38" s="1100"/>
      <c r="AD38" s="1100"/>
      <c r="AE38" s="1100"/>
      <c r="AF38" s="1100"/>
      <c r="AG38" s="1100"/>
      <c r="AH38" s="1100"/>
      <c r="AI38" s="1100"/>
      <c r="AJ38" s="1100"/>
      <c r="AK38" s="1100"/>
      <c r="AL38" s="1100"/>
      <c r="AM38" s="1100"/>
      <c r="AN38" s="1100"/>
      <c r="AO38" s="1100"/>
      <c r="AP38" s="1100"/>
      <c r="AQ38" s="1100"/>
      <c r="AR38" s="1100"/>
      <c r="AS38" s="1100"/>
      <c r="AT38" s="1100"/>
      <c r="AU38" s="1100"/>
      <c r="AV38" s="1100"/>
      <c r="AW38" s="1100"/>
      <c r="AX38" s="1100"/>
      <c r="AY38" s="1100"/>
      <c r="AZ38" s="1100"/>
    </row>
    <row r="39" spans="1:52" ht="18" customHeight="1" thickBot="1">
      <c r="A39" s="1080"/>
      <c r="B39" s="581"/>
      <c r="C39" s="581"/>
      <c r="D39" s="581"/>
      <c r="E39" s="581"/>
      <c r="F39" s="581"/>
      <c r="G39" s="581"/>
      <c r="H39" s="581"/>
      <c r="I39" s="1102"/>
      <c r="J39" s="1102"/>
      <c r="K39" s="1102"/>
      <c r="L39" s="1102"/>
      <c r="M39" s="1102"/>
      <c r="N39" s="1102"/>
      <c r="O39" s="1102"/>
      <c r="P39" s="1102"/>
      <c r="Q39" s="1102"/>
      <c r="R39" s="1102"/>
      <c r="S39" s="1080"/>
      <c r="T39" s="1080"/>
      <c r="U39" s="1080"/>
      <c r="V39" s="1080"/>
      <c r="W39" s="1075"/>
      <c r="X39" s="1075"/>
      <c r="Y39" s="1075"/>
      <c r="Z39" s="1075"/>
      <c r="AA39" s="1075"/>
      <c r="AB39" s="1075"/>
      <c r="AC39" s="1075"/>
      <c r="AD39" s="1075"/>
      <c r="AE39" s="1075"/>
      <c r="AF39" s="1075"/>
      <c r="AG39" s="1075"/>
      <c r="AH39" s="1075"/>
      <c r="AI39" s="1075"/>
      <c r="AJ39" s="1075"/>
      <c r="AK39" s="1075"/>
      <c r="AL39" s="1075"/>
      <c r="AM39" s="1075"/>
      <c r="AN39" s="1075"/>
      <c r="AO39" s="1075"/>
      <c r="AP39" s="1075"/>
      <c r="AQ39" s="1075"/>
      <c r="AR39" s="1075"/>
      <c r="AS39" s="1075"/>
      <c r="AT39" s="1075"/>
      <c r="AU39" s="1075"/>
      <c r="AV39" s="1075"/>
      <c r="AW39" s="1075"/>
      <c r="AX39" s="1075"/>
      <c r="AY39" s="1075"/>
      <c r="AZ39" s="1075"/>
    </row>
    <row r="40" spans="1:52" ht="18" hidden="1" customHeight="1" thickBot="1">
      <c r="A40" s="11"/>
      <c r="B40" s="1103"/>
      <c r="C40" s="1103"/>
      <c r="D40" s="1103"/>
      <c r="E40" s="1103"/>
      <c r="F40" s="1103"/>
      <c r="G40" s="1103"/>
      <c r="H40" s="1103"/>
      <c r="I40" s="1104"/>
      <c r="J40" s="1105"/>
      <c r="K40" s="1106"/>
      <c r="L40" s="1105"/>
      <c r="M40" s="1105"/>
      <c r="N40" s="1105"/>
      <c r="O40" s="1105"/>
      <c r="P40" s="1105"/>
      <c r="Q40" s="1105"/>
      <c r="R40" s="1105"/>
      <c r="S40" s="11"/>
      <c r="T40" s="11"/>
      <c r="U40" s="11"/>
      <c r="V40" s="11"/>
      <c r="W40" s="1075"/>
      <c r="X40" s="1075"/>
      <c r="Y40" s="1075"/>
      <c r="Z40" s="1075"/>
      <c r="AA40" s="1075"/>
      <c r="AB40" s="1075"/>
      <c r="AC40" s="1075"/>
      <c r="AD40" s="1075"/>
      <c r="AE40" s="1075"/>
      <c r="AF40" s="1075"/>
      <c r="AG40" s="1075"/>
      <c r="AH40" s="1075"/>
      <c r="AI40" s="1075"/>
      <c r="AJ40" s="1075"/>
      <c r="AK40" s="1075"/>
      <c r="AL40" s="1075"/>
      <c r="AM40" s="1075"/>
      <c r="AN40" s="1075"/>
      <c r="AO40" s="1075"/>
      <c r="AP40" s="1075"/>
      <c r="AQ40" s="1075"/>
      <c r="AR40" s="1075"/>
      <c r="AS40" s="1075"/>
      <c r="AT40" s="1075"/>
      <c r="AU40" s="1075"/>
      <c r="AV40" s="1075"/>
      <c r="AW40" s="1075"/>
      <c r="AX40" s="1075"/>
      <c r="AY40" s="1075"/>
      <c r="AZ40" s="1075"/>
    </row>
    <row r="41" spans="1:52" ht="18" customHeight="1">
      <c r="A41" s="11"/>
      <c r="B41" s="186" t="s">
        <v>494</v>
      </c>
      <c r="C41" s="794"/>
      <c r="D41" s="794"/>
      <c r="E41" s="794"/>
      <c r="F41" s="794"/>
      <c r="G41" s="794"/>
      <c r="H41" s="794"/>
      <c r="I41" s="874"/>
      <c r="J41" s="874"/>
      <c r="K41" s="874"/>
      <c r="L41" s="874"/>
      <c r="M41" s="874"/>
      <c r="N41" s="1107">
        <f>M42+1</f>
        <v>2020</v>
      </c>
      <c r="O41" s="1107">
        <f>N41+1</f>
        <v>2021</v>
      </c>
      <c r="P41" s="1107">
        <f>O41+1</f>
        <v>2022</v>
      </c>
      <c r="Q41" s="1107"/>
      <c r="R41" s="1107"/>
      <c r="S41" s="1163"/>
      <c r="T41" s="11"/>
      <c r="U41" s="11"/>
      <c r="V41" s="11"/>
      <c r="W41" s="1075"/>
      <c r="X41" s="1075"/>
      <c r="Y41" s="1075"/>
      <c r="Z41" s="1075"/>
      <c r="AA41" s="1075"/>
      <c r="AB41" s="1075"/>
      <c r="AC41" s="1075"/>
      <c r="AD41" s="1075"/>
      <c r="AE41" s="1075"/>
      <c r="AF41" s="1075"/>
      <c r="AG41" s="1075"/>
      <c r="AH41" s="1075"/>
      <c r="AI41" s="1075"/>
      <c r="AJ41" s="1075"/>
      <c r="AK41" s="1075"/>
      <c r="AL41" s="1075"/>
      <c r="AM41" s="1075"/>
      <c r="AN41" s="1075"/>
      <c r="AO41" s="1075"/>
      <c r="AP41" s="1075"/>
      <c r="AQ41" s="1075"/>
      <c r="AR41" s="1075"/>
      <c r="AS41" s="1075"/>
      <c r="AT41" s="1075"/>
      <c r="AU41" s="1075"/>
      <c r="AV41" s="1075"/>
      <c r="AW41" s="1075"/>
      <c r="AX41" s="1075"/>
      <c r="AY41" s="1075"/>
      <c r="AZ41" s="1075"/>
    </row>
    <row r="42" spans="1:52" ht="18" customHeight="1">
      <c r="A42" s="11"/>
      <c r="B42" s="2168"/>
      <c r="C42" s="1108"/>
      <c r="D42" s="1108"/>
      <c r="E42" s="1108"/>
      <c r="F42" s="1108"/>
      <c r="G42" s="1108"/>
      <c r="H42" s="1109"/>
      <c r="I42" s="901">
        <f t="shared" ref="I42:R42" si="10">I3</f>
        <v>2015</v>
      </c>
      <c r="J42" s="901">
        <f t="shared" si="10"/>
        <v>2016</v>
      </c>
      <c r="K42" s="901">
        <f t="shared" si="10"/>
        <v>2017</v>
      </c>
      <c r="L42" s="901">
        <f t="shared" si="10"/>
        <v>2018</v>
      </c>
      <c r="M42" s="901">
        <f t="shared" si="10"/>
        <v>2019</v>
      </c>
      <c r="N42" s="901" t="str">
        <f t="shared" si="10"/>
        <v>2020E</v>
      </c>
      <c r="O42" s="901" t="str">
        <f t="shared" si="10"/>
        <v>2021E</v>
      </c>
      <c r="P42" s="901" t="str">
        <f t="shared" si="10"/>
        <v>2022E</v>
      </c>
      <c r="Q42" s="901" t="str">
        <f t="shared" si="10"/>
        <v>2023E</v>
      </c>
      <c r="R42" s="2380" t="str">
        <f t="shared" si="10"/>
        <v>2024E</v>
      </c>
      <c r="S42" s="1163"/>
      <c r="T42" s="11"/>
      <c r="U42" s="11"/>
      <c r="V42" s="11"/>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row>
    <row r="43" spans="1:52" ht="18" customHeight="1">
      <c r="A43" s="109"/>
      <c r="B43" s="1770" t="s">
        <v>1125</v>
      </c>
      <c r="C43" s="1110">
        <v>101</v>
      </c>
      <c r="D43" s="1110">
        <v>4</v>
      </c>
      <c r="E43" s="1110">
        <v>4</v>
      </c>
      <c r="F43" s="1110" t="s">
        <v>495</v>
      </c>
      <c r="G43" s="1110" t="s">
        <v>496</v>
      </c>
      <c r="H43" s="1111" t="s">
        <v>363</v>
      </c>
      <c r="I43" s="997">
        <f>I4</f>
        <v>3332.8047714200002</v>
      </c>
      <c r="J43" s="997">
        <f>J4</f>
        <v>3951.6072652299999</v>
      </c>
      <c r="K43" s="997">
        <f>K4</f>
        <v>4584.9197615800003</v>
      </c>
      <c r="L43" s="997">
        <f>L4</f>
        <v>4809.73609786</v>
      </c>
      <c r="M43" s="997">
        <f>M4</f>
        <v>6378.1513559200002</v>
      </c>
      <c r="N43" s="1881">
        <f>N45+N47</f>
        <v>6378.1513559200002</v>
      </c>
      <c r="O43" s="1881">
        <f t="shared" ref="O43:R43" si="11">O45+O47</f>
        <v>6378.1513559200002</v>
      </c>
      <c r="P43" s="1881">
        <f t="shared" si="11"/>
        <v>6378.1513559200002</v>
      </c>
      <c r="Q43" s="1881">
        <f t="shared" si="11"/>
        <v>6378.1513559200002</v>
      </c>
      <c r="R43" s="2381">
        <f t="shared" si="11"/>
        <v>6378.1513559200002</v>
      </c>
      <c r="S43" s="2378"/>
      <c r="T43" s="109"/>
      <c r="U43" s="109"/>
      <c r="V43" s="109"/>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row>
    <row r="44" spans="1:52" ht="18" customHeight="1">
      <c r="A44" s="1113"/>
      <c r="B44" s="1764" t="s">
        <v>1353</v>
      </c>
      <c r="C44" s="1114"/>
      <c r="D44" s="1114"/>
      <c r="E44" s="1114"/>
      <c r="F44" s="1114"/>
      <c r="G44" s="1114"/>
      <c r="H44" s="1115"/>
      <c r="I44" s="997"/>
      <c r="J44" s="1775">
        <f t="shared" ref="J44:R44" si="12">J43/I43-1</f>
        <v>0.1856701896001991</v>
      </c>
      <c r="K44" s="1775">
        <f t="shared" si="12"/>
        <v>0.16026706447335659</v>
      </c>
      <c r="L44" s="1775">
        <f t="shared" si="12"/>
        <v>4.9033864924721504E-2</v>
      </c>
      <c r="M44" s="1775">
        <f t="shared" si="12"/>
        <v>0.32609174934937424</v>
      </c>
      <c r="N44" s="943">
        <f t="shared" si="12"/>
        <v>0</v>
      </c>
      <c r="O44" s="943">
        <f t="shared" si="12"/>
        <v>0</v>
      </c>
      <c r="P44" s="943">
        <f t="shared" si="12"/>
        <v>0</v>
      </c>
      <c r="Q44" s="943">
        <f t="shared" si="12"/>
        <v>0</v>
      </c>
      <c r="R44" s="2382">
        <f t="shared" si="12"/>
        <v>0</v>
      </c>
      <c r="S44" s="2406"/>
      <c r="T44" s="1113"/>
      <c r="U44" s="1113"/>
      <c r="V44" s="1113"/>
      <c r="W44" s="1075"/>
      <c r="X44" s="1075"/>
      <c r="Y44" s="1075"/>
      <c r="Z44" s="1075"/>
      <c r="AA44" s="1075"/>
      <c r="AB44" s="1075"/>
      <c r="AC44" s="1075"/>
      <c r="AD44" s="1075"/>
      <c r="AE44" s="1075"/>
      <c r="AF44" s="1075"/>
      <c r="AG44" s="1075"/>
      <c r="AH44" s="1075"/>
      <c r="AI44" s="1075"/>
      <c r="AJ44" s="1075"/>
      <c r="AK44" s="1075"/>
      <c r="AL44" s="1075"/>
      <c r="AM44" s="1075"/>
      <c r="AN44" s="1075"/>
      <c r="AO44" s="1075"/>
      <c r="AP44" s="1075"/>
      <c r="AQ44" s="1075"/>
      <c r="AR44" s="1075"/>
      <c r="AS44" s="1075"/>
      <c r="AT44" s="1075"/>
      <c r="AU44" s="1075"/>
      <c r="AV44" s="1075"/>
      <c r="AW44" s="1075"/>
      <c r="AX44" s="1075"/>
      <c r="AY44" s="1075"/>
      <c r="AZ44" s="1075"/>
    </row>
    <row r="45" spans="1:52" ht="18" customHeight="1">
      <c r="A45" s="1113"/>
      <c r="B45" s="1125" t="s">
        <v>1130</v>
      </c>
      <c r="C45" s="1114"/>
      <c r="D45" s="1114"/>
      <c r="E45" s="1114"/>
      <c r="F45" s="1114"/>
      <c r="G45" s="1114"/>
      <c r="H45" s="1115"/>
      <c r="I45" s="997">
        <f>I5</f>
        <v>3332.8047714200002</v>
      </c>
      <c r="J45" s="997">
        <f>J5</f>
        <v>3951.6072652299999</v>
      </c>
      <c r="K45" s="997">
        <f>K5</f>
        <v>4584.9197615800003</v>
      </c>
      <c r="L45" s="997">
        <f>L5</f>
        <v>4809.73609786</v>
      </c>
      <c r="M45" s="997">
        <f>M5</f>
        <v>6378.1513559200002</v>
      </c>
      <c r="N45" s="1112">
        <f>M45</f>
        <v>6378.1513559200002</v>
      </c>
      <c r="O45" s="1112">
        <f>N45</f>
        <v>6378.1513559200002</v>
      </c>
      <c r="P45" s="1112">
        <f>O45</f>
        <v>6378.1513559200002</v>
      </c>
      <c r="Q45" s="1112">
        <f>P45</f>
        <v>6378.1513559200002</v>
      </c>
      <c r="R45" s="2383">
        <f>Q45</f>
        <v>6378.1513559200002</v>
      </c>
      <c r="S45" s="2406"/>
      <c r="T45" s="1113"/>
      <c r="U45" s="1113"/>
      <c r="V45" s="1113"/>
      <c r="W45" s="1075"/>
      <c r="X45" s="1075"/>
      <c r="Y45" s="1075"/>
      <c r="Z45" s="1075"/>
      <c r="AA45" s="1075"/>
      <c r="AB45" s="1075"/>
      <c r="AC45" s="1075"/>
      <c r="AD45" s="1075"/>
      <c r="AE45" s="1075"/>
      <c r="AF45" s="1075"/>
      <c r="AG45" s="1075"/>
      <c r="AH45" s="1075"/>
      <c r="AI45" s="1075"/>
      <c r="AJ45" s="1075"/>
      <c r="AK45" s="1075"/>
      <c r="AL45" s="1075"/>
      <c r="AM45" s="1075"/>
      <c r="AN45" s="1075"/>
      <c r="AO45" s="1075"/>
      <c r="AP45" s="1075"/>
      <c r="AQ45" s="1075"/>
      <c r="AR45" s="1075"/>
      <c r="AS45" s="1075"/>
      <c r="AT45" s="1075"/>
      <c r="AU45" s="1075"/>
      <c r="AV45" s="1075"/>
      <c r="AW45" s="1075"/>
      <c r="AX45" s="1075"/>
      <c r="AY45" s="1075"/>
      <c r="AZ45" s="1075"/>
    </row>
    <row r="46" spans="1:52" ht="18" customHeight="1">
      <c r="A46" s="1113"/>
      <c r="B46" s="1764" t="s">
        <v>1131</v>
      </c>
      <c r="C46" s="1114"/>
      <c r="D46" s="1114"/>
      <c r="E46" s="1114"/>
      <c r="F46" s="1114"/>
      <c r="G46" s="1114"/>
      <c r="H46" s="1115"/>
      <c r="I46" s="997"/>
      <c r="J46" s="1775">
        <f t="shared" ref="J46:R46" si="13">J45/I45-1</f>
        <v>0.1856701896001991</v>
      </c>
      <c r="K46" s="1775">
        <f t="shared" si="13"/>
        <v>0.16026706447335659</v>
      </c>
      <c r="L46" s="1775">
        <f t="shared" si="13"/>
        <v>4.9033864924721504E-2</v>
      </c>
      <c r="M46" s="1775">
        <f t="shared" si="13"/>
        <v>0.32609174934937424</v>
      </c>
      <c r="N46" s="943">
        <f t="shared" si="13"/>
        <v>0</v>
      </c>
      <c r="O46" s="943">
        <f t="shared" si="13"/>
        <v>0</v>
      </c>
      <c r="P46" s="943">
        <f t="shared" si="13"/>
        <v>0</v>
      </c>
      <c r="Q46" s="943">
        <f t="shared" si="13"/>
        <v>0</v>
      </c>
      <c r="R46" s="2382">
        <f t="shared" si="13"/>
        <v>0</v>
      </c>
      <c r="S46" s="2406"/>
      <c r="T46" s="1113"/>
      <c r="U46" s="1113"/>
      <c r="V46" s="1113"/>
      <c r="W46" s="1075"/>
      <c r="X46" s="1075"/>
      <c r="Y46" s="1075"/>
      <c r="Z46" s="1075"/>
      <c r="AA46" s="1075"/>
      <c r="AB46" s="1075"/>
      <c r="AC46" s="1075"/>
      <c r="AD46" s="1075"/>
      <c r="AE46" s="1075"/>
      <c r="AF46" s="1075"/>
      <c r="AG46" s="1075"/>
      <c r="AH46" s="1075"/>
      <c r="AI46" s="1075"/>
      <c r="AJ46" s="1075"/>
      <c r="AK46" s="1075"/>
      <c r="AL46" s="1075"/>
      <c r="AM46" s="1075"/>
      <c r="AN46" s="1075"/>
      <c r="AO46" s="1075"/>
      <c r="AP46" s="1075"/>
      <c r="AQ46" s="1075"/>
      <c r="AR46" s="1075"/>
      <c r="AS46" s="1075"/>
      <c r="AT46" s="1075"/>
      <c r="AU46" s="1075"/>
      <c r="AV46" s="1075"/>
      <c r="AW46" s="1075"/>
      <c r="AX46" s="1075"/>
      <c r="AY46" s="1075"/>
      <c r="AZ46" s="1075"/>
    </row>
    <row r="47" spans="1:52" ht="18" customHeight="1">
      <c r="A47" s="1113"/>
      <c r="B47" s="1125" t="s">
        <v>1132</v>
      </c>
      <c r="C47" s="1114">
        <v>102</v>
      </c>
      <c r="D47" s="1114">
        <v>2</v>
      </c>
      <c r="E47" s="1114">
        <v>2</v>
      </c>
      <c r="F47" s="1114"/>
      <c r="G47" s="1114"/>
      <c r="H47" s="1902">
        <f>N47</f>
        <v>0</v>
      </c>
      <c r="I47" s="997">
        <f>I6</f>
        <v>0</v>
      </c>
      <c r="J47" s="997">
        <f>J6</f>
        <v>0</v>
      </c>
      <c r="K47" s="997">
        <f>K6</f>
        <v>0</v>
      </c>
      <c r="L47" s="997">
        <f>L6</f>
        <v>0</v>
      </c>
      <c r="M47" s="997">
        <f>M6</f>
        <v>0</v>
      </c>
      <c r="N47" s="1881">
        <f>AVERAGE(K47:M47)</f>
        <v>0</v>
      </c>
      <c r="O47" s="1881">
        <f t="shared" ref="O47:R47" si="14">AVERAGE(L47:N47)</f>
        <v>0</v>
      </c>
      <c r="P47" s="1881">
        <f t="shared" si="14"/>
        <v>0</v>
      </c>
      <c r="Q47" s="1881">
        <f t="shared" si="14"/>
        <v>0</v>
      </c>
      <c r="R47" s="2381">
        <f t="shared" si="14"/>
        <v>0</v>
      </c>
      <c r="S47" s="2406"/>
      <c r="T47" s="1113"/>
      <c r="U47" s="1113"/>
      <c r="V47" s="1113"/>
      <c r="W47" s="1075"/>
      <c r="X47" s="1075"/>
      <c r="Y47" s="1075"/>
      <c r="Z47" s="1075"/>
      <c r="AA47" s="1075"/>
      <c r="AB47" s="1075"/>
      <c r="AC47" s="1075"/>
      <c r="AD47" s="1075"/>
      <c r="AE47" s="1075"/>
      <c r="AF47" s="1075"/>
      <c r="AG47" s="1075"/>
      <c r="AH47" s="1075"/>
      <c r="AI47" s="1075"/>
      <c r="AJ47" s="1075"/>
      <c r="AK47" s="1075"/>
      <c r="AL47" s="1075"/>
      <c r="AM47" s="1075"/>
      <c r="AN47" s="1075"/>
      <c r="AO47" s="1075"/>
      <c r="AP47" s="1075"/>
      <c r="AQ47" s="1075"/>
      <c r="AR47" s="1075"/>
      <c r="AS47" s="1075"/>
      <c r="AT47" s="1075"/>
      <c r="AU47" s="1075"/>
      <c r="AV47" s="1075"/>
      <c r="AW47" s="1075"/>
      <c r="AX47" s="1075"/>
      <c r="AY47" s="1075"/>
      <c r="AZ47" s="1075"/>
    </row>
    <row r="48" spans="1:52" ht="18" customHeight="1">
      <c r="A48" s="1116"/>
      <c r="B48" s="1770"/>
      <c r="C48" s="1117"/>
      <c r="D48" s="1117"/>
      <c r="E48" s="1117"/>
      <c r="F48" s="1117"/>
      <c r="G48" s="1117"/>
      <c r="H48" s="1118"/>
      <c r="I48" s="1124"/>
      <c r="J48" s="1124"/>
      <c r="K48" s="1124"/>
      <c r="L48" s="1124"/>
      <c r="M48" s="1124"/>
      <c r="N48" s="1124"/>
      <c r="O48" s="1124"/>
      <c r="P48" s="1124"/>
      <c r="Q48" s="1124"/>
      <c r="R48" s="2384"/>
      <c r="S48" s="2407"/>
      <c r="T48" s="1116"/>
      <c r="U48" s="1116"/>
      <c r="V48" s="1116"/>
      <c r="W48" s="1075"/>
      <c r="X48" s="1075"/>
      <c r="Y48" s="1075"/>
      <c r="Z48" s="1075"/>
      <c r="AA48" s="1075"/>
      <c r="AB48" s="1075"/>
      <c r="AC48" s="1075"/>
      <c r="AD48" s="1075"/>
      <c r="AE48" s="1075"/>
      <c r="AF48" s="1075"/>
      <c r="AG48" s="1075"/>
      <c r="AH48" s="1075"/>
      <c r="AI48" s="1075"/>
      <c r="AJ48" s="1075"/>
      <c r="AK48" s="1075"/>
      <c r="AL48" s="1075"/>
      <c r="AM48" s="1075"/>
      <c r="AN48" s="1075"/>
      <c r="AO48" s="1075"/>
      <c r="AP48" s="1075"/>
      <c r="AQ48" s="1075"/>
      <c r="AR48" s="1075"/>
      <c r="AS48" s="1075"/>
      <c r="AT48" s="1075"/>
      <c r="AU48" s="1075"/>
      <c r="AV48" s="1075"/>
      <c r="AW48" s="1075"/>
      <c r="AX48" s="1075"/>
      <c r="AY48" s="1075"/>
      <c r="AZ48" s="1075"/>
    </row>
    <row r="49" spans="1:52" ht="18" customHeight="1">
      <c r="A49" s="109"/>
      <c r="B49" s="2169" t="s">
        <v>1339</v>
      </c>
      <c r="C49" s="1119"/>
      <c r="D49" s="1119"/>
      <c r="E49" s="1119"/>
      <c r="F49" s="1119"/>
      <c r="G49" s="1119"/>
      <c r="H49" s="1120"/>
      <c r="I49" s="997">
        <f>IF(公司说明!$E$12&gt;2023,利润表!I50+利润表!I53+利润表!I56+利润表!I59+利润表!I62+利润表!I65+利润表!I68,I50+I53+I56+I59+I62+I65+I68+I79+I88)</f>
        <v>2404.5827146399997</v>
      </c>
      <c r="J49" s="997">
        <f>IF(公司说明!$E$12&gt;2022,利润表!J50+利润表!J53+利润表!J56+利润表!J59+利润表!J62+利润表!J65+利润表!J68,J50+J53+J56+J59+J62+J65+J68+J79+J88)</f>
        <v>3095.0378828100006</v>
      </c>
      <c r="K49" s="997">
        <f>IF(公司说明!$E$12&gt;2021,利润表!K50+利润表!K53+利润表!K56+利润表!K59+利润表!K62+利润表!K65+利润表!K68,K50+K53+K56+K59+K62+K65+K68+K79+K88)</f>
        <v>3993.4823219699997</v>
      </c>
      <c r="L49" s="997">
        <f>IF(公司说明!$E$12&gt;2020,利润表!L50+利润表!L53+利润表!L56+利润表!L59+利润表!L62+利润表!L65+利润表!L68,L50+L53+L56+L59+L62+L65+L68+L79+L88)</f>
        <v>4125.1380245500004</v>
      </c>
      <c r="M49" s="997">
        <f>IF(公司说明!$E$12&gt;2019,利润表!M50+利润表!M53+利润表!M56+利润表!M59+利润表!M62+利润表!M65+利润表!M68,M50+M53+M56+M59+M62+M65+M68+M79+M88)</f>
        <v>5514.07059192</v>
      </c>
      <c r="N49" s="911">
        <f ca="1">N50+N53+N56+N59+N62+N65+N68</f>
        <v>7884.1366412316775</v>
      </c>
      <c r="O49" s="911">
        <f ca="1">O50+O53+O56+O59+O62+O65+O68</f>
        <v>8143.9739502080538</v>
      </c>
      <c r="P49" s="911">
        <f ca="1">P50+P53+P56+P59+P62+P65+P68</f>
        <v>8134.435336486551</v>
      </c>
      <c r="Q49" s="911">
        <f ca="1">Q50+Q53+Q56+Q59+Q62+Q65+Q68</f>
        <v>8136.5391332678682</v>
      </c>
      <c r="R49" s="2385">
        <f ca="1">R50+R53+R56+R59+R62+R65+R68</f>
        <v>8138.3161399874916</v>
      </c>
      <c r="S49" s="2378"/>
      <c r="T49" s="109"/>
      <c r="U49" s="109"/>
      <c r="V49" s="109"/>
      <c r="W49" s="1075"/>
      <c r="X49" s="1075"/>
      <c r="Y49" s="1075"/>
      <c r="Z49" s="1075"/>
      <c r="AA49" s="1075"/>
      <c r="AB49" s="1075"/>
      <c r="AC49" s="1075"/>
      <c r="AD49" s="1075"/>
      <c r="AE49" s="1075"/>
      <c r="AF49" s="1075"/>
      <c r="AG49" s="1075"/>
      <c r="AH49" s="1075"/>
      <c r="AI49" s="1075"/>
      <c r="AJ49" s="1075"/>
      <c r="AK49" s="1075"/>
      <c r="AL49" s="1075"/>
      <c r="AM49" s="1075"/>
      <c r="AN49" s="1075"/>
      <c r="AO49" s="1075"/>
      <c r="AP49" s="1075"/>
      <c r="AQ49" s="1075"/>
      <c r="AR49" s="1075"/>
      <c r="AS49" s="1075"/>
      <c r="AT49" s="1075"/>
      <c r="AU49" s="1075"/>
      <c r="AV49" s="1075"/>
      <c r="AW49" s="1075"/>
      <c r="AX49" s="1075"/>
      <c r="AY49" s="1075"/>
      <c r="AZ49" s="1075"/>
    </row>
    <row r="50" spans="1:52" ht="18" customHeight="1">
      <c r="A50" s="109"/>
      <c r="B50" s="1134" t="s">
        <v>1340</v>
      </c>
      <c r="C50" s="1119">
        <v>101</v>
      </c>
      <c r="D50" s="1119">
        <v>1</v>
      </c>
      <c r="E50" s="1119">
        <v>1</v>
      </c>
      <c r="F50" s="1119">
        <f>(1-N51)*N45</f>
        <v>5082.3547035464026</v>
      </c>
      <c r="G50" s="1119">
        <f>1-N50/N45</f>
        <v>0.20316179094290066</v>
      </c>
      <c r="H50" s="1120">
        <f>N50</f>
        <v>5082.3547035464026</v>
      </c>
      <c r="I50" s="997">
        <f>I8</f>
        <v>2238.2859384899998</v>
      </c>
      <c r="J50" s="997">
        <f>J8</f>
        <v>2755.1810214400002</v>
      </c>
      <c r="K50" s="997">
        <f>K8</f>
        <v>3625.9091715999998</v>
      </c>
      <c r="L50" s="997">
        <f>L8</f>
        <v>3863.78724121</v>
      </c>
      <c r="M50" s="997">
        <f>M8</f>
        <v>5079.2705365800002</v>
      </c>
      <c r="N50" s="1877">
        <f>(1-N51)*N45</f>
        <v>5082.3547035464026</v>
      </c>
      <c r="O50" s="1877">
        <f t="shared" ref="O50:R50" si="15">(1-O51)*O45</f>
        <v>5095.1205406454546</v>
      </c>
      <c r="P50" s="1877">
        <f t="shared" si="15"/>
        <v>5085.5819269239528</v>
      </c>
      <c r="Q50" s="1877">
        <f t="shared" si="15"/>
        <v>5087.68572370527</v>
      </c>
      <c r="R50" s="2386">
        <f t="shared" si="15"/>
        <v>5089.4627304248925</v>
      </c>
      <c r="S50" s="2378"/>
      <c r="T50" s="109"/>
      <c r="U50" s="109"/>
      <c r="V50" s="109"/>
      <c r="W50" s="1075"/>
      <c r="X50" s="1075"/>
      <c r="Y50" s="1075"/>
      <c r="Z50" s="1075"/>
      <c r="AA50" s="1075"/>
      <c r="AB50" s="1075"/>
      <c r="AC50" s="1075"/>
      <c r="AD50" s="1075"/>
      <c r="AE50" s="1075"/>
      <c r="AF50" s="1075"/>
      <c r="AG50" s="1075"/>
      <c r="AH50" s="1075"/>
      <c r="AI50" s="1075"/>
      <c r="AJ50" s="1075"/>
      <c r="AK50" s="1075"/>
      <c r="AL50" s="1075"/>
      <c r="AM50" s="1075"/>
      <c r="AN50" s="1075"/>
      <c r="AO50" s="1075"/>
      <c r="AP50" s="1075"/>
      <c r="AQ50" s="1075"/>
      <c r="AR50" s="1075"/>
      <c r="AS50" s="1075"/>
      <c r="AT50" s="1075"/>
      <c r="AU50" s="1075"/>
      <c r="AV50" s="1075"/>
      <c r="AW50" s="1075"/>
      <c r="AX50" s="1075"/>
      <c r="AY50" s="1075"/>
      <c r="AZ50" s="1075"/>
    </row>
    <row r="51" spans="1:52" ht="18" customHeight="1">
      <c r="A51" s="109"/>
      <c r="B51" s="1763" t="s">
        <v>1346</v>
      </c>
      <c r="C51" s="1121"/>
      <c r="D51" s="1121"/>
      <c r="E51" s="1121"/>
      <c r="F51" s="1121"/>
      <c r="G51" s="1121"/>
      <c r="H51" s="1122"/>
      <c r="I51" s="1776">
        <f>1-I50/I45</f>
        <v>0.32840772502364768</v>
      </c>
      <c r="J51" s="1776">
        <f t="shared" ref="J51:M51" si="16">1-J50/J45</f>
        <v>0.30276952224409948</v>
      </c>
      <c r="K51" s="1776">
        <f t="shared" si="16"/>
        <v>0.20916627549650246</v>
      </c>
      <c r="L51" s="1776">
        <f t="shared" si="16"/>
        <v>0.19667375452696501</v>
      </c>
      <c r="M51" s="1776">
        <f t="shared" si="16"/>
        <v>0.2036453428052345</v>
      </c>
      <c r="N51" s="1879">
        <f>AVERAGE(K51:M51)</f>
        <v>0.20316179094290066</v>
      </c>
      <c r="O51" s="1879">
        <f t="shared" ref="O51:R51" si="17">AVERAGE(L51:N51)</f>
        <v>0.20116029609170005</v>
      </c>
      <c r="P51" s="1879">
        <f t="shared" si="17"/>
        <v>0.20265580994661173</v>
      </c>
      <c r="Q51" s="1879">
        <f t="shared" si="17"/>
        <v>0.20232596566040414</v>
      </c>
      <c r="R51" s="2387">
        <f t="shared" si="17"/>
        <v>0.20204735723290532</v>
      </c>
      <c r="S51" s="2378"/>
      <c r="T51" s="109"/>
      <c r="U51" s="109"/>
      <c r="V51" s="109"/>
      <c r="W51" s="1075"/>
      <c r="X51" s="1075"/>
      <c r="Y51" s="1075"/>
      <c r="Z51" s="1075"/>
      <c r="AA51" s="1075"/>
      <c r="AB51" s="1075"/>
      <c r="AC51" s="1075"/>
      <c r="AD51" s="1075"/>
      <c r="AE51" s="1075"/>
      <c r="AF51" s="1075"/>
      <c r="AG51" s="1075"/>
      <c r="AH51" s="1075"/>
      <c r="AI51" s="1075"/>
      <c r="AJ51" s="1075"/>
      <c r="AK51" s="1075"/>
      <c r="AL51" s="1075"/>
      <c r="AM51" s="1075"/>
      <c r="AN51" s="1075"/>
      <c r="AO51" s="1075"/>
      <c r="AP51" s="1075"/>
      <c r="AQ51" s="1075"/>
      <c r="AR51" s="1075"/>
      <c r="AS51" s="1075"/>
      <c r="AT51" s="1075"/>
      <c r="AU51" s="1075"/>
      <c r="AV51" s="1075"/>
      <c r="AW51" s="1075"/>
      <c r="AX51" s="1075"/>
      <c r="AY51" s="1075"/>
      <c r="AZ51" s="1075"/>
    </row>
    <row r="52" spans="1:52" ht="18" customHeight="1">
      <c r="A52" s="109"/>
      <c r="B52" s="1763"/>
      <c r="C52" s="1121"/>
      <c r="D52" s="1121"/>
      <c r="E52" s="1121"/>
      <c r="F52" s="1121"/>
      <c r="G52" s="1121"/>
      <c r="H52" s="1122"/>
      <c r="I52" s="1776"/>
      <c r="J52" s="1776"/>
      <c r="K52" s="1776"/>
      <c r="L52" s="1776"/>
      <c r="M52" s="1776"/>
      <c r="N52" s="927"/>
      <c r="O52" s="927"/>
      <c r="P52" s="927"/>
      <c r="Q52" s="927"/>
      <c r="R52" s="2388"/>
      <c r="S52" s="2378"/>
      <c r="T52" s="109"/>
      <c r="U52" s="109"/>
      <c r="V52" s="109"/>
      <c r="W52" s="1075"/>
      <c r="X52" s="1075"/>
      <c r="Y52" s="1075"/>
      <c r="Z52" s="1075"/>
      <c r="AA52" s="1075"/>
      <c r="AB52" s="1075"/>
      <c r="AC52" s="1075"/>
      <c r="AD52" s="1075"/>
      <c r="AE52" s="1075"/>
      <c r="AF52" s="1075"/>
      <c r="AG52" s="1075"/>
      <c r="AH52" s="1075"/>
      <c r="AI52" s="1075"/>
      <c r="AJ52" s="1075"/>
      <c r="AK52" s="1075"/>
      <c r="AL52" s="1075"/>
      <c r="AM52" s="1075"/>
      <c r="AN52" s="1075"/>
      <c r="AO52" s="1075"/>
      <c r="AP52" s="1075"/>
      <c r="AQ52" s="1075"/>
      <c r="AR52" s="1075"/>
      <c r="AS52" s="1075"/>
      <c r="AT52" s="1075"/>
      <c r="AU52" s="1075"/>
      <c r="AV52" s="1075"/>
      <c r="AW52" s="1075"/>
      <c r="AX52" s="1075"/>
      <c r="AY52" s="1075"/>
      <c r="AZ52" s="1075"/>
    </row>
    <row r="53" spans="1:52" ht="18" customHeight="1">
      <c r="A53" s="109"/>
      <c r="B53" s="1134" t="s">
        <v>1128</v>
      </c>
      <c r="C53" s="1119">
        <v>101</v>
      </c>
      <c r="D53" s="1119">
        <v>1</v>
      </c>
      <c r="E53" s="1119">
        <v>1</v>
      </c>
      <c r="F53" s="1119">
        <f>N43*N54</f>
        <v>9.191727929501206E-14</v>
      </c>
      <c r="G53" s="1119">
        <f>N53/N43</f>
        <v>1.4411272822758796E-17</v>
      </c>
      <c r="H53" s="1120">
        <f>N53</f>
        <v>9.191727929501206E-14</v>
      </c>
      <c r="I53" s="1128">
        <f>I9</f>
        <v>1.1368683772161603E-13</v>
      </c>
      <c r="J53" s="1128">
        <f>J9</f>
        <v>5.6843418860808015E-14</v>
      </c>
      <c r="K53" s="1128">
        <f>K9</f>
        <v>5.3645976549887564E-13</v>
      </c>
      <c r="L53" s="1128">
        <f>L9</f>
        <v>-1.8474111129762605E-13</v>
      </c>
      <c r="M53" s="1128">
        <f>M9</f>
        <v>-2.2554180745260055E-13</v>
      </c>
      <c r="N53" s="1881">
        <f>N43*N54</f>
        <v>9.191727929501206E-14</v>
      </c>
      <c r="O53" s="1881">
        <f t="shared" ref="O53:R53" si="18">O43*O54</f>
        <v>-1.2620273053833497E-13</v>
      </c>
      <c r="P53" s="1881">
        <f t="shared" si="18"/>
        <v>-8.6609086231974492E-14</v>
      </c>
      <c r="Q53" s="1881">
        <f t="shared" si="18"/>
        <v>-4.0298179158432472E-14</v>
      </c>
      <c r="R53" s="2381">
        <f t="shared" si="18"/>
        <v>-8.4369998642913975E-14</v>
      </c>
      <c r="S53" s="2378"/>
      <c r="T53" s="109"/>
      <c r="U53" s="109"/>
      <c r="V53" s="109"/>
      <c r="W53" s="1075"/>
      <c r="X53" s="1075"/>
      <c r="Y53" s="1075"/>
      <c r="Z53" s="1075"/>
      <c r="AA53" s="1075"/>
      <c r="AB53" s="1075"/>
      <c r="AC53" s="1075"/>
      <c r="AD53" s="1075"/>
      <c r="AE53" s="1075"/>
      <c r="AF53" s="1075"/>
      <c r="AG53" s="1075"/>
      <c r="AH53" s="1075"/>
      <c r="AI53" s="1075"/>
      <c r="AJ53" s="1075"/>
      <c r="AK53" s="1075"/>
      <c r="AL53" s="1075"/>
      <c r="AM53" s="1075"/>
      <c r="AN53" s="1075"/>
      <c r="AO53" s="1075"/>
      <c r="AP53" s="1075"/>
      <c r="AQ53" s="1075"/>
      <c r="AR53" s="1075"/>
      <c r="AS53" s="1075"/>
      <c r="AT53" s="1075"/>
      <c r="AU53" s="1075"/>
      <c r="AV53" s="1075"/>
      <c r="AW53" s="1075"/>
      <c r="AX53" s="1075"/>
      <c r="AY53" s="1075"/>
      <c r="AZ53" s="1075"/>
    </row>
    <row r="54" spans="1:52" ht="18" customHeight="1">
      <c r="A54" s="109"/>
      <c r="B54" s="1763" t="s">
        <v>1133</v>
      </c>
      <c r="C54" s="1121"/>
      <c r="D54" s="1121"/>
      <c r="E54" s="1121"/>
      <c r="F54" s="1121"/>
      <c r="G54" s="1121"/>
      <c r="H54" s="1122"/>
      <c r="I54" s="1776">
        <f>I53/I43</f>
        <v>3.4111460322105143E-17</v>
      </c>
      <c r="J54" s="1776">
        <f>J53/J43</f>
        <v>1.4384885704854957E-17</v>
      </c>
      <c r="K54" s="1776">
        <f>K53/K43</f>
        <v>1.1700526800800704E-16</v>
      </c>
      <c r="L54" s="1776">
        <f>L53/L43</f>
        <v>-3.8409822813318818E-17</v>
      </c>
      <c r="M54" s="1776">
        <f>M53/M43</f>
        <v>-3.5361626726411836E-17</v>
      </c>
      <c r="N54" s="1917">
        <f>AVERAGE(K54:M54)</f>
        <v>1.4411272822758796E-17</v>
      </c>
      <c r="O54" s="1917">
        <f t="shared" ref="O54:R54" si="19">AVERAGE(L54:N54)</f>
        <v>-1.9786725572323953E-17</v>
      </c>
      <c r="P54" s="1917">
        <f t="shared" si="19"/>
        <v>-1.3579026491992332E-17</v>
      </c>
      <c r="Q54" s="1917">
        <f t="shared" si="19"/>
        <v>-6.3181597471858304E-18</v>
      </c>
      <c r="R54" s="2389">
        <f t="shared" si="19"/>
        <v>-1.3227970603834038E-17</v>
      </c>
      <c r="S54" s="2378"/>
      <c r="T54" s="109"/>
      <c r="U54" s="109"/>
      <c r="V54" s="109"/>
      <c r="W54" s="1075"/>
      <c r="X54" s="1075"/>
      <c r="Y54" s="1075"/>
      <c r="Z54" s="1075"/>
      <c r="AA54" s="1075"/>
      <c r="AB54" s="1075"/>
      <c r="AC54" s="1075"/>
      <c r="AD54" s="1075"/>
      <c r="AE54" s="1075"/>
      <c r="AF54" s="1075"/>
      <c r="AG54" s="1075"/>
      <c r="AH54" s="1075"/>
      <c r="AI54" s="1075"/>
      <c r="AJ54" s="1075"/>
      <c r="AK54" s="1075"/>
      <c r="AL54" s="1075"/>
      <c r="AM54" s="1075"/>
      <c r="AN54" s="1075"/>
      <c r="AO54" s="1075"/>
      <c r="AP54" s="1075"/>
      <c r="AQ54" s="1075"/>
      <c r="AR54" s="1075"/>
      <c r="AS54" s="1075"/>
      <c r="AT54" s="1075"/>
      <c r="AU54" s="1075"/>
      <c r="AV54" s="1075"/>
      <c r="AW54" s="1075"/>
      <c r="AX54" s="1075"/>
      <c r="AY54" s="1075"/>
      <c r="AZ54" s="1075"/>
    </row>
    <row r="55" spans="1:52" ht="18" customHeight="1">
      <c r="A55" s="109"/>
      <c r="B55" s="1770"/>
      <c r="C55" s="1117"/>
      <c r="D55" s="1117"/>
      <c r="E55" s="1117"/>
      <c r="F55" s="1117"/>
      <c r="G55" s="1117"/>
      <c r="H55" s="1118"/>
      <c r="I55" s="1123"/>
      <c r="J55" s="1123"/>
      <c r="K55" s="1123"/>
      <c r="L55" s="1123"/>
      <c r="M55" s="1123"/>
      <c r="N55" s="1123"/>
      <c r="O55" s="1124"/>
      <c r="P55" s="1123"/>
      <c r="Q55" s="1123"/>
      <c r="R55" s="2390"/>
      <c r="S55" s="2378"/>
      <c r="T55" s="109"/>
      <c r="U55" s="109"/>
      <c r="V55" s="109"/>
      <c r="W55" s="1075"/>
      <c r="X55" s="1075"/>
      <c r="Y55" s="1075"/>
      <c r="Z55" s="1075"/>
      <c r="AA55" s="1075"/>
      <c r="AB55" s="1075"/>
      <c r="AC55" s="1075"/>
      <c r="AD55" s="1075"/>
      <c r="AE55" s="1075"/>
      <c r="AF55" s="1075"/>
      <c r="AG55" s="1075"/>
      <c r="AH55" s="1075"/>
      <c r="AI55" s="1075"/>
      <c r="AJ55" s="1075"/>
      <c r="AK55" s="1075"/>
      <c r="AL55" s="1075"/>
      <c r="AM55" s="1075"/>
      <c r="AN55" s="1075"/>
      <c r="AO55" s="1075"/>
      <c r="AP55" s="1075"/>
      <c r="AQ55" s="1075"/>
      <c r="AR55" s="1075"/>
      <c r="AS55" s="1075"/>
      <c r="AT55" s="1075"/>
      <c r="AU55" s="1075"/>
      <c r="AV55" s="1075"/>
      <c r="AW55" s="1075"/>
      <c r="AX55" s="1075"/>
      <c r="AY55" s="1075"/>
      <c r="AZ55" s="1075"/>
    </row>
    <row r="56" spans="1:52" ht="18" customHeight="1">
      <c r="A56" s="109"/>
      <c r="B56" s="1125" t="s">
        <v>1207</v>
      </c>
      <c r="C56" s="1117">
        <v>101</v>
      </c>
      <c r="D56" s="1117">
        <v>5</v>
      </c>
      <c r="E56" s="1117">
        <v>5</v>
      </c>
      <c r="F56" s="1117">
        <f>N43*N57</f>
        <v>21.80349241</v>
      </c>
      <c r="G56" s="1117">
        <f>N56/N43</f>
        <v>3.4184658207840556E-3</v>
      </c>
      <c r="H56" s="1120">
        <f>N56</f>
        <v>21.80349241</v>
      </c>
      <c r="I56" s="997">
        <f>I10</f>
        <v>16.865364629999998</v>
      </c>
      <c r="J56" s="997">
        <f>J10</f>
        <v>22.981753170000001</v>
      </c>
      <c r="K56" s="997">
        <f>K10</f>
        <v>26.899063820000002</v>
      </c>
      <c r="L56" s="997">
        <f>L10</f>
        <v>19.415506629999999</v>
      </c>
      <c r="M56" s="997">
        <f>M10</f>
        <v>21.80349241</v>
      </c>
      <c r="N56" s="1877">
        <f>N43*N57</f>
        <v>21.80349241</v>
      </c>
      <c r="O56" s="1877">
        <f t="shared" ref="O56:R56" si="20">O43*O57</f>
        <v>21.80349241</v>
      </c>
      <c r="P56" s="1877">
        <f t="shared" si="20"/>
        <v>21.80349241</v>
      </c>
      <c r="Q56" s="1877">
        <f t="shared" si="20"/>
        <v>21.80349241</v>
      </c>
      <c r="R56" s="2386">
        <f t="shared" si="20"/>
        <v>21.80349241</v>
      </c>
      <c r="S56" s="2378"/>
      <c r="T56" s="109"/>
      <c r="U56" s="109"/>
      <c r="V56" s="109"/>
      <c r="W56" s="1075"/>
      <c r="X56" s="1075"/>
      <c r="Y56" s="1075"/>
      <c r="Z56" s="1075"/>
      <c r="AA56" s="1075"/>
      <c r="AB56" s="1075"/>
      <c r="AC56" s="1075"/>
      <c r="AD56" s="1075"/>
      <c r="AE56" s="1075"/>
      <c r="AF56" s="1075"/>
      <c r="AG56" s="1075"/>
      <c r="AH56" s="1075"/>
      <c r="AI56" s="1075"/>
      <c r="AJ56" s="1075"/>
      <c r="AK56" s="1075"/>
      <c r="AL56" s="1075"/>
      <c r="AM56" s="1075"/>
      <c r="AN56" s="1075"/>
      <c r="AO56" s="1075"/>
      <c r="AP56" s="1075"/>
      <c r="AQ56" s="1075"/>
      <c r="AR56" s="1075"/>
      <c r="AS56" s="1075"/>
      <c r="AT56" s="1075"/>
      <c r="AU56" s="1075"/>
      <c r="AV56" s="1075"/>
      <c r="AW56" s="1075"/>
      <c r="AX56" s="1075"/>
      <c r="AY56" s="1075"/>
      <c r="AZ56" s="1075"/>
    </row>
    <row r="57" spans="1:52" ht="18" customHeight="1">
      <c r="A57" s="1113"/>
      <c r="B57" s="1764" t="s">
        <v>1403</v>
      </c>
      <c r="C57" s="1114"/>
      <c r="D57" s="1114"/>
      <c r="E57" s="1114"/>
      <c r="F57" s="1114"/>
      <c r="G57" s="1114"/>
      <c r="H57" s="1115"/>
      <c r="I57" s="1775">
        <f>I56/I43</f>
        <v>5.0604118112847676E-3</v>
      </c>
      <c r="J57" s="1775">
        <f>J56/J43</f>
        <v>5.8157988958607628E-3</v>
      </c>
      <c r="K57" s="1775">
        <f>K56/K43</f>
        <v>5.8668559579612726E-3</v>
      </c>
      <c r="L57" s="1775">
        <f>L56/L43</f>
        <v>4.0367093401732701E-3</v>
      </c>
      <c r="M57" s="1775">
        <f>M56/M43</f>
        <v>3.4184658207840556E-3</v>
      </c>
      <c r="N57" s="1879">
        <f>M57</f>
        <v>3.4184658207840556E-3</v>
      </c>
      <c r="O57" s="1879">
        <f t="shared" ref="O57:R57" si="21">N57</f>
        <v>3.4184658207840556E-3</v>
      </c>
      <c r="P57" s="1879">
        <f t="shared" si="21"/>
        <v>3.4184658207840556E-3</v>
      </c>
      <c r="Q57" s="1879">
        <f t="shared" si="21"/>
        <v>3.4184658207840556E-3</v>
      </c>
      <c r="R57" s="2387">
        <f t="shared" si="21"/>
        <v>3.4184658207840556E-3</v>
      </c>
      <c r="S57" s="2406"/>
      <c r="T57" s="1113"/>
      <c r="U57" s="1113"/>
      <c r="V57" s="1113"/>
      <c r="W57" s="1075"/>
      <c r="X57" s="1075"/>
      <c r="Y57" s="1075"/>
      <c r="Z57" s="1075"/>
      <c r="AA57" s="1075"/>
      <c r="AB57" s="1075"/>
      <c r="AC57" s="1075"/>
      <c r="AD57" s="1075"/>
      <c r="AE57" s="1075"/>
      <c r="AF57" s="1075"/>
      <c r="AG57" s="1075"/>
      <c r="AH57" s="1075"/>
      <c r="AI57" s="1075"/>
      <c r="AJ57" s="1075"/>
      <c r="AK57" s="1075"/>
      <c r="AL57" s="1075"/>
      <c r="AM57" s="1075"/>
      <c r="AN57" s="1075"/>
      <c r="AO57" s="1075"/>
      <c r="AP57" s="1075"/>
      <c r="AQ57" s="1075"/>
      <c r="AR57" s="1075"/>
      <c r="AS57" s="1075"/>
      <c r="AT57" s="1075"/>
      <c r="AU57" s="1075"/>
      <c r="AV57" s="1075"/>
      <c r="AW57" s="1075"/>
      <c r="AX57" s="1075"/>
      <c r="AY57" s="1075"/>
      <c r="AZ57" s="1075"/>
    </row>
    <row r="58" spans="1:52" ht="18" customHeight="1">
      <c r="A58" s="109"/>
      <c r="B58" s="1772"/>
      <c r="C58" s="1117"/>
      <c r="D58" s="1117"/>
      <c r="E58" s="1117"/>
      <c r="F58" s="1117"/>
      <c r="G58" s="1117"/>
      <c r="H58" s="1118"/>
      <c r="I58" s="1123"/>
      <c r="J58" s="1124"/>
      <c r="K58" s="1123"/>
      <c r="L58" s="1124"/>
      <c r="M58" s="1124"/>
      <c r="N58" s="1124"/>
      <c r="O58" s="1123"/>
      <c r="P58" s="1123"/>
      <c r="Q58" s="1124"/>
      <c r="R58" s="2390"/>
      <c r="S58" s="2378"/>
      <c r="T58" s="109"/>
      <c r="U58" s="109"/>
      <c r="V58" s="109"/>
      <c r="W58" s="1075"/>
      <c r="X58" s="1075"/>
      <c r="Y58" s="1075"/>
      <c r="Z58" s="1075"/>
      <c r="AA58" s="1075"/>
      <c r="AB58" s="1075"/>
      <c r="AC58" s="1075"/>
      <c r="AD58" s="1075"/>
      <c r="AE58" s="1075"/>
      <c r="AF58" s="1075"/>
      <c r="AG58" s="1075"/>
      <c r="AH58" s="1075"/>
      <c r="AI58" s="1075"/>
      <c r="AJ58" s="1075"/>
      <c r="AK58" s="1075"/>
      <c r="AL58" s="1075"/>
      <c r="AM58" s="1075"/>
      <c r="AN58" s="1075"/>
      <c r="AO58" s="1075"/>
      <c r="AP58" s="1075"/>
      <c r="AQ58" s="1075"/>
      <c r="AR58" s="1075"/>
      <c r="AS58" s="1075"/>
      <c r="AT58" s="1075"/>
      <c r="AU58" s="1075"/>
      <c r="AV58" s="1075"/>
      <c r="AW58" s="1075"/>
      <c r="AX58" s="1075"/>
      <c r="AY58" s="1075"/>
      <c r="AZ58" s="1075"/>
    </row>
    <row r="59" spans="1:52" ht="18" customHeight="1">
      <c r="A59" s="109"/>
      <c r="B59" s="1125" t="s">
        <v>1048</v>
      </c>
      <c r="C59" s="1117">
        <v>101</v>
      </c>
      <c r="D59" s="1117">
        <v>5</v>
      </c>
      <c r="E59" s="1117">
        <v>5</v>
      </c>
      <c r="F59" s="1117">
        <f>N43*N60</f>
        <v>112.84909104999998</v>
      </c>
      <c r="G59" s="1117">
        <f>N59/N43</f>
        <v>1.7693071981626306E-2</v>
      </c>
      <c r="H59" s="1120">
        <f>N59</f>
        <v>112.84909104999998</v>
      </c>
      <c r="I59" s="997">
        <f>I11</f>
        <v>55.81457365</v>
      </c>
      <c r="J59" s="997">
        <f>J11</f>
        <v>63.990855880000005</v>
      </c>
      <c r="K59" s="997">
        <f>K11</f>
        <v>78.155881199999996</v>
      </c>
      <c r="L59" s="997">
        <f>L11</f>
        <v>86.986311489999991</v>
      </c>
      <c r="M59" s="997">
        <f>M11</f>
        <v>112.84909105</v>
      </c>
      <c r="N59" s="1877">
        <f>N43*N60</f>
        <v>112.84909104999998</v>
      </c>
      <c r="O59" s="1877">
        <f t="shared" ref="O59:R59" si="22">O43*O60</f>
        <v>112.84909104999998</v>
      </c>
      <c r="P59" s="1877">
        <f t="shared" si="22"/>
        <v>112.84909104999998</v>
      </c>
      <c r="Q59" s="1877">
        <f t="shared" si="22"/>
        <v>112.84909104999998</v>
      </c>
      <c r="R59" s="2386">
        <f t="shared" si="22"/>
        <v>112.84909104999998</v>
      </c>
      <c r="S59" s="2378"/>
      <c r="T59" s="109"/>
      <c r="U59" s="109"/>
      <c r="V59" s="109"/>
      <c r="W59" s="1075"/>
      <c r="X59" s="1075"/>
      <c r="Y59" s="1075"/>
      <c r="Z59" s="1075"/>
      <c r="AA59" s="1075"/>
      <c r="AB59" s="1075"/>
      <c r="AC59" s="1075"/>
      <c r="AD59" s="1075"/>
      <c r="AE59" s="1075"/>
      <c r="AF59" s="1075"/>
      <c r="AG59" s="1075"/>
      <c r="AH59" s="1075"/>
      <c r="AI59" s="1075"/>
      <c r="AJ59" s="1075"/>
      <c r="AK59" s="1075"/>
      <c r="AL59" s="1075"/>
      <c r="AM59" s="1075"/>
      <c r="AN59" s="1075"/>
      <c r="AO59" s="1075"/>
      <c r="AP59" s="1075"/>
      <c r="AQ59" s="1075"/>
      <c r="AR59" s="1075"/>
      <c r="AS59" s="1075"/>
      <c r="AT59" s="1075"/>
      <c r="AU59" s="1075"/>
      <c r="AV59" s="1075"/>
      <c r="AW59" s="1075"/>
      <c r="AX59" s="1075"/>
      <c r="AY59" s="1075"/>
      <c r="AZ59" s="1075"/>
    </row>
    <row r="60" spans="1:52" ht="18" customHeight="1">
      <c r="A60" s="1113"/>
      <c r="B60" s="1764" t="s">
        <v>1404</v>
      </c>
      <c r="C60" s="1114"/>
      <c r="D60" s="1114"/>
      <c r="E60" s="1114"/>
      <c r="F60" s="1114"/>
      <c r="G60" s="1114"/>
      <c r="H60" s="1115"/>
      <c r="I60" s="1775">
        <f>I59/I43</f>
        <v>1.6747027647292769E-2</v>
      </c>
      <c r="J60" s="1775">
        <f>J59/J43</f>
        <v>1.6193627449532354E-2</v>
      </c>
      <c r="K60" s="1775">
        <f>K59/K43</f>
        <v>1.7046292032178736E-2</v>
      </c>
      <c r="L60" s="1775">
        <f>L59/L43</f>
        <v>1.8085464507855822E-2</v>
      </c>
      <c r="M60" s="1775">
        <f>M59/M43</f>
        <v>1.7693071981626306E-2</v>
      </c>
      <c r="N60" s="1879">
        <f>M60</f>
        <v>1.7693071981626306E-2</v>
      </c>
      <c r="O60" s="1879">
        <f t="shared" ref="O60:R60" si="23">N60</f>
        <v>1.7693071981626306E-2</v>
      </c>
      <c r="P60" s="1879">
        <f t="shared" si="23"/>
        <v>1.7693071981626306E-2</v>
      </c>
      <c r="Q60" s="1879">
        <f t="shared" si="23"/>
        <v>1.7693071981626306E-2</v>
      </c>
      <c r="R60" s="2387">
        <f t="shared" si="23"/>
        <v>1.7693071981626306E-2</v>
      </c>
      <c r="S60" s="2406"/>
      <c r="T60" s="1113"/>
      <c r="U60" s="1113"/>
      <c r="V60" s="1113"/>
      <c r="W60" s="1075"/>
      <c r="X60" s="1075"/>
      <c r="Y60" s="1075"/>
      <c r="Z60" s="1075"/>
      <c r="AA60" s="1075"/>
      <c r="AB60" s="1075"/>
      <c r="AC60" s="1075"/>
      <c r="AD60" s="1075"/>
      <c r="AE60" s="1075"/>
      <c r="AF60" s="1075"/>
      <c r="AG60" s="1075"/>
      <c r="AH60" s="1075"/>
      <c r="AI60" s="1075"/>
      <c r="AJ60" s="1075"/>
      <c r="AK60" s="1075"/>
      <c r="AL60" s="1075"/>
      <c r="AM60" s="1075"/>
      <c r="AN60" s="1075"/>
      <c r="AO60" s="1075"/>
      <c r="AP60" s="1075"/>
      <c r="AQ60" s="1075"/>
      <c r="AR60" s="1075"/>
      <c r="AS60" s="1075"/>
      <c r="AT60" s="1075"/>
      <c r="AU60" s="1075"/>
      <c r="AV60" s="1075"/>
      <c r="AW60" s="1075"/>
      <c r="AX60" s="1075"/>
      <c r="AY60" s="1075"/>
      <c r="AZ60" s="1075"/>
    </row>
    <row r="61" spans="1:52" ht="18" customHeight="1">
      <c r="A61" s="109"/>
      <c r="B61" s="1772"/>
      <c r="C61" s="1117"/>
      <c r="D61" s="1117"/>
      <c r="E61" s="1117"/>
      <c r="F61" s="1117"/>
      <c r="G61" s="1117"/>
      <c r="H61" s="1118"/>
      <c r="I61" s="1123"/>
      <c r="J61" s="1124"/>
      <c r="K61" s="1123"/>
      <c r="L61" s="1124"/>
      <c r="M61" s="1124"/>
      <c r="N61" s="1124"/>
      <c r="O61" s="1123"/>
      <c r="P61" s="1123"/>
      <c r="Q61" s="1124"/>
      <c r="R61" s="2390"/>
      <c r="S61" s="2378"/>
      <c r="T61" s="109"/>
      <c r="U61" s="109"/>
      <c r="V61" s="109"/>
      <c r="W61" s="1075"/>
      <c r="X61" s="1075"/>
      <c r="Y61" s="1075"/>
      <c r="Z61" s="1075"/>
      <c r="AA61" s="1075"/>
      <c r="AB61" s="1075"/>
      <c r="AC61" s="1075"/>
      <c r="AD61" s="1075"/>
      <c r="AE61" s="1075"/>
      <c r="AF61" s="1075"/>
      <c r="AG61" s="1075"/>
      <c r="AH61" s="1075"/>
      <c r="AI61" s="1075"/>
      <c r="AJ61" s="1075"/>
      <c r="AK61" s="1075"/>
      <c r="AL61" s="1075"/>
      <c r="AM61" s="1075"/>
      <c r="AN61" s="1075"/>
      <c r="AO61" s="1075"/>
      <c r="AP61" s="1075"/>
      <c r="AQ61" s="1075"/>
      <c r="AR61" s="1075"/>
      <c r="AS61" s="1075"/>
      <c r="AT61" s="1075"/>
      <c r="AU61" s="1075"/>
      <c r="AV61" s="1075"/>
      <c r="AW61" s="1075"/>
      <c r="AX61" s="1075"/>
      <c r="AY61" s="1075"/>
      <c r="AZ61" s="1075"/>
    </row>
    <row r="62" spans="1:52" ht="18" customHeight="1">
      <c r="A62" s="109"/>
      <c r="B62" s="1125" t="s">
        <v>1049</v>
      </c>
      <c r="C62" s="1117">
        <v>101</v>
      </c>
      <c r="D62" s="1117">
        <v>5</v>
      </c>
      <c r="E62" s="1117">
        <v>5</v>
      </c>
      <c r="F62" s="1117">
        <f>N63*N43</f>
        <v>97.549293969999994</v>
      </c>
      <c r="G62" s="1117">
        <f>N62/N43</f>
        <v>1.5294289603124234E-2</v>
      </c>
      <c r="H62" s="1120">
        <f>N62</f>
        <v>97.549293969999994</v>
      </c>
      <c r="I62" s="997">
        <f>I12</f>
        <v>193.75757265999999</v>
      </c>
      <c r="J62" s="997">
        <f>J12</f>
        <v>209.36716736000002</v>
      </c>
      <c r="K62" s="997">
        <f>K12</f>
        <v>79.338761969999993</v>
      </c>
      <c r="L62" s="997">
        <f>L12</f>
        <v>84.266100010000002</v>
      </c>
      <c r="M62" s="997">
        <f>M12</f>
        <v>97.549293969999994</v>
      </c>
      <c r="N62" s="1877">
        <f>N63*N43</f>
        <v>97.549293969999994</v>
      </c>
      <c r="O62" s="1877">
        <f t="shared" ref="O62:R62" si="24">O63*O43</f>
        <v>97.549293969999994</v>
      </c>
      <c r="P62" s="1877">
        <f t="shared" si="24"/>
        <v>97.549293969999994</v>
      </c>
      <c r="Q62" s="1877">
        <f t="shared" si="24"/>
        <v>97.549293969999994</v>
      </c>
      <c r="R62" s="2386">
        <f t="shared" si="24"/>
        <v>97.549293969999994</v>
      </c>
      <c r="S62" s="2378"/>
      <c r="T62" s="109"/>
      <c r="U62" s="109"/>
      <c r="V62" s="109"/>
      <c r="W62" s="1075"/>
      <c r="X62" s="1075"/>
      <c r="Y62" s="1075"/>
      <c r="Z62" s="1075"/>
      <c r="AA62" s="1075"/>
      <c r="AB62" s="1075"/>
      <c r="AC62" s="1075"/>
      <c r="AD62" s="1075"/>
      <c r="AE62" s="1075"/>
      <c r="AF62" s="1075"/>
      <c r="AG62" s="1075"/>
      <c r="AH62" s="1075"/>
      <c r="AI62" s="1075"/>
      <c r="AJ62" s="1075"/>
      <c r="AK62" s="1075"/>
      <c r="AL62" s="1075"/>
      <c r="AM62" s="1075"/>
      <c r="AN62" s="1075"/>
      <c r="AO62" s="1075"/>
      <c r="AP62" s="1075"/>
      <c r="AQ62" s="1075"/>
      <c r="AR62" s="1075"/>
      <c r="AS62" s="1075"/>
      <c r="AT62" s="1075"/>
      <c r="AU62" s="1075"/>
      <c r="AV62" s="1075"/>
      <c r="AW62" s="1075"/>
      <c r="AX62" s="1075"/>
      <c r="AY62" s="1075"/>
      <c r="AZ62" s="1075"/>
    </row>
    <row r="63" spans="1:52" ht="18" customHeight="1">
      <c r="A63" s="1113"/>
      <c r="B63" s="1764" t="s">
        <v>1405</v>
      </c>
      <c r="C63" s="1114"/>
      <c r="D63" s="1114"/>
      <c r="E63" s="1114"/>
      <c r="F63" s="1114"/>
      <c r="G63" s="1114"/>
      <c r="H63" s="1115"/>
      <c r="I63" s="1775">
        <f>I62/I43</f>
        <v>5.8136490418383001E-2</v>
      </c>
      <c r="J63" s="1775">
        <f>J62/J43</f>
        <v>5.2982787333703818E-2</v>
      </c>
      <c r="K63" s="1775">
        <f>K62/K43</f>
        <v>1.7304285809935139E-2</v>
      </c>
      <c r="L63" s="1775">
        <f>L62/L43</f>
        <v>1.7519900945811268E-2</v>
      </c>
      <c r="M63" s="1775">
        <f>M62/M43</f>
        <v>1.5294289603124234E-2</v>
      </c>
      <c r="N63" s="1879">
        <f>M63</f>
        <v>1.5294289603124234E-2</v>
      </c>
      <c r="O63" s="1879">
        <f t="shared" ref="O63:R63" si="25">N63</f>
        <v>1.5294289603124234E-2</v>
      </c>
      <c r="P63" s="1879">
        <f t="shared" si="25"/>
        <v>1.5294289603124234E-2</v>
      </c>
      <c r="Q63" s="1879">
        <f t="shared" si="25"/>
        <v>1.5294289603124234E-2</v>
      </c>
      <c r="R63" s="2387">
        <f t="shared" si="25"/>
        <v>1.5294289603124234E-2</v>
      </c>
      <c r="S63" s="2406"/>
      <c r="T63" s="1113"/>
      <c r="U63" s="1113"/>
      <c r="V63" s="1113"/>
      <c r="W63" s="1075"/>
      <c r="X63" s="1075"/>
      <c r="Y63" s="1075"/>
      <c r="Z63" s="1075"/>
      <c r="AA63" s="1075"/>
      <c r="AB63" s="1075"/>
      <c r="AC63" s="1075"/>
      <c r="AD63" s="1075"/>
      <c r="AE63" s="1075"/>
      <c r="AF63" s="1075"/>
      <c r="AG63" s="1075"/>
      <c r="AH63" s="1075"/>
      <c r="AI63" s="1075"/>
      <c r="AJ63" s="1075"/>
      <c r="AK63" s="1075"/>
      <c r="AL63" s="1075"/>
      <c r="AM63" s="1075"/>
      <c r="AN63" s="1075"/>
      <c r="AO63" s="1075"/>
      <c r="AP63" s="1075"/>
      <c r="AQ63" s="1075"/>
      <c r="AR63" s="1075"/>
      <c r="AS63" s="1075"/>
      <c r="AT63" s="1075"/>
      <c r="AU63" s="1075"/>
      <c r="AV63" s="1075"/>
      <c r="AW63" s="1075"/>
      <c r="AX63" s="1075"/>
      <c r="AY63" s="1075"/>
      <c r="AZ63" s="1075"/>
    </row>
    <row r="64" spans="1:52" ht="18" customHeight="1">
      <c r="A64" s="109"/>
      <c r="B64" s="1772"/>
      <c r="C64" s="1117"/>
      <c r="D64" s="1117"/>
      <c r="E64" s="1117"/>
      <c r="F64" s="1117"/>
      <c r="G64" s="1117"/>
      <c r="H64" s="1118"/>
      <c r="I64" s="1123"/>
      <c r="J64" s="1124"/>
      <c r="K64" s="1123"/>
      <c r="L64" s="1124"/>
      <c r="M64" s="1124"/>
      <c r="N64" s="1124"/>
      <c r="O64" s="1123"/>
      <c r="P64" s="1123"/>
      <c r="Q64" s="1124"/>
      <c r="R64" s="2390"/>
      <c r="S64" s="2378"/>
      <c r="T64" s="109"/>
      <c r="U64" s="109"/>
      <c r="V64" s="109"/>
      <c r="W64" s="1075"/>
      <c r="X64" s="1075"/>
      <c r="Y64" s="1075"/>
      <c r="Z64" s="1075"/>
      <c r="AA64" s="1075"/>
      <c r="AB64" s="1075"/>
      <c r="AC64" s="1075"/>
      <c r="AD64" s="1075"/>
      <c r="AE64" s="1075"/>
      <c r="AF64" s="1075"/>
      <c r="AG64" s="1075"/>
      <c r="AH64" s="1075"/>
      <c r="AI64" s="1075"/>
      <c r="AJ64" s="1075"/>
      <c r="AK64" s="1075"/>
      <c r="AL64" s="1075"/>
      <c r="AM64" s="1075"/>
      <c r="AN64" s="1075"/>
      <c r="AO64" s="1075"/>
      <c r="AP64" s="1075"/>
      <c r="AQ64" s="1075"/>
      <c r="AR64" s="1075"/>
      <c r="AS64" s="1075"/>
      <c r="AT64" s="1075"/>
      <c r="AU64" s="1075"/>
      <c r="AV64" s="1075"/>
      <c r="AW64" s="1075"/>
      <c r="AX64" s="1075"/>
      <c r="AY64" s="1075"/>
      <c r="AZ64" s="1075"/>
    </row>
    <row r="65" spans="1:52" ht="18" customHeight="1">
      <c r="A65" s="109"/>
      <c r="B65" s="1125" t="s">
        <v>1406</v>
      </c>
      <c r="C65" s="1117">
        <v>101</v>
      </c>
      <c r="D65" s="1117">
        <v>5</v>
      </c>
      <c r="E65" s="1117">
        <v>5</v>
      </c>
      <c r="F65" s="1117">
        <f>N43*N66</f>
        <v>202.87571151</v>
      </c>
      <c r="G65" s="1117">
        <f>N65/N43</f>
        <v>3.1807917402539708E-2</v>
      </c>
      <c r="H65" s="1120">
        <f>N65</f>
        <v>202.87571151</v>
      </c>
      <c r="I65" s="997">
        <f>I13</f>
        <v>0</v>
      </c>
      <c r="J65" s="997">
        <f>J13</f>
        <v>0</v>
      </c>
      <c r="K65" s="997">
        <f>K13</f>
        <v>152.83954233</v>
      </c>
      <c r="L65" s="997">
        <f>L13</f>
        <v>179.47818361</v>
      </c>
      <c r="M65" s="997">
        <f>M13</f>
        <v>202.87571151</v>
      </c>
      <c r="N65" s="1877">
        <f>N43*N66</f>
        <v>202.87571151</v>
      </c>
      <c r="O65" s="1877">
        <f t="shared" ref="O65:R65" si="26">O43*O66</f>
        <v>202.87571151</v>
      </c>
      <c r="P65" s="1877">
        <f t="shared" si="26"/>
        <v>202.87571151</v>
      </c>
      <c r="Q65" s="1877">
        <f t="shared" si="26"/>
        <v>202.87571151</v>
      </c>
      <c r="R65" s="2391">
        <f t="shared" si="26"/>
        <v>202.87571151</v>
      </c>
      <c r="S65" s="2378"/>
      <c r="T65" s="109"/>
      <c r="U65" s="109"/>
      <c r="V65" s="109"/>
      <c r="W65" s="1075"/>
      <c r="X65" s="1075"/>
      <c r="Y65" s="1075"/>
      <c r="Z65" s="1075"/>
      <c r="AA65" s="1075"/>
      <c r="AB65" s="1075"/>
      <c r="AC65" s="1075"/>
      <c r="AD65" s="1075"/>
      <c r="AE65" s="1075"/>
      <c r="AF65" s="1075"/>
      <c r="AG65" s="1075"/>
      <c r="AH65" s="1075"/>
      <c r="AI65" s="1075"/>
      <c r="AJ65" s="1075"/>
      <c r="AK65" s="1075"/>
      <c r="AL65" s="1075"/>
      <c r="AM65" s="1075"/>
      <c r="AN65" s="1075"/>
      <c r="AO65" s="1075"/>
      <c r="AP65" s="1075"/>
      <c r="AQ65" s="1075"/>
      <c r="AR65" s="1075"/>
      <c r="AS65" s="1075"/>
      <c r="AT65" s="1075"/>
      <c r="AU65" s="1075"/>
      <c r="AV65" s="1075"/>
      <c r="AW65" s="1075"/>
      <c r="AX65" s="1075"/>
      <c r="AY65" s="1075"/>
      <c r="AZ65" s="1075"/>
    </row>
    <row r="66" spans="1:52" ht="18" customHeight="1">
      <c r="A66" s="109"/>
      <c r="B66" s="1764" t="s">
        <v>1407</v>
      </c>
      <c r="C66" s="1114"/>
      <c r="D66" s="1114"/>
      <c r="E66" s="1114"/>
      <c r="F66" s="1114"/>
      <c r="G66" s="1114"/>
      <c r="H66" s="1115"/>
      <c r="I66" s="1775">
        <f>I65/I43</f>
        <v>0</v>
      </c>
      <c r="J66" s="1775">
        <f>J65/J43</f>
        <v>0</v>
      </c>
      <c r="K66" s="1775">
        <f>K65/K43</f>
        <v>3.3335270905009311E-2</v>
      </c>
      <c r="L66" s="1775">
        <f>L65/L43</f>
        <v>3.7315599017970109E-2</v>
      </c>
      <c r="M66" s="1775">
        <f>M65/M43</f>
        <v>3.1807917402539708E-2</v>
      </c>
      <c r="N66" s="1879">
        <f>M66</f>
        <v>3.1807917402539708E-2</v>
      </c>
      <c r="O66" s="1879">
        <f t="shared" ref="O66:R66" si="27">N66</f>
        <v>3.1807917402539708E-2</v>
      </c>
      <c r="P66" s="1879">
        <f t="shared" si="27"/>
        <v>3.1807917402539708E-2</v>
      </c>
      <c r="Q66" s="1879">
        <f t="shared" si="27"/>
        <v>3.1807917402539708E-2</v>
      </c>
      <c r="R66" s="2387">
        <f t="shared" si="27"/>
        <v>3.1807917402539708E-2</v>
      </c>
      <c r="S66" s="2378"/>
      <c r="T66" s="109"/>
      <c r="U66" s="109"/>
      <c r="V66" s="109"/>
      <c r="W66" s="1075"/>
      <c r="X66" s="1075"/>
      <c r="Y66" s="1075"/>
      <c r="Z66" s="1075"/>
      <c r="AA66" s="1075"/>
      <c r="AB66" s="1075"/>
      <c r="AC66" s="1075"/>
      <c r="AD66" s="1075"/>
      <c r="AE66" s="1075"/>
      <c r="AF66" s="1075"/>
      <c r="AG66" s="1075"/>
      <c r="AH66" s="1075"/>
      <c r="AI66" s="1075"/>
      <c r="AJ66" s="1075"/>
      <c r="AK66" s="1075"/>
      <c r="AL66" s="1075"/>
      <c r="AM66" s="1075"/>
      <c r="AN66" s="1075"/>
      <c r="AO66" s="1075"/>
      <c r="AP66" s="1075"/>
      <c r="AQ66" s="1075"/>
      <c r="AR66" s="1075"/>
      <c r="AS66" s="1075"/>
      <c r="AT66" s="1075"/>
      <c r="AU66" s="1075"/>
      <c r="AV66" s="1075"/>
      <c r="AW66" s="1075"/>
      <c r="AX66" s="1075"/>
      <c r="AY66" s="1075"/>
      <c r="AZ66" s="1075"/>
    </row>
    <row r="67" spans="1:52" ht="18" customHeight="1">
      <c r="A67" s="109"/>
      <c r="B67" s="1772"/>
      <c r="C67" s="1117"/>
      <c r="D67" s="1117"/>
      <c r="E67" s="1117"/>
      <c r="F67" s="1117"/>
      <c r="G67" s="1117"/>
      <c r="H67" s="1118"/>
      <c r="I67" s="1123"/>
      <c r="J67" s="1124"/>
      <c r="K67" s="1123"/>
      <c r="L67" s="1124"/>
      <c r="M67" s="1124"/>
      <c r="N67" s="1124"/>
      <c r="O67" s="1123"/>
      <c r="P67" s="1123"/>
      <c r="Q67" s="1124"/>
      <c r="R67" s="2390"/>
      <c r="S67" s="2378"/>
      <c r="T67" s="109"/>
      <c r="U67" s="109"/>
      <c r="V67" s="109"/>
      <c r="W67" s="1075"/>
      <c r="X67" s="1075"/>
      <c r="Y67" s="1075"/>
      <c r="Z67" s="1075"/>
      <c r="AA67" s="1075"/>
      <c r="AB67" s="1075"/>
      <c r="AC67" s="1075"/>
      <c r="AD67" s="1075"/>
      <c r="AE67" s="1075"/>
      <c r="AF67" s="1075"/>
      <c r="AG67" s="1075"/>
      <c r="AH67" s="1075"/>
      <c r="AI67" s="1075"/>
      <c r="AJ67" s="1075"/>
      <c r="AK67" s="1075"/>
      <c r="AL67" s="1075"/>
      <c r="AM67" s="1075"/>
      <c r="AN67" s="1075"/>
      <c r="AO67" s="1075"/>
      <c r="AP67" s="1075"/>
      <c r="AQ67" s="1075"/>
      <c r="AR67" s="1075"/>
      <c r="AS67" s="1075"/>
      <c r="AT67" s="1075"/>
      <c r="AU67" s="1075"/>
      <c r="AV67" s="1075"/>
      <c r="AW67" s="1075"/>
      <c r="AX67" s="1075"/>
      <c r="AY67" s="1075"/>
      <c r="AZ67" s="1075"/>
    </row>
    <row r="68" spans="1:52" ht="18" customHeight="1">
      <c r="A68" s="109"/>
      <c r="B68" s="1125" t="s">
        <v>1050</v>
      </c>
      <c r="C68" s="1117"/>
      <c r="D68" s="1117"/>
      <c r="E68" s="1117"/>
      <c r="F68" s="1117"/>
      <c r="G68" s="1117"/>
      <c r="H68" s="1118"/>
      <c r="I68" s="997">
        <f>I14</f>
        <v>30.090965140000002</v>
      </c>
      <c r="J68" s="997">
        <f>J14</f>
        <v>10.62166856</v>
      </c>
      <c r="K68" s="997">
        <f>K14</f>
        <v>14.219765599999999</v>
      </c>
      <c r="L68" s="997">
        <f>L14</f>
        <v>-5.4848195300000002</v>
      </c>
      <c r="M68" s="997">
        <f>M14</f>
        <v>-0.27753359999999999</v>
      </c>
      <c r="N68" s="938">
        <f ca="1">N72-N69+N77</f>
        <v>2366.7043487452747</v>
      </c>
      <c r="O68" s="938">
        <f ca="1">O72-O69+O77</f>
        <v>2613.7758206225985</v>
      </c>
      <c r="P68" s="938">
        <f ca="1">P72-P69+P77</f>
        <v>2613.7758206225985</v>
      </c>
      <c r="Q68" s="938">
        <f ca="1">Q72-Q69+Q77</f>
        <v>2613.7758206225985</v>
      </c>
      <c r="R68" s="2392">
        <f ca="1">R72-R69+R77</f>
        <v>2613.7758206225985</v>
      </c>
      <c r="S68" s="2378"/>
      <c r="T68" s="109"/>
      <c r="U68" s="109"/>
      <c r="V68" s="109"/>
      <c r="W68" s="1075"/>
      <c r="X68" s="1075"/>
      <c r="Y68" s="1075"/>
      <c r="Z68" s="1075"/>
      <c r="AA68" s="1075"/>
      <c r="AB68" s="1075"/>
      <c r="AC68" s="1075"/>
      <c r="AD68" s="1075"/>
      <c r="AE68" s="1075"/>
      <c r="AF68" s="1075"/>
      <c r="AG68" s="1075"/>
      <c r="AH68" s="1075"/>
      <c r="AI68" s="1075"/>
      <c r="AJ68" s="1075"/>
      <c r="AK68" s="1075"/>
      <c r="AL68" s="1075"/>
      <c r="AM68" s="1075"/>
      <c r="AN68" s="1075"/>
      <c r="AO68" s="1075"/>
      <c r="AP68" s="1075"/>
      <c r="AQ68" s="1075"/>
      <c r="AR68" s="1075"/>
      <c r="AS68" s="1075"/>
      <c r="AT68" s="1075"/>
      <c r="AU68" s="1075"/>
      <c r="AV68" s="1075"/>
      <c r="AW68" s="1075"/>
      <c r="AX68" s="1075"/>
      <c r="AY68" s="1075"/>
      <c r="AZ68" s="1075"/>
    </row>
    <row r="69" spans="1:52" ht="18" customHeight="1">
      <c r="A69" s="109"/>
      <c r="B69" s="1763" t="s">
        <v>1347</v>
      </c>
      <c r="C69" s="1129"/>
      <c r="D69" s="1129"/>
      <c r="E69" s="1129"/>
      <c r="F69" s="1129"/>
      <c r="G69" s="1129"/>
      <c r="H69" s="1130"/>
      <c r="I69" s="1131">
        <v>200</v>
      </c>
      <c r="J69" s="1131">
        <v>200</v>
      </c>
      <c r="K69" s="1131">
        <v>200</v>
      </c>
      <c r="L69" s="1131">
        <v>200</v>
      </c>
      <c r="M69" s="1131">
        <v>200</v>
      </c>
      <c r="N69" s="1132">
        <f ca="1">(资产负债!M100+资产负债!N100)/2*N70*N71</f>
        <v>386.65231697556806</v>
      </c>
      <c r="O69" s="1132">
        <f ca="1">(资产负债!N100+资产负债!O100)/2*O70*O71</f>
        <v>139.58084509824459</v>
      </c>
      <c r="P69" s="1132">
        <f ca="1">(资产负债!O100+资产负债!P100)/2*P70*P71</f>
        <v>139.58084509824459</v>
      </c>
      <c r="Q69" s="1132">
        <f ca="1">(资产负债!P100+资产负债!Q100)/2*Q70*Q71</f>
        <v>139.58084509824459</v>
      </c>
      <c r="R69" s="2393">
        <f ca="1">(资产负债!Q100+资产负债!R100)/2*R70*R71</f>
        <v>139.58084509824459</v>
      </c>
      <c r="S69" s="2378"/>
      <c r="T69" s="109"/>
      <c r="U69" s="109"/>
      <c r="V69" s="109"/>
      <c r="W69" s="1075"/>
      <c r="X69" s="1075"/>
      <c r="Y69" s="1075"/>
      <c r="Z69" s="1075"/>
      <c r="AA69" s="1075"/>
      <c r="AB69" s="1075"/>
      <c r="AC69" s="1075"/>
      <c r="AD69" s="1075"/>
      <c r="AE69" s="1075"/>
      <c r="AF69" s="1075"/>
      <c r="AG69" s="1075"/>
      <c r="AH69" s="1075"/>
      <c r="AI69" s="1075"/>
      <c r="AJ69" s="1075"/>
      <c r="AK69" s="1075"/>
      <c r="AL69" s="1075"/>
      <c r="AM69" s="1075"/>
      <c r="AN69" s="1075"/>
      <c r="AO69" s="1075"/>
      <c r="AP69" s="1075"/>
      <c r="AQ69" s="1075"/>
      <c r="AR69" s="1075"/>
      <c r="AS69" s="1075"/>
      <c r="AT69" s="1075"/>
      <c r="AU69" s="1075"/>
      <c r="AV69" s="1075"/>
      <c r="AW69" s="1075"/>
      <c r="AX69" s="1075"/>
      <c r="AY69" s="1075"/>
      <c r="AZ69" s="1075"/>
    </row>
    <row r="70" spans="1:52" ht="18" customHeight="1">
      <c r="A70" s="1113"/>
      <c r="B70" s="2277" t="s">
        <v>188</v>
      </c>
      <c r="C70" s="1114">
        <v>102</v>
      </c>
      <c r="D70" s="1114">
        <v>6</v>
      </c>
      <c r="E70" s="1114">
        <v>6</v>
      </c>
      <c r="F70" s="1114"/>
      <c r="G70" s="1114"/>
      <c r="H70" s="1902">
        <f>N70</f>
        <v>0.33686397564687109</v>
      </c>
      <c r="I70" s="1776"/>
      <c r="J70" s="1776">
        <f>(J69*2/(资产负债!J100+资产负债!I100))/J71</f>
        <v>0.5749048083832875</v>
      </c>
      <c r="K70" s="1776">
        <f>(K69*2/(资产负债!K100+资产负债!J100))/K71</f>
        <v>0.86214489516257309</v>
      </c>
      <c r="L70" s="1776">
        <f>(L69*2/(资产负债!L100+资产负债!K100))/L71</f>
        <v>0.68666786570814886</v>
      </c>
      <c r="M70" s="1776">
        <f>(M69*2/(资产负债!M100+资产负债!L100))/M71</f>
        <v>0.33686397564687109</v>
      </c>
      <c r="N70" s="1879">
        <f>M70</f>
        <v>0.33686397564687109</v>
      </c>
      <c r="O70" s="1879">
        <f t="shared" ref="O70:R70" si="28">N70</f>
        <v>0.33686397564687109</v>
      </c>
      <c r="P70" s="1879">
        <f t="shared" si="28"/>
        <v>0.33686397564687109</v>
      </c>
      <c r="Q70" s="1879">
        <f t="shared" si="28"/>
        <v>0.33686397564687109</v>
      </c>
      <c r="R70" s="2387">
        <f t="shared" si="28"/>
        <v>0.33686397564687109</v>
      </c>
      <c r="S70" s="2406"/>
      <c r="T70" s="1113"/>
      <c r="U70" s="1113"/>
      <c r="V70" s="1113"/>
      <c r="W70" s="1075"/>
      <c r="X70" s="1075"/>
      <c r="Y70" s="1075"/>
      <c r="Z70" s="1075"/>
      <c r="AA70" s="1075"/>
      <c r="AB70" s="1075"/>
      <c r="AC70" s="1075"/>
      <c r="AD70" s="1075"/>
      <c r="AE70" s="1075"/>
      <c r="AF70" s="1075"/>
      <c r="AG70" s="1075"/>
      <c r="AH70" s="1075"/>
      <c r="AI70" s="1075"/>
      <c r="AJ70" s="1075"/>
      <c r="AK70" s="1075"/>
      <c r="AL70" s="1075"/>
      <c r="AM70" s="1075"/>
      <c r="AN70" s="1075"/>
      <c r="AO70" s="1075"/>
      <c r="AP70" s="1075"/>
      <c r="AQ70" s="1075"/>
      <c r="AR70" s="1075"/>
      <c r="AS70" s="1075"/>
      <c r="AT70" s="1075"/>
      <c r="AU70" s="1075"/>
      <c r="AV70" s="1075"/>
      <c r="AW70" s="1075"/>
      <c r="AX70" s="1075"/>
      <c r="AY70" s="1075"/>
      <c r="AZ70" s="1075"/>
    </row>
    <row r="71" spans="1:52" ht="18" customHeight="1">
      <c r="A71" s="109"/>
      <c r="B71" s="2278" t="s">
        <v>1355</v>
      </c>
      <c r="C71" s="1129"/>
      <c r="D71" s="1129"/>
      <c r="E71" s="1129"/>
      <c r="F71" s="1129"/>
      <c r="G71" s="1129"/>
      <c r="H71" s="1130"/>
      <c r="I71" s="2279"/>
      <c r="J71" s="2279">
        <v>0.7</v>
      </c>
      <c r="K71" s="2279">
        <v>0.7</v>
      </c>
      <c r="L71" s="2279">
        <v>0.7</v>
      </c>
      <c r="M71" s="2279">
        <v>0.5</v>
      </c>
      <c r="N71" s="1771">
        <v>1</v>
      </c>
      <c r="O71" s="1771">
        <v>1</v>
      </c>
      <c r="P71" s="1771">
        <v>1</v>
      </c>
      <c r="Q71" s="1771">
        <v>1</v>
      </c>
      <c r="R71" s="2394">
        <v>1</v>
      </c>
      <c r="S71" s="2378"/>
      <c r="T71" s="109"/>
      <c r="U71" s="109"/>
      <c r="V71" s="109"/>
      <c r="W71" s="1075"/>
      <c r="X71" s="1075"/>
      <c r="Y71" s="1075"/>
      <c r="Z71" s="1075"/>
      <c r="AA71" s="1075"/>
      <c r="AB71" s="1075"/>
      <c r="AC71" s="1075"/>
      <c r="AD71" s="1075"/>
      <c r="AE71" s="1075"/>
      <c r="AF71" s="1075"/>
      <c r="AG71" s="1075"/>
      <c r="AH71" s="1075"/>
      <c r="AI71" s="1075"/>
      <c r="AJ71" s="1075"/>
      <c r="AK71" s="1075"/>
      <c r="AL71" s="1075"/>
      <c r="AM71" s="1075"/>
      <c r="AN71" s="1075"/>
      <c r="AO71" s="1075"/>
      <c r="AP71" s="1075"/>
      <c r="AQ71" s="1075"/>
      <c r="AR71" s="1075"/>
      <c r="AS71" s="1075"/>
      <c r="AT71" s="1075"/>
      <c r="AU71" s="1075"/>
      <c r="AV71" s="1075"/>
      <c r="AW71" s="1075"/>
      <c r="AX71" s="1075"/>
      <c r="AY71" s="1075"/>
      <c r="AZ71" s="1075"/>
    </row>
    <row r="72" spans="1:52" ht="18" customHeight="1">
      <c r="A72" s="109"/>
      <c r="B72" s="1764" t="s">
        <v>194</v>
      </c>
      <c r="C72" s="1126"/>
      <c r="D72" s="1126"/>
      <c r="E72" s="1126"/>
      <c r="F72" s="1126"/>
      <c r="G72" s="1126"/>
      <c r="H72" s="1127"/>
      <c r="I72" s="934">
        <v>100</v>
      </c>
      <c r="J72" s="934">
        <v>100</v>
      </c>
      <c r="K72" s="934">
        <v>100</v>
      </c>
      <c r="L72" s="934">
        <v>200</v>
      </c>
      <c r="M72" s="934">
        <v>1400</v>
      </c>
      <c r="N72" s="935">
        <f>(N73+N74)*N75-N76</f>
        <v>2753.356665720843</v>
      </c>
      <c r="O72" s="935">
        <f>(O73+O74)*O75-O76</f>
        <v>2753.356665720843</v>
      </c>
      <c r="P72" s="935">
        <f>(P73+P74)*P75-P76</f>
        <v>2753.356665720843</v>
      </c>
      <c r="Q72" s="935">
        <f>(Q73+Q74)*Q75-Q76</f>
        <v>2753.356665720843</v>
      </c>
      <c r="R72" s="936">
        <f>(R73+R74)*R75-R76</f>
        <v>2753.356665720843</v>
      </c>
      <c r="S72" s="2378"/>
      <c r="T72" s="109"/>
      <c r="U72" s="109"/>
      <c r="V72" s="109"/>
      <c r="W72" s="1075"/>
      <c r="X72" s="1075"/>
      <c r="Y72" s="1075"/>
      <c r="Z72" s="1075"/>
      <c r="AA72" s="1075"/>
      <c r="AB72" s="1075"/>
      <c r="AC72" s="1075"/>
      <c r="AD72" s="1075"/>
      <c r="AE72" s="1075"/>
      <c r="AF72" s="1075"/>
      <c r="AG72" s="1075"/>
      <c r="AH72" s="1075"/>
      <c r="AI72" s="1075"/>
      <c r="AJ72" s="1075"/>
      <c r="AK72" s="1075"/>
      <c r="AL72" s="1075"/>
      <c r="AM72" s="1075"/>
      <c r="AN72" s="1075"/>
      <c r="AO72" s="1075"/>
      <c r="AP72" s="1075"/>
      <c r="AQ72" s="1075"/>
      <c r="AR72" s="1075"/>
      <c r="AS72" s="1075"/>
      <c r="AT72" s="1075"/>
      <c r="AU72" s="1075"/>
      <c r="AV72" s="1075"/>
      <c r="AW72" s="1075"/>
      <c r="AX72" s="1075"/>
      <c r="AY72" s="1075"/>
      <c r="AZ72" s="1075"/>
    </row>
    <row r="73" spans="1:52" ht="18" customHeight="1">
      <c r="A73" s="109"/>
      <c r="B73" s="2278" t="s">
        <v>1348</v>
      </c>
      <c r="C73" s="1129"/>
      <c r="D73" s="1129"/>
      <c r="E73" s="1129"/>
      <c r="F73" s="1129"/>
      <c r="G73" s="1129"/>
      <c r="H73" s="1130"/>
      <c r="I73" s="1128"/>
      <c r="J73" s="997">
        <f>(现金流量!I68+现金流量!J68)/2</f>
        <v>0</v>
      </c>
      <c r="K73" s="997">
        <f>(现金流量!J68+现金流量!K68)/2</f>
        <v>0</v>
      </c>
      <c r="L73" s="997">
        <f>(现金流量!K68+现金流量!L68)/2</f>
        <v>7.7041296100000007</v>
      </c>
      <c r="M73" s="997">
        <f>(现金流量!L68+现金流量!M68)/2</f>
        <v>17.656502199999998</v>
      </c>
      <c r="N73" s="1124">
        <f>(现金流量!M68+现金流量!N68)/2</f>
        <v>19.904745179999999</v>
      </c>
      <c r="O73" s="1124">
        <f>(现金流量!N68+现金流量!O68)/2</f>
        <v>19.904745179999999</v>
      </c>
      <c r="P73" s="1124">
        <f>(现金流量!O68+现金流量!P68)/2</f>
        <v>19.904745179999999</v>
      </c>
      <c r="Q73" s="1124">
        <f>(现金流量!P68+现金流量!Q68)/2</f>
        <v>19.904745179999999</v>
      </c>
      <c r="R73" s="2384">
        <f>(现金流量!Q68+现金流量!R68)/2</f>
        <v>19.904745179999999</v>
      </c>
      <c r="S73" s="2378"/>
      <c r="T73" s="109"/>
      <c r="U73" s="109"/>
      <c r="V73" s="109"/>
      <c r="W73" s="1075"/>
      <c r="X73" s="1075"/>
      <c r="Y73" s="1075"/>
      <c r="Z73" s="1075"/>
      <c r="AA73" s="1075"/>
      <c r="AB73" s="1075"/>
      <c r="AC73" s="1075"/>
      <c r="AD73" s="1075"/>
      <c r="AE73" s="1075"/>
      <c r="AF73" s="1075"/>
      <c r="AG73" s="1075"/>
      <c r="AH73" s="1075"/>
      <c r="AI73" s="1075"/>
      <c r="AJ73" s="1075"/>
      <c r="AK73" s="1075"/>
      <c r="AL73" s="1075"/>
      <c r="AM73" s="1075"/>
      <c r="AN73" s="1075"/>
      <c r="AO73" s="1075"/>
      <c r="AP73" s="1075"/>
      <c r="AQ73" s="1075"/>
      <c r="AR73" s="1075"/>
      <c r="AS73" s="1075"/>
      <c r="AT73" s="1075"/>
      <c r="AU73" s="1075"/>
      <c r="AV73" s="1075"/>
      <c r="AW73" s="1075"/>
      <c r="AX73" s="1075"/>
      <c r="AY73" s="1075"/>
      <c r="AZ73" s="1075"/>
    </row>
    <row r="74" spans="1:52" ht="18" customHeight="1">
      <c r="A74" s="109"/>
      <c r="B74" s="2278" t="s">
        <v>1349</v>
      </c>
      <c r="C74" s="1129"/>
      <c r="D74" s="1129"/>
      <c r="E74" s="1129"/>
      <c r="F74" s="1129"/>
      <c r="G74" s="1129"/>
      <c r="H74" s="1130"/>
      <c r="I74" s="1128"/>
      <c r="J74" s="997">
        <f>(资产负债!I56+资产负债!J56+资产负债!I57+资产负债!J57)/2</f>
        <v>0</v>
      </c>
      <c r="K74" s="997">
        <f>(资产负债!J56+资产负债!K56+资产负债!J57+资产负债!K57)/2</f>
        <v>0</v>
      </c>
      <c r="L74" s="997">
        <f>(资产负债!K56+资产负债!L56+资产负债!K57+资产负债!L57)/2</f>
        <v>0</v>
      </c>
      <c r="M74" s="997">
        <f>(资产负债!L56+资产负债!M56+资产负债!L57+资产负债!M57)/2</f>
        <v>444.82250452999995</v>
      </c>
      <c r="N74" s="1124">
        <f>(资产负债!M56+资产负债!N56+资产负债!M57+资产负债!N57)/2</f>
        <v>889.64500905999989</v>
      </c>
      <c r="O74" s="1124">
        <f>(资产负债!N56+资产负债!O56+资产负债!N57+资产负债!O57)/2</f>
        <v>889.64500905999989</v>
      </c>
      <c r="P74" s="1124">
        <f>(资产负债!O56+资产负债!P56+资产负债!O57+资产负债!P57)/2</f>
        <v>889.64500905999989</v>
      </c>
      <c r="Q74" s="1124">
        <f>(资产负债!P56+资产负债!Q56+资产负债!P57+资产负债!Q57)/2</f>
        <v>889.64500905999989</v>
      </c>
      <c r="R74" s="2384">
        <f>(资产负债!Q56+资产负债!R56+资产负债!Q57+资产负债!R57)/2</f>
        <v>889.64500905999989</v>
      </c>
      <c r="S74" s="2378"/>
      <c r="T74" s="109"/>
      <c r="U74" s="109"/>
      <c r="V74" s="109"/>
      <c r="W74" s="1075"/>
      <c r="X74" s="1075"/>
      <c r="Y74" s="1075"/>
      <c r="Z74" s="1075"/>
      <c r="AA74" s="1075"/>
      <c r="AB74" s="1075"/>
      <c r="AC74" s="1075"/>
      <c r="AD74" s="1075"/>
      <c r="AE74" s="1075"/>
      <c r="AF74" s="1075"/>
      <c r="AG74" s="1075"/>
      <c r="AH74" s="1075"/>
      <c r="AI74" s="1075"/>
      <c r="AJ74" s="1075"/>
      <c r="AK74" s="1075"/>
      <c r="AL74" s="1075"/>
      <c r="AM74" s="1075"/>
      <c r="AN74" s="1075"/>
      <c r="AO74" s="1075"/>
      <c r="AP74" s="1075"/>
      <c r="AQ74" s="1075"/>
      <c r="AR74" s="1075"/>
      <c r="AS74" s="1075"/>
      <c r="AT74" s="1075"/>
      <c r="AU74" s="1075"/>
      <c r="AV74" s="1075"/>
      <c r="AW74" s="1075"/>
      <c r="AX74" s="1075"/>
      <c r="AY74" s="1075"/>
      <c r="AZ74" s="1075"/>
    </row>
    <row r="75" spans="1:52" ht="18" customHeight="1">
      <c r="A75" s="1113"/>
      <c r="B75" s="2278" t="s">
        <v>190</v>
      </c>
      <c r="C75" s="1121">
        <v>102</v>
      </c>
      <c r="D75" s="1121">
        <v>6</v>
      </c>
      <c r="E75" s="1121">
        <v>6</v>
      </c>
      <c r="F75" s="1121"/>
      <c r="G75" s="1121"/>
      <c r="H75" s="1122">
        <f>N75</f>
        <v>3.0271644326059857</v>
      </c>
      <c r="I75" s="1776"/>
      <c r="J75" s="1776" t="e">
        <f>(J76+J72)/(J73+J74)</f>
        <v>#DIV/0!</v>
      </c>
      <c r="K75" s="1776" t="e">
        <f>(K76+K72)/(K73+K74)</f>
        <v>#DIV/0!</v>
      </c>
      <c r="L75" s="1776">
        <f>(L76+L72)/(L73+L74)</f>
        <v>25.960103233517639</v>
      </c>
      <c r="M75" s="1776">
        <f>(M76+M72)/(M73+M74)</f>
        <v>3.0271644326059857</v>
      </c>
      <c r="N75" s="1882">
        <f>M75</f>
        <v>3.0271644326059857</v>
      </c>
      <c r="O75" s="1882">
        <f t="shared" ref="O75:R75" si="29">N75</f>
        <v>3.0271644326059857</v>
      </c>
      <c r="P75" s="1882">
        <f t="shared" si="29"/>
        <v>3.0271644326059857</v>
      </c>
      <c r="Q75" s="1882">
        <f t="shared" si="29"/>
        <v>3.0271644326059857</v>
      </c>
      <c r="R75" s="2395">
        <f t="shared" si="29"/>
        <v>3.0271644326059857</v>
      </c>
      <c r="S75" s="2406"/>
      <c r="T75" s="1113"/>
      <c r="U75" s="1113"/>
      <c r="V75" s="1113"/>
      <c r="W75" s="1075"/>
      <c r="X75" s="1075"/>
      <c r="Y75" s="1075"/>
      <c r="Z75" s="1075"/>
      <c r="AA75" s="1075"/>
      <c r="AB75" s="1075"/>
      <c r="AC75" s="1075"/>
      <c r="AD75" s="1075"/>
      <c r="AE75" s="1075"/>
      <c r="AF75" s="1075"/>
      <c r="AG75" s="1075"/>
      <c r="AH75" s="1075"/>
      <c r="AI75" s="1075"/>
      <c r="AJ75" s="1075"/>
      <c r="AK75" s="1075"/>
      <c r="AL75" s="1075"/>
      <c r="AM75" s="1075"/>
      <c r="AN75" s="1075"/>
      <c r="AO75" s="1075"/>
      <c r="AP75" s="1075"/>
      <c r="AQ75" s="1075"/>
      <c r="AR75" s="1075"/>
      <c r="AS75" s="1075"/>
      <c r="AT75" s="1075"/>
      <c r="AU75" s="1075"/>
      <c r="AV75" s="1075"/>
      <c r="AW75" s="1075"/>
      <c r="AX75" s="1075"/>
      <c r="AY75" s="1075"/>
      <c r="AZ75" s="1075"/>
    </row>
    <row r="76" spans="1:52" ht="18" customHeight="1">
      <c r="A76" s="109"/>
      <c r="B76" s="2277" t="s">
        <v>192</v>
      </c>
      <c r="C76" s="1126">
        <v>102</v>
      </c>
      <c r="D76" s="1126">
        <v>7</v>
      </c>
      <c r="E76" s="1126">
        <v>7</v>
      </c>
      <c r="F76" s="1126"/>
      <c r="G76" s="1126"/>
      <c r="H76" s="1903">
        <f>N76</f>
        <v>0</v>
      </c>
      <c r="I76" s="934">
        <v>0</v>
      </c>
      <c r="J76" s="934">
        <v>0</v>
      </c>
      <c r="K76" s="934">
        <v>0</v>
      </c>
      <c r="L76" s="934">
        <v>0</v>
      </c>
      <c r="M76" s="934">
        <v>0</v>
      </c>
      <c r="N76" s="1883">
        <f>0</f>
        <v>0</v>
      </c>
      <c r="O76" s="1883">
        <f>0</f>
        <v>0</v>
      </c>
      <c r="P76" s="1883">
        <f>0</f>
        <v>0</v>
      </c>
      <c r="Q76" s="1883">
        <f>0</f>
        <v>0</v>
      </c>
      <c r="R76" s="2391">
        <f>0</f>
        <v>0</v>
      </c>
      <c r="S76" s="2378"/>
      <c r="T76" s="109"/>
      <c r="U76" s="109"/>
      <c r="V76" s="109"/>
      <c r="W76" s="1075"/>
      <c r="X76" s="1075"/>
      <c r="Y76" s="1075"/>
      <c r="Z76" s="1075"/>
      <c r="AA76" s="1075"/>
      <c r="AB76" s="1075"/>
      <c r="AC76" s="1075"/>
      <c r="AD76" s="1075"/>
      <c r="AE76" s="1075"/>
      <c r="AF76" s="1075"/>
      <c r="AG76" s="1075"/>
      <c r="AH76" s="1075"/>
      <c r="AI76" s="1075"/>
      <c r="AJ76" s="1075"/>
      <c r="AK76" s="1075"/>
      <c r="AL76" s="1075"/>
      <c r="AM76" s="1075"/>
      <c r="AN76" s="1075"/>
      <c r="AO76" s="1075"/>
      <c r="AP76" s="1075"/>
      <c r="AQ76" s="1075"/>
      <c r="AR76" s="1075"/>
      <c r="AS76" s="1075"/>
      <c r="AT76" s="1075"/>
      <c r="AU76" s="1075"/>
      <c r="AV76" s="1075"/>
      <c r="AW76" s="1075"/>
      <c r="AX76" s="1075"/>
      <c r="AY76" s="1075"/>
      <c r="AZ76" s="1075"/>
    </row>
    <row r="77" spans="1:52" ht="18" customHeight="1">
      <c r="A77" s="113"/>
      <c r="B77" s="1764" t="s">
        <v>195</v>
      </c>
      <c r="C77" s="1126">
        <v>102</v>
      </c>
      <c r="D77" s="1126">
        <v>7</v>
      </c>
      <c r="E77" s="1126">
        <v>7</v>
      </c>
      <c r="F77" s="1126"/>
      <c r="G77" s="1126"/>
      <c r="H77" s="1903">
        <f>N77</f>
        <v>0</v>
      </c>
      <c r="I77" s="934">
        <v>0</v>
      </c>
      <c r="J77" s="934">
        <v>0</v>
      </c>
      <c r="K77" s="934">
        <v>0</v>
      </c>
      <c r="L77" s="934">
        <v>0</v>
      </c>
      <c r="M77" s="934">
        <v>0</v>
      </c>
      <c r="N77" s="1883">
        <f>0</f>
        <v>0</v>
      </c>
      <c r="O77" s="1883">
        <f>0</f>
        <v>0</v>
      </c>
      <c r="P77" s="1883">
        <f>0</f>
        <v>0</v>
      </c>
      <c r="Q77" s="1883">
        <f>0</f>
        <v>0</v>
      </c>
      <c r="R77" s="2391">
        <f>0</f>
        <v>0</v>
      </c>
      <c r="S77" s="1163"/>
      <c r="T77" s="113"/>
      <c r="U77" s="113"/>
      <c r="V77" s="113"/>
      <c r="W77" s="1075"/>
      <c r="X77" s="1075"/>
      <c r="Y77" s="1075"/>
      <c r="Z77" s="1075"/>
      <c r="AA77" s="1075"/>
      <c r="AB77" s="1075"/>
      <c r="AC77" s="1075"/>
      <c r="AD77" s="1075"/>
      <c r="AE77" s="1075"/>
      <c r="AF77" s="1075"/>
      <c r="AG77" s="1075"/>
      <c r="AH77" s="1075"/>
      <c r="AI77" s="1075"/>
      <c r="AJ77" s="1075"/>
      <c r="AK77" s="1075"/>
      <c r="AL77" s="1075"/>
      <c r="AM77" s="1075"/>
      <c r="AN77" s="1075"/>
      <c r="AO77" s="1075"/>
      <c r="AP77" s="1075"/>
      <c r="AQ77" s="1075"/>
      <c r="AR77" s="1075"/>
      <c r="AS77" s="1075"/>
      <c r="AT77" s="1075"/>
      <c r="AU77" s="1075"/>
      <c r="AV77" s="1075"/>
      <c r="AW77" s="1075"/>
      <c r="AX77" s="1075"/>
      <c r="AY77" s="1075"/>
      <c r="AZ77" s="1075"/>
    </row>
    <row r="78" spans="1:52" ht="18" customHeight="1">
      <c r="A78" s="113"/>
      <c r="B78" s="1772"/>
      <c r="C78" s="1126"/>
      <c r="D78" s="1126"/>
      <c r="E78" s="1126"/>
      <c r="F78" s="1126"/>
      <c r="G78" s="1126"/>
      <c r="H78" s="1127"/>
      <c r="I78" s="935"/>
      <c r="J78" s="935"/>
      <c r="K78" s="935"/>
      <c r="L78" s="935"/>
      <c r="M78" s="935"/>
      <c r="N78" s="935"/>
      <c r="O78" s="935"/>
      <c r="P78" s="935"/>
      <c r="Q78" s="935"/>
      <c r="R78" s="936"/>
      <c r="S78" s="1163"/>
      <c r="T78" s="113"/>
      <c r="U78" s="113"/>
      <c r="V78" s="113"/>
      <c r="W78" s="1075"/>
      <c r="X78" s="1075"/>
      <c r="Y78" s="1075"/>
      <c r="Z78" s="1075"/>
      <c r="AA78" s="1075"/>
      <c r="AB78" s="1075"/>
      <c r="AC78" s="1075"/>
      <c r="AD78" s="1075"/>
      <c r="AE78" s="1075"/>
      <c r="AF78" s="1075"/>
      <c r="AG78" s="1075"/>
      <c r="AH78" s="1075"/>
      <c r="AI78" s="1075"/>
      <c r="AJ78" s="1075"/>
      <c r="AK78" s="1075"/>
      <c r="AL78" s="1075"/>
      <c r="AM78" s="1075"/>
      <c r="AN78" s="1075"/>
      <c r="AO78" s="1075"/>
      <c r="AP78" s="1075"/>
      <c r="AQ78" s="1075"/>
      <c r="AR78" s="1075"/>
      <c r="AS78" s="1075"/>
      <c r="AT78" s="1075"/>
      <c r="AU78" s="1075"/>
      <c r="AV78" s="1075"/>
      <c r="AW78" s="1075"/>
      <c r="AX78" s="1075"/>
      <c r="AY78" s="1075"/>
      <c r="AZ78" s="1075"/>
    </row>
    <row r="79" spans="1:52" ht="18" customHeight="1">
      <c r="A79" s="113"/>
      <c r="B79" s="1125" t="s">
        <v>1581</v>
      </c>
      <c r="C79" s="1117"/>
      <c r="D79" s="1117"/>
      <c r="E79" s="1117"/>
      <c r="F79" s="1117"/>
      <c r="G79" s="1117"/>
      <c r="H79" s="1118"/>
      <c r="I79" s="1133">
        <f>I20</f>
        <v>-130.23169993000002</v>
      </c>
      <c r="J79" s="1133">
        <f>J20</f>
        <v>32.895416400000002</v>
      </c>
      <c r="K79" s="1133">
        <f>K20</f>
        <v>16.120135449999999</v>
      </c>
      <c r="L79" s="1133">
        <f>L20</f>
        <v>-103.31049887</v>
      </c>
      <c r="M79" s="1133">
        <f>M20</f>
        <v>-4.6279200500000002</v>
      </c>
      <c r="N79" s="935">
        <f>-((资产负债!N129-资产负债!M129)+(资产负债!N159-资产负债!M159)+(资产负债!N166-资产负债!M166)+(资产负债!N172-资产负债!M172)+(资产负债!N195-资产负债!M195)+(资产负债!N204-资产负债!M204))</f>
        <v>0</v>
      </c>
      <c r="O79" s="935">
        <f>-((资产负债!O129-资产负债!N129)+(资产负债!O159-资产负债!N159)+(资产负债!O166-资产负债!N166)+(资产负债!O172-资产负债!N172)+(资产负债!O195-资产负债!N195)+(资产负债!O204-资产负债!N204))</f>
        <v>0</v>
      </c>
      <c r="P79" s="935">
        <f>-((资产负债!P129-资产负债!O129)+(资产负债!P159-资产负债!O159)+(资产负债!P166-资产负债!O166)+(资产负债!P172-资产负债!O172)+(资产负债!P195-资产负债!O195)+(资产负债!P204-资产负债!O204))</f>
        <v>0</v>
      </c>
      <c r="Q79" s="935">
        <f>-((资产负债!Q129-资产负债!P129)+(资产负债!Q159-资产负债!P159)+(资产负债!Q166-资产负债!P166)+(资产负债!Q172-资产负债!P172)+(资产负债!Q195-资产负债!P195)+(资产负债!Q204-资产负债!P204))</f>
        <v>0</v>
      </c>
      <c r="R79" s="936">
        <f>-((资产负债!R129-资产负债!Q129)+(资产负债!R159-资产负债!Q159)+(资产负债!R166-资产负债!Q166)+(资产负债!R172-资产负债!Q172)+(资产负债!R195-资产负债!Q195)+(资产负债!R204-资产负债!Q204))</f>
        <v>0</v>
      </c>
      <c r="S79" s="1163"/>
      <c r="T79" s="113"/>
      <c r="U79" s="113"/>
      <c r="V79" s="113"/>
      <c r="W79" s="1075"/>
      <c r="X79" s="1075"/>
      <c r="Y79" s="1075"/>
      <c r="Z79" s="1075"/>
      <c r="AA79" s="1075"/>
      <c r="AB79" s="1075"/>
      <c r="AC79" s="1075"/>
      <c r="AD79" s="1075"/>
      <c r="AE79" s="1075"/>
      <c r="AF79" s="1075"/>
      <c r="AG79" s="1075"/>
      <c r="AH79" s="1075"/>
      <c r="AI79" s="1075"/>
      <c r="AJ79" s="1075"/>
      <c r="AK79" s="1075"/>
      <c r="AL79" s="1075"/>
      <c r="AM79" s="1075"/>
      <c r="AN79" s="1075"/>
      <c r="AO79" s="1075"/>
      <c r="AP79" s="1075"/>
      <c r="AQ79" s="1075"/>
      <c r="AR79" s="1075"/>
      <c r="AS79" s="1075"/>
      <c r="AT79" s="1075"/>
      <c r="AU79" s="1075"/>
      <c r="AV79" s="1075"/>
      <c r="AW79" s="1075"/>
      <c r="AX79" s="1075"/>
      <c r="AY79" s="1075"/>
      <c r="AZ79" s="1075"/>
    </row>
    <row r="80" spans="1:52" ht="18" customHeight="1">
      <c r="A80" s="113"/>
      <c r="B80" s="1125" t="s">
        <v>1408</v>
      </c>
      <c r="C80" s="1117"/>
      <c r="D80" s="1117"/>
      <c r="E80" s="1117"/>
      <c r="F80" s="1117"/>
      <c r="G80" s="1117"/>
      <c r="H80" s="1118"/>
      <c r="I80" s="2281" t="s">
        <v>1592</v>
      </c>
      <c r="J80" s="2281">
        <f>-(资产负债!J129-资产负债!I129)</f>
        <v>2.4605061699999999</v>
      </c>
      <c r="K80" s="2281">
        <f>-(资产负债!K129-资产负债!J129)</f>
        <v>0</v>
      </c>
      <c r="L80" s="2281">
        <f>-(资产负债!L129-资产负债!K129)</f>
        <v>0</v>
      </c>
      <c r="M80" s="2281">
        <f>-(资产负债!M129-资产负债!L129)</f>
        <v>0</v>
      </c>
      <c r="N80" s="2282">
        <f>-(资产负债!N129-资产负债!M129)</f>
        <v>0</v>
      </c>
      <c r="O80" s="2282">
        <f>-(资产负债!O129-资产负债!N129)</f>
        <v>0</v>
      </c>
      <c r="P80" s="2282">
        <f>-(资产负债!P129-资产负债!O129)</f>
        <v>0</v>
      </c>
      <c r="Q80" s="2282">
        <f>-(资产负债!Q129-资产负债!P129)</f>
        <v>0</v>
      </c>
      <c r="R80" s="2396">
        <f>-(资产负债!R129-资产负债!Q129)</f>
        <v>0</v>
      </c>
      <c r="S80" s="1163"/>
      <c r="T80" s="113"/>
      <c r="U80" s="113"/>
      <c r="V80" s="113"/>
      <c r="W80" s="1075"/>
      <c r="X80" s="1075"/>
      <c r="Y80" s="1075"/>
      <c r="Z80" s="1075"/>
      <c r="AA80" s="1075"/>
      <c r="AB80" s="1075"/>
      <c r="AC80" s="1075"/>
      <c r="AD80" s="1075"/>
      <c r="AE80" s="1075"/>
      <c r="AF80" s="1075"/>
      <c r="AG80" s="1075"/>
      <c r="AH80" s="1075"/>
      <c r="AI80" s="1075"/>
      <c r="AJ80" s="1075"/>
      <c r="AK80" s="1075"/>
      <c r="AL80" s="1075"/>
      <c r="AM80" s="1075"/>
      <c r="AN80" s="1075"/>
      <c r="AO80" s="1075"/>
      <c r="AP80" s="1075"/>
      <c r="AQ80" s="1075"/>
      <c r="AR80" s="1075"/>
      <c r="AS80" s="1075"/>
      <c r="AT80" s="1075"/>
      <c r="AU80" s="1075"/>
      <c r="AV80" s="1075"/>
      <c r="AW80" s="1075"/>
      <c r="AX80" s="1075"/>
      <c r="AY80" s="1075"/>
      <c r="AZ80" s="1075"/>
    </row>
    <row r="81" spans="1:52" ht="18" customHeight="1">
      <c r="A81" s="113"/>
      <c r="B81" s="1125" t="s">
        <v>1134</v>
      </c>
      <c r="C81" s="1117"/>
      <c r="D81" s="1117"/>
      <c r="E81" s="1117"/>
      <c r="F81" s="1117"/>
      <c r="G81" s="1117"/>
      <c r="H81" s="1118"/>
      <c r="I81" s="2281" t="s">
        <v>1592</v>
      </c>
      <c r="J81" s="2281">
        <f>-(资产负债!J159-资产负债!I159)</f>
        <v>0</v>
      </c>
      <c r="K81" s="2281">
        <f>-(资产负债!K159-资产负债!J159)</f>
        <v>0</v>
      </c>
      <c r="L81" s="2281">
        <f>-(资产负债!L159-资产负债!K159)</f>
        <v>0</v>
      </c>
      <c r="M81" s="2281">
        <f>-(资产负债!M159-资产负债!L159)</f>
        <v>0</v>
      </c>
      <c r="N81" s="2282">
        <f>-(资产负债!N159-资产负债!M159)</f>
        <v>0</v>
      </c>
      <c r="O81" s="2282">
        <f>-(资产负债!O159-资产负债!N159)</f>
        <v>0</v>
      </c>
      <c r="P81" s="2282">
        <f>-(资产负债!P159-资产负债!O159)</f>
        <v>0</v>
      </c>
      <c r="Q81" s="2282">
        <f>-(资产负债!Q159-资产负债!P159)</f>
        <v>0</v>
      </c>
      <c r="R81" s="2396">
        <f>-(资产负债!R159-资产负债!Q159)</f>
        <v>0</v>
      </c>
      <c r="S81" s="1163"/>
      <c r="T81" s="113"/>
      <c r="U81" s="113"/>
      <c r="V81" s="113"/>
      <c r="W81" s="1075"/>
      <c r="X81" s="1075"/>
      <c r="Y81" s="1075"/>
      <c r="Z81" s="1075"/>
      <c r="AA81" s="1075"/>
      <c r="AB81" s="1075"/>
      <c r="AC81" s="1075"/>
      <c r="AD81" s="1075"/>
      <c r="AE81" s="1075"/>
      <c r="AF81" s="1075"/>
      <c r="AG81" s="1075"/>
      <c r="AH81" s="1075"/>
      <c r="AI81" s="1075"/>
      <c r="AJ81" s="1075"/>
      <c r="AK81" s="1075"/>
      <c r="AL81" s="1075"/>
      <c r="AM81" s="1075"/>
      <c r="AN81" s="1075"/>
      <c r="AO81" s="1075"/>
      <c r="AP81" s="1075"/>
      <c r="AQ81" s="1075"/>
      <c r="AR81" s="1075"/>
      <c r="AS81" s="1075"/>
      <c r="AT81" s="1075"/>
      <c r="AU81" s="1075"/>
      <c r="AV81" s="1075"/>
      <c r="AW81" s="1075"/>
      <c r="AX81" s="1075"/>
      <c r="AY81" s="1075"/>
      <c r="AZ81" s="1075"/>
    </row>
    <row r="82" spans="1:52" ht="18" customHeight="1">
      <c r="A82" s="113"/>
      <c r="B82" s="1125" t="s">
        <v>1135</v>
      </c>
      <c r="C82" s="1117"/>
      <c r="D82" s="1117"/>
      <c r="E82" s="1117"/>
      <c r="F82" s="1117"/>
      <c r="G82" s="1117"/>
      <c r="H82" s="1118"/>
      <c r="I82" s="2281" t="s">
        <v>1597</v>
      </c>
      <c r="J82" s="2281">
        <f>-(资产负债!J172-资产负债!I172)</f>
        <v>0</v>
      </c>
      <c r="K82" s="2281">
        <f>-(资产负债!K172-资产负债!J172)</f>
        <v>0</v>
      </c>
      <c r="L82" s="2281">
        <f>-(资产负债!L172-资产负债!K172)</f>
        <v>0</v>
      </c>
      <c r="M82" s="2281">
        <f>-(资产负债!M172-资产负债!L172)</f>
        <v>0</v>
      </c>
      <c r="N82" s="2282">
        <f>-(资产负债!N172-资产负债!M172)</f>
        <v>0</v>
      </c>
      <c r="O82" s="2282">
        <f>-(资产负债!O172-资产负债!N172)</f>
        <v>0</v>
      </c>
      <c r="P82" s="2282">
        <f>-(资产负债!P172-资产负债!O172)</f>
        <v>0</v>
      </c>
      <c r="Q82" s="2282">
        <f>-(资产负债!Q172-资产负债!P172)</f>
        <v>0</v>
      </c>
      <c r="R82" s="2396">
        <f>-(资产负债!R172-资产负债!Q172)</f>
        <v>0</v>
      </c>
      <c r="S82" s="1163"/>
      <c r="T82" s="113"/>
      <c r="U82" s="113"/>
      <c r="V82" s="113"/>
      <c r="W82" s="1075"/>
      <c r="X82" s="1075"/>
      <c r="Y82" s="1075"/>
      <c r="Z82" s="1075"/>
      <c r="AA82" s="1075"/>
      <c r="AB82" s="1075"/>
      <c r="AC82" s="1075"/>
      <c r="AD82" s="1075"/>
      <c r="AE82" s="1075"/>
      <c r="AF82" s="1075"/>
      <c r="AG82" s="1075"/>
      <c r="AH82" s="1075"/>
      <c r="AI82" s="1075"/>
      <c r="AJ82" s="1075"/>
      <c r="AK82" s="1075"/>
      <c r="AL82" s="1075"/>
      <c r="AM82" s="1075"/>
      <c r="AN82" s="1075"/>
      <c r="AO82" s="1075"/>
      <c r="AP82" s="1075"/>
      <c r="AQ82" s="1075"/>
      <c r="AR82" s="1075"/>
      <c r="AS82" s="1075"/>
      <c r="AT82" s="1075"/>
      <c r="AU82" s="1075"/>
      <c r="AV82" s="1075"/>
      <c r="AW82" s="1075"/>
      <c r="AX82" s="1075"/>
      <c r="AY82" s="1075"/>
      <c r="AZ82" s="1075"/>
    </row>
    <row r="83" spans="1:52" ht="18" customHeight="1">
      <c r="A83" s="113"/>
      <c r="B83" s="1125" t="s">
        <v>1136</v>
      </c>
      <c r="C83" s="1117"/>
      <c r="D83" s="1117"/>
      <c r="E83" s="1117"/>
      <c r="F83" s="1117"/>
      <c r="G83" s="1117"/>
      <c r="H83" s="1118"/>
      <c r="I83" s="2281" t="s">
        <v>1592</v>
      </c>
      <c r="J83" s="2281">
        <f>-(资产负债!J204-资产负债!I204)</f>
        <v>0</v>
      </c>
      <c r="K83" s="2281">
        <f>-(资产负债!K204-资产负债!J204)</f>
        <v>0</v>
      </c>
      <c r="L83" s="2281">
        <f>-(资产负债!L204-资产负债!K204)</f>
        <v>0</v>
      </c>
      <c r="M83" s="2281">
        <f>-(资产负债!M204-资产负债!L204)</f>
        <v>0</v>
      </c>
      <c r="N83" s="2282">
        <f>-(资产负债!N204-资产负债!M204)</f>
        <v>0</v>
      </c>
      <c r="O83" s="2282">
        <f>-(资产负债!O204-资产负债!N204)</f>
        <v>0</v>
      </c>
      <c r="P83" s="2282">
        <f>-(资产负债!P204-资产负债!O204)</f>
        <v>0</v>
      </c>
      <c r="Q83" s="2282">
        <f>-(资产负债!Q204-资产负债!P204)</f>
        <v>0</v>
      </c>
      <c r="R83" s="2396">
        <f>-(资产负债!R204-资产负债!Q204)</f>
        <v>0</v>
      </c>
      <c r="S83" s="1163"/>
      <c r="T83" s="113"/>
      <c r="U83" s="113"/>
      <c r="V83" s="113"/>
      <c r="W83" s="1075"/>
      <c r="X83" s="1075"/>
      <c r="Y83" s="1075"/>
      <c r="Z83" s="1075"/>
      <c r="AA83" s="1075"/>
      <c r="AB83" s="1075"/>
      <c r="AC83" s="1075"/>
      <c r="AD83" s="1075"/>
      <c r="AE83" s="1075"/>
      <c r="AF83" s="1075"/>
      <c r="AG83" s="1075"/>
      <c r="AH83" s="1075"/>
      <c r="AI83" s="1075"/>
      <c r="AJ83" s="1075"/>
      <c r="AK83" s="1075"/>
      <c r="AL83" s="1075"/>
      <c r="AM83" s="1075"/>
      <c r="AN83" s="1075"/>
      <c r="AO83" s="1075"/>
      <c r="AP83" s="1075"/>
      <c r="AQ83" s="1075"/>
      <c r="AR83" s="1075"/>
      <c r="AS83" s="1075"/>
      <c r="AT83" s="1075"/>
      <c r="AU83" s="1075"/>
      <c r="AV83" s="1075"/>
      <c r="AW83" s="1075"/>
      <c r="AX83" s="1075"/>
      <c r="AY83" s="1075"/>
      <c r="AZ83" s="1075"/>
    </row>
    <row r="84" spans="1:52" ht="18" customHeight="1">
      <c r="A84" s="113"/>
      <c r="B84" s="1125" t="s">
        <v>1137</v>
      </c>
      <c r="C84" s="1117"/>
      <c r="D84" s="1117"/>
      <c r="E84" s="1117"/>
      <c r="F84" s="1117"/>
      <c r="G84" s="1117"/>
      <c r="H84" s="1118"/>
      <c r="I84" s="2281" t="s">
        <v>1592</v>
      </c>
      <c r="J84" s="2281">
        <f>-(资产负债!J195-资产负债!I195)</f>
        <v>0</v>
      </c>
      <c r="K84" s="2281">
        <f>-(资产负债!K195-资产负债!J195)</f>
        <v>0</v>
      </c>
      <c r="L84" s="2281">
        <f>-(资产负债!L195-资产负债!K195)</f>
        <v>0</v>
      </c>
      <c r="M84" s="2281">
        <f>-(资产负债!M195-资产负债!L195)</f>
        <v>0</v>
      </c>
      <c r="N84" s="2282">
        <f>-(资产负债!N195-资产负债!M195)</f>
        <v>0</v>
      </c>
      <c r="O84" s="2282">
        <f>-(资产负债!O195-资产负债!N195)</f>
        <v>0</v>
      </c>
      <c r="P84" s="2282">
        <f>-(资产负债!P195-资产负债!O195)</f>
        <v>0</v>
      </c>
      <c r="Q84" s="2282">
        <f>-(资产负债!Q195-资产负债!P195)</f>
        <v>0</v>
      </c>
      <c r="R84" s="2396">
        <f>-(资产负债!R195-资产负债!Q195)</f>
        <v>0</v>
      </c>
      <c r="S84" s="1163"/>
      <c r="T84" s="113"/>
      <c r="U84" s="113"/>
      <c r="V84" s="113"/>
      <c r="W84" s="1075"/>
      <c r="X84" s="1075"/>
      <c r="Y84" s="1075"/>
      <c r="Z84" s="1075"/>
      <c r="AA84" s="1075"/>
      <c r="AB84" s="1075"/>
      <c r="AC84" s="1075"/>
      <c r="AD84" s="1075"/>
      <c r="AE84" s="1075"/>
      <c r="AF84" s="1075"/>
      <c r="AG84" s="1075"/>
      <c r="AH84" s="1075"/>
      <c r="AI84" s="1075"/>
      <c r="AJ84" s="1075"/>
      <c r="AK84" s="1075"/>
      <c r="AL84" s="1075"/>
      <c r="AM84" s="1075"/>
      <c r="AN84" s="1075"/>
      <c r="AO84" s="1075"/>
      <c r="AP84" s="1075"/>
      <c r="AQ84" s="1075"/>
      <c r="AR84" s="1075"/>
      <c r="AS84" s="1075"/>
      <c r="AT84" s="1075"/>
      <c r="AU84" s="1075"/>
      <c r="AV84" s="1075"/>
      <c r="AW84" s="1075"/>
      <c r="AX84" s="1075"/>
      <c r="AY84" s="1075"/>
      <c r="AZ84" s="1075"/>
    </row>
    <row r="85" spans="1:52" ht="18" customHeight="1">
      <c r="A85" s="113"/>
      <c r="B85" s="1125" t="s">
        <v>1409</v>
      </c>
      <c r="C85" s="1117"/>
      <c r="D85" s="1117"/>
      <c r="E85" s="1117"/>
      <c r="F85" s="1117"/>
      <c r="G85" s="1117"/>
      <c r="H85" s="1118"/>
      <c r="I85" s="2281" t="s">
        <v>1592</v>
      </c>
      <c r="J85" s="2281">
        <f>-(资产负债!J166-资产负债!I166)</f>
        <v>0</v>
      </c>
      <c r="K85" s="2281">
        <f>-(资产负债!K166-资产负债!J166)</f>
        <v>0</v>
      </c>
      <c r="L85" s="2281">
        <f>-(资产负债!L166-资产负债!K166)</f>
        <v>0</v>
      </c>
      <c r="M85" s="2281">
        <f>-(资产负债!M166-资产负债!L166)</f>
        <v>0</v>
      </c>
      <c r="N85" s="2282">
        <f>-(资产负债!N166-资产负债!M166)</f>
        <v>0</v>
      </c>
      <c r="O85" s="2282">
        <f>-(资产负债!O166-资产负债!N166)</f>
        <v>0</v>
      </c>
      <c r="P85" s="2282">
        <f>-(资产负债!P166-资产负债!O166)</f>
        <v>0</v>
      </c>
      <c r="Q85" s="2282">
        <f>-(资产负债!Q166-资产负债!P166)</f>
        <v>0</v>
      </c>
      <c r="R85" s="2396">
        <f>-(资产负债!R166-资产负债!Q166)</f>
        <v>0</v>
      </c>
      <c r="S85" s="1163"/>
      <c r="T85" s="113"/>
      <c r="U85" s="113"/>
      <c r="V85" s="113"/>
      <c r="W85" s="1075"/>
      <c r="X85" s="1075"/>
      <c r="Y85" s="1075"/>
      <c r="Z85" s="1075"/>
      <c r="AA85" s="1075"/>
      <c r="AB85" s="1075"/>
      <c r="AC85" s="1075"/>
      <c r="AD85" s="1075"/>
      <c r="AE85" s="1075"/>
      <c r="AF85" s="1075"/>
      <c r="AG85" s="1075"/>
      <c r="AH85" s="1075"/>
      <c r="AI85" s="1075"/>
      <c r="AJ85" s="1075"/>
      <c r="AK85" s="1075"/>
      <c r="AL85" s="1075"/>
      <c r="AM85" s="1075"/>
      <c r="AN85" s="1075"/>
      <c r="AO85" s="1075"/>
      <c r="AP85" s="1075"/>
      <c r="AQ85" s="1075"/>
      <c r="AR85" s="1075"/>
      <c r="AS85" s="1075"/>
      <c r="AT85" s="1075"/>
      <c r="AU85" s="1075"/>
      <c r="AV85" s="1075"/>
      <c r="AW85" s="1075"/>
      <c r="AX85" s="1075"/>
      <c r="AY85" s="1075"/>
      <c r="AZ85" s="1075"/>
    </row>
    <row r="86" spans="1:52" ht="18" customHeight="1">
      <c r="A86" s="113"/>
      <c r="B86" s="1125" t="s">
        <v>1468</v>
      </c>
      <c r="C86" s="1117"/>
      <c r="D86" s="1117"/>
      <c r="E86" s="1117"/>
      <c r="F86" s="1117"/>
      <c r="G86" s="1117"/>
      <c r="H86" s="1118"/>
      <c r="I86" s="2320"/>
      <c r="J86" s="2320"/>
      <c r="K86" s="2320"/>
      <c r="L86" s="2320"/>
      <c r="M86" s="2320"/>
      <c r="N86" s="2321"/>
      <c r="O86" s="2321"/>
      <c r="P86" s="2321"/>
      <c r="Q86" s="2321"/>
      <c r="R86" s="2322"/>
      <c r="S86" s="1163"/>
      <c r="T86" s="113"/>
      <c r="U86" s="113"/>
      <c r="V86" s="113"/>
      <c r="W86" s="1075"/>
      <c r="X86" s="1075"/>
      <c r="Y86" s="1075"/>
      <c r="Z86" s="1075"/>
      <c r="AA86" s="1075"/>
      <c r="AB86" s="1075"/>
      <c r="AC86" s="1075"/>
      <c r="AD86" s="1075"/>
      <c r="AE86" s="1075"/>
      <c r="AF86" s="1075"/>
      <c r="AG86" s="1075"/>
      <c r="AH86" s="1075"/>
      <c r="AI86" s="1075"/>
      <c r="AJ86" s="1075"/>
      <c r="AK86" s="1075"/>
      <c r="AL86" s="1075"/>
      <c r="AM86" s="1075"/>
      <c r="AN86" s="1075"/>
      <c r="AO86" s="1075"/>
      <c r="AP86" s="1075"/>
      <c r="AQ86" s="1075"/>
      <c r="AR86" s="1075"/>
      <c r="AS86" s="1075"/>
      <c r="AT86" s="1075"/>
      <c r="AU86" s="1075"/>
      <c r="AV86" s="1075"/>
      <c r="AW86" s="1075"/>
      <c r="AX86" s="1075"/>
      <c r="AY86" s="1075"/>
      <c r="AZ86" s="1075"/>
    </row>
    <row r="87" spans="1:52" ht="18" customHeight="1">
      <c r="A87" s="113"/>
      <c r="B87" s="1772"/>
      <c r="C87" s="1126"/>
      <c r="D87" s="1126"/>
      <c r="E87" s="1126"/>
      <c r="F87" s="1126"/>
      <c r="G87" s="1126"/>
      <c r="H87" s="1127"/>
      <c r="I87" s="935"/>
      <c r="J87" s="935"/>
      <c r="K87" s="935"/>
      <c r="L87" s="935"/>
      <c r="M87" s="935"/>
      <c r="N87" s="935"/>
      <c r="O87" s="935"/>
      <c r="P87" s="935"/>
      <c r="Q87" s="935"/>
      <c r="R87" s="936"/>
      <c r="S87" s="1163"/>
      <c r="T87" s="113"/>
      <c r="U87" s="113"/>
      <c r="V87" s="113"/>
      <c r="W87" s="1075"/>
      <c r="X87" s="1075"/>
      <c r="Y87" s="1075"/>
      <c r="Z87" s="1075"/>
      <c r="AA87" s="1075"/>
      <c r="AB87" s="1075"/>
      <c r="AC87" s="1075"/>
      <c r="AD87" s="1075"/>
      <c r="AE87" s="1075"/>
      <c r="AF87" s="1075"/>
      <c r="AG87" s="1075"/>
      <c r="AH87" s="1075"/>
      <c r="AI87" s="1075"/>
      <c r="AJ87" s="1075"/>
      <c r="AK87" s="1075"/>
      <c r="AL87" s="1075"/>
      <c r="AM87" s="1075"/>
      <c r="AN87" s="1075"/>
      <c r="AO87" s="1075"/>
      <c r="AP87" s="1075"/>
      <c r="AQ87" s="1075"/>
      <c r="AR87" s="1075"/>
      <c r="AS87" s="1075"/>
      <c r="AT87" s="1075"/>
      <c r="AU87" s="1075"/>
      <c r="AV87" s="1075"/>
      <c r="AW87" s="1075"/>
      <c r="AX87" s="1075"/>
      <c r="AY87" s="1075"/>
      <c r="AZ87" s="1075"/>
    </row>
    <row r="88" spans="1:52" ht="18" customHeight="1">
      <c r="A88" s="113"/>
      <c r="B88" s="1125" t="s">
        <v>1582</v>
      </c>
      <c r="C88" s="1126"/>
      <c r="D88" s="1126"/>
      <c r="E88" s="1126"/>
      <c r="F88" s="1126"/>
      <c r="G88" s="1126"/>
      <c r="H88" s="1127"/>
      <c r="I88" s="2283">
        <f>I19</f>
        <v>0</v>
      </c>
      <c r="J88" s="2283">
        <f>J19</f>
        <v>0</v>
      </c>
      <c r="K88" s="2283">
        <f>K19</f>
        <v>0</v>
      </c>
      <c r="L88" s="2283">
        <f>L19</f>
        <v>0</v>
      </c>
      <c r="M88" s="2283">
        <f>M19</f>
        <v>111.36973515000001</v>
      </c>
      <c r="N88" s="935">
        <f>-((资产负债!N116-资产负债!M116)+(资产负债!N122-资产负债!M122)+(资产负债!N144-资产负债!M144)+(资产负债!N148-资产负债!M148)+(资产负债!N134-资产负债!M134))</f>
        <v>0</v>
      </c>
      <c r="O88" s="935">
        <f>-((资产负债!O116-资产负债!N116)+(资产负债!O122-资产负债!N122)+(资产负债!O144-资产负债!N144)+(资产负债!O148-资产负债!N148)+(资产负债!O134-资产负债!N134))</f>
        <v>0</v>
      </c>
      <c r="P88" s="935">
        <f>-((资产负债!P116-资产负债!O116)+(资产负债!P122-资产负债!O122)+(资产负债!P144-资产负债!O144)+(资产负债!P148-资产负债!O148)+(资产负债!P134-资产负债!O134))</f>
        <v>0</v>
      </c>
      <c r="Q88" s="935">
        <f>-((资产负债!Q116-资产负债!P116)+(资产负债!Q122-资产负债!P122)+(资产负债!Q144-资产负债!P144)+(资产负债!Q148-资产负债!P148)+(资产负债!Q134-资产负债!P134))</f>
        <v>0</v>
      </c>
      <c r="R88" s="936">
        <f>-((资产负债!R116-资产负债!Q116)+(资产负债!R122-资产负债!Q122)+(资产负债!R144-资产负债!Q144)+(资产负债!R148-资产负债!Q148)+(资产负债!R134-资产负债!Q134))</f>
        <v>0</v>
      </c>
      <c r="S88" s="1163"/>
      <c r="T88" s="113"/>
      <c r="U88" s="113"/>
      <c r="V88" s="113"/>
      <c r="W88" s="1075"/>
      <c r="X88" s="1075"/>
      <c r="Y88" s="1075"/>
      <c r="Z88" s="1075"/>
      <c r="AA88" s="1075"/>
      <c r="AB88" s="1075"/>
      <c r="AC88" s="1075"/>
      <c r="AD88" s="1075"/>
      <c r="AE88" s="1075"/>
      <c r="AF88" s="1075"/>
      <c r="AG88" s="1075"/>
      <c r="AH88" s="1075"/>
      <c r="AI88" s="1075"/>
      <c r="AJ88" s="1075"/>
      <c r="AK88" s="1075"/>
      <c r="AL88" s="1075"/>
      <c r="AM88" s="1075"/>
      <c r="AN88" s="1075"/>
      <c r="AO88" s="1075"/>
      <c r="AP88" s="1075"/>
      <c r="AQ88" s="1075"/>
      <c r="AR88" s="1075"/>
      <c r="AS88" s="1075"/>
      <c r="AT88" s="1075"/>
      <c r="AU88" s="1075"/>
      <c r="AV88" s="1075"/>
      <c r="AW88" s="1075"/>
      <c r="AX88" s="1075"/>
      <c r="AY88" s="1075"/>
      <c r="AZ88" s="1075"/>
    </row>
    <row r="89" spans="1:52" ht="18" customHeight="1">
      <c r="A89" s="113"/>
      <c r="B89" s="1125" t="s">
        <v>1410</v>
      </c>
      <c r="C89" s="1126"/>
      <c r="D89" s="1126"/>
      <c r="E89" s="1126"/>
      <c r="F89" s="1126"/>
      <c r="G89" s="1126"/>
      <c r="H89" s="1127"/>
      <c r="I89" s="2283" t="s">
        <v>1592</v>
      </c>
      <c r="J89" s="2283">
        <f>-(资产负债!J116-资产负债!I116)</f>
        <v>0</v>
      </c>
      <c r="K89" s="2283">
        <f>-(资产负债!K116-资产负债!J116)</f>
        <v>0</v>
      </c>
      <c r="L89" s="2283">
        <f>-(资产负债!L116-资产负债!K116)</f>
        <v>0</v>
      </c>
      <c r="M89" s="2283">
        <f>-(资产负债!M116-资产负债!L116)</f>
        <v>0</v>
      </c>
      <c r="N89" s="935">
        <f>-(资产负债!N116-资产负债!M116)</f>
        <v>0</v>
      </c>
      <c r="O89" s="935">
        <f>-(资产负债!O116-资产负债!N116)</f>
        <v>0</v>
      </c>
      <c r="P89" s="935">
        <f>-(资产负债!P116-资产负债!O116)</f>
        <v>0</v>
      </c>
      <c r="Q89" s="935">
        <f>-(资产负债!Q116-资产负债!P116)</f>
        <v>0</v>
      </c>
      <c r="R89" s="936">
        <f>-(资产负债!R116-资产负债!Q116)</f>
        <v>0</v>
      </c>
      <c r="S89" s="1163"/>
      <c r="T89" s="113"/>
      <c r="U89" s="113"/>
      <c r="V89" s="113"/>
      <c r="W89" s="1075"/>
      <c r="X89" s="1075"/>
      <c r="Y89" s="1075"/>
      <c r="Z89" s="1075"/>
      <c r="AA89" s="1075"/>
      <c r="AB89" s="1075"/>
      <c r="AC89" s="1075"/>
      <c r="AD89" s="1075"/>
      <c r="AE89" s="1075"/>
      <c r="AF89" s="1075"/>
      <c r="AG89" s="1075"/>
      <c r="AH89" s="1075"/>
      <c r="AI89" s="1075"/>
      <c r="AJ89" s="1075"/>
      <c r="AK89" s="1075"/>
      <c r="AL89" s="1075"/>
      <c r="AM89" s="1075"/>
      <c r="AN89" s="1075"/>
      <c r="AO89" s="1075"/>
      <c r="AP89" s="1075"/>
      <c r="AQ89" s="1075"/>
      <c r="AR89" s="1075"/>
      <c r="AS89" s="1075"/>
      <c r="AT89" s="1075"/>
      <c r="AU89" s="1075"/>
      <c r="AV89" s="1075"/>
      <c r="AW89" s="1075"/>
      <c r="AX89" s="1075"/>
      <c r="AY89" s="1075"/>
      <c r="AZ89" s="1075"/>
    </row>
    <row r="90" spans="1:52" ht="18" customHeight="1">
      <c r="A90" s="113"/>
      <c r="B90" s="1125" t="s">
        <v>1411</v>
      </c>
      <c r="C90" s="1126"/>
      <c r="D90" s="1126"/>
      <c r="E90" s="1126"/>
      <c r="F90" s="1126"/>
      <c r="G90" s="1126"/>
      <c r="H90" s="1127"/>
      <c r="I90" s="2283" t="s">
        <v>1592</v>
      </c>
      <c r="J90" s="2283">
        <f>-(资产负债!J122-资产负债!I122)</f>
        <v>0</v>
      </c>
      <c r="K90" s="2283">
        <f>-(资产负债!K122-资产负债!J122)</f>
        <v>0</v>
      </c>
      <c r="L90" s="2283">
        <f>-(资产负债!L122-资产负债!K122)</f>
        <v>0</v>
      </c>
      <c r="M90" s="2283">
        <f>-(资产负债!M122-资产负债!L122)</f>
        <v>0</v>
      </c>
      <c r="N90" s="935">
        <f>-(资产负债!N122-资产负债!M122)</f>
        <v>0</v>
      </c>
      <c r="O90" s="935">
        <f>-(资产负债!O122-资产负债!N122)</f>
        <v>0</v>
      </c>
      <c r="P90" s="935">
        <f>-(资产负债!P122-资产负债!O122)</f>
        <v>0</v>
      </c>
      <c r="Q90" s="935">
        <f>-(资产负债!Q122-资产负债!P122)</f>
        <v>0</v>
      </c>
      <c r="R90" s="936">
        <f>-(资产负债!R122-资产负债!Q122)</f>
        <v>0</v>
      </c>
      <c r="S90" s="1163"/>
      <c r="T90" s="113"/>
      <c r="U90" s="113"/>
      <c r="V90" s="113"/>
      <c r="W90" s="1075"/>
      <c r="X90" s="1075"/>
      <c r="Y90" s="1075"/>
      <c r="Z90" s="1075"/>
      <c r="AA90" s="1075"/>
      <c r="AB90" s="1075"/>
      <c r="AC90" s="1075"/>
      <c r="AD90" s="1075"/>
      <c r="AE90" s="1075"/>
      <c r="AF90" s="1075"/>
      <c r="AG90" s="1075"/>
      <c r="AH90" s="1075"/>
      <c r="AI90" s="1075"/>
      <c r="AJ90" s="1075"/>
      <c r="AK90" s="1075"/>
      <c r="AL90" s="1075"/>
      <c r="AM90" s="1075"/>
      <c r="AN90" s="1075"/>
      <c r="AO90" s="1075"/>
      <c r="AP90" s="1075"/>
      <c r="AQ90" s="1075"/>
      <c r="AR90" s="1075"/>
      <c r="AS90" s="1075"/>
      <c r="AT90" s="1075"/>
      <c r="AU90" s="1075"/>
      <c r="AV90" s="1075"/>
      <c r="AW90" s="1075"/>
      <c r="AX90" s="1075"/>
      <c r="AY90" s="1075"/>
      <c r="AZ90" s="1075"/>
    </row>
    <row r="91" spans="1:52" ht="18" customHeight="1">
      <c r="A91" s="113"/>
      <c r="B91" s="1125" t="s">
        <v>1412</v>
      </c>
      <c r="C91" s="1126"/>
      <c r="D91" s="1126"/>
      <c r="E91" s="1126"/>
      <c r="F91" s="1126"/>
      <c r="G91" s="1126"/>
      <c r="H91" s="1127"/>
      <c r="I91" s="2283" t="s">
        <v>1598</v>
      </c>
      <c r="J91" s="2283">
        <f>-(资产负债!J134-资产负债!I134)</f>
        <v>0</v>
      </c>
      <c r="K91" s="2283">
        <f>-(资产负债!K134-资产负债!J134)</f>
        <v>0</v>
      </c>
      <c r="L91" s="2283">
        <f>-(资产负债!L134-资产负债!K134)</f>
        <v>0</v>
      </c>
      <c r="M91" s="2283">
        <f>-(资产负债!M134-资产负债!L134)</f>
        <v>0</v>
      </c>
      <c r="N91" s="935">
        <f>-(资产负债!N134-资产负债!M134)</f>
        <v>0</v>
      </c>
      <c r="O91" s="935">
        <f>-(资产负债!O134-资产负债!N134)</f>
        <v>0</v>
      </c>
      <c r="P91" s="935">
        <f>-(资产负债!P134-资产负债!O134)</f>
        <v>0</v>
      </c>
      <c r="Q91" s="935">
        <f>-(资产负债!Q134-资产负债!P134)</f>
        <v>0</v>
      </c>
      <c r="R91" s="936">
        <f>-(资产负债!R134-资产负债!Q134)</f>
        <v>0</v>
      </c>
      <c r="S91" s="1163"/>
      <c r="T91" s="113"/>
      <c r="U91" s="113"/>
      <c r="V91" s="113"/>
      <c r="W91" s="1075"/>
      <c r="X91" s="1075"/>
      <c r="Y91" s="1075"/>
      <c r="Z91" s="1075"/>
      <c r="AA91" s="1075"/>
      <c r="AB91" s="1075"/>
      <c r="AC91" s="1075"/>
      <c r="AD91" s="1075"/>
      <c r="AE91" s="1075"/>
      <c r="AF91" s="1075"/>
      <c r="AG91" s="1075"/>
      <c r="AH91" s="1075"/>
      <c r="AI91" s="1075"/>
      <c r="AJ91" s="1075"/>
      <c r="AK91" s="1075"/>
      <c r="AL91" s="1075"/>
      <c r="AM91" s="1075"/>
      <c r="AN91" s="1075"/>
      <c r="AO91" s="1075"/>
      <c r="AP91" s="1075"/>
      <c r="AQ91" s="1075"/>
      <c r="AR91" s="1075"/>
      <c r="AS91" s="1075"/>
      <c r="AT91" s="1075"/>
      <c r="AU91" s="1075"/>
      <c r="AV91" s="1075"/>
      <c r="AW91" s="1075"/>
      <c r="AX91" s="1075"/>
      <c r="AY91" s="1075"/>
      <c r="AZ91" s="1075"/>
    </row>
    <row r="92" spans="1:52" ht="18" customHeight="1">
      <c r="A92" s="113"/>
      <c r="B92" s="1125" t="s">
        <v>1413</v>
      </c>
      <c r="C92" s="1126"/>
      <c r="D92" s="1126"/>
      <c r="E92" s="1126"/>
      <c r="F92" s="1126"/>
      <c r="G92" s="1126"/>
      <c r="H92" s="1127"/>
      <c r="I92" s="2283" t="s">
        <v>1599</v>
      </c>
      <c r="J92" s="2283">
        <f>-(资产负债!J144-资产负债!I144)</f>
        <v>0</v>
      </c>
      <c r="K92" s="2283">
        <f>-(资产负债!K144-资产负债!J144)</f>
        <v>0</v>
      </c>
      <c r="L92" s="2283">
        <f>-(资产负债!L144-资产负债!K144)</f>
        <v>0</v>
      </c>
      <c r="M92" s="2283">
        <f>-(资产负债!M144-资产负债!L144)</f>
        <v>0</v>
      </c>
      <c r="N92" s="935">
        <f>-(资产负债!N144-资产负债!M144)</f>
        <v>0</v>
      </c>
      <c r="O92" s="935">
        <f>-(资产负债!O144-资产负债!N144)</f>
        <v>0</v>
      </c>
      <c r="P92" s="935">
        <f>-(资产负债!P144-资产负债!O144)</f>
        <v>0</v>
      </c>
      <c r="Q92" s="935">
        <f>-(资产负债!Q144-资产负债!P144)</f>
        <v>0</v>
      </c>
      <c r="R92" s="936">
        <f>-(资产负债!R144-资产负债!Q144)</f>
        <v>0</v>
      </c>
      <c r="S92" s="1163"/>
      <c r="T92" s="113"/>
      <c r="U92" s="113"/>
      <c r="V92" s="113"/>
      <c r="W92" s="1075"/>
      <c r="X92" s="1075"/>
      <c r="Y92" s="1075"/>
      <c r="Z92" s="1075"/>
      <c r="AA92" s="1075"/>
      <c r="AB92" s="1075"/>
      <c r="AC92" s="1075"/>
      <c r="AD92" s="1075"/>
      <c r="AE92" s="1075"/>
      <c r="AF92" s="1075"/>
      <c r="AG92" s="1075"/>
      <c r="AH92" s="1075"/>
      <c r="AI92" s="1075"/>
      <c r="AJ92" s="1075"/>
      <c r="AK92" s="1075"/>
      <c r="AL92" s="1075"/>
      <c r="AM92" s="1075"/>
      <c r="AN92" s="1075"/>
      <c r="AO92" s="1075"/>
      <c r="AP92" s="1075"/>
      <c r="AQ92" s="1075"/>
      <c r="AR92" s="1075"/>
      <c r="AS92" s="1075"/>
      <c r="AT92" s="1075"/>
      <c r="AU92" s="1075"/>
      <c r="AV92" s="1075"/>
      <c r="AW92" s="1075"/>
      <c r="AX92" s="1075"/>
      <c r="AY92" s="1075"/>
      <c r="AZ92" s="1075"/>
    </row>
    <row r="93" spans="1:52" ht="18" customHeight="1">
      <c r="A93" s="113"/>
      <c r="B93" s="1125" t="s">
        <v>1414</v>
      </c>
      <c r="C93" s="1126"/>
      <c r="D93" s="1126"/>
      <c r="E93" s="1126"/>
      <c r="F93" s="1126"/>
      <c r="G93" s="1126"/>
      <c r="H93" s="1127"/>
      <c r="I93" s="2283" t="s">
        <v>1600</v>
      </c>
      <c r="J93" s="2283">
        <f>-(资产负债!J148-资产负债!I148)</f>
        <v>0</v>
      </c>
      <c r="K93" s="2283">
        <f>-(资产负债!K148-资产负债!J148)</f>
        <v>0</v>
      </c>
      <c r="L93" s="2283">
        <f>-(资产负债!L148-资产负债!K148)</f>
        <v>0</v>
      </c>
      <c r="M93" s="2283">
        <f>-(资产负债!M148-资产负债!L148)</f>
        <v>0</v>
      </c>
      <c r="N93" s="935">
        <f>-(资产负债!N148-资产负债!M148)</f>
        <v>0</v>
      </c>
      <c r="O93" s="935">
        <f>-(资产负债!O148-资产负债!N148)</f>
        <v>0</v>
      </c>
      <c r="P93" s="935">
        <f>-(资产负债!P148-资产负债!O148)</f>
        <v>0</v>
      </c>
      <c r="Q93" s="935">
        <f>-(资产负债!Q148-资产负债!P148)</f>
        <v>0</v>
      </c>
      <c r="R93" s="936">
        <f>-(资产负债!R148-资产负债!Q148)</f>
        <v>0</v>
      </c>
      <c r="S93" s="1163"/>
      <c r="T93" s="113"/>
      <c r="U93" s="113"/>
      <c r="V93" s="113"/>
      <c r="W93" s="1075"/>
      <c r="X93" s="1075"/>
      <c r="Y93" s="1075"/>
      <c r="Z93" s="1075"/>
      <c r="AA93" s="1075"/>
      <c r="AB93" s="1075"/>
      <c r="AC93" s="1075"/>
      <c r="AD93" s="1075"/>
      <c r="AE93" s="1075"/>
      <c r="AF93" s="1075"/>
      <c r="AG93" s="1075"/>
      <c r="AH93" s="1075"/>
      <c r="AI93" s="1075"/>
      <c r="AJ93" s="1075"/>
      <c r="AK93" s="1075"/>
      <c r="AL93" s="1075"/>
      <c r="AM93" s="1075"/>
      <c r="AN93" s="1075"/>
      <c r="AO93" s="1075"/>
      <c r="AP93" s="1075"/>
      <c r="AQ93" s="1075"/>
      <c r="AR93" s="1075"/>
      <c r="AS93" s="1075"/>
      <c r="AT93" s="1075"/>
      <c r="AU93" s="1075"/>
      <c r="AV93" s="1075"/>
      <c r="AW93" s="1075"/>
      <c r="AX93" s="1075"/>
      <c r="AY93" s="1075"/>
      <c r="AZ93" s="1075"/>
    </row>
    <row r="94" spans="1:52" ht="18" customHeight="1">
      <c r="A94" s="113"/>
      <c r="B94" s="1125" t="s">
        <v>1468</v>
      </c>
      <c r="C94" s="1126"/>
      <c r="D94" s="1126"/>
      <c r="E94" s="1126"/>
      <c r="F94" s="1126"/>
      <c r="G94" s="1126"/>
      <c r="H94" s="1127"/>
      <c r="I94" s="2323"/>
      <c r="J94" s="2323"/>
      <c r="K94" s="2323"/>
      <c r="L94" s="2323"/>
      <c r="M94" s="2323"/>
      <c r="N94" s="2324"/>
      <c r="O94" s="2324"/>
      <c r="P94" s="2324"/>
      <c r="Q94" s="2324"/>
      <c r="R94" s="2325"/>
      <c r="S94" s="1163"/>
      <c r="T94" s="113"/>
      <c r="U94" s="113"/>
      <c r="V94" s="113"/>
      <c r="W94" s="1075"/>
      <c r="X94" s="1075"/>
      <c r="Y94" s="1075"/>
      <c r="Z94" s="1075"/>
      <c r="AA94" s="1075"/>
      <c r="AB94" s="1075"/>
      <c r="AC94" s="1075"/>
      <c r="AD94" s="1075"/>
      <c r="AE94" s="1075"/>
      <c r="AF94" s="1075"/>
      <c r="AG94" s="1075"/>
      <c r="AH94" s="1075"/>
      <c r="AI94" s="1075"/>
      <c r="AJ94" s="1075"/>
      <c r="AK94" s="1075"/>
      <c r="AL94" s="1075"/>
      <c r="AM94" s="1075"/>
      <c r="AN94" s="1075"/>
      <c r="AO94" s="1075"/>
      <c r="AP94" s="1075"/>
      <c r="AQ94" s="1075"/>
      <c r="AR94" s="1075"/>
      <c r="AS94" s="1075"/>
      <c r="AT94" s="1075"/>
      <c r="AU94" s="1075"/>
      <c r="AV94" s="1075"/>
      <c r="AW94" s="1075"/>
      <c r="AX94" s="1075"/>
      <c r="AY94" s="1075"/>
      <c r="AZ94" s="1075"/>
    </row>
    <row r="95" spans="1:52" ht="18" customHeight="1">
      <c r="A95" s="113"/>
      <c r="B95" s="1125"/>
      <c r="C95" s="1126"/>
      <c r="D95" s="1126"/>
      <c r="E95" s="1126"/>
      <c r="F95" s="1126"/>
      <c r="G95" s="1126"/>
      <c r="H95" s="1127"/>
      <c r="I95" s="935"/>
      <c r="J95" s="935"/>
      <c r="K95" s="935"/>
      <c r="L95" s="935"/>
      <c r="M95" s="935"/>
      <c r="N95" s="935"/>
      <c r="O95" s="935"/>
      <c r="P95" s="935"/>
      <c r="Q95" s="935"/>
      <c r="R95" s="936"/>
      <c r="S95" s="1163"/>
      <c r="T95" s="113"/>
      <c r="U95" s="113"/>
      <c r="V95" s="113"/>
      <c r="W95" s="1075"/>
      <c r="X95" s="1075"/>
      <c r="Y95" s="1075"/>
      <c r="Z95" s="1075"/>
      <c r="AA95" s="1075"/>
      <c r="AB95" s="1075"/>
      <c r="AC95" s="1075"/>
      <c r="AD95" s="1075"/>
      <c r="AE95" s="1075"/>
      <c r="AF95" s="1075"/>
      <c r="AG95" s="1075"/>
      <c r="AH95" s="1075"/>
      <c r="AI95" s="1075"/>
      <c r="AJ95" s="1075"/>
      <c r="AK95" s="1075"/>
      <c r="AL95" s="1075"/>
      <c r="AM95" s="1075"/>
      <c r="AN95" s="1075"/>
      <c r="AO95" s="1075"/>
      <c r="AP95" s="1075"/>
      <c r="AQ95" s="1075"/>
      <c r="AR95" s="1075"/>
      <c r="AS95" s="1075"/>
      <c r="AT95" s="1075"/>
      <c r="AU95" s="1075"/>
      <c r="AV95" s="1075"/>
      <c r="AW95" s="1075"/>
      <c r="AX95" s="1075"/>
      <c r="AY95" s="1075"/>
      <c r="AZ95" s="1075"/>
    </row>
    <row r="96" spans="1:52" ht="18" customHeight="1">
      <c r="A96" s="109"/>
      <c r="B96" s="1125" t="s">
        <v>1415</v>
      </c>
      <c r="C96" s="1126">
        <v>102</v>
      </c>
      <c r="D96" s="1126">
        <v>6</v>
      </c>
      <c r="E96" s="1126">
        <v>6</v>
      </c>
      <c r="F96" s="1126"/>
      <c r="G96" s="1126"/>
      <c r="H96" s="1130">
        <f>N96</f>
        <v>30.198438449999998</v>
      </c>
      <c r="I96" s="1133">
        <f>I15</f>
        <v>0</v>
      </c>
      <c r="J96" s="1133">
        <f>J15</f>
        <v>0</v>
      </c>
      <c r="K96" s="1133">
        <f>K15</f>
        <v>10.979866320000001</v>
      </c>
      <c r="L96" s="1133">
        <f>L15</f>
        <v>319.01791910000003</v>
      </c>
      <c r="M96" s="1133">
        <f>M15</f>
        <v>30.198438449999998</v>
      </c>
      <c r="N96" s="1881">
        <f>M96</f>
        <v>30.198438449999998</v>
      </c>
      <c r="O96" s="1881">
        <f t="shared" ref="O96:R96" si="30">N96</f>
        <v>30.198438449999998</v>
      </c>
      <c r="P96" s="1881">
        <f t="shared" si="30"/>
        <v>30.198438449999998</v>
      </c>
      <c r="Q96" s="1881">
        <f t="shared" si="30"/>
        <v>30.198438449999998</v>
      </c>
      <c r="R96" s="2381">
        <f t="shared" si="30"/>
        <v>30.198438449999998</v>
      </c>
      <c r="S96" s="2378"/>
      <c r="T96" s="109"/>
      <c r="U96" s="109"/>
      <c r="V96" s="109"/>
      <c r="W96" s="1075"/>
      <c r="X96" s="1075"/>
      <c r="Y96" s="1075"/>
      <c r="Z96" s="1075"/>
      <c r="AA96" s="1075"/>
      <c r="AB96" s="1075"/>
      <c r="AC96" s="1075"/>
      <c r="AD96" s="1075"/>
      <c r="AE96" s="1075"/>
      <c r="AF96" s="1075"/>
      <c r="AG96" s="1075"/>
      <c r="AH96" s="1075"/>
      <c r="AI96" s="1075"/>
      <c r="AJ96" s="1075"/>
      <c r="AK96" s="1075"/>
      <c r="AL96" s="1075"/>
      <c r="AM96" s="1075"/>
      <c r="AN96" s="1075"/>
      <c r="AO96" s="1075"/>
      <c r="AP96" s="1075"/>
      <c r="AQ96" s="1075"/>
      <c r="AR96" s="1075"/>
      <c r="AS96" s="1075"/>
      <c r="AT96" s="1075"/>
      <c r="AU96" s="1075"/>
      <c r="AV96" s="1075"/>
      <c r="AW96" s="1075"/>
      <c r="AX96" s="1075"/>
      <c r="AY96" s="1075"/>
      <c r="AZ96" s="1075"/>
    </row>
    <row r="97" spans="1:52" ht="18" customHeight="1">
      <c r="A97" s="109"/>
      <c r="B97" s="1772"/>
      <c r="C97" s="1117"/>
      <c r="D97" s="1117"/>
      <c r="E97" s="1117"/>
      <c r="F97" s="1117"/>
      <c r="G97" s="1117"/>
      <c r="H97" s="1118"/>
      <c r="I97" s="1123"/>
      <c r="J97" s="1123"/>
      <c r="K97" s="1124"/>
      <c r="L97" s="1123"/>
      <c r="M97" s="1123"/>
      <c r="N97" s="1123"/>
      <c r="O97" s="1124"/>
      <c r="P97" s="1123"/>
      <c r="Q97" s="1123"/>
      <c r="R97" s="2384"/>
      <c r="S97" s="2408"/>
      <c r="T97" s="109"/>
      <c r="U97" s="109"/>
      <c r="V97" s="109"/>
      <c r="W97" s="1075"/>
      <c r="X97" s="1075"/>
      <c r="Y97" s="1075"/>
      <c r="Z97" s="1075"/>
      <c r="AA97" s="1075"/>
      <c r="AB97" s="1075"/>
      <c r="AC97" s="1075"/>
      <c r="AD97" s="1075"/>
      <c r="AE97" s="1075"/>
      <c r="AF97" s="1075"/>
      <c r="AG97" s="1075"/>
      <c r="AH97" s="1075"/>
      <c r="AI97" s="1075"/>
      <c r="AJ97" s="1075"/>
      <c r="AK97" s="1075"/>
      <c r="AL97" s="1075"/>
      <c r="AM97" s="1075"/>
      <c r="AN97" s="1075"/>
      <c r="AO97" s="1075"/>
      <c r="AP97" s="1075"/>
      <c r="AQ97" s="1075"/>
      <c r="AR97" s="1075"/>
      <c r="AS97" s="1075"/>
      <c r="AT97" s="1075"/>
      <c r="AU97" s="1075"/>
      <c r="AV97" s="1075"/>
      <c r="AW97" s="1075"/>
      <c r="AX97" s="1075"/>
      <c r="AY97" s="1075"/>
      <c r="AZ97" s="1075"/>
    </row>
    <row r="98" spans="1:52" ht="18" customHeight="1">
      <c r="A98" s="109"/>
      <c r="B98" s="1125" t="s">
        <v>1044</v>
      </c>
      <c r="C98" s="1117"/>
      <c r="D98" s="1117"/>
      <c r="E98" s="1117"/>
      <c r="F98" s="1117"/>
      <c r="G98" s="1117"/>
      <c r="H98" s="1118"/>
      <c r="I98" s="1133">
        <f>I16</f>
        <v>75.772078430000008</v>
      </c>
      <c r="J98" s="1133">
        <f>J16</f>
        <v>47.882001659999993</v>
      </c>
      <c r="K98" s="1133">
        <f>K16</f>
        <v>47.830630929999998</v>
      </c>
      <c r="L98" s="1133">
        <f>L16</f>
        <v>61.685950349999999</v>
      </c>
      <c r="M98" s="1133">
        <f>M16</f>
        <v>26.918021679999999</v>
      </c>
      <c r="N98" s="935">
        <f>N99+N100</f>
        <v>26.918021679999999</v>
      </c>
      <c r="O98" s="935">
        <f>O99+O100</f>
        <v>26.918021679999999</v>
      </c>
      <c r="P98" s="935">
        <f>P99+P100</f>
        <v>26.918021679999999</v>
      </c>
      <c r="Q98" s="935">
        <f>Q99+Q100</f>
        <v>26.918021679999999</v>
      </c>
      <c r="R98" s="936">
        <f>R99+R100</f>
        <v>26.918021679999999</v>
      </c>
      <c r="S98" s="2378"/>
      <c r="T98" s="109"/>
      <c r="U98" s="109"/>
      <c r="V98" s="109"/>
      <c r="W98" s="1075"/>
      <c r="X98" s="1075"/>
      <c r="Y98" s="1075"/>
      <c r="Z98" s="1075"/>
      <c r="AA98" s="1075"/>
      <c r="AB98" s="1075"/>
      <c r="AC98" s="1075"/>
      <c r="AD98" s="1075"/>
      <c r="AE98" s="1075"/>
      <c r="AF98" s="1075"/>
      <c r="AG98" s="1075"/>
      <c r="AH98" s="1075"/>
      <c r="AI98" s="1075"/>
      <c r="AJ98" s="1075"/>
      <c r="AK98" s="1075"/>
      <c r="AL98" s="1075"/>
      <c r="AM98" s="1075"/>
      <c r="AN98" s="1075"/>
      <c r="AO98" s="1075"/>
      <c r="AP98" s="1075"/>
      <c r="AQ98" s="1075"/>
      <c r="AR98" s="1075"/>
      <c r="AS98" s="1075"/>
      <c r="AT98" s="1075"/>
      <c r="AU98" s="1075"/>
      <c r="AV98" s="1075"/>
      <c r="AW98" s="1075"/>
      <c r="AX98" s="1075"/>
      <c r="AY98" s="1075"/>
      <c r="AZ98" s="1075"/>
    </row>
    <row r="99" spans="1:52" ht="18" customHeight="1">
      <c r="A99" s="109"/>
      <c r="B99" s="1764" t="s">
        <v>1416</v>
      </c>
      <c r="C99" s="1126">
        <v>102</v>
      </c>
      <c r="D99" s="1126">
        <v>6</v>
      </c>
      <c r="E99" s="1126">
        <v>6</v>
      </c>
      <c r="F99" s="1126"/>
      <c r="G99" s="1126"/>
      <c r="H99" s="1130">
        <f>N99</f>
        <v>26.918021679999999</v>
      </c>
      <c r="I99" s="2281">
        <f>I98-I100</f>
        <v>75.772078430000008</v>
      </c>
      <c r="J99" s="2281">
        <f>J98-J100</f>
        <v>47.882001659999993</v>
      </c>
      <c r="K99" s="2281">
        <f>K98-K100</f>
        <v>47.830630929999998</v>
      </c>
      <c r="L99" s="2281">
        <f>L98-L100</f>
        <v>61.685950349999999</v>
      </c>
      <c r="M99" s="2281">
        <f>M98-M100</f>
        <v>26.918021679999999</v>
      </c>
      <c r="N99" s="1881">
        <f>M99</f>
        <v>26.918021679999999</v>
      </c>
      <c r="O99" s="1881">
        <f t="shared" ref="O99:R99" si="31">N99</f>
        <v>26.918021679999999</v>
      </c>
      <c r="P99" s="1881">
        <f t="shared" si="31"/>
        <v>26.918021679999999</v>
      </c>
      <c r="Q99" s="1881">
        <f t="shared" si="31"/>
        <v>26.918021679999999</v>
      </c>
      <c r="R99" s="2381">
        <f t="shared" si="31"/>
        <v>26.918021679999999</v>
      </c>
      <c r="S99" s="2378"/>
      <c r="T99" s="109"/>
      <c r="U99" s="109"/>
      <c r="V99" s="109"/>
      <c r="W99" s="1075"/>
      <c r="X99" s="1075"/>
      <c r="Y99" s="1075"/>
      <c r="Z99" s="1075"/>
      <c r="AA99" s="1075"/>
      <c r="AB99" s="1075"/>
      <c r="AC99" s="1075"/>
      <c r="AD99" s="1075"/>
      <c r="AE99" s="1075"/>
      <c r="AF99" s="1075"/>
      <c r="AG99" s="1075"/>
      <c r="AH99" s="1075"/>
      <c r="AI99" s="1075"/>
      <c r="AJ99" s="1075"/>
      <c r="AK99" s="1075"/>
      <c r="AL99" s="1075"/>
      <c r="AM99" s="1075"/>
      <c r="AN99" s="1075"/>
      <c r="AO99" s="1075"/>
      <c r="AP99" s="1075"/>
      <c r="AQ99" s="1075"/>
      <c r="AR99" s="1075"/>
      <c r="AS99" s="1075"/>
      <c r="AT99" s="1075"/>
      <c r="AU99" s="1075"/>
      <c r="AV99" s="1075"/>
      <c r="AW99" s="1075"/>
      <c r="AX99" s="1075"/>
      <c r="AY99" s="1075"/>
      <c r="AZ99" s="1075"/>
    </row>
    <row r="100" spans="1:52" ht="18" customHeight="1">
      <c r="A100" s="109"/>
      <c r="B100" s="1764" t="s">
        <v>1417</v>
      </c>
      <c r="C100" s="1126">
        <v>102</v>
      </c>
      <c r="D100" s="1126">
        <v>6</v>
      </c>
      <c r="E100" s="1126">
        <v>6</v>
      </c>
      <c r="F100" s="1126"/>
      <c r="G100" s="1126"/>
      <c r="H100" s="1130">
        <f>N100</f>
        <v>0</v>
      </c>
      <c r="I100" s="934">
        <v>0</v>
      </c>
      <c r="J100" s="934">
        <v>0</v>
      </c>
      <c r="K100" s="934">
        <v>0</v>
      </c>
      <c r="L100" s="934">
        <v>0</v>
      </c>
      <c r="M100" s="934">
        <v>0</v>
      </c>
      <c r="N100" s="1881">
        <f>M100</f>
        <v>0</v>
      </c>
      <c r="O100" s="1881">
        <f t="shared" ref="O100:R100" si="32">N100</f>
        <v>0</v>
      </c>
      <c r="P100" s="1881">
        <f t="shared" si="32"/>
        <v>0</v>
      </c>
      <c r="Q100" s="1881">
        <f t="shared" si="32"/>
        <v>0</v>
      </c>
      <c r="R100" s="2381">
        <f t="shared" si="32"/>
        <v>0</v>
      </c>
      <c r="S100" s="2378"/>
      <c r="T100" s="109"/>
      <c r="U100" s="109"/>
      <c r="V100" s="109"/>
      <c r="W100" s="1075"/>
      <c r="X100" s="1075"/>
      <c r="Y100" s="1075"/>
      <c r="Z100" s="1075"/>
      <c r="AA100" s="1075"/>
      <c r="AB100" s="1075"/>
      <c r="AC100" s="1075"/>
      <c r="AD100" s="1075"/>
      <c r="AE100" s="1075"/>
      <c r="AF100" s="1075"/>
      <c r="AG100" s="1075"/>
      <c r="AH100" s="1075"/>
      <c r="AI100" s="1075"/>
      <c r="AJ100" s="1075"/>
      <c r="AK100" s="1075"/>
      <c r="AL100" s="1075"/>
      <c r="AM100" s="1075"/>
      <c r="AN100" s="1075"/>
      <c r="AO100" s="1075"/>
      <c r="AP100" s="1075"/>
      <c r="AQ100" s="1075"/>
      <c r="AR100" s="1075"/>
      <c r="AS100" s="1075"/>
      <c r="AT100" s="1075"/>
      <c r="AU100" s="1075"/>
      <c r="AV100" s="1075"/>
      <c r="AW100" s="1075"/>
      <c r="AX100" s="1075"/>
      <c r="AY100" s="1075"/>
      <c r="AZ100" s="1075"/>
    </row>
    <row r="101" spans="1:52" ht="18" customHeight="1">
      <c r="A101" s="109"/>
      <c r="B101" s="1764"/>
      <c r="C101" s="1126"/>
      <c r="D101" s="1126"/>
      <c r="E101" s="1126"/>
      <c r="F101" s="1126"/>
      <c r="G101" s="1126"/>
      <c r="H101" s="1130"/>
      <c r="I101" s="2282"/>
      <c r="J101" s="2282"/>
      <c r="K101" s="2282"/>
      <c r="L101" s="2282"/>
      <c r="M101" s="2282"/>
      <c r="N101" s="1881"/>
      <c r="O101" s="1881"/>
      <c r="P101" s="1881"/>
      <c r="Q101" s="1881"/>
      <c r="R101" s="2381"/>
      <c r="S101" s="2378"/>
      <c r="T101" s="109"/>
      <c r="U101" s="109"/>
      <c r="V101" s="109"/>
      <c r="W101" s="1075"/>
      <c r="X101" s="1075"/>
      <c r="Y101" s="1075"/>
      <c r="Z101" s="1075"/>
      <c r="AA101" s="1075"/>
      <c r="AB101" s="1075"/>
      <c r="AC101" s="1075"/>
      <c r="AD101" s="1075"/>
      <c r="AE101" s="1075"/>
      <c r="AF101" s="1075"/>
      <c r="AG101" s="1075"/>
      <c r="AH101" s="1075"/>
      <c r="AI101" s="1075"/>
      <c r="AJ101" s="1075"/>
      <c r="AK101" s="1075"/>
      <c r="AL101" s="1075"/>
      <c r="AM101" s="1075"/>
      <c r="AN101" s="1075"/>
      <c r="AO101" s="1075"/>
      <c r="AP101" s="1075"/>
      <c r="AQ101" s="1075"/>
      <c r="AR101" s="1075"/>
      <c r="AS101" s="1075"/>
      <c r="AT101" s="1075"/>
      <c r="AU101" s="1075"/>
      <c r="AV101" s="1075"/>
      <c r="AW101" s="1075"/>
      <c r="AX101" s="1075"/>
      <c r="AY101" s="1075"/>
      <c r="AZ101" s="1075"/>
    </row>
    <row r="102" spans="1:52" ht="18" customHeight="1">
      <c r="A102" s="109"/>
      <c r="B102" s="1125" t="s">
        <v>1418</v>
      </c>
      <c r="C102" s="1126"/>
      <c r="D102" s="1126"/>
      <c r="E102" s="1126"/>
      <c r="F102" s="1126"/>
      <c r="G102" s="1126"/>
      <c r="H102" s="1130"/>
      <c r="I102" s="2281">
        <f>I17</f>
        <v>0</v>
      </c>
      <c r="J102" s="2281">
        <f t="shared" ref="J102:M102" si="33">J17</f>
        <v>0</v>
      </c>
      <c r="K102" s="2281">
        <f t="shared" si="33"/>
        <v>0</v>
      </c>
      <c r="L102" s="2281">
        <f t="shared" si="33"/>
        <v>0</v>
      </c>
      <c r="M102" s="2281">
        <f t="shared" si="33"/>
        <v>0</v>
      </c>
      <c r="N102" s="1881">
        <f>资产负债!N110</f>
        <v>0</v>
      </c>
      <c r="O102" s="1881">
        <f>资产负债!O110</f>
        <v>0</v>
      </c>
      <c r="P102" s="1881">
        <f>资产负债!P110</f>
        <v>0</v>
      </c>
      <c r="Q102" s="1881">
        <f>资产负债!Q110</f>
        <v>0</v>
      </c>
      <c r="R102" s="2381">
        <f>资产负债!R110</f>
        <v>0</v>
      </c>
      <c r="S102" s="2378"/>
      <c r="T102" s="109"/>
      <c r="U102" s="109"/>
      <c r="V102" s="109"/>
      <c r="W102" s="1075"/>
      <c r="X102" s="1075"/>
      <c r="Y102" s="1075"/>
      <c r="Z102" s="1075"/>
      <c r="AA102" s="1075"/>
      <c r="AB102" s="1075"/>
      <c r="AC102" s="1075"/>
      <c r="AD102" s="1075"/>
      <c r="AE102" s="1075"/>
      <c r="AF102" s="1075"/>
      <c r="AG102" s="1075"/>
      <c r="AH102" s="1075"/>
      <c r="AI102" s="1075"/>
      <c r="AJ102" s="1075"/>
      <c r="AK102" s="1075"/>
      <c r="AL102" s="1075"/>
      <c r="AM102" s="1075"/>
      <c r="AN102" s="1075"/>
      <c r="AO102" s="1075"/>
      <c r="AP102" s="1075"/>
      <c r="AQ102" s="1075"/>
      <c r="AR102" s="1075"/>
      <c r="AS102" s="1075"/>
      <c r="AT102" s="1075"/>
      <c r="AU102" s="1075"/>
      <c r="AV102" s="1075"/>
      <c r="AW102" s="1075"/>
      <c r="AX102" s="1075"/>
      <c r="AY102" s="1075"/>
      <c r="AZ102" s="1075"/>
    </row>
    <row r="103" spans="1:52" ht="18" customHeight="1">
      <c r="A103" s="109"/>
      <c r="B103" s="1125"/>
      <c r="C103" s="1126"/>
      <c r="D103" s="1126"/>
      <c r="E103" s="1126"/>
      <c r="F103" s="1126"/>
      <c r="G103" s="1126"/>
      <c r="H103" s="1130"/>
      <c r="I103" s="2282"/>
      <c r="J103" s="2282"/>
      <c r="K103" s="2282"/>
      <c r="L103" s="2282"/>
      <c r="M103" s="2282"/>
      <c r="N103" s="1881"/>
      <c r="O103" s="1881"/>
      <c r="P103" s="1881"/>
      <c r="Q103" s="1881"/>
      <c r="R103" s="2381"/>
      <c r="S103" s="2378"/>
      <c r="T103" s="109"/>
      <c r="U103" s="109"/>
      <c r="V103" s="109"/>
      <c r="W103" s="1075"/>
      <c r="X103" s="1075"/>
      <c r="Y103" s="1075"/>
      <c r="Z103" s="1075"/>
      <c r="AA103" s="1075"/>
      <c r="AB103" s="1075"/>
      <c r="AC103" s="1075"/>
      <c r="AD103" s="1075"/>
      <c r="AE103" s="1075"/>
      <c r="AF103" s="1075"/>
      <c r="AG103" s="1075"/>
      <c r="AH103" s="1075"/>
      <c r="AI103" s="1075"/>
      <c r="AJ103" s="1075"/>
      <c r="AK103" s="1075"/>
      <c r="AL103" s="1075"/>
      <c r="AM103" s="1075"/>
      <c r="AN103" s="1075"/>
      <c r="AO103" s="1075"/>
      <c r="AP103" s="1075"/>
      <c r="AQ103" s="1075"/>
      <c r="AR103" s="1075"/>
      <c r="AS103" s="1075"/>
      <c r="AT103" s="1075"/>
      <c r="AU103" s="1075"/>
      <c r="AV103" s="1075"/>
      <c r="AW103" s="1075"/>
      <c r="AX103" s="1075"/>
      <c r="AY103" s="1075"/>
      <c r="AZ103" s="1075"/>
    </row>
    <row r="104" spans="1:52" ht="18" customHeight="1">
      <c r="A104" s="113"/>
      <c r="B104" s="1125" t="s">
        <v>1419</v>
      </c>
      <c r="C104" s="1117"/>
      <c r="D104" s="1117"/>
      <c r="E104" s="1117"/>
      <c r="F104" s="1117"/>
      <c r="G104" s="1117"/>
      <c r="H104" s="1904"/>
      <c r="I104" s="1133">
        <f>I18</f>
        <v>0</v>
      </c>
      <c r="J104" s="1133">
        <f>J18</f>
        <v>0</v>
      </c>
      <c r="K104" s="1133">
        <f>K18</f>
        <v>1.0483</v>
      </c>
      <c r="L104" s="1133">
        <f>L18</f>
        <v>-0.26352584000000001</v>
      </c>
      <c r="M104" s="1133">
        <f>M18</f>
        <v>-0.30307613999999999</v>
      </c>
      <c r="N104" s="1883">
        <f>资产负债!N106</f>
        <v>0</v>
      </c>
      <c r="O104" s="1883">
        <f>资产负债!O106</f>
        <v>0</v>
      </c>
      <c r="P104" s="1883">
        <f>资产负债!P106</f>
        <v>0</v>
      </c>
      <c r="Q104" s="1883">
        <f>资产负债!Q106</f>
        <v>0</v>
      </c>
      <c r="R104" s="2391">
        <f>资产负债!R106</f>
        <v>0</v>
      </c>
      <c r="S104" s="1163"/>
      <c r="T104" s="113"/>
      <c r="U104" s="113"/>
      <c r="V104" s="113"/>
      <c r="W104" s="1075"/>
      <c r="X104" s="1075"/>
      <c r="Y104" s="1075"/>
      <c r="Z104" s="1075"/>
      <c r="AA104" s="1075"/>
      <c r="AB104" s="1075"/>
      <c r="AC104" s="1075"/>
      <c r="AD104" s="1075"/>
      <c r="AE104" s="1075"/>
      <c r="AF104" s="1075"/>
      <c r="AG104" s="1075"/>
      <c r="AH104" s="1075"/>
      <c r="AI104" s="1075"/>
      <c r="AJ104" s="1075"/>
      <c r="AK104" s="1075"/>
      <c r="AL104" s="1075"/>
      <c r="AM104" s="1075"/>
      <c r="AN104" s="1075"/>
      <c r="AO104" s="1075"/>
      <c r="AP104" s="1075"/>
      <c r="AQ104" s="1075"/>
      <c r="AR104" s="1075"/>
      <c r="AS104" s="1075"/>
      <c r="AT104" s="1075"/>
      <c r="AU104" s="1075"/>
      <c r="AV104" s="1075"/>
      <c r="AW104" s="1075"/>
      <c r="AX104" s="1075"/>
      <c r="AY104" s="1075"/>
      <c r="AZ104" s="1075"/>
    </row>
    <row r="105" spans="1:52" ht="18" customHeight="1">
      <c r="A105" s="109"/>
      <c r="B105" s="1125"/>
      <c r="C105" s="1126"/>
      <c r="D105" s="1126"/>
      <c r="E105" s="1126"/>
      <c r="F105" s="1126"/>
      <c r="G105" s="1126"/>
      <c r="H105" s="1130"/>
      <c r="I105" s="2282"/>
      <c r="J105" s="2282"/>
      <c r="K105" s="2282"/>
      <c r="L105" s="2282"/>
      <c r="M105" s="2282"/>
      <c r="N105" s="1881"/>
      <c r="O105" s="1881"/>
      <c r="P105" s="1881"/>
      <c r="Q105" s="1881"/>
      <c r="R105" s="2381"/>
      <c r="S105" s="2378"/>
      <c r="T105" s="109"/>
      <c r="U105" s="109"/>
      <c r="V105" s="109"/>
      <c r="W105" s="1075"/>
      <c r="X105" s="1075"/>
      <c r="Y105" s="1075"/>
      <c r="Z105" s="1075"/>
      <c r="AA105" s="1075"/>
      <c r="AB105" s="1075"/>
      <c r="AC105" s="1075"/>
      <c r="AD105" s="1075"/>
      <c r="AE105" s="1075"/>
      <c r="AF105" s="1075"/>
      <c r="AG105" s="1075"/>
      <c r="AH105" s="1075"/>
      <c r="AI105" s="1075"/>
      <c r="AJ105" s="1075"/>
      <c r="AK105" s="1075"/>
      <c r="AL105" s="1075"/>
      <c r="AM105" s="1075"/>
      <c r="AN105" s="1075"/>
      <c r="AO105" s="1075"/>
      <c r="AP105" s="1075"/>
      <c r="AQ105" s="1075"/>
      <c r="AR105" s="1075"/>
      <c r="AS105" s="1075"/>
      <c r="AT105" s="1075"/>
      <c r="AU105" s="1075"/>
      <c r="AV105" s="1075"/>
      <c r="AW105" s="1075"/>
      <c r="AX105" s="1075"/>
      <c r="AY105" s="1075"/>
      <c r="AZ105" s="1075"/>
    </row>
    <row r="106" spans="1:52" s="1823" customFormat="1" ht="18" customHeight="1">
      <c r="A106" s="1818"/>
      <c r="B106" s="1125" t="s">
        <v>1208</v>
      </c>
      <c r="C106" s="1126">
        <v>102</v>
      </c>
      <c r="D106" s="1126">
        <v>6</v>
      </c>
      <c r="E106" s="1126">
        <v>6</v>
      </c>
      <c r="F106" s="1126"/>
      <c r="G106" s="1126"/>
      <c r="H106" s="1130">
        <f>N106</f>
        <v>66.626262619999991</v>
      </c>
      <c r="I106" s="1133">
        <f>I21</f>
        <v>0</v>
      </c>
      <c r="J106" s="1133">
        <f>J21</f>
        <v>-0.76108692</v>
      </c>
      <c r="K106" s="1133">
        <f>K21</f>
        <v>-6.6013670499999995</v>
      </c>
      <c r="L106" s="1133">
        <f>L21</f>
        <v>-4.7505499999999999E-2</v>
      </c>
      <c r="M106" s="1133">
        <f>M21</f>
        <v>66.626262619999991</v>
      </c>
      <c r="N106" s="1881">
        <f>M106</f>
        <v>66.626262619999991</v>
      </c>
      <c r="O106" s="1881">
        <f t="shared" ref="O106:R106" si="34">N106</f>
        <v>66.626262619999991</v>
      </c>
      <c r="P106" s="1881">
        <f t="shared" si="34"/>
        <v>66.626262619999991</v>
      </c>
      <c r="Q106" s="1881">
        <f t="shared" si="34"/>
        <v>66.626262619999991</v>
      </c>
      <c r="R106" s="2381">
        <f t="shared" si="34"/>
        <v>66.626262619999991</v>
      </c>
      <c r="S106" s="2409"/>
      <c r="T106" s="1818"/>
      <c r="U106" s="1818"/>
      <c r="V106" s="1818"/>
      <c r="W106" s="1822"/>
      <c r="X106" s="1822"/>
      <c r="Y106" s="1822"/>
      <c r="Z106" s="1822"/>
      <c r="AA106" s="1822"/>
      <c r="AB106" s="1822"/>
      <c r="AC106" s="1822"/>
      <c r="AD106" s="1822"/>
      <c r="AE106" s="1822"/>
      <c r="AF106" s="1822"/>
      <c r="AG106" s="1822"/>
      <c r="AH106" s="1822"/>
      <c r="AI106" s="1822"/>
      <c r="AJ106" s="1822"/>
      <c r="AK106" s="1822"/>
      <c r="AL106" s="1822"/>
      <c r="AM106" s="1822"/>
      <c r="AN106" s="1822"/>
      <c r="AO106" s="1822"/>
      <c r="AP106" s="1822"/>
      <c r="AQ106" s="1822"/>
      <c r="AR106" s="1822"/>
      <c r="AS106" s="1822"/>
      <c r="AT106" s="1822"/>
      <c r="AU106" s="1822"/>
      <c r="AV106" s="1822"/>
      <c r="AW106" s="1822"/>
      <c r="AX106" s="1822"/>
      <c r="AY106" s="1822"/>
      <c r="AZ106" s="1822"/>
    </row>
    <row r="107" spans="1:52" s="1823" customFormat="1" ht="18" customHeight="1">
      <c r="A107" s="1818"/>
      <c r="B107" s="1125"/>
      <c r="C107" s="1819"/>
      <c r="D107" s="1819"/>
      <c r="E107" s="1819"/>
      <c r="F107" s="1819"/>
      <c r="G107" s="1819"/>
      <c r="H107" s="1820"/>
      <c r="I107" s="1821"/>
      <c r="J107" s="1821"/>
      <c r="K107" s="1821"/>
      <c r="L107" s="1821"/>
      <c r="M107" s="1821"/>
      <c r="N107" s="1821"/>
      <c r="O107" s="1821"/>
      <c r="P107" s="1821"/>
      <c r="Q107" s="1821"/>
      <c r="R107" s="2397"/>
      <c r="S107" s="2409"/>
      <c r="T107" s="1818"/>
      <c r="U107" s="1818"/>
      <c r="V107" s="1818"/>
      <c r="W107" s="1822"/>
      <c r="X107" s="1822"/>
      <c r="Y107" s="1822"/>
      <c r="Z107" s="1822"/>
      <c r="AA107" s="1822"/>
      <c r="AB107" s="1822"/>
      <c r="AC107" s="1822"/>
      <c r="AD107" s="1822"/>
      <c r="AE107" s="1822"/>
      <c r="AF107" s="1822"/>
      <c r="AG107" s="1822"/>
      <c r="AH107" s="1822"/>
      <c r="AI107" s="1822"/>
      <c r="AJ107" s="1822"/>
      <c r="AK107" s="1822"/>
      <c r="AL107" s="1822"/>
      <c r="AM107" s="1822"/>
      <c r="AN107" s="1822"/>
      <c r="AO107" s="1822"/>
      <c r="AP107" s="1822"/>
      <c r="AQ107" s="1822"/>
      <c r="AR107" s="1822"/>
      <c r="AS107" s="1822"/>
      <c r="AT107" s="1822"/>
      <c r="AU107" s="1822"/>
      <c r="AV107" s="1822"/>
      <c r="AW107" s="1822"/>
      <c r="AX107" s="1822"/>
      <c r="AY107" s="1822"/>
      <c r="AZ107" s="1822"/>
    </row>
    <row r="108" spans="1:52" s="1823" customFormat="1" ht="18" customHeight="1">
      <c r="A108" s="1818"/>
      <c r="B108" s="1125" t="s">
        <v>1469</v>
      </c>
      <c r="C108" s="1126">
        <v>102</v>
      </c>
      <c r="D108" s="1126">
        <v>4</v>
      </c>
      <c r="E108" s="1126">
        <v>4</v>
      </c>
      <c r="F108" s="1126"/>
      <c r="G108" s="1126"/>
      <c r="H108" s="1130">
        <f>N108</f>
        <v>0</v>
      </c>
      <c r="I108" s="1133">
        <f>I22</f>
        <v>0</v>
      </c>
      <c r="J108" s="1133">
        <f>J22</f>
        <v>0</v>
      </c>
      <c r="K108" s="1133">
        <f>K22</f>
        <v>0</v>
      </c>
      <c r="L108" s="1133">
        <f>L22</f>
        <v>0</v>
      </c>
      <c r="M108" s="1133">
        <f>M22</f>
        <v>0</v>
      </c>
      <c r="N108" s="2326"/>
      <c r="O108" s="2326"/>
      <c r="P108" s="2326"/>
      <c r="Q108" s="2326"/>
      <c r="R108" s="2398"/>
      <c r="S108" s="2409"/>
      <c r="T108" s="1818"/>
      <c r="U108" s="1818"/>
      <c r="V108" s="1818"/>
      <c r="W108" s="1822"/>
      <c r="X108" s="1822"/>
      <c r="Y108" s="1822"/>
      <c r="Z108" s="1822"/>
      <c r="AA108" s="1822"/>
      <c r="AB108" s="1822"/>
      <c r="AC108" s="1822"/>
      <c r="AD108" s="1822"/>
      <c r="AE108" s="1822"/>
      <c r="AF108" s="1822"/>
      <c r="AG108" s="1822"/>
      <c r="AH108" s="1822"/>
      <c r="AI108" s="1822"/>
      <c r="AJ108" s="1822"/>
      <c r="AK108" s="1822"/>
      <c r="AL108" s="1822"/>
      <c r="AM108" s="1822"/>
      <c r="AN108" s="1822"/>
      <c r="AO108" s="1822"/>
      <c r="AP108" s="1822"/>
      <c r="AQ108" s="1822"/>
      <c r="AR108" s="1822"/>
      <c r="AS108" s="1822"/>
      <c r="AT108" s="1822"/>
      <c r="AU108" s="1822"/>
      <c r="AV108" s="1822"/>
      <c r="AW108" s="1822"/>
      <c r="AX108" s="1822"/>
      <c r="AY108" s="1822"/>
      <c r="AZ108" s="1822"/>
    </row>
    <row r="109" spans="1:52" s="1823" customFormat="1" ht="18" customHeight="1">
      <c r="A109" s="1818"/>
      <c r="B109" s="1125"/>
      <c r="C109" s="1819"/>
      <c r="D109" s="1819"/>
      <c r="E109" s="1819"/>
      <c r="F109" s="1819"/>
      <c r="G109" s="1819"/>
      <c r="H109" s="1820"/>
      <c r="I109" s="1821"/>
      <c r="J109" s="1821"/>
      <c r="K109" s="1821"/>
      <c r="L109" s="1821"/>
      <c r="M109" s="1821"/>
      <c r="N109" s="1821"/>
      <c r="O109" s="1821"/>
      <c r="P109" s="1821"/>
      <c r="Q109" s="1821"/>
      <c r="R109" s="2397"/>
      <c r="S109" s="2409"/>
      <c r="T109" s="1818"/>
      <c r="U109" s="1818"/>
      <c r="V109" s="1818"/>
      <c r="W109" s="1822"/>
      <c r="X109" s="1822"/>
      <c r="Y109" s="1822"/>
      <c r="Z109" s="1822"/>
      <c r="AA109" s="1822"/>
      <c r="AB109" s="1822"/>
      <c r="AC109" s="1822"/>
      <c r="AD109" s="1822"/>
      <c r="AE109" s="1822"/>
      <c r="AF109" s="1822"/>
      <c r="AG109" s="1822"/>
      <c r="AH109" s="1822"/>
      <c r="AI109" s="1822"/>
      <c r="AJ109" s="1822"/>
      <c r="AK109" s="1822"/>
      <c r="AL109" s="1822"/>
      <c r="AM109" s="1822"/>
      <c r="AN109" s="1822"/>
      <c r="AO109" s="1822"/>
      <c r="AP109" s="1822"/>
      <c r="AQ109" s="1822"/>
      <c r="AR109" s="1822"/>
      <c r="AS109" s="1822"/>
      <c r="AT109" s="1822"/>
      <c r="AU109" s="1822"/>
      <c r="AV109" s="1822"/>
      <c r="AW109" s="1822"/>
      <c r="AX109" s="1822"/>
      <c r="AY109" s="1822"/>
      <c r="AZ109" s="1822"/>
    </row>
    <row r="110" spans="1:52" ht="18" customHeight="1">
      <c r="A110" s="109"/>
      <c r="B110" s="1772" t="s">
        <v>1341</v>
      </c>
      <c r="C110" s="1117"/>
      <c r="D110" s="1117"/>
      <c r="E110" s="1117"/>
      <c r="F110" s="1117"/>
      <c r="G110" s="1117"/>
      <c r="H110" s="1118"/>
      <c r="I110" s="997">
        <f>I43-I50-I53-I56-I59-I62-I65-I68+I79+I88+I98+I102+I104+I108+I106+I96</f>
        <v>743.53073535000033</v>
      </c>
      <c r="J110" s="997">
        <f>J43-J50-J53-J56-J59-J62-J65-J68+J79+J88+J98+J102+J104+J108+J106+J96</f>
        <v>969.48112995999963</v>
      </c>
      <c r="K110" s="997">
        <f>K43-K50-K53-K56-K59-K62-K65-K68+K79+K88+K98+K102+K104+K108+K106+K96</f>
        <v>676.93514071000016</v>
      </c>
      <c r="L110" s="997">
        <f>L43-L50-L53-L56-L59-L62-L65-L68+L79+L88+L98+L102+L104+L108+L106+L96</f>
        <v>858.36991368000031</v>
      </c>
      <c r="M110" s="997">
        <f>M43-M50-M53-M56-M59-M62-M65-M68+M79+M88+M98+M102+M104+M108+M106+M96</f>
        <v>1094.2622257100002</v>
      </c>
      <c r="N110" s="911">
        <f ca="1">N43-N50-N53-N56-N59-N62-N65-N68+N79+N88+N98+N102+N104+N108+N106+N96</f>
        <v>-1382.242562561677</v>
      </c>
      <c r="O110" s="911">
        <f ca="1">O43-O50-O53-O56-O59-O62-O65-O68+O79+O88+O98+O102+O104+O108+O106+O96</f>
        <v>-1642.0798715380527</v>
      </c>
      <c r="P110" s="911">
        <f ca="1">P43-P50-P53-P56-P59-P62-P65-P68+P79+P88+P98+P102+P104+P108+P106+P96</f>
        <v>-1632.541257816551</v>
      </c>
      <c r="Q110" s="911">
        <f ca="1">Q43-Q50-Q53-Q56-Q59-Q62-Q65-Q68+Q79+Q88+Q98+Q102+Q104+Q108+Q106+Q96</f>
        <v>-1634.6450545978682</v>
      </c>
      <c r="R110" s="2385">
        <f ca="1">R43-R50-R53-R56-R59-R62-R65-R68+R79+R88+R98+R102+R104+R108+R106+R96</f>
        <v>-1636.4220613174907</v>
      </c>
      <c r="S110" s="2378"/>
      <c r="T110" s="109"/>
      <c r="U110" s="109"/>
      <c r="V110" s="109"/>
      <c r="W110" s="1075"/>
      <c r="X110" s="1075"/>
      <c r="Y110" s="1075"/>
      <c r="Z110" s="1075"/>
      <c r="AA110" s="1075"/>
      <c r="AB110" s="1075"/>
      <c r="AC110" s="1075"/>
      <c r="AD110" s="1075"/>
      <c r="AE110" s="1075"/>
      <c r="AF110" s="1075"/>
      <c r="AG110" s="1075"/>
      <c r="AH110" s="1075"/>
      <c r="AI110" s="1075"/>
      <c r="AJ110" s="1075"/>
      <c r="AK110" s="1075"/>
      <c r="AL110" s="1075"/>
      <c r="AM110" s="1075"/>
      <c r="AN110" s="1075"/>
      <c r="AO110" s="1075"/>
      <c r="AP110" s="1075"/>
      <c r="AQ110" s="1075"/>
      <c r="AR110" s="1075"/>
      <c r="AS110" s="1075"/>
      <c r="AT110" s="1075"/>
      <c r="AU110" s="1075"/>
      <c r="AV110" s="1075"/>
      <c r="AW110" s="1075"/>
      <c r="AX110" s="1075"/>
      <c r="AY110" s="1075"/>
      <c r="AZ110" s="1075"/>
    </row>
    <row r="111" spans="1:52" ht="18" customHeight="1">
      <c r="A111" s="1113"/>
      <c r="B111" s="1764" t="s">
        <v>1350</v>
      </c>
      <c r="C111" s="1114"/>
      <c r="D111" s="1114"/>
      <c r="E111" s="1114"/>
      <c r="F111" s="1114"/>
      <c r="G111" s="1114"/>
      <c r="H111" s="1115"/>
      <c r="I111" s="1773">
        <f t="shared" ref="I111:R111" si="35">I110/I43</f>
        <v>0.22309459639701787</v>
      </c>
      <c r="J111" s="1773">
        <f t="shared" si="35"/>
        <v>0.24533843190602894</v>
      </c>
      <c r="K111" s="1773">
        <f t="shared" si="35"/>
        <v>0.14764383586000268</v>
      </c>
      <c r="L111" s="1773">
        <f t="shared" si="35"/>
        <v>0.17846507505098161</v>
      </c>
      <c r="M111" s="1773">
        <f t="shared" si="35"/>
        <v>0.1715641672087854</v>
      </c>
      <c r="N111" s="1774">
        <f t="shared" ca="1" si="35"/>
        <v>-0.21671523383946084</v>
      </c>
      <c r="O111" s="1774">
        <f t="shared" ca="1" si="35"/>
        <v>-0.25745388905108463</v>
      </c>
      <c r="P111" s="1774">
        <f t="shared" ca="1" si="35"/>
        <v>-0.25595837519617298</v>
      </c>
      <c r="Q111" s="1774">
        <f t="shared" ca="1" si="35"/>
        <v>-0.25628821948238056</v>
      </c>
      <c r="R111" s="2399">
        <f t="shared" ca="1" si="35"/>
        <v>-0.25656682790987939</v>
      </c>
      <c r="S111" s="2406"/>
      <c r="T111" s="1113"/>
      <c r="U111" s="1113"/>
      <c r="V111" s="1113"/>
      <c r="W111" s="1075"/>
      <c r="X111" s="1075"/>
      <c r="Y111" s="1075"/>
      <c r="Z111" s="1075"/>
      <c r="AA111" s="1075"/>
      <c r="AB111" s="1075"/>
      <c r="AC111" s="1075"/>
      <c r="AD111" s="1075"/>
      <c r="AE111" s="1075"/>
      <c r="AF111" s="1075"/>
      <c r="AG111" s="1075"/>
      <c r="AH111" s="1075"/>
      <c r="AI111" s="1075"/>
      <c r="AJ111" s="1075"/>
      <c r="AK111" s="1075"/>
      <c r="AL111" s="1075"/>
      <c r="AM111" s="1075"/>
      <c r="AN111" s="1075"/>
      <c r="AO111" s="1075"/>
      <c r="AP111" s="1075"/>
      <c r="AQ111" s="1075"/>
      <c r="AR111" s="1075"/>
      <c r="AS111" s="1075"/>
      <c r="AT111" s="1075"/>
      <c r="AU111" s="1075"/>
      <c r="AV111" s="1075"/>
      <c r="AW111" s="1075"/>
      <c r="AX111" s="1075"/>
      <c r="AY111" s="1075"/>
      <c r="AZ111" s="1075"/>
    </row>
    <row r="112" spans="1:52" ht="18" customHeight="1">
      <c r="A112" s="109"/>
      <c r="B112" s="1772"/>
      <c r="C112" s="1117"/>
      <c r="D112" s="1117"/>
      <c r="E112" s="1117"/>
      <c r="F112" s="1117"/>
      <c r="G112" s="1117"/>
      <c r="H112" s="1118"/>
      <c r="I112" s="1123"/>
      <c r="J112" s="1124"/>
      <c r="K112" s="1123"/>
      <c r="L112" s="1124"/>
      <c r="M112" s="1124"/>
      <c r="N112" s="1124"/>
      <c r="O112" s="1123"/>
      <c r="P112" s="1123"/>
      <c r="Q112" s="1124"/>
      <c r="R112" s="2390"/>
      <c r="S112" s="2378"/>
      <c r="T112" s="109"/>
      <c r="U112" s="109"/>
      <c r="V112" s="109"/>
      <c r="W112" s="1075"/>
      <c r="X112" s="1075"/>
      <c r="Y112" s="1075"/>
      <c r="Z112" s="1075"/>
      <c r="AA112" s="1075"/>
      <c r="AB112" s="1075"/>
      <c r="AC112" s="1075"/>
      <c r="AD112" s="1075"/>
      <c r="AE112" s="1075"/>
      <c r="AF112" s="1075"/>
      <c r="AG112" s="1075"/>
      <c r="AH112" s="1075"/>
      <c r="AI112" s="1075"/>
      <c r="AJ112" s="1075"/>
      <c r="AK112" s="1075"/>
      <c r="AL112" s="1075"/>
      <c r="AM112" s="1075"/>
      <c r="AN112" s="1075"/>
      <c r="AO112" s="1075"/>
      <c r="AP112" s="1075"/>
      <c r="AQ112" s="1075"/>
      <c r="AR112" s="1075"/>
      <c r="AS112" s="1075"/>
      <c r="AT112" s="1075"/>
      <c r="AU112" s="1075"/>
      <c r="AV112" s="1075"/>
      <c r="AW112" s="1075"/>
      <c r="AX112" s="1075"/>
      <c r="AY112" s="1075"/>
      <c r="AZ112" s="1075"/>
    </row>
    <row r="113" spans="1:52" ht="18" customHeight="1">
      <c r="A113" s="109"/>
      <c r="B113" s="1125" t="s">
        <v>203</v>
      </c>
      <c r="C113" s="1117">
        <v>102</v>
      </c>
      <c r="D113" s="1117">
        <v>7</v>
      </c>
      <c r="E113" s="1117">
        <v>7</v>
      </c>
      <c r="F113" s="1117"/>
      <c r="G113" s="1117"/>
      <c r="H113" s="1904">
        <f>N113</f>
        <v>0</v>
      </c>
      <c r="I113" s="1133">
        <f t="shared" ref="I113:M114" si="36">I24</f>
        <v>22.37969477</v>
      </c>
      <c r="J113" s="1133">
        <f t="shared" si="36"/>
        <v>16.342176390000002</v>
      </c>
      <c r="K113" s="1133">
        <f t="shared" si="36"/>
        <v>0.32713144999999999</v>
      </c>
      <c r="L113" s="1133">
        <f t="shared" si="36"/>
        <v>0.20957967000000002</v>
      </c>
      <c r="M113" s="1133">
        <f t="shared" si="36"/>
        <v>1.8447618700000001</v>
      </c>
      <c r="N113" s="1883">
        <f>0</f>
        <v>0</v>
      </c>
      <c r="O113" s="1883">
        <f>0</f>
        <v>0</v>
      </c>
      <c r="P113" s="1883">
        <f>0</f>
        <v>0</v>
      </c>
      <c r="Q113" s="1883">
        <f>0</f>
        <v>0</v>
      </c>
      <c r="R113" s="2391">
        <f>0</f>
        <v>0</v>
      </c>
      <c r="S113" s="2378"/>
      <c r="T113" s="109"/>
      <c r="U113" s="109"/>
      <c r="V113" s="109"/>
      <c r="W113" s="1075"/>
      <c r="X113" s="1075"/>
      <c r="Y113" s="1075"/>
      <c r="Z113" s="1075"/>
      <c r="AA113" s="1075"/>
      <c r="AB113" s="1075"/>
      <c r="AC113" s="1075"/>
      <c r="AD113" s="1075"/>
      <c r="AE113" s="1075"/>
      <c r="AF113" s="1075"/>
      <c r="AG113" s="1075"/>
      <c r="AH113" s="1075"/>
      <c r="AI113" s="1075"/>
      <c r="AJ113" s="1075"/>
      <c r="AK113" s="1075"/>
      <c r="AL113" s="1075"/>
      <c r="AM113" s="1075"/>
      <c r="AN113" s="1075"/>
      <c r="AO113" s="1075"/>
      <c r="AP113" s="1075"/>
      <c r="AQ113" s="1075"/>
      <c r="AR113" s="1075"/>
      <c r="AS113" s="1075"/>
      <c r="AT113" s="1075"/>
      <c r="AU113" s="1075"/>
      <c r="AV113" s="1075"/>
      <c r="AW113" s="1075"/>
      <c r="AX113" s="1075"/>
      <c r="AY113" s="1075"/>
      <c r="AZ113" s="1075"/>
    </row>
    <row r="114" spans="1:52" ht="18" customHeight="1">
      <c r="A114" s="109"/>
      <c r="B114" s="1125" t="s">
        <v>205</v>
      </c>
      <c r="C114" s="1117">
        <v>102</v>
      </c>
      <c r="D114" s="1117">
        <v>7</v>
      </c>
      <c r="E114" s="1117">
        <v>7</v>
      </c>
      <c r="F114" s="1117"/>
      <c r="G114" s="1117"/>
      <c r="H114" s="1904">
        <f>N114</f>
        <v>0</v>
      </c>
      <c r="I114" s="1133">
        <f t="shared" si="36"/>
        <v>12.148624640000001</v>
      </c>
      <c r="J114" s="1133">
        <f t="shared" si="36"/>
        <v>2.00412262</v>
      </c>
      <c r="K114" s="1133">
        <f t="shared" si="36"/>
        <v>2.1196094700000003</v>
      </c>
      <c r="L114" s="1133">
        <f t="shared" si="36"/>
        <v>2.81924851</v>
      </c>
      <c r="M114" s="1133">
        <f t="shared" si="36"/>
        <v>3.8136368799999998</v>
      </c>
      <c r="N114" s="1883">
        <f>0</f>
        <v>0</v>
      </c>
      <c r="O114" s="1883">
        <f>0</f>
        <v>0</v>
      </c>
      <c r="P114" s="1883">
        <f>0</f>
        <v>0</v>
      </c>
      <c r="Q114" s="1883">
        <f>0</f>
        <v>0</v>
      </c>
      <c r="R114" s="2391">
        <f>0</f>
        <v>0</v>
      </c>
      <c r="S114" s="2378"/>
      <c r="T114" s="109"/>
      <c r="U114" s="109"/>
      <c r="V114" s="109"/>
      <c r="W114" s="1075"/>
      <c r="X114" s="1075"/>
      <c r="Y114" s="1075"/>
      <c r="Z114" s="1075"/>
      <c r="AA114" s="1075"/>
      <c r="AB114" s="1075"/>
      <c r="AC114" s="1075"/>
      <c r="AD114" s="1075"/>
      <c r="AE114" s="1075"/>
      <c r="AF114" s="1075"/>
      <c r="AG114" s="1075"/>
      <c r="AH114" s="1075"/>
      <c r="AI114" s="1075"/>
      <c r="AJ114" s="1075"/>
      <c r="AK114" s="1075"/>
      <c r="AL114" s="1075"/>
      <c r="AM114" s="1075"/>
      <c r="AN114" s="1075"/>
      <c r="AO114" s="1075"/>
      <c r="AP114" s="1075"/>
      <c r="AQ114" s="1075"/>
      <c r="AR114" s="1075"/>
      <c r="AS114" s="1075"/>
      <c r="AT114" s="1075"/>
      <c r="AU114" s="1075"/>
      <c r="AV114" s="1075"/>
      <c r="AW114" s="1075"/>
      <c r="AX114" s="1075"/>
      <c r="AY114" s="1075"/>
      <c r="AZ114" s="1075"/>
    </row>
    <row r="115" spans="1:52" ht="18" customHeight="1">
      <c r="A115" s="109"/>
      <c r="B115" s="1772"/>
      <c r="C115" s="1117"/>
      <c r="D115" s="1117"/>
      <c r="E115" s="1117"/>
      <c r="F115" s="1117"/>
      <c r="G115" s="1117"/>
      <c r="H115" s="1118"/>
      <c r="I115" s="1124"/>
      <c r="J115" s="1124"/>
      <c r="K115" s="1124"/>
      <c r="L115" s="1124"/>
      <c r="M115" s="1124"/>
      <c r="N115" s="1124"/>
      <c r="O115" s="1124"/>
      <c r="P115" s="1123"/>
      <c r="Q115" s="1124"/>
      <c r="R115" s="2384"/>
      <c r="S115" s="2378"/>
      <c r="T115" s="109"/>
      <c r="U115" s="109"/>
      <c r="V115" s="109"/>
      <c r="W115" s="1075"/>
      <c r="X115" s="1075"/>
      <c r="Y115" s="1075"/>
      <c r="Z115" s="1075"/>
      <c r="AA115" s="1075"/>
      <c r="AB115" s="1075"/>
      <c r="AC115" s="1075"/>
      <c r="AD115" s="1075"/>
      <c r="AE115" s="1075"/>
      <c r="AF115" s="1075"/>
      <c r="AG115" s="1075"/>
      <c r="AH115" s="1075"/>
      <c r="AI115" s="1075"/>
      <c r="AJ115" s="1075"/>
      <c r="AK115" s="1075"/>
      <c r="AL115" s="1075"/>
      <c r="AM115" s="1075"/>
      <c r="AN115" s="1075"/>
      <c r="AO115" s="1075"/>
      <c r="AP115" s="1075"/>
      <c r="AQ115" s="1075"/>
      <c r="AR115" s="1075"/>
      <c r="AS115" s="1075"/>
      <c r="AT115" s="1075"/>
      <c r="AU115" s="1075"/>
      <c r="AV115" s="1075"/>
      <c r="AW115" s="1075"/>
      <c r="AX115" s="1075"/>
      <c r="AY115" s="1075"/>
      <c r="AZ115" s="1075"/>
    </row>
    <row r="116" spans="1:52" ht="18" customHeight="1">
      <c r="A116" s="109"/>
      <c r="B116" s="1772" t="s">
        <v>1342</v>
      </c>
      <c r="C116" s="1117"/>
      <c r="D116" s="1117"/>
      <c r="E116" s="1117"/>
      <c r="F116" s="1117"/>
      <c r="G116" s="1117"/>
      <c r="H116" s="1118"/>
      <c r="I116" s="997">
        <f t="shared" ref="I116:R116" si="37">I110+I113-I114</f>
        <v>753.76180548000036</v>
      </c>
      <c r="J116" s="997">
        <f t="shared" si="37"/>
        <v>983.81918372999962</v>
      </c>
      <c r="K116" s="997">
        <f t="shared" si="37"/>
        <v>675.14266269000018</v>
      </c>
      <c r="L116" s="997">
        <f t="shared" si="37"/>
        <v>855.76024484000038</v>
      </c>
      <c r="M116" s="997">
        <f t="shared" si="37"/>
        <v>1092.2933507</v>
      </c>
      <c r="N116" s="1124">
        <f t="shared" ca="1" si="37"/>
        <v>-1382.242562561677</v>
      </c>
      <c r="O116" s="1124">
        <f t="shared" ca="1" si="37"/>
        <v>-1642.0798715380527</v>
      </c>
      <c r="P116" s="1124">
        <f t="shared" ca="1" si="37"/>
        <v>-1632.541257816551</v>
      </c>
      <c r="Q116" s="1124">
        <f t="shared" ca="1" si="37"/>
        <v>-1634.6450545978682</v>
      </c>
      <c r="R116" s="2384">
        <f t="shared" ca="1" si="37"/>
        <v>-1636.4220613174907</v>
      </c>
      <c r="S116" s="2378"/>
      <c r="T116" s="109"/>
      <c r="U116" s="109"/>
      <c r="V116" s="109"/>
      <c r="W116" s="1075"/>
      <c r="X116" s="1075"/>
      <c r="Y116" s="1075"/>
      <c r="Z116" s="1075"/>
      <c r="AA116" s="1075"/>
      <c r="AB116" s="1075"/>
      <c r="AC116" s="1075"/>
      <c r="AD116" s="1075"/>
      <c r="AE116" s="1075"/>
      <c r="AF116" s="1075"/>
      <c r="AG116" s="1075"/>
      <c r="AH116" s="1075"/>
      <c r="AI116" s="1075"/>
      <c r="AJ116" s="1075"/>
      <c r="AK116" s="1075"/>
      <c r="AL116" s="1075"/>
      <c r="AM116" s="1075"/>
      <c r="AN116" s="1075"/>
      <c r="AO116" s="1075"/>
      <c r="AP116" s="1075"/>
      <c r="AQ116" s="1075"/>
      <c r="AR116" s="1075"/>
      <c r="AS116" s="1075"/>
      <c r="AT116" s="1075"/>
      <c r="AU116" s="1075"/>
      <c r="AV116" s="1075"/>
      <c r="AW116" s="1075"/>
      <c r="AX116" s="1075"/>
      <c r="AY116" s="1075"/>
      <c r="AZ116" s="1075"/>
    </row>
    <row r="117" spans="1:52" ht="18" customHeight="1">
      <c r="A117" s="109"/>
      <c r="B117" s="1772"/>
      <c r="C117" s="1126"/>
      <c r="D117" s="1126"/>
      <c r="E117" s="1126"/>
      <c r="F117" s="1126"/>
      <c r="G117" s="1126"/>
      <c r="H117" s="1127"/>
      <c r="I117" s="1124"/>
      <c r="J117" s="1124"/>
      <c r="K117" s="1124"/>
      <c r="L117" s="1124"/>
      <c r="M117" s="1124"/>
      <c r="N117" s="1124"/>
      <c r="O117" s="1124"/>
      <c r="P117" s="1124"/>
      <c r="Q117" s="1124"/>
      <c r="R117" s="2384"/>
      <c r="S117" s="2378"/>
      <c r="T117" s="109"/>
      <c r="U117" s="109"/>
      <c r="V117" s="109"/>
      <c r="W117" s="1075"/>
      <c r="X117" s="1075"/>
      <c r="Y117" s="1075"/>
      <c r="Z117" s="1075"/>
      <c r="AA117" s="1075"/>
      <c r="AB117" s="1075"/>
      <c r="AC117" s="1075"/>
      <c r="AD117" s="1075"/>
      <c r="AE117" s="1075"/>
      <c r="AF117" s="1075"/>
      <c r="AG117" s="1075"/>
      <c r="AH117" s="1075"/>
      <c r="AI117" s="1075"/>
      <c r="AJ117" s="1075"/>
      <c r="AK117" s="1075"/>
      <c r="AL117" s="1075"/>
      <c r="AM117" s="1075"/>
      <c r="AN117" s="1075"/>
      <c r="AO117" s="1075"/>
      <c r="AP117" s="1075"/>
      <c r="AQ117" s="1075"/>
      <c r="AR117" s="1075"/>
      <c r="AS117" s="1075"/>
      <c r="AT117" s="1075"/>
      <c r="AU117" s="1075"/>
      <c r="AV117" s="1075"/>
      <c r="AW117" s="1075"/>
      <c r="AX117" s="1075"/>
      <c r="AY117" s="1075"/>
      <c r="AZ117" s="1075"/>
    </row>
    <row r="118" spans="1:52" ht="18" customHeight="1">
      <c r="A118" s="109"/>
      <c r="B118" s="1134" t="s">
        <v>1051</v>
      </c>
      <c r="C118" s="1119">
        <v>101</v>
      </c>
      <c r="D118" s="1119">
        <v>5</v>
      </c>
      <c r="E118" s="1119">
        <v>5</v>
      </c>
      <c r="F118" s="1119">
        <f ca="1">IF((N116-N98)&gt;0,(N116-N98)*N119,0)</f>
        <v>0</v>
      </c>
      <c r="G118" s="1119">
        <f ca="1">IF((N116-N98)&gt;0,N118/(N116-N98),0)</f>
        <v>0</v>
      </c>
      <c r="H118" s="1120">
        <f ca="1">N118</f>
        <v>0</v>
      </c>
      <c r="I118" s="997">
        <f>I27</f>
        <v>106.46913868</v>
      </c>
      <c r="J118" s="997">
        <f>J27</f>
        <v>136.06376972000001</v>
      </c>
      <c r="K118" s="997">
        <f>K27</f>
        <v>89.94329212000001</v>
      </c>
      <c r="L118" s="997">
        <f>L27</f>
        <v>105.70510836</v>
      </c>
      <c r="M118" s="997">
        <f>M27</f>
        <v>137.25753891999997</v>
      </c>
      <c r="N118" s="1877">
        <f ca="1">IF((N116-N98)&gt;0,(N116-N98)*N119,0)</f>
        <v>0</v>
      </c>
      <c r="O118" s="1877">
        <f ca="1">IF((O116-O98)&gt;0,(O116-O98)*O119,0)</f>
        <v>0</v>
      </c>
      <c r="P118" s="1877">
        <f ca="1">IF((P116-P98)&gt;0,(P116-P98)*P119,0)</f>
        <v>0</v>
      </c>
      <c r="Q118" s="1877">
        <f ca="1">IF((Q116-Q98)&gt;0,(Q116-Q98)*Q119,0)</f>
        <v>0</v>
      </c>
      <c r="R118" s="2386">
        <f ca="1">IF((R116-R98)&gt;0,(R116-R98)*R119,0)</f>
        <v>0</v>
      </c>
      <c r="S118" s="2378"/>
      <c r="T118" s="109"/>
      <c r="U118" s="109"/>
      <c r="V118" s="109"/>
      <c r="W118" s="1075"/>
      <c r="X118" s="1075"/>
      <c r="Y118" s="1075"/>
      <c r="Z118" s="1075"/>
      <c r="AA118" s="1075"/>
      <c r="AB118" s="1075"/>
      <c r="AC118" s="1075"/>
      <c r="AD118" s="1075"/>
      <c r="AE118" s="1075"/>
      <c r="AF118" s="1075"/>
      <c r="AG118" s="1075"/>
      <c r="AH118" s="1075"/>
      <c r="AI118" s="1075"/>
      <c r="AJ118" s="1075"/>
      <c r="AK118" s="1075"/>
      <c r="AL118" s="1075"/>
      <c r="AM118" s="1075"/>
      <c r="AN118" s="1075"/>
      <c r="AO118" s="1075"/>
      <c r="AP118" s="1075"/>
      <c r="AQ118" s="1075"/>
      <c r="AR118" s="1075"/>
      <c r="AS118" s="1075"/>
      <c r="AT118" s="1075"/>
      <c r="AU118" s="1075"/>
      <c r="AV118" s="1075"/>
      <c r="AW118" s="1075"/>
      <c r="AX118" s="1075"/>
      <c r="AY118" s="1075"/>
      <c r="AZ118" s="1075"/>
    </row>
    <row r="119" spans="1:52" ht="18" customHeight="1">
      <c r="A119" s="1113"/>
      <c r="B119" s="2170" t="s">
        <v>1351</v>
      </c>
      <c r="C119" s="1135"/>
      <c r="D119" s="1135"/>
      <c r="E119" s="1135"/>
      <c r="F119" s="1135"/>
      <c r="G119" s="1135"/>
      <c r="H119" s="1136"/>
      <c r="I119" s="1775">
        <f>I118/(I116-I98)</f>
        <v>0.15703650723921384</v>
      </c>
      <c r="J119" s="1775">
        <f>J118/(J116-J98)</f>
        <v>0.14537703205579419</v>
      </c>
      <c r="K119" s="1775">
        <f>K118/(K116-K98)</f>
        <v>0.14337887297913474</v>
      </c>
      <c r="L119" s="1775">
        <f>L118/(L116-L98)</f>
        <v>0.13311740361509852</v>
      </c>
      <c r="M119" s="1775">
        <f>M118/(M116-M98)</f>
        <v>0.1288349140262692</v>
      </c>
      <c r="N119" s="1879">
        <f>M119</f>
        <v>0.1288349140262692</v>
      </c>
      <c r="O119" s="1879">
        <f t="shared" ref="O119:R119" si="38">N119</f>
        <v>0.1288349140262692</v>
      </c>
      <c r="P119" s="1879">
        <f t="shared" si="38"/>
        <v>0.1288349140262692</v>
      </c>
      <c r="Q119" s="1879">
        <f t="shared" si="38"/>
        <v>0.1288349140262692</v>
      </c>
      <c r="R119" s="2387">
        <f t="shared" si="38"/>
        <v>0.1288349140262692</v>
      </c>
      <c r="S119" s="2406"/>
      <c r="T119" s="1113"/>
      <c r="U119" s="1113"/>
      <c r="V119" s="1113"/>
      <c r="W119" s="1075"/>
      <c r="X119" s="1075"/>
      <c r="Y119" s="1075"/>
      <c r="Z119" s="1075"/>
      <c r="AA119" s="1075"/>
      <c r="AB119" s="1075"/>
      <c r="AC119" s="1075"/>
      <c r="AD119" s="1075"/>
      <c r="AE119" s="1075"/>
      <c r="AF119" s="1075"/>
      <c r="AG119" s="1075"/>
      <c r="AH119" s="1075"/>
      <c r="AI119" s="1075"/>
      <c r="AJ119" s="1075"/>
      <c r="AK119" s="1075"/>
      <c r="AL119" s="1075"/>
      <c r="AM119" s="1075"/>
      <c r="AN119" s="1075"/>
      <c r="AO119" s="1075"/>
      <c r="AP119" s="1075"/>
      <c r="AQ119" s="1075"/>
      <c r="AR119" s="1075"/>
      <c r="AS119" s="1075"/>
      <c r="AT119" s="1075"/>
      <c r="AU119" s="1075"/>
      <c r="AV119" s="1075"/>
      <c r="AW119" s="1075"/>
      <c r="AX119" s="1075"/>
      <c r="AY119" s="1075"/>
      <c r="AZ119" s="1075"/>
    </row>
    <row r="120" spans="1:52" ht="18" customHeight="1">
      <c r="A120" s="1116"/>
      <c r="B120" s="2171"/>
      <c r="C120" s="1137"/>
      <c r="D120" s="1137"/>
      <c r="E120" s="1137"/>
      <c r="F120" s="1137"/>
      <c r="G120" s="1137"/>
      <c r="H120" s="1138"/>
      <c r="I120" s="1777"/>
      <c r="J120" s="1777"/>
      <c r="K120" s="1777"/>
      <c r="L120" s="1777"/>
      <c r="M120" s="1777"/>
      <c r="N120" s="1777"/>
      <c r="O120" s="1777"/>
      <c r="P120" s="1777"/>
      <c r="Q120" s="1777"/>
      <c r="R120" s="2400"/>
      <c r="S120" s="2407"/>
      <c r="T120" s="1116"/>
      <c r="U120" s="1116"/>
      <c r="V120" s="1116"/>
      <c r="W120" s="1075"/>
      <c r="X120" s="1075"/>
      <c r="Y120" s="1075"/>
      <c r="Z120" s="1075"/>
      <c r="AA120" s="1075"/>
      <c r="AB120" s="1075"/>
      <c r="AC120" s="1075"/>
      <c r="AD120" s="1075"/>
      <c r="AE120" s="1075"/>
      <c r="AF120" s="1075"/>
      <c r="AG120" s="1075"/>
      <c r="AH120" s="1075"/>
      <c r="AI120" s="1075"/>
      <c r="AJ120" s="1075"/>
      <c r="AK120" s="1075"/>
      <c r="AL120" s="1075"/>
      <c r="AM120" s="1075"/>
      <c r="AN120" s="1075"/>
      <c r="AO120" s="1075"/>
      <c r="AP120" s="1075"/>
      <c r="AQ120" s="1075"/>
      <c r="AR120" s="1075"/>
      <c r="AS120" s="1075"/>
      <c r="AT120" s="1075"/>
      <c r="AU120" s="1075"/>
      <c r="AV120" s="1075"/>
      <c r="AW120" s="1075"/>
      <c r="AX120" s="1075"/>
      <c r="AY120" s="1075"/>
      <c r="AZ120" s="1075"/>
    </row>
    <row r="121" spans="1:52" ht="18" customHeight="1">
      <c r="A121" s="1113"/>
      <c r="B121" s="1772" t="s">
        <v>1343</v>
      </c>
      <c r="C121" s="1117"/>
      <c r="D121" s="1117"/>
      <c r="E121" s="1117"/>
      <c r="F121" s="1117"/>
      <c r="G121" s="1117"/>
      <c r="H121" s="1118"/>
      <c r="I121" s="997">
        <f t="shared" ref="I121:R121" si="39">I116-I118</f>
        <v>647.29266680000035</v>
      </c>
      <c r="J121" s="997">
        <f t="shared" si="39"/>
        <v>847.75541400999964</v>
      </c>
      <c r="K121" s="997">
        <f t="shared" si="39"/>
        <v>585.19937057000016</v>
      </c>
      <c r="L121" s="997">
        <f t="shared" si="39"/>
        <v>750.05513648000033</v>
      </c>
      <c r="M121" s="997">
        <f t="shared" si="39"/>
        <v>955.03581178000002</v>
      </c>
      <c r="N121" s="1124">
        <f t="shared" ca="1" si="39"/>
        <v>-1382.242562561677</v>
      </c>
      <c r="O121" s="1124">
        <f t="shared" ca="1" si="39"/>
        <v>-1642.0798715380527</v>
      </c>
      <c r="P121" s="1124">
        <f t="shared" ca="1" si="39"/>
        <v>-1632.541257816551</v>
      </c>
      <c r="Q121" s="1124">
        <f t="shared" ca="1" si="39"/>
        <v>-1634.6450545978682</v>
      </c>
      <c r="R121" s="2384">
        <f t="shared" ca="1" si="39"/>
        <v>-1636.4220613174907</v>
      </c>
      <c r="S121" s="2406"/>
      <c r="T121" s="1113"/>
      <c r="U121" s="1113"/>
      <c r="V121" s="1113"/>
      <c r="W121" s="1075"/>
      <c r="X121" s="1075"/>
      <c r="Y121" s="1075"/>
      <c r="Z121" s="1075"/>
      <c r="AA121" s="1075"/>
      <c r="AB121" s="1075"/>
      <c r="AC121" s="1075"/>
      <c r="AD121" s="1075"/>
      <c r="AE121" s="1075"/>
      <c r="AF121" s="1075"/>
      <c r="AG121" s="1075"/>
      <c r="AH121" s="1075"/>
      <c r="AI121" s="1075"/>
      <c r="AJ121" s="1075"/>
      <c r="AK121" s="1075"/>
      <c r="AL121" s="1075"/>
      <c r="AM121" s="1075"/>
      <c r="AN121" s="1075"/>
      <c r="AO121" s="1075"/>
      <c r="AP121" s="1075"/>
      <c r="AQ121" s="1075"/>
      <c r="AR121" s="1075"/>
      <c r="AS121" s="1075"/>
      <c r="AT121" s="1075"/>
      <c r="AU121" s="1075"/>
      <c r="AV121" s="1075"/>
      <c r="AW121" s="1075"/>
      <c r="AX121" s="1075"/>
      <c r="AY121" s="1075"/>
      <c r="AZ121" s="1075"/>
    </row>
    <row r="122" spans="1:52" ht="18" customHeight="1">
      <c r="A122" s="1113"/>
      <c r="B122" s="1772"/>
      <c r="C122" s="1117"/>
      <c r="D122" s="1117"/>
      <c r="E122" s="1117"/>
      <c r="F122" s="1117"/>
      <c r="G122" s="1117"/>
      <c r="H122" s="1118"/>
      <c r="I122" s="997"/>
      <c r="J122" s="997"/>
      <c r="K122" s="997"/>
      <c r="L122" s="997"/>
      <c r="M122" s="997"/>
      <c r="N122" s="1124"/>
      <c r="O122" s="1124"/>
      <c r="P122" s="1124"/>
      <c r="Q122" s="1124"/>
      <c r="R122" s="2384"/>
      <c r="S122" s="2406"/>
      <c r="T122" s="1113"/>
      <c r="U122" s="1113"/>
      <c r="V122" s="1113"/>
      <c r="W122" s="1075"/>
      <c r="X122" s="1075"/>
      <c r="Y122" s="1075"/>
      <c r="Z122" s="1075"/>
      <c r="AA122" s="1075"/>
      <c r="AB122" s="1075"/>
      <c r="AC122" s="1075"/>
      <c r="AD122" s="1075"/>
      <c r="AE122" s="1075"/>
      <c r="AF122" s="1075"/>
      <c r="AG122" s="1075"/>
      <c r="AH122" s="1075"/>
      <c r="AI122" s="1075"/>
      <c r="AJ122" s="1075"/>
      <c r="AK122" s="1075"/>
      <c r="AL122" s="1075"/>
      <c r="AM122" s="1075"/>
      <c r="AN122" s="1075"/>
      <c r="AO122" s="1075"/>
      <c r="AP122" s="1075"/>
      <c r="AQ122" s="1075"/>
      <c r="AR122" s="1075"/>
      <c r="AS122" s="1075"/>
      <c r="AT122" s="1075"/>
      <c r="AU122" s="1075"/>
      <c r="AV122" s="1075"/>
      <c r="AW122" s="1075"/>
      <c r="AX122" s="1075"/>
      <c r="AY122" s="1075"/>
      <c r="AZ122" s="1075"/>
    </row>
    <row r="123" spans="1:52" ht="18" customHeight="1">
      <c r="A123" s="1113"/>
      <c r="B123" s="1125" t="s">
        <v>1209</v>
      </c>
      <c r="C123" s="1117"/>
      <c r="D123" s="1117"/>
      <c r="E123" s="1117"/>
      <c r="F123" s="1117"/>
      <c r="G123" s="1117"/>
      <c r="H123" s="1118"/>
      <c r="I123" s="997">
        <f>I29</f>
        <v>0</v>
      </c>
      <c r="J123" s="997">
        <f>J29</f>
        <v>847.75541400999998</v>
      </c>
      <c r="K123" s="997">
        <f>K29</f>
        <v>585.19937057000004</v>
      </c>
      <c r="L123" s="997">
        <f>L29</f>
        <v>750.05513647999999</v>
      </c>
      <c r="M123" s="997">
        <f>M29</f>
        <v>955.03581178000002</v>
      </c>
      <c r="N123" s="1124">
        <f ca="1">N121*N124</f>
        <v>-1382.242562561677</v>
      </c>
      <c r="O123" s="1124">
        <f t="shared" ref="O123:R123" ca="1" si="40">O121*O124</f>
        <v>-1642.0798715380527</v>
      </c>
      <c r="P123" s="1124">
        <f t="shared" ca="1" si="40"/>
        <v>-1632.541257816551</v>
      </c>
      <c r="Q123" s="1124">
        <f t="shared" ca="1" si="40"/>
        <v>-1634.6450545978682</v>
      </c>
      <c r="R123" s="2384">
        <f t="shared" ca="1" si="40"/>
        <v>-1636.4220613174907</v>
      </c>
      <c r="S123" s="2406"/>
      <c r="T123" s="1113"/>
      <c r="U123" s="1113"/>
      <c r="V123" s="1113"/>
      <c r="W123" s="1075"/>
      <c r="X123" s="1075"/>
      <c r="Y123" s="1075"/>
      <c r="Z123" s="1075"/>
      <c r="AA123" s="1075"/>
      <c r="AB123" s="1075"/>
      <c r="AC123" s="1075"/>
      <c r="AD123" s="1075"/>
      <c r="AE123" s="1075"/>
      <c r="AF123" s="1075"/>
      <c r="AG123" s="1075"/>
      <c r="AH123" s="1075"/>
      <c r="AI123" s="1075"/>
      <c r="AJ123" s="1075"/>
      <c r="AK123" s="1075"/>
      <c r="AL123" s="1075"/>
      <c r="AM123" s="1075"/>
      <c r="AN123" s="1075"/>
      <c r="AO123" s="1075"/>
      <c r="AP123" s="1075"/>
      <c r="AQ123" s="1075"/>
      <c r="AR123" s="1075"/>
      <c r="AS123" s="1075"/>
      <c r="AT123" s="1075"/>
      <c r="AU123" s="1075"/>
      <c r="AV123" s="1075"/>
      <c r="AW123" s="1075"/>
      <c r="AX123" s="1075"/>
      <c r="AY123" s="1075"/>
      <c r="AZ123" s="1075"/>
    </row>
    <row r="124" spans="1:52" ht="18" customHeight="1">
      <c r="A124" s="1113"/>
      <c r="B124" s="1764" t="s">
        <v>1210</v>
      </c>
      <c r="C124" s="1117"/>
      <c r="D124" s="1117"/>
      <c r="E124" s="1117"/>
      <c r="F124" s="1117"/>
      <c r="G124" s="1117"/>
      <c r="H124" s="1118"/>
      <c r="I124" s="1891">
        <f>I123/I121</f>
        <v>0</v>
      </c>
      <c r="J124" s="1891">
        <f t="shared" ref="J124:M124" si="41">J123/J121</f>
        <v>1.0000000000000004</v>
      </c>
      <c r="K124" s="1891">
        <f t="shared" si="41"/>
        <v>0.99999999999999978</v>
      </c>
      <c r="L124" s="1891">
        <f t="shared" si="41"/>
        <v>0.99999999999999956</v>
      </c>
      <c r="M124" s="1891">
        <f t="shared" si="41"/>
        <v>1</v>
      </c>
      <c r="N124" s="1884">
        <v>1</v>
      </c>
      <c r="O124" s="1884">
        <v>1</v>
      </c>
      <c r="P124" s="1884">
        <v>1</v>
      </c>
      <c r="Q124" s="1884">
        <v>1</v>
      </c>
      <c r="R124" s="2401">
        <v>1</v>
      </c>
      <c r="S124" s="2406"/>
      <c r="T124" s="1113"/>
      <c r="U124" s="1113"/>
      <c r="V124" s="1113"/>
      <c r="W124" s="1075"/>
      <c r="X124" s="1075"/>
      <c r="Y124" s="1075"/>
      <c r="Z124" s="1075"/>
      <c r="AA124" s="1075"/>
      <c r="AB124" s="1075"/>
      <c r="AC124" s="1075"/>
      <c r="AD124" s="1075"/>
      <c r="AE124" s="1075"/>
      <c r="AF124" s="1075"/>
      <c r="AG124" s="1075"/>
      <c r="AH124" s="1075"/>
      <c r="AI124" s="1075"/>
      <c r="AJ124" s="1075"/>
      <c r="AK124" s="1075"/>
      <c r="AL124" s="1075"/>
      <c r="AM124" s="1075"/>
      <c r="AN124" s="1075"/>
      <c r="AO124" s="1075"/>
      <c r="AP124" s="1075"/>
      <c r="AQ124" s="1075"/>
      <c r="AR124" s="1075"/>
      <c r="AS124" s="1075"/>
      <c r="AT124" s="1075"/>
      <c r="AU124" s="1075"/>
      <c r="AV124" s="1075"/>
      <c r="AW124" s="1075"/>
      <c r="AX124" s="1075"/>
      <c r="AY124" s="1075"/>
      <c r="AZ124" s="1075"/>
    </row>
    <row r="125" spans="1:52" ht="18" customHeight="1">
      <c r="A125" s="1113"/>
      <c r="B125" s="1125" t="s">
        <v>1211</v>
      </c>
      <c r="C125" s="1117"/>
      <c r="D125" s="1117"/>
      <c r="E125" s="1117"/>
      <c r="F125" s="1117"/>
      <c r="G125" s="1117"/>
      <c r="H125" s="1118"/>
      <c r="I125" s="997">
        <f>I30</f>
        <v>0</v>
      </c>
      <c r="J125" s="997">
        <f>J30</f>
        <v>0</v>
      </c>
      <c r="K125" s="997">
        <f>K30</f>
        <v>0</v>
      </c>
      <c r="L125" s="997">
        <f>L30</f>
        <v>0</v>
      </c>
      <c r="M125" s="997">
        <f>M30</f>
        <v>0</v>
      </c>
      <c r="N125" s="1124">
        <f ca="1">N121-N123</f>
        <v>0</v>
      </c>
      <c r="O125" s="1124">
        <f t="shared" ref="O125:R125" ca="1" si="42">O121-O123</f>
        <v>0</v>
      </c>
      <c r="P125" s="1124">
        <f t="shared" ca="1" si="42"/>
        <v>0</v>
      </c>
      <c r="Q125" s="1124">
        <f t="shared" ca="1" si="42"/>
        <v>0</v>
      </c>
      <c r="R125" s="2384">
        <f t="shared" ca="1" si="42"/>
        <v>0</v>
      </c>
      <c r="S125" s="2406"/>
      <c r="T125" s="1113"/>
      <c r="U125" s="1113"/>
      <c r="V125" s="1113"/>
      <c r="W125" s="1075"/>
      <c r="X125" s="1075"/>
      <c r="Y125" s="1075"/>
      <c r="Z125" s="1075"/>
      <c r="AA125" s="1075"/>
      <c r="AB125" s="1075"/>
      <c r="AC125" s="1075"/>
      <c r="AD125" s="1075"/>
      <c r="AE125" s="1075"/>
      <c r="AF125" s="1075"/>
      <c r="AG125" s="1075"/>
      <c r="AH125" s="1075"/>
      <c r="AI125" s="1075"/>
      <c r="AJ125" s="1075"/>
      <c r="AK125" s="1075"/>
      <c r="AL125" s="1075"/>
      <c r="AM125" s="1075"/>
      <c r="AN125" s="1075"/>
      <c r="AO125" s="1075"/>
      <c r="AP125" s="1075"/>
      <c r="AQ125" s="1075"/>
      <c r="AR125" s="1075"/>
      <c r="AS125" s="1075"/>
      <c r="AT125" s="1075"/>
      <c r="AU125" s="1075"/>
      <c r="AV125" s="1075"/>
      <c r="AW125" s="1075"/>
      <c r="AX125" s="1075"/>
      <c r="AY125" s="1075"/>
      <c r="AZ125" s="1075"/>
    </row>
    <row r="126" spans="1:52" ht="18" customHeight="1">
      <c r="A126" s="109"/>
      <c r="B126" s="1772"/>
      <c r="C126" s="1117"/>
      <c r="D126" s="1117"/>
      <c r="E126" s="1117"/>
      <c r="F126" s="1117"/>
      <c r="G126" s="1117"/>
      <c r="H126" s="1118"/>
      <c r="I126" s="1124"/>
      <c r="J126" s="1124"/>
      <c r="K126" s="1124"/>
      <c r="L126" s="1124"/>
      <c r="M126" s="1124"/>
      <c r="N126" s="1124"/>
      <c r="O126" s="1124"/>
      <c r="P126" s="1124"/>
      <c r="Q126" s="1124"/>
      <c r="R126" s="2384"/>
      <c r="S126" s="2378"/>
      <c r="T126" s="109"/>
      <c r="U126" s="109"/>
      <c r="V126" s="109"/>
      <c r="W126" s="1075"/>
      <c r="X126" s="1075"/>
      <c r="Y126" s="1075"/>
      <c r="Z126" s="1075"/>
      <c r="AA126" s="1075"/>
      <c r="AB126" s="1075"/>
      <c r="AC126" s="1075"/>
      <c r="AD126" s="1075"/>
      <c r="AE126" s="1075"/>
      <c r="AF126" s="1075"/>
      <c r="AG126" s="1075"/>
      <c r="AH126" s="1075"/>
      <c r="AI126" s="1075"/>
      <c r="AJ126" s="1075"/>
      <c r="AK126" s="1075"/>
      <c r="AL126" s="1075"/>
      <c r="AM126" s="1075"/>
      <c r="AN126" s="1075"/>
      <c r="AO126" s="1075"/>
      <c r="AP126" s="1075"/>
      <c r="AQ126" s="1075"/>
      <c r="AR126" s="1075"/>
      <c r="AS126" s="1075"/>
      <c r="AT126" s="1075"/>
      <c r="AU126" s="1075"/>
      <c r="AV126" s="1075"/>
      <c r="AW126" s="1075"/>
      <c r="AX126" s="1075"/>
      <c r="AY126" s="1075"/>
      <c r="AZ126" s="1075"/>
    </row>
    <row r="127" spans="1:52" ht="18" customHeight="1">
      <c r="A127" s="109"/>
      <c r="B127" s="1125" t="s">
        <v>209</v>
      </c>
      <c r="C127" s="1117">
        <v>101</v>
      </c>
      <c r="D127" s="1117">
        <v>5</v>
      </c>
      <c r="E127" s="1117">
        <v>5</v>
      </c>
      <c r="F127" s="1117">
        <f ca="1">N121*N128</f>
        <v>2.9336940816444761</v>
      </c>
      <c r="G127" s="1117">
        <f ca="1">N127/N121</f>
        <v>-2.1224162539225612E-3</v>
      </c>
      <c r="H127" s="1120">
        <f ca="1">N127</f>
        <v>2.9336940816444761</v>
      </c>
      <c r="I127" s="997">
        <f>I31</f>
        <v>-1.9081500000000002E-3</v>
      </c>
      <c r="J127" s="997">
        <f>J31</f>
        <v>1.9518689999999998E-2</v>
      </c>
      <c r="K127" s="997">
        <f>K31</f>
        <v>7.3581599999999999E-3</v>
      </c>
      <c r="L127" s="997">
        <f>L31</f>
        <v>-1.20235479</v>
      </c>
      <c r="M127" s="997">
        <f>M31</f>
        <v>-2.0269835299999999</v>
      </c>
      <c r="N127" s="1877">
        <f ca="1">N121*N128</f>
        <v>2.9336940816444761</v>
      </c>
      <c r="O127" s="1877">
        <f t="shared" ref="O127:R127" ca="1" si="43">O121*O128</f>
        <v>3.4851770095914341</v>
      </c>
      <c r="P127" s="1877">
        <f t="shared" ca="1" si="43"/>
        <v>3.4649321007890301</v>
      </c>
      <c r="Q127" s="1877">
        <f t="shared" ca="1" si="43"/>
        <v>3.4693972332726482</v>
      </c>
      <c r="R127" s="2386">
        <f t="shared" ca="1" si="43"/>
        <v>3.4731687812177041</v>
      </c>
      <c r="S127" s="2378"/>
      <c r="T127" s="109"/>
      <c r="U127" s="109"/>
      <c r="V127" s="109"/>
      <c r="W127" s="1075"/>
      <c r="X127" s="1075"/>
      <c r="Y127" s="1075"/>
      <c r="Z127" s="1075"/>
      <c r="AA127" s="1075"/>
      <c r="AB127" s="1075"/>
      <c r="AC127" s="1075"/>
      <c r="AD127" s="1075"/>
      <c r="AE127" s="1075"/>
      <c r="AF127" s="1075"/>
      <c r="AG127" s="1075"/>
      <c r="AH127" s="1075"/>
      <c r="AI127" s="1075"/>
      <c r="AJ127" s="1075"/>
      <c r="AK127" s="1075"/>
      <c r="AL127" s="1075"/>
      <c r="AM127" s="1075"/>
      <c r="AN127" s="1075"/>
      <c r="AO127" s="1075"/>
      <c r="AP127" s="1075"/>
      <c r="AQ127" s="1075"/>
      <c r="AR127" s="1075"/>
      <c r="AS127" s="1075"/>
      <c r="AT127" s="1075"/>
      <c r="AU127" s="1075"/>
      <c r="AV127" s="1075"/>
      <c r="AW127" s="1075"/>
      <c r="AX127" s="1075"/>
      <c r="AY127" s="1075"/>
      <c r="AZ127" s="1075"/>
    </row>
    <row r="128" spans="1:52" ht="18" customHeight="1">
      <c r="A128" s="1113"/>
      <c r="B128" s="1764" t="s">
        <v>1352</v>
      </c>
      <c r="C128" s="1114"/>
      <c r="D128" s="1114"/>
      <c r="E128" s="1114"/>
      <c r="F128" s="1114"/>
      <c r="G128" s="1114"/>
      <c r="H128" s="1115"/>
      <c r="I128" s="756">
        <f>I127/I121</f>
        <v>-2.9478937393702589E-6</v>
      </c>
      <c r="J128" s="756">
        <f>J127/J121</f>
        <v>2.3023963843148946E-5</v>
      </c>
      <c r="K128" s="756">
        <f>K127/K121</f>
        <v>1.257376608733012E-5</v>
      </c>
      <c r="L128" s="756">
        <f>L127/L121</f>
        <v>-1.6030218733553861E-3</v>
      </c>
      <c r="M128" s="756">
        <f>M127/M121</f>
        <v>-2.1224162539225612E-3</v>
      </c>
      <c r="N128" s="1895">
        <f>M128</f>
        <v>-2.1224162539225612E-3</v>
      </c>
      <c r="O128" s="1895">
        <f t="shared" ref="O128:R128" si="44">N128</f>
        <v>-2.1224162539225612E-3</v>
      </c>
      <c r="P128" s="1895">
        <f t="shared" si="44"/>
        <v>-2.1224162539225612E-3</v>
      </c>
      <c r="Q128" s="1895">
        <f t="shared" si="44"/>
        <v>-2.1224162539225612E-3</v>
      </c>
      <c r="R128" s="2402">
        <f t="shared" si="44"/>
        <v>-2.1224162539225612E-3</v>
      </c>
      <c r="S128" s="2406"/>
      <c r="T128" s="1113"/>
      <c r="U128" s="1113"/>
      <c r="V128" s="1113"/>
      <c r="W128" s="1075"/>
      <c r="X128" s="1075"/>
      <c r="Y128" s="1075"/>
      <c r="Z128" s="1075"/>
      <c r="AA128" s="1075"/>
      <c r="AB128" s="1075"/>
      <c r="AC128" s="1075"/>
      <c r="AD128" s="1075"/>
      <c r="AE128" s="1075"/>
      <c r="AF128" s="1075"/>
      <c r="AG128" s="1075"/>
      <c r="AH128" s="1075"/>
      <c r="AI128" s="1075"/>
      <c r="AJ128" s="1075"/>
      <c r="AK128" s="1075"/>
      <c r="AL128" s="1075"/>
      <c r="AM128" s="1075"/>
      <c r="AN128" s="1075"/>
      <c r="AO128" s="1075"/>
      <c r="AP128" s="1075"/>
      <c r="AQ128" s="1075"/>
      <c r="AR128" s="1075"/>
      <c r="AS128" s="1075"/>
      <c r="AT128" s="1075"/>
      <c r="AU128" s="1075"/>
      <c r="AV128" s="1075"/>
      <c r="AW128" s="1075"/>
      <c r="AX128" s="1075"/>
      <c r="AY128" s="1075"/>
      <c r="AZ128" s="1075"/>
    </row>
    <row r="129" spans="1:52" ht="18" customHeight="1">
      <c r="A129" s="109"/>
      <c r="B129" s="2172"/>
      <c r="C129" s="1139"/>
      <c r="D129" s="1139"/>
      <c r="E129" s="1139"/>
      <c r="F129" s="1139"/>
      <c r="G129" s="1139"/>
      <c r="H129" s="1140"/>
      <c r="I129" s="1141"/>
      <c r="J129" s="1141"/>
      <c r="K129" s="1141"/>
      <c r="L129" s="1141"/>
      <c r="M129" s="1141"/>
      <c r="N129" s="1142"/>
      <c r="O129" s="1142"/>
      <c r="P129" s="1142"/>
      <c r="Q129" s="1142"/>
      <c r="R129" s="2403"/>
      <c r="S129" s="2378"/>
      <c r="T129" s="109"/>
      <c r="U129" s="109"/>
      <c r="V129" s="109"/>
      <c r="W129" s="1075"/>
      <c r="X129" s="1075"/>
      <c r="Y129" s="1075"/>
      <c r="Z129" s="1075"/>
      <c r="AA129" s="1075"/>
      <c r="AB129" s="1075"/>
      <c r="AC129" s="1075"/>
      <c r="AD129" s="1075"/>
      <c r="AE129" s="1075"/>
      <c r="AF129" s="1075"/>
      <c r="AG129" s="1075"/>
      <c r="AH129" s="1075"/>
      <c r="AI129" s="1075"/>
      <c r="AJ129" s="1075"/>
      <c r="AK129" s="1075"/>
      <c r="AL129" s="1075"/>
      <c r="AM129" s="1075"/>
      <c r="AN129" s="1075"/>
      <c r="AO129" s="1075"/>
      <c r="AP129" s="1075"/>
      <c r="AQ129" s="1075"/>
      <c r="AR129" s="1075"/>
      <c r="AS129" s="1075"/>
      <c r="AT129" s="1075"/>
      <c r="AU129" s="1075"/>
      <c r="AV129" s="1075"/>
      <c r="AW129" s="1075"/>
      <c r="AX129" s="1075"/>
      <c r="AY129" s="1075"/>
      <c r="AZ129" s="1075"/>
    </row>
    <row r="130" spans="1:52" ht="18" customHeight="1">
      <c r="A130" s="109"/>
      <c r="B130" s="1772" t="s">
        <v>1354</v>
      </c>
      <c r="C130" s="1117"/>
      <c r="D130" s="1117"/>
      <c r="E130" s="1117"/>
      <c r="F130" s="1117"/>
      <c r="G130" s="1117"/>
      <c r="H130" s="1118"/>
      <c r="I130" s="802">
        <f t="shared" ref="I130:R130" si="45">I121-I127</f>
        <v>647.29457495000031</v>
      </c>
      <c r="J130" s="802">
        <f t="shared" si="45"/>
        <v>847.7358953199996</v>
      </c>
      <c r="K130" s="802">
        <f t="shared" si="45"/>
        <v>585.19201241000019</v>
      </c>
      <c r="L130" s="802">
        <f t="shared" si="45"/>
        <v>751.25749127000029</v>
      </c>
      <c r="M130" s="802">
        <f t="shared" si="45"/>
        <v>957.06279531000007</v>
      </c>
      <c r="N130" s="803">
        <f t="shared" ca="1" si="45"/>
        <v>-1385.1762566433215</v>
      </c>
      <c r="O130" s="803">
        <f t="shared" ca="1" si="45"/>
        <v>-1645.565048547644</v>
      </c>
      <c r="P130" s="803">
        <f t="shared" ca="1" si="45"/>
        <v>-1636.00618991734</v>
      </c>
      <c r="Q130" s="803">
        <f t="shared" ca="1" si="45"/>
        <v>-1638.114451831141</v>
      </c>
      <c r="R130" s="2288">
        <f t="shared" ca="1" si="45"/>
        <v>-1639.8952300987085</v>
      </c>
      <c r="S130" s="2378"/>
      <c r="T130" s="109"/>
      <c r="U130" s="109"/>
      <c r="V130" s="109"/>
      <c r="W130" s="1075"/>
      <c r="X130" s="1075"/>
      <c r="Y130" s="1075"/>
      <c r="Z130" s="1075"/>
      <c r="AA130" s="1075"/>
      <c r="AB130" s="1075"/>
      <c r="AC130" s="1075"/>
      <c r="AD130" s="1075"/>
      <c r="AE130" s="1075"/>
      <c r="AF130" s="1075"/>
      <c r="AG130" s="1075"/>
      <c r="AH130" s="1075"/>
      <c r="AI130" s="1075"/>
      <c r="AJ130" s="1075"/>
      <c r="AK130" s="1075"/>
      <c r="AL130" s="1075"/>
      <c r="AM130" s="1075"/>
      <c r="AN130" s="1075"/>
      <c r="AO130" s="1075"/>
      <c r="AP130" s="1075"/>
      <c r="AQ130" s="1075"/>
      <c r="AR130" s="1075"/>
      <c r="AS130" s="1075"/>
      <c r="AT130" s="1075"/>
      <c r="AU130" s="1075"/>
      <c r="AV130" s="1075"/>
      <c r="AW130" s="1075"/>
      <c r="AX130" s="1075"/>
      <c r="AY130" s="1075"/>
      <c r="AZ130" s="1075"/>
    </row>
    <row r="131" spans="1:52" ht="18" customHeight="1">
      <c r="A131" s="1116"/>
      <c r="B131" s="1764" t="s">
        <v>497</v>
      </c>
      <c r="C131" s="1114"/>
      <c r="D131" s="1114"/>
      <c r="E131" s="1114"/>
      <c r="F131" s="1114"/>
      <c r="G131" s="1114"/>
      <c r="H131" s="1115"/>
      <c r="I131" s="1901">
        <f t="shared" ref="I131:R131" si="46">I130/I43</f>
        <v>0.19421916954175777</v>
      </c>
      <c r="J131" s="1901">
        <f t="shared" si="46"/>
        <v>0.21452938979518196</v>
      </c>
      <c r="K131" s="1901">
        <f t="shared" si="46"/>
        <v>0.12763407929484424</v>
      </c>
      <c r="L131" s="1901">
        <f t="shared" si="46"/>
        <v>0.15619515831736755</v>
      </c>
      <c r="M131" s="1901">
        <f t="shared" si="46"/>
        <v>0.1500533213940877</v>
      </c>
      <c r="N131" s="756">
        <f t="shared" ca="1" si="46"/>
        <v>-0.21717519377423433</v>
      </c>
      <c r="O131" s="756">
        <f t="shared" ca="1" si="46"/>
        <v>-0.25800031336984219</v>
      </c>
      <c r="P131" s="756">
        <f t="shared" ca="1" si="46"/>
        <v>-0.25650162541201693</v>
      </c>
      <c r="Q131" s="756">
        <f t="shared" ca="1" si="46"/>
        <v>-0.25683216976509887</v>
      </c>
      <c r="R131" s="2404">
        <f t="shared" ca="1" si="46"/>
        <v>-0.25711136951565272</v>
      </c>
      <c r="S131" s="2407"/>
      <c r="T131" s="1116"/>
      <c r="U131" s="1116"/>
      <c r="V131" s="1116"/>
      <c r="W131" s="1075"/>
      <c r="X131" s="1075"/>
      <c r="Y131" s="1075"/>
      <c r="Z131" s="1075"/>
      <c r="AA131" s="1075"/>
      <c r="AB131" s="1075"/>
      <c r="AC131" s="1075"/>
      <c r="AD131" s="1075"/>
      <c r="AE131" s="1075"/>
      <c r="AF131" s="1075"/>
      <c r="AG131" s="1075"/>
      <c r="AH131" s="1075"/>
      <c r="AI131" s="1075"/>
      <c r="AJ131" s="1075"/>
      <c r="AK131" s="1075"/>
      <c r="AL131" s="1075"/>
      <c r="AM131" s="1075"/>
      <c r="AN131" s="1075"/>
      <c r="AO131" s="1075"/>
      <c r="AP131" s="1075"/>
      <c r="AQ131" s="1075"/>
      <c r="AR131" s="1075"/>
      <c r="AS131" s="1075"/>
      <c r="AT131" s="1075"/>
      <c r="AU131" s="1075"/>
      <c r="AV131" s="1075"/>
      <c r="AW131" s="1075"/>
      <c r="AX131" s="1075"/>
      <c r="AY131" s="1075"/>
      <c r="AZ131" s="1075"/>
    </row>
    <row r="132" spans="1:52" ht="18" customHeight="1">
      <c r="A132" s="1116"/>
      <c r="B132" s="1764"/>
      <c r="C132" s="1114"/>
      <c r="D132" s="1114"/>
      <c r="E132" s="1114"/>
      <c r="F132" s="1114"/>
      <c r="G132" s="1114"/>
      <c r="H132" s="1115"/>
      <c r="I132" s="756"/>
      <c r="J132" s="756"/>
      <c r="K132" s="756"/>
      <c r="L132" s="756"/>
      <c r="M132" s="756"/>
      <c r="N132" s="756"/>
      <c r="O132" s="756"/>
      <c r="P132" s="756"/>
      <c r="Q132" s="756"/>
      <c r="R132" s="2404"/>
      <c r="S132" s="2407"/>
      <c r="T132" s="1116"/>
      <c r="U132" s="1116"/>
      <c r="V132" s="1116"/>
      <c r="W132" s="1075"/>
      <c r="X132" s="1075"/>
      <c r="Y132" s="1075"/>
      <c r="Z132" s="1075"/>
      <c r="AA132" s="1075"/>
      <c r="AB132" s="1075"/>
      <c r="AC132" s="1075"/>
      <c r="AD132" s="1075"/>
      <c r="AE132" s="1075"/>
      <c r="AF132" s="1075"/>
      <c r="AG132" s="1075"/>
      <c r="AH132" s="1075"/>
      <c r="AI132" s="1075"/>
      <c r="AJ132" s="1075"/>
      <c r="AK132" s="1075"/>
      <c r="AL132" s="1075"/>
      <c r="AM132" s="1075"/>
      <c r="AN132" s="1075"/>
      <c r="AO132" s="1075"/>
      <c r="AP132" s="1075"/>
      <c r="AQ132" s="1075"/>
      <c r="AR132" s="1075"/>
      <c r="AS132" s="1075"/>
      <c r="AT132" s="1075"/>
      <c r="AU132" s="1075"/>
      <c r="AV132" s="1075"/>
      <c r="AW132" s="1075"/>
      <c r="AX132" s="1075"/>
      <c r="AY132" s="1075"/>
      <c r="AZ132" s="1075"/>
    </row>
    <row r="133" spans="1:52" ht="18" customHeight="1">
      <c r="A133" s="1116"/>
      <c r="B133" s="1772" t="s">
        <v>1129</v>
      </c>
      <c r="C133" s="1114"/>
      <c r="D133" s="1114"/>
      <c r="E133" s="1114"/>
      <c r="F133" s="1114"/>
      <c r="G133" s="1114"/>
      <c r="H133" s="1115"/>
      <c r="I133" s="802">
        <f>I33</f>
        <v>0</v>
      </c>
      <c r="J133" s="802">
        <f>J33</f>
        <v>5.1555380900000003</v>
      </c>
      <c r="K133" s="802">
        <f>K33</f>
        <v>3.6901823399999998</v>
      </c>
      <c r="L133" s="802">
        <f>L33</f>
        <v>17.136473239999997</v>
      </c>
      <c r="M133" s="802">
        <f>M33</f>
        <v>41.755905229999996</v>
      </c>
      <c r="N133" s="1112"/>
      <c r="O133" s="1112"/>
      <c r="P133" s="1112"/>
      <c r="Q133" s="1112"/>
      <c r="R133" s="2383"/>
      <c r="S133" s="2407"/>
      <c r="T133" s="1116"/>
      <c r="U133" s="1116"/>
      <c r="V133" s="1116"/>
      <c r="W133" s="1075"/>
      <c r="X133" s="1075"/>
      <c r="Y133" s="1075"/>
      <c r="Z133" s="1075"/>
      <c r="AA133" s="1075"/>
      <c r="AB133" s="1075"/>
      <c r="AC133" s="1075"/>
      <c r="AD133" s="1075"/>
      <c r="AE133" s="1075"/>
      <c r="AF133" s="1075"/>
      <c r="AG133" s="1075"/>
      <c r="AH133" s="1075"/>
      <c r="AI133" s="1075"/>
      <c r="AJ133" s="1075"/>
      <c r="AK133" s="1075"/>
      <c r="AL133" s="1075"/>
      <c r="AM133" s="1075"/>
      <c r="AN133" s="1075"/>
      <c r="AO133" s="1075"/>
      <c r="AP133" s="1075"/>
      <c r="AQ133" s="1075"/>
      <c r="AR133" s="1075"/>
      <c r="AS133" s="1075"/>
      <c r="AT133" s="1075"/>
      <c r="AU133" s="1075"/>
      <c r="AV133" s="1075"/>
      <c r="AW133" s="1075"/>
      <c r="AX133" s="1075"/>
      <c r="AY133" s="1075"/>
      <c r="AZ133" s="1075"/>
    </row>
    <row r="134" spans="1:52" ht="18" customHeight="1">
      <c r="A134" s="1116"/>
      <c r="B134" s="1125" t="s">
        <v>1253</v>
      </c>
      <c r="C134" s="1114"/>
      <c r="D134" s="1114"/>
      <c r="E134" s="1114"/>
      <c r="F134" s="1114"/>
      <c r="G134" s="1114"/>
      <c r="H134" s="1115"/>
      <c r="I134" s="2284">
        <f>I139-I127</f>
        <v>3.7084267948128691E-14</v>
      </c>
      <c r="J134" s="2284">
        <f t="shared" ref="J134:M134" si="47">J139-J127</f>
        <v>4.080763504887841E-14</v>
      </c>
      <c r="K134" s="2284">
        <f t="shared" si="47"/>
        <v>-3.2971021746153184E-14</v>
      </c>
      <c r="L134" s="2284">
        <f t="shared" si="47"/>
        <v>-7.2164496600635175E-14</v>
      </c>
      <c r="M134" s="2284">
        <f t="shared" si="47"/>
        <v>-5.2402526762307389E-14</v>
      </c>
      <c r="N134" s="803">
        <f>N133*N135</f>
        <v>0</v>
      </c>
      <c r="O134" s="803">
        <f>O133*O135</f>
        <v>0</v>
      </c>
      <c r="P134" s="803">
        <f>P133*P135</f>
        <v>0</v>
      </c>
      <c r="Q134" s="803">
        <f>Q133*Q135</f>
        <v>0</v>
      </c>
      <c r="R134" s="2288">
        <f>R133*R135</f>
        <v>0</v>
      </c>
      <c r="S134" s="2407"/>
      <c r="T134" s="1116"/>
      <c r="U134" s="1116"/>
      <c r="V134" s="1116"/>
      <c r="W134" s="1075"/>
      <c r="X134" s="1075"/>
      <c r="Y134" s="1075"/>
      <c r="Z134" s="1075"/>
      <c r="AA134" s="1075"/>
      <c r="AB134" s="1075"/>
      <c r="AC134" s="1075"/>
      <c r="AD134" s="1075"/>
      <c r="AE134" s="1075"/>
      <c r="AF134" s="1075"/>
      <c r="AG134" s="1075"/>
      <c r="AH134" s="1075"/>
      <c r="AI134" s="1075"/>
      <c r="AJ134" s="1075"/>
      <c r="AK134" s="1075"/>
      <c r="AL134" s="1075"/>
      <c r="AM134" s="1075"/>
      <c r="AN134" s="1075"/>
      <c r="AO134" s="1075"/>
      <c r="AP134" s="1075"/>
      <c r="AQ134" s="1075"/>
      <c r="AR134" s="1075"/>
      <c r="AS134" s="1075"/>
      <c r="AT134" s="1075"/>
      <c r="AU134" s="1075"/>
      <c r="AV134" s="1075"/>
      <c r="AW134" s="1075"/>
      <c r="AX134" s="1075"/>
      <c r="AY134" s="1075"/>
      <c r="AZ134" s="1075"/>
    </row>
    <row r="135" spans="1:52" ht="18" customHeight="1">
      <c r="A135" s="1116"/>
      <c r="B135" s="1764" t="s">
        <v>1254</v>
      </c>
      <c r="C135" s="1114"/>
      <c r="D135" s="1114"/>
      <c r="E135" s="1114"/>
      <c r="F135" s="1114"/>
      <c r="G135" s="1114"/>
      <c r="H135" s="1115"/>
      <c r="I135" s="1901" t="e">
        <f>I134/I133</f>
        <v>#DIV/0!</v>
      </c>
      <c r="J135" s="1901">
        <f>J134/J133</f>
        <v>7.9153008544406681E-15</v>
      </c>
      <c r="K135" s="1901">
        <f>K134/K133</f>
        <v>-8.9347947359569184E-15</v>
      </c>
      <c r="L135" s="1901">
        <f>L134/L133</f>
        <v>-4.2111638485910058E-15</v>
      </c>
      <c r="M135" s="1901">
        <f>M134/M133</f>
        <v>-1.2549728349478628E-15</v>
      </c>
      <c r="N135" s="1771"/>
      <c r="O135" s="1771"/>
      <c r="P135" s="1771"/>
      <c r="Q135" s="1771"/>
      <c r="R135" s="2394"/>
      <c r="S135" s="2407"/>
      <c r="T135" s="1116"/>
      <c r="U135" s="1116"/>
      <c r="V135" s="1116"/>
      <c r="W135" s="1075"/>
      <c r="X135" s="1075"/>
      <c r="Y135" s="1075"/>
      <c r="Z135" s="1075"/>
      <c r="AA135" s="1075"/>
      <c r="AB135" s="1075"/>
      <c r="AC135" s="1075"/>
      <c r="AD135" s="1075"/>
      <c r="AE135" s="1075"/>
      <c r="AF135" s="1075"/>
      <c r="AG135" s="1075"/>
      <c r="AH135" s="1075"/>
      <c r="AI135" s="1075"/>
      <c r="AJ135" s="1075"/>
      <c r="AK135" s="1075"/>
      <c r="AL135" s="1075"/>
      <c r="AM135" s="1075"/>
      <c r="AN135" s="1075"/>
      <c r="AO135" s="1075"/>
      <c r="AP135" s="1075"/>
      <c r="AQ135" s="1075"/>
      <c r="AR135" s="1075"/>
      <c r="AS135" s="1075"/>
      <c r="AT135" s="1075"/>
      <c r="AU135" s="1075"/>
      <c r="AV135" s="1075"/>
      <c r="AW135" s="1075"/>
      <c r="AX135" s="1075"/>
      <c r="AY135" s="1075"/>
      <c r="AZ135" s="1075"/>
    </row>
    <row r="136" spans="1:52" ht="18" customHeight="1">
      <c r="A136" s="1116"/>
      <c r="B136" s="1772" t="s">
        <v>1138</v>
      </c>
      <c r="C136" s="1114"/>
      <c r="D136" s="1114"/>
      <c r="E136" s="1114"/>
      <c r="F136" s="1114"/>
      <c r="G136" s="1114"/>
      <c r="H136" s="1115"/>
      <c r="I136" s="802">
        <f>I133-I134</f>
        <v>-3.7084267948128691E-14</v>
      </c>
      <c r="J136" s="802">
        <f t="shared" ref="J136:M136" si="48">J133-J134</f>
        <v>5.1555380899999594</v>
      </c>
      <c r="K136" s="802">
        <f t="shared" si="48"/>
        <v>3.6901823400000326</v>
      </c>
      <c r="L136" s="802">
        <f t="shared" si="48"/>
        <v>17.136473240000068</v>
      </c>
      <c r="M136" s="802">
        <f t="shared" si="48"/>
        <v>41.755905230000046</v>
      </c>
      <c r="N136" s="803">
        <f>N133-N134</f>
        <v>0</v>
      </c>
      <c r="O136" s="803">
        <f>O133-O134</f>
        <v>0</v>
      </c>
      <c r="P136" s="803">
        <f>P133-P134</f>
        <v>0</v>
      </c>
      <c r="Q136" s="803">
        <f>Q133-Q134</f>
        <v>0</v>
      </c>
      <c r="R136" s="2288">
        <f>R133-R134</f>
        <v>0</v>
      </c>
      <c r="S136" s="2407"/>
      <c r="T136" s="1116"/>
      <c r="U136" s="1116"/>
      <c r="V136" s="1116"/>
      <c r="W136" s="1075"/>
      <c r="X136" s="1075"/>
      <c r="Y136" s="1075"/>
      <c r="Z136" s="1075"/>
      <c r="AA136" s="1075"/>
      <c r="AB136" s="1075"/>
      <c r="AC136" s="1075"/>
      <c r="AD136" s="1075"/>
      <c r="AE136" s="1075"/>
      <c r="AF136" s="1075"/>
      <c r="AG136" s="1075"/>
      <c r="AH136" s="1075"/>
      <c r="AI136" s="1075"/>
      <c r="AJ136" s="1075"/>
      <c r="AK136" s="1075"/>
      <c r="AL136" s="1075"/>
      <c r="AM136" s="1075"/>
      <c r="AN136" s="1075"/>
      <c r="AO136" s="1075"/>
      <c r="AP136" s="1075"/>
      <c r="AQ136" s="1075"/>
      <c r="AR136" s="1075"/>
      <c r="AS136" s="1075"/>
      <c r="AT136" s="1075"/>
      <c r="AU136" s="1075"/>
      <c r="AV136" s="1075"/>
      <c r="AW136" s="1075"/>
      <c r="AX136" s="1075"/>
      <c r="AY136" s="1075"/>
      <c r="AZ136" s="1075"/>
    </row>
    <row r="137" spans="1:52" ht="18" customHeight="1">
      <c r="A137" s="1116"/>
      <c r="B137" s="1772"/>
      <c r="C137" s="1114"/>
      <c r="D137" s="1114"/>
      <c r="E137" s="1114"/>
      <c r="F137" s="1114"/>
      <c r="G137" s="1114"/>
      <c r="H137" s="1115"/>
      <c r="I137" s="802"/>
      <c r="J137" s="802"/>
      <c r="K137" s="802"/>
      <c r="L137" s="802"/>
      <c r="M137" s="802"/>
      <c r="N137" s="803"/>
      <c r="O137" s="803"/>
      <c r="P137" s="803"/>
      <c r="Q137" s="803"/>
      <c r="R137" s="2288"/>
      <c r="S137" s="2407"/>
      <c r="T137" s="1116"/>
      <c r="U137" s="1116"/>
      <c r="V137" s="1116"/>
      <c r="W137" s="1075"/>
      <c r="X137" s="1075"/>
      <c r="Y137" s="1075"/>
      <c r="Z137" s="1075"/>
      <c r="AA137" s="1075"/>
      <c r="AB137" s="1075"/>
      <c r="AC137" s="1075"/>
      <c r="AD137" s="1075"/>
      <c r="AE137" s="1075"/>
      <c r="AF137" s="1075"/>
      <c r="AG137" s="1075"/>
      <c r="AH137" s="1075"/>
      <c r="AI137" s="1075"/>
      <c r="AJ137" s="1075"/>
      <c r="AK137" s="1075"/>
      <c r="AL137" s="1075"/>
      <c r="AM137" s="1075"/>
      <c r="AN137" s="1075"/>
      <c r="AO137" s="1075"/>
      <c r="AP137" s="1075"/>
      <c r="AQ137" s="1075"/>
      <c r="AR137" s="1075"/>
      <c r="AS137" s="1075"/>
      <c r="AT137" s="1075"/>
      <c r="AU137" s="1075"/>
      <c r="AV137" s="1075"/>
      <c r="AW137" s="1075"/>
      <c r="AX137" s="1075"/>
      <c r="AY137" s="1075"/>
      <c r="AZ137" s="1075"/>
    </row>
    <row r="138" spans="1:52" ht="18" customHeight="1">
      <c r="A138" s="1116"/>
      <c r="B138" s="1772" t="s">
        <v>1259</v>
      </c>
      <c r="C138" s="1114"/>
      <c r="D138" s="1114"/>
      <c r="E138" s="1114"/>
      <c r="F138" s="1114"/>
      <c r="G138" s="1114"/>
      <c r="H138" s="1115"/>
      <c r="I138" s="802">
        <f>I34</f>
        <v>647.29266680000012</v>
      </c>
      <c r="J138" s="802">
        <f>J34</f>
        <v>852.91095210000003</v>
      </c>
      <c r="K138" s="802">
        <f>K34</f>
        <v>588.88955291000002</v>
      </c>
      <c r="L138" s="802">
        <f>L34</f>
        <v>767.19160971999997</v>
      </c>
      <c r="M138" s="802">
        <f>M34</f>
        <v>996.79171700999996</v>
      </c>
      <c r="N138" s="1918">
        <f ca="1">N133+N121</f>
        <v>-1382.242562561677</v>
      </c>
      <c r="O138" s="1918">
        <f t="shared" ref="O138:R138" ca="1" si="49">O133+O121</f>
        <v>-1642.0798715380527</v>
      </c>
      <c r="P138" s="1918">
        <f t="shared" ca="1" si="49"/>
        <v>-1632.541257816551</v>
      </c>
      <c r="Q138" s="1918">
        <f t="shared" ca="1" si="49"/>
        <v>-1634.6450545978682</v>
      </c>
      <c r="R138" s="2405">
        <f t="shared" ca="1" si="49"/>
        <v>-1636.4220613174907</v>
      </c>
      <c r="S138" s="2407"/>
      <c r="T138" s="1116"/>
      <c r="U138" s="1116"/>
      <c r="V138" s="1116"/>
      <c r="W138" s="1075"/>
      <c r="X138" s="1075"/>
      <c r="Y138" s="1075"/>
      <c r="Z138" s="1075"/>
      <c r="AA138" s="1075"/>
      <c r="AB138" s="1075"/>
      <c r="AC138" s="1075"/>
      <c r="AD138" s="1075"/>
      <c r="AE138" s="1075"/>
      <c r="AF138" s="1075"/>
      <c r="AG138" s="1075"/>
      <c r="AH138" s="1075"/>
      <c r="AI138" s="1075"/>
      <c r="AJ138" s="1075"/>
      <c r="AK138" s="1075"/>
      <c r="AL138" s="1075"/>
      <c r="AM138" s="1075"/>
      <c r="AN138" s="1075"/>
      <c r="AO138" s="1075"/>
      <c r="AP138" s="1075"/>
      <c r="AQ138" s="1075"/>
      <c r="AR138" s="1075"/>
      <c r="AS138" s="1075"/>
      <c r="AT138" s="1075"/>
      <c r="AU138" s="1075"/>
      <c r="AV138" s="1075"/>
      <c r="AW138" s="1075"/>
      <c r="AX138" s="1075"/>
      <c r="AY138" s="1075"/>
      <c r="AZ138" s="1075"/>
    </row>
    <row r="139" spans="1:52" ht="18" customHeight="1">
      <c r="A139" s="1116"/>
      <c r="B139" s="1125" t="s">
        <v>1260</v>
      </c>
      <c r="C139" s="1114"/>
      <c r="D139" s="1114"/>
      <c r="E139" s="1114"/>
      <c r="F139" s="1114"/>
      <c r="G139" s="1114"/>
      <c r="H139" s="1115"/>
      <c r="I139" s="802">
        <f>I138-I141</f>
        <v>-1.9081499999629159E-3</v>
      </c>
      <c r="J139" s="802">
        <f t="shared" ref="J139:M139" si="50">J138-J141</f>
        <v>1.9518690000040806E-2</v>
      </c>
      <c r="K139" s="802">
        <f t="shared" si="50"/>
        <v>7.3581599999670289E-3</v>
      </c>
      <c r="L139" s="802">
        <f t="shared" si="50"/>
        <v>-1.2023547900000722</v>
      </c>
      <c r="M139" s="802">
        <f t="shared" si="50"/>
        <v>-2.0269835300000523</v>
      </c>
      <c r="N139" s="803">
        <f ca="1">N134+N127</f>
        <v>2.9336940816444761</v>
      </c>
      <c r="O139" s="803">
        <f t="shared" ref="O139:R139" ca="1" si="51">O134+O127</f>
        <v>3.4851770095914341</v>
      </c>
      <c r="P139" s="803">
        <f t="shared" ca="1" si="51"/>
        <v>3.4649321007890301</v>
      </c>
      <c r="Q139" s="803">
        <f t="shared" ca="1" si="51"/>
        <v>3.4693972332726482</v>
      </c>
      <c r="R139" s="2288">
        <f t="shared" ca="1" si="51"/>
        <v>3.4731687812177041</v>
      </c>
      <c r="S139" s="2407"/>
      <c r="T139" s="1116"/>
      <c r="U139" s="1116"/>
      <c r="V139" s="1116"/>
      <c r="W139" s="1075"/>
      <c r="X139" s="1075"/>
      <c r="Y139" s="1075"/>
      <c r="Z139" s="1075"/>
      <c r="AA139" s="1075"/>
      <c r="AB139" s="1075"/>
      <c r="AC139" s="1075"/>
      <c r="AD139" s="1075"/>
      <c r="AE139" s="1075"/>
      <c r="AF139" s="1075"/>
      <c r="AG139" s="1075"/>
      <c r="AH139" s="1075"/>
      <c r="AI139" s="1075"/>
      <c r="AJ139" s="1075"/>
      <c r="AK139" s="1075"/>
      <c r="AL139" s="1075"/>
      <c r="AM139" s="1075"/>
      <c r="AN139" s="1075"/>
      <c r="AO139" s="1075"/>
      <c r="AP139" s="1075"/>
      <c r="AQ139" s="1075"/>
      <c r="AR139" s="1075"/>
      <c r="AS139" s="1075"/>
      <c r="AT139" s="1075"/>
      <c r="AU139" s="1075"/>
      <c r="AV139" s="1075"/>
      <c r="AW139" s="1075"/>
      <c r="AX139" s="1075"/>
      <c r="AY139" s="1075"/>
      <c r="AZ139" s="1075"/>
    </row>
    <row r="140" spans="1:52" ht="18" customHeight="1">
      <c r="A140" s="1116"/>
      <c r="B140" s="1125" t="s">
        <v>1261</v>
      </c>
      <c r="C140" s="1114"/>
      <c r="D140" s="1114"/>
      <c r="E140" s="1114"/>
      <c r="F140" s="1114"/>
      <c r="G140" s="1114"/>
      <c r="H140" s="1115"/>
      <c r="I140" s="1901">
        <f>I139/I138</f>
        <v>-2.947893739312969E-6</v>
      </c>
      <c r="J140" s="1901">
        <f t="shared" ref="J140:M140" si="52">J139/J138</f>
        <v>2.2884792312705963E-5</v>
      </c>
      <c r="K140" s="1901">
        <f t="shared" si="52"/>
        <v>1.2494974590068125E-5</v>
      </c>
      <c r="L140" s="1901">
        <f t="shared" si="52"/>
        <v>-1.5672157708279586E-3</v>
      </c>
      <c r="M140" s="1901">
        <f t="shared" si="52"/>
        <v>-2.0335075978362262E-3</v>
      </c>
      <c r="N140" s="756">
        <f ca="1">N139/N138</f>
        <v>-2.1224162539225612E-3</v>
      </c>
      <c r="O140" s="756">
        <f t="shared" ref="O140:R140" ca="1" si="53">O139/O138</f>
        <v>-2.1224162539225612E-3</v>
      </c>
      <c r="P140" s="756">
        <f t="shared" ca="1" si="53"/>
        <v>-2.1224162539225612E-3</v>
      </c>
      <c r="Q140" s="756">
        <f t="shared" ca="1" si="53"/>
        <v>-2.1224162539225612E-3</v>
      </c>
      <c r="R140" s="2404">
        <f t="shared" ca="1" si="53"/>
        <v>-2.1224162539225612E-3</v>
      </c>
      <c r="S140" s="2407"/>
      <c r="T140" s="1116"/>
      <c r="U140" s="1116"/>
      <c r="V140" s="1116"/>
      <c r="W140" s="1075"/>
      <c r="X140" s="1075"/>
      <c r="Y140" s="1075"/>
      <c r="Z140" s="1075"/>
      <c r="AA140" s="1075"/>
      <c r="AB140" s="1075"/>
      <c r="AC140" s="1075"/>
      <c r="AD140" s="1075"/>
      <c r="AE140" s="1075"/>
      <c r="AF140" s="1075"/>
      <c r="AG140" s="1075"/>
      <c r="AH140" s="1075"/>
      <c r="AI140" s="1075"/>
      <c r="AJ140" s="1075"/>
      <c r="AK140" s="1075"/>
      <c r="AL140" s="1075"/>
      <c r="AM140" s="1075"/>
      <c r="AN140" s="1075"/>
      <c r="AO140" s="1075"/>
      <c r="AP140" s="1075"/>
      <c r="AQ140" s="1075"/>
      <c r="AR140" s="1075"/>
      <c r="AS140" s="1075"/>
      <c r="AT140" s="1075"/>
      <c r="AU140" s="1075"/>
      <c r="AV140" s="1075"/>
      <c r="AW140" s="1075"/>
      <c r="AX140" s="1075"/>
      <c r="AY140" s="1075"/>
      <c r="AZ140" s="1075"/>
    </row>
    <row r="141" spans="1:52" ht="18" customHeight="1" thickBot="1">
      <c r="A141" s="1116"/>
      <c r="B141" s="1900" t="s">
        <v>1262</v>
      </c>
      <c r="C141" s="1143"/>
      <c r="D141" s="1143"/>
      <c r="E141" s="1143"/>
      <c r="F141" s="1143"/>
      <c r="G141" s="1143"/>
      <c r="H141" s="1144"/>
      <c r="I141" s="813">
        <f>I35</f>
        <v>647.29457495000008</v>
      </c>
      <c r="J141" s="813">
        <f>J35</f>
        <v>852.89143340999999</v>
      </c>
      <c r="K141" s="813">
        <f>K35</f>
        <v>588.88219475000005</v>
      </c>
      <c r="L141" s="813">
        <f>L35</f>
        <v>768.39396451000005</v>
      </c>
      <c r="M141" s="813">
        <f>M35</f>
        <v>998.81870054000001</v>
      </c>
      <c r="N141" s="814">
        <f ca="1">N130+N136</f>
        <v>-1385.1762566433215</v>
      </c>
      <c r="O141" s="814">
        <f t="shared" ref="O141:R141" ca="1" si="54">O130+O136</f>
        <v>-1645.565048547644</v>
      </c>
      <c r="P141" s="814">
        <f t="shared" ca="1" si="54"/>
        <v>-1636.00618991734</v>
      </c>
      <c r="Q141" s="814">
        <f t="shared" ca="1" si="54"/>
        <v>-1638.114451831141</v>
      </c>
      <c r="R141" s="2358">
        <f t="shared" ca="1" si="54"/>
        <v>-1639.8952300987085</v>
      </c>
      <c r="S141" s="2407"/>
      <c r="T141" s="1116"/>
      <c r="U141" s="1116"/>
      <c r="V141" s="1116"/>
      <c r="W141" s="1075"/>
      <c r="X141" s="1075"/>
      <c r="Y141" s="1075"/>
      <c r="Z141" s="1075"/>
      <c r="AA141" s="1075"/>
      <c r="AB141" s="1075"/>
      <c r="AC141" s="1075"/>
      <c r="AD141" s="1075"/>
      <c r="AE141" s="1075"/>
      <c r="AF141" s="1075"/>
      <c r="AG141" s="1075"/>
      <c r="AH141" s="1075"/>
      <c r="AI141" s="1075"/>
      <c r="AJ141" s="1075"/>
      <c r="AK141" s="1075"/>
      <c r="AL141" s="1075"/>
      <c r="AM141" s="1075"/>
      <c r="AN141" s="1075"/>
      <c r="AO141" s="1075"/>
      <c r="AP141" s="1075"/>
      <c r="AQ141" s="1075"/>
      <c r="AR141" s="1075"/>
      <c r="AS141" s="1075"/>
      <c r="AT141" s="1075"/>
      <c r="AU141" s="1075"/>
      <c r="AV141" s="1075"/>
      <c r="AW141" s="1075"/>
      <c r="AX141" s="1075"/>
      <c r="AY141" s="1075"/>
      <c r="AZ141" s="1075"/>
    </row>
    <row r="142" spans="1:52" ht="18" customHeight="1">
      <c r="A142" s="1116"/>
      <c r="B142" s="1899"/>
      <c r="C142" s="915"/>
      <c r="D142" s="915"/>
      <c r="E142" s="915"/>
      <c r="F142" s="915"/>
      <c r="G142" s="915"/>
      <c r="H142" s="915"/>
      <c r="I142" s="1524"/>
      <c r="J142" s="1524"/>
      <c r="K142" s="1524"/>
      <c r="L142" s="1524"/>
      <c r="M142" s="1524"/>
      <c r="N142" s="1524"/>
      <c r="O142" s="1524"/>
      <c r="P142" s="1524"/>
      <c r="Q142" s="1524"/>
      <c r="R142" s="1524"/>
      <c r="S142" s="1116"/>
      <c r="T142" s="1116"/>
      <c r="U142" s="1116"/>
      <c r="V142" s="1116"/>
      <c r="W142" s="1075"/>
      <c r="X142" s="1075"/>
      <c r="Y142" s="1075"/>
      <c r="Z142" s="1075"/>
      <c r="AA142" s="1075"/>
      <c r="AB142" s="1075"/>
      <c r="AC142" s="1075"/>
      <c r="AD142" s="1075"/>
      <c r="AE142" s="1075"/>
      <c r="AF142" s="1075"/>
      <c r="AG142" s="1075"/>
      <c r="AH142" s="1075"/>
      <c r="AI142" s="1075"/>
      <c r="AJ142" s="1075"/>
      <c r="AK142" s="1075"/>
      <c r="AL142" s="1075"/>
      <c r="AM142" s="1075"/>
      <c r="AN142" s="1075"/>
      <c r="AO142" s="1075"/>
      <c r="AP142" s="1075"/>
      <c r="AQ142" s="1075"/>
      <c r="AR142" s="1075"/>
      <c r="AS142" s="1075"/>
      <c r="AT142" s="1075"/>
      <c r="AU142" s="1075"/>
      <c r="AV142" s="1075"/>
      <c r="AW142" s="1075"/>
      <c r="AX142" s="1075"/>
      <c r="AY142" s="1075"/>
      <c r="AZ142" s="1075"/>
    </row>
    <row r="143" spans="1:52" ht="15.75" customHeight="1">
      <c r="A143" s="109"/>
      <c r="B143" s="11"/>
      <c r="C143" s="11"/>
      <c r="D143" s="11"/>
      <c r="E143" s="11"/>
      <c r="F143" s="11"/>
      <c r="G143" s="11"/>
      <c r="H143" s="11"/>
      <c r="I143" s="1145"/>
      <c r="J143" s="1145"/>
      <c r="K143" s="1145"/>
      <c r="L143" s="1145"/>
      <c r="M143" s="1145"/>
      <c r="N143" s="1146"/>
      <c r="O143" s="1146"/>
      <c r="P143" s="1146"/>
      <c r="Q143" s="1145"/>
      <c r="R143" s="1145"/>
      <c r="S143" s="112"/>
      <c r="T143" s="109"/>
      <c r="U143" s="109"/>
      <c r="V143" s="109"/>
      <c r="W143" s="1075"/>
      <c r="X143" s="1075"/>
      <c r="Y143" s="1075"/>
      <c r="Z143" s="1075"/>
      <c r="AA143" s="1075"/>
      <c r="AB143" s="1075"/>
      <c r="AC143" s="1075"/>
      <c r="AD143" s="1075"/>
      <c r="AE143" s="1075"/>
      <c r="AF143" s="1075"/>
      <c r="AG143" s="1075"/>
      <c r="AH143" s="1075"/>
      <c r="AI143" s="1075"/>
      <c r="AJ143" s="1075"/>
      <c r="AK143" s="1075"/>
      <c r="AL143" s="1075"/>
      <c r="AM143" s="1075"/>
      <c r="AN143" s="1075"/>
      <c r="AO143" s="1075"/>
      <c r="AP143" s="1075"/>
      <c r="AQ143" s="1075"/>
      <c r="AR143" s="1075"/>
      <c r="AS143" s="1075"/>
      <c r="AT143" s="1075"/>
      <c r="AU143" s="1075"/>
      <c r="AV143" s="1075"/>
      <c r="AW143" s="1075"/>
      <c r="AX143" s="1075"/>
      <c r="AY143" s="1075"/>
      <c r="AZ143" s="1075"/>
    </row>
    <row r="144" spans="1:52" ht="12.75" customHeight="1" thickBot="1">
      <c r="A144" s="109"/>
      <c r="B144" s="11"/>
      <c r="C144" s="11"/>
      <c r="D144" s="11"/>
      <c r="E144" s="11"/>
      <c r="F144" s="11"/>
      <c r="G144" s="11"/>
      <c r="H144" s="11"/>
      <c r="I144" s="1145"/>
      <c r="J144" s="1145"/>
      <c r="K144" s="1145"/>
      <c r="L144" s="1145"/>
      <c r="M144" s="1145"/>
      <c r="N144" s="1145"/>
      <c r="O144" s="1145"/>
      <c r="P144" s="1145"/>
      <c r="Q144" s="1145"/>
      <c r="R144" s="1145"/>
      <c r="S144" s="112"/>
      <c r="T144" s="109"/>
      <c r="U144" s="109"/>
      <c r="V144" s="109"/>
      <c r="W144" s="1075"/>
      <c r="X144" s="1075"/>
      <c r="Y144" s="1075"/>
      <c r="Z144" s="1075"/>
      <c r="AA144" s="1075"/>
      <c r="AB144" s="1075"/>
      <c r="AC144" s="1075"/>
      <c r="AD144" s="1075"/>
      <c r="AE144" s="1075"/>
      <c r="AF144" s="1075"/>
      <c r="AG144" s="1075"/>
      <c r="AH144" s="1075"/>
      <c r="AI144" s="1075"/>
      <c r="AJ144" s="1075"/>
      <c r="AK144" s="1075"/>
      <c r="AL144" s="1075"/>
      <c r="AM144" s="1075"/>
      <c r="AN144" s="1075"/>
      <c r="AO144" s="1075"/>
      <c r="AP144" s="1075"/>
      <c r="AQ144" s="1075"/>
      <c r="AR144" s="1075"/>
      <c r="AS144" s="1075"/>
      <c r="AT144" s="1075"/>
      <c r="AU144" s="1075"/>
      <c r="AV144" s="1075"/>
      <c r="AW144" s="1075"/>
      <c r="AX144" s="1075"/>
      <c r="AY144" s="1075"/>
      <c r="AZ144" s="1075"/>
    </row>
    <row r="145" spans="1:52" ht="18" customHeight="1">
      <c r="A145" s="109"/>
      <c r="B145" s="186" t="s">
        <v>498</v>
      </c>
      <c r="C145" s="1147"/>
      <c r="D145" s="1147"/>
      <c r="E145" s="1147"/>
      <c r="F145" s="1147"/>
      <c r="G145" s="1147"/>
      <c r="H145" s="1147"/>
      <c r="I145" s="1148"/>
      <c r="J145" s="1148"/>
      <c r="K145" s="1148"/>
      <c r="L145" s="1148"/>
      <c r="M145" s="1148"/>
      <c r="N145" s="1149">
        <v>1</v>
      </c>
      <c r="O145" s="1149">
        <v>4</v>
      </c>
      <c r="P145" s="1148"/>
      <c r="Q145" s="1148"/>
      <c r="R145" s="1150"/>
      <c r="S145" s="109"/>
      <c r="T145" s="109"/>
      <c r="U145" s="109"/>
      <c r="V145" s="109"/>
      <c r="W145" s="1075"/>
      <c r="X145" s="1075"/>
      <c r="Y145" s="1075"/>
      <c r="Z145" s="1075"/>
      <c r="AA145" s="1075"/>
      <c r="AB145" s="1075"/>
      <c r="AC145" s="1075"/>
      <c r="AD145" s="1075"/>
      <c r="AE145" s="1075"/>
      <c r="AF145" s="1075"/>
      <c r="AG145" s="1075"/>
      <c r="AH145" s="1075"/>
      <c r="AI145" s="1075"/>
      <c r="AJ145" s="1075"/>
      <c r="AK145" s="1075"/>
      <c r="AL145" s="1075"/>
      <c r="AM145" s="1075"/>
      <c r="AN145" s="1075"/>
      <c r="AO145" s="1075"/>
      <c r="AP145" s="1075"/>
      <c r="AQ145" s="1075"/>
      <c r="AR145" s="1075"/>
      <c r="AS145" s="1075"/>
      <c r="AT145" s="1075"/>
      <c r="AU145" s="1075"/>
      <c r="AV145" s="1075"/>
      <c r="AW145" s="1075"/>
      <c r="AX145" s="1075"/>
      <c r="AY145" s="1075"/>
      <c r="AZ145" s="1075"/>
    </row>
    <row r="146" spans="1:52" ht="18" customHeight="1">
      <c r="A146" s="109"/>
      <c r="B146" s="122"/>
      <c r="C146" s="297"/>
      <c r="D146" s="297"/>
      <c r="E146" s="297"/>
      <c r="F146" s="297"/>
      <c r="G146" s="297"/>
      <c r="H146" s="297"/>
      <c r="I146" s="901">
        <f>I3</f>
        <v>2015</v>
      </c>
      <c r="J146" s="901">
        <f t="shared" ref="J146:R146" si="55">J3</f>
        <v>2016</v>
      </c>
      <c r="K146" s="901">
        <f t="shared" si="55"/>
        <v>2017</v>
      </c>
      <c r="L146" s="901">
        <f t="shared" si="55"/>
        <v>2018</v>
      </c>
      <c r="M146" s="901">
        <f t="shared" si="55"/>
        <v>2019</v>
      </c>
      <c r="N146" s="901" t="str">
        <f t="shared" si="55"/>
        <v>2020E</v>
      </c>
      <c r="O146" s="901" t="str">
        <f t="shared" si="55"/>
        <v>2021E</v>
      </c>
      <c r="P146" s="901" t="str">
        <f t="shared" si="55"/>
        <v>2022E</v>
      </c>
      <c r="Q146" s="901" t="str">
        <f t="shared" si="55"/>
        <v>2023E</v>
      </c>
      <c r="R146" s="902" t="str">
        <f t="shared" si="55"/>
        <v>2024E</v>
      </c>
      <c r="S146" s="109"/>
      <c r="T146" s="109"/>
      <c r="U146" s="109"/>
      <c r="V146" s="109"/>
      <c r="W146" s="1075"/>
      <c r="X146" s="1075"/>
      <c r="Y146" s="1075"/>
      <c r="Z146" s="1075"/>
      <c r="AA146" s="1075"/>
      <c r="AB146" s="1075"/>
      <c r="AC146" s="1075"/>
      <c r="AD146" s="1075"/>
      <c r="AE146" s="1075"/>
      <c r="AF146" s="1075"/>
      <c r="AG146" s="1075"/>
      <c r="AH146" s="1075"/>
      <c r="AI146" s="1075"/>
      <c r="AJ146" s="1075"/>
      <c r="AK146" s="1075"/>
      <c r="AL146" s="1075"/>
      <c r="AM146" s="1075"/>
      <c r="AN146" s="1075"/>
      <c r="AO146" s="1075"/>
      <c r="AP146" s="1075"/>
      <c r="AQ146" s="1075"/>
      <c r="AR146" s="1075"/>
      <c r="AS146" s="1075"/>
      <c r="AT146" s="1075"/>
      <c r="AU146" s="1075"/>
      <c r="AV146" s="1075"/>
      <c r="AW146" s="1075"/>
      <c r="AX146" s="1075"/>
      <c r="AY146" s="1075"/>
      <c r="AZ146" s="1075"/>
    </row>
    <row r="147" spans="1:52" ht="18" customHeight="1">
      <c r="A147" s="109"/>
      <c r="B147" s="123" t="str">
        <f t="shared" ref="B147:R147" ca="1" si="56">OFFSET(B3,$N$145,0)</f>
        <v>一、营业总收入</v>
      </c>
      <c r="C147" s="298"/>
      <c r="D147" s="298"/>
      <c r="E147" s="298"/>
      <c r="F147" s="298"/>
      <c r="G147" s="298"/>
      <c r="H147" s="298"/>
      <c r="I147" s="1151">
        <f t="shared" ca="1" si="56"/>
        <v>3332.8047714200002</v>
      </c>
      <c r="J147" s="1152">
        <f t="shared" ca="1" si="56"/>
        <v>3951.6072652299999</v>
      </c>
      <c r="K147" s="1152">
        <f t="shared" ca="1" si="56"/>
        <v>4584.9197615800003</v>
      </c>
      <c r="L147" s="1152">
        <f t="shared" ca="1" si="56"/>
        <v>4809.73609786</v>
      </c>
      <c r="M147" s="1152">
        <f t="shared" ca="1" si="56"/>
        <v>6378.1513559200002</v>
      </c>
      <c r="N147" s="1153">
        <f t="shared" ca="1" si="56"/>
        <v>6378.1513559200002</v>
      </c>
      <c r="O147" s="1153">
        <f t="shared" ca="1" si="56"/>
        <v>6378.1513559200002</v>
      </c>
      <c r="P147" s="1153">
        <f t="shared" ca="1" si="56"/>
        <v>6378.1513559200002</v>
      </c>
      <c r="Q147" s="1153">
        <f t="shared" ca="1" si="56"/>
        <v>6378.1513559200002</v>
      </c>
      <c r="R147" s="1154">
        <f t="shared" ca="1" si="56"/>
        <v>6378.1513559200002</v>
      </c>
      <c r="S147" s="109"/>
      <c r="T147" s="109"/>
      <c r="U147" s="109"/>
      <c r="V147" s="109"/>
      <c r="W147" s="1075"/>
      <c r="X147" s="1075"/>
      <c r="Y147" s="1075"/>
      <c r="Z147" s="1075"/>
      <c r="AA147" s="1075"/>
      <c r="AB147" s="1075"/>
      <c r="AC147" s="1075"/>
      <c r="AD147" s="1075"/>
      <c r="AE147" s="1075"/>
      <c r="AF147" s="1075"/>
      <c r="AG147" s="1075"/>
      <c r="AH147" s="1075"/>
      <c r="AI147" s="1075"/>
      <c r="AJ147" s="1075"/>
      <c r="AK147" s="1075"/>
      <c r="AL147" s="1075"/>
      <c r="AM147" s="1075"/>
      <c r="AN147" s="1075"/>
      <c r="AO147" s="1075"/>
      <c r="AP147" s="1075"/>
      <c r="AQ147" s="1075"/>
      <c r="AR147" s="1075"/>
      <c r="AS147" s="1075"/>
      <c r="AT147" s="1075"/>
      <c r="AU147" s="1075"/>
      <c r="AV147" s="1075"/>
      <c r="AW147" s="1075"/>
      <c r="AX147" s="1075"/>
      <c r="AY147" s="1075"/>
      <c r="AZ147" s="1075"/>
    </row>
    <row r="148" spans="1:52" ht="18" customHeight="1" thickBot="1">
      <c r="A148" s="109"/>
      <c r="B148" s="124" t="str">
        <f t="shared" ref="B148:R148" ca="1" si="57">OFFSET(B3,$O$145,0)</f>
        <v>二、营业总成本</v>
      </c>
      <c r="C148" s="299"/>
      <c r="D148" s="299"/>
      <c r="E148" s="299"/>
      <c r="F148" s="299"/>
      <c r="G148" s="299"/>
      <c r="H148" s="299"/>
      <c r="I148" s="1155">
        <f t="shared" ca="1" si="57"/>
        <v>2665.0461144999999</v>
      </c>
      <c r="J148" s="1156">
        <f t="shared" ca="1" si="57"/>
        <v>3029.2470500100003</v>
      </c>
      <c r="K148" s="1156">
        <f t="shared" ca="1" si="57"/>
        <v>3961.2420510700003</v>
      </c>
      <c r="L148" s="1156">
        <f t="shared" ca="1" si="57"/>
        <v>4331.7590222899998</v>
      </c>
      <c r="M148" s="1156">
        <f t="shared" ca="1" si="57"/>
        <v>5514.07059192</v>
      </c>
      <c r="N148" s="1157">
        <f t="shared" ca="1" si="57"/>
        <v>7884.1366412316775</v>
      </c>
      <c r="O148" s="1157">
        <f t="shared" ca="1" si="57"/>
        <v>8143.9739502080538</v>
      </c>
      <c r="P148" s="1157">
        <f t="shared" ca="1" si="57"/>
        <v>8134.435336486551</v>
      </c>
      <c r="Q148" s="1157">
        <f t="shared" ca="1" si="57"/>
        <v>8136.5391332678682</v>
      </c>
      <c r="R148" s="1158">
        <f t="shared" ca="1" si="57"/>
        <v>8138.3161399874916</v>
      </c>
      <c r="S148" s="109"/>
      <c r="T148" s="109"/>
      <c r="U148" s="109"/>
      <c r="V148" s="109"/>
      <c r="W148" s="1075"/>
      <c r="X148" s="1075"/>
      <c r="Y148" s="1075"/>
      <c r="Z148" s="1075"/>
      <c r="AA148" s="1075"/>
      <c r="AB148" s="1075"/>
      <c r="AC148" s="1075"/>
      <c r="AD148" s="1075"/>
      <c r="AE148" s="1075"/>
      <c r="AF148" s="1075"/>
      <c r="AG148" s="1075"/>
      <c r="AH148" s="1075"/>
      <c r="AI148" s="1075"/>
      <c r="AJ148" s="1075"/>
      <c r="AK148" s="1075"/>
      <c r="AL148" s="1075"/>
      <c r="AM148" s="1075"/>
      <c r="AN148" s="1075"/>
      <c r="AO148" s="1075"/>
      <c r="AP148" s="1075"/>
      <c r="AQ148" s="1075"/>
      <c r="AR148" s="1075"/>
      <c r="AS148" s="1075"/>
      <c r="AT148" s="1075"/>
      <c r="AU148" s="1075"/>
      <c r="AV148" s="1075"/>
      <c r="AW148" s="1075"/>
      <c r="AX148" s="1075"/>
      <c r="AY148" s="1075"/>
      <c r="AZ148" s="1075"/>
    </row>
    <row r="149" spans="1:52" ht="17.100000000000001" customHeight="1">
      <c r="A149" s="109"/>
      <c r="B149" s="1159"/>
      <c r="C149" s="1160"/>
      <c r="D149" s="1160"/>
      <c r="E149" s="1160"/>
      <c r="F149" s="1160"/>
      <c r="G149" s="1160"/>
      <c r="H149" s="1160"/>
      <c r="I149" s="1161"/>
      <c r="J149" s="1161"/>
      <c r="K149" s="1161"/>
      <c r="L149" s="1161"/>
      <c r="M149" s="1161"/>
      <c r="N149" s="1161"/>
      <c r="O149" s="1161"/>
      <c r="P149" s="1161"/>
      <c r="Q149" s="1161"/>
      <c r="R149" s="1162"/>
      <c r="S149" s="109"/>
      <c r="T149" s="109"/>
      <c r="U149" s="109"/>
      <c r="V149" s="109"/>
      <c r="W149" s="1075"/>
      <c r="X149" s="1075"/>
      <c r="Y149" s="1075"/>
      <c r="Z149" s="1075"/>
      <c r="AA149" s="1075"/>
      <c r="AB149" s="1075"/>
      <c r="AC149" s="1075"/>
      <c r="AD149" s="1075"/>
      <c r="AE149" s="1075"/>
      <c r="AF149" s="1075"/>
      <c r="AG149" s="1075"/>
      <c r="AH149" s="1075"/>
      <c r="AI149" s="1075"/>
      <c r="AJ149" s="1075"/>
      <c r="AK149" s="1075"/>
      <c r="AL149" s="1075"/>
      <c r="AM149" s="1075"/>
      <c r="AN149" s="1075"/>
      <c r="AO149" s="1075"/>
      <c r="AP149" s="1075"/>
      <c r="AQ149" s="1075"/>
      <c r="AR149" s="1075"/>
      <c r="AS149" s="1075"/>
      <c r="AT149" s="1075"/>
      <c r="AU149" s="1075"/>
      <c r="AV149" s="1075"/>
      <c r="AW149" s="1075"/>
      <c r="AX149" s="1075"/>
      <c r="AY149" s="1075"/>
      <c r="AZ149" s="1075"/>
    </row>
    <row r="150" spans="1:52" ht="17.100000000000001" customHeight="1">
      <c r="A150" s="109"/>
      <c r="B150" s="1163"/>
      <c r="C150" s="11"/>
      <c r="D150" s="11"/>
      <c r="E150" s="11"/>
      <c r="F150" s="11"/>
      <c r="G150" s="11"/>
      <c r="H150" s="11"/>
      <c r="I150" s="1145"/>
      <c r="J150" s="1145"/>
      <c r="K150" s="1145"/>
      <c r="L150" s="1145"/>
      <c r="M150" s="1145"/>
      <c r="N150" s="1145"/>
      <c r="O150" s="1145"/>
      <c r="P150" s="1145"/>
      <c r="Q150" s="1145"/>
      <c r="R150" s="1164"/>
      <c r="S150" s="109"/>
      <c r="T150" s="109"/>
      <c r="U150" s="109"/>
      <c r="V150" s="109"/>
      <c r="W150" s="1075"/>
      <c r="X150" s="1075"/>
      <c r="Y150" s="1075"/>
      <c r="Z150" s="1075"/>
      <c r="AA150" s="1075"/>
      <c r="AB150" s="1075"/>
      <c r="AC150" s="1075"/>
      <c r="AD150" s="1075"/>
      <c r="AE150" s="1075"/>
      <c r="AF150" s="1075"/>
      <c r="AG150" s="1075"/>
      <c r="AH150" s="1075"/>
      <c r="AI150" s="1075"/>
      <c r="AJ150" s="1075"/>
      <c r="AK150" s="1075"/>
      <c r="AL150" s="1075"/>
      <c r="AM150" s="1075"/>
      <c r="AN150" s="1075"/>
      <c r="AO150" s="1075"/>
      <c r="AP150" s="1075"/>
      <c r="AQ150" s="1075"/>
      <c r="AR150" s="1075"/>
      <c r="AS150" s="1075"/>
      <c r="AT150" s="1075"/>
      <c r="AU150" s="1075"/>
      <c r="AV150" s="1075"/>
      <c r="AW150" s="1075"/>
      <c r="AX150" s="1075"/>
      <c r="AY150" s="1075"/>
      <c r="AZ150" s="1075"/>
    </row>
    <row r="151" spans="1:52" ht="17.100000000000001" customHeight="1">
      <c r="A151" s="109"/>
      <c r="B151" s="1163"/>
      <c r="C151" s="11"/>
      <c r="D151" s="11"/>
      <c r="E151" s="11"/>
      <c r="F151" s="11"/>
      <c r="G151" s="11"/>
      <c r="H151" s="11"/>
      <c r="I151" s="1145"/>
      <c r="J151" s="1145"/>
      <c r="K151" s="1145"/>
      <c r="L151" s="1145"/>
      <c r="M151" s="1145"/>
      <c r="N151" s="1145"/>
      <c r="O151" s="1145"/>
      <c r="P151" s="1145"/>
      <c r="Q151" s="1145"/>
      <c r="R151" s="1164"/>
      <c r="S151" s="109"/>
      <c r="T151" s="109"/>
      <c r="U151" s="109"/>
      <c r="V151" s="109"/>
      <c r="W151" s="1075"/>
      <c r="X151" s="1075"/>
      <c r="Y151" s="1075"/>
      <c r="Z151" s="1075"/>
      <c r="AA151" s="1075"/>
      <c r="AB151" s="1075"/>
      <c r="AC151" s="1075"/>
      <c r="AD151" s="1075"/>
      <c r="AE151" s="1075"/>
      <c r="AF151" s="1075"/>
      <c r="AG151" s="1075"/>
      <c r="AH151" s="1075"/>
      <c r="AI151" s="1075"/>
      <c r="AJ151" s="1075"/>
      <c r="AK151" s="1075"/>
      <c r="AL151" s="1075"/>
      <c r="AM151" s="1075"/>
      <c r="AN151" s="1075"/>
      <c r="AO151" s="1075"/>
      <c r="AP151" s="1075"/>
      <c r="AQ151" s="1075"/>
      <c r="AR151" s="1075"/>
      <c r="AS151" s="1075"/>
      <c r="AT151" s="1075"/>
      <c r="AU151" s="1075"/>
      <c r="AV151" s="1075"/>
      <c r="AW151" s="1075"/>
      <c r="AX151" s="1075"/>
      <c r="AY151" s="1075"/>
      <c r="AZ151" s="1075"/>
    </row>
    <row r="152" spans="1:52" ht="17.100000000000001" customHeight="1">
      <c r="A152" s="109"/>
      <c r="B152" s="1163"/>
      <c r="C152" s="11"/>
      <c r="D152" s="11"/>
      <c r="E152" s="11"/>
      <c r="F152" s="11"/>
      <c r="G152" s="11"/>
      <c r="H152" s="11"/>
      <c r="I152" s="1145"/>
      <c r="J152" s="1145"/>
      <c r="K152" s="1145"/>
      <c r="L152" s="1145"/>
      <c r="M152" s="1145"/>
      <c r="N152" s="1145"/>
      <c r="O152" s="1145"/>
      <c r="P152" s="1145"/>
      <c r="Q152" s="1145"/>
      <c r="R152" s="1164"/>
      <c r="S152" s="109"/>
      <c r="T152" s="109"/>
      <c r="U152" s="109"/>
      <c r="V152" s="109"/>
      <c r="W152" s="1075"/>
      <c r="X152" s="1075"/>
      <c r="Y152" s="1075"/>
      <c r="Z152" s="1075"/>
      <c r="AA152" s="1075"/>
      <c r="AB152" s="1075"/>
      <c r="AC152" s="1075"/>
      <c r="AD152" s="1075"/>
      <c r="AE152" s="1075"/>
      <c r="AF152" s="1075"/>
      <c r="AG152" s="1075"/>
      <c r="AH152" s="1075"/>
      <c r="AI152" s="1075"/>
      <c r="AJ152" s="1075"/>
      <c r="AK152" s="1075"/>
      <c r="AL152" s="1075"/>
      <c r="AM152" s="1075"/>
      <c r="AN152" s="1075"/>
      <c r="AO152" s="1075"/>
      <c r="AP152" s="1075"/>
      <c r="AQ152" s="1075"/>
      <c r="AR152" s="1075"/>
      <c r="AS152" s="1075"/>
      <c r="AT152" s="1075"/>
      <c r="AU152" s="1075"/>
      <c r="AV152" s="1075"/>
      <c r="AW152" s="1075"/>
      <c r="AX152" s="1075"/>
      <c r="AY152" s="1075"/>
      <c r="AZ152" s="1075"/>
    </row>
    <row r="153" spans="1:52" ht="17.100000000000001" customHeight="1">
      <c r="A153" s="109"/>
      <c r="B153" s="1163"/>
      <c r="C153" s="11"/>
      <c r="D153" s="11"/>
      <c r="E153" s="11"/>
      <c r="F153" s="11"/>
      <c r="G153" s="11"/>
      <c r="H153" s="11"/>
      <c r="I153" s="1145"/>
      <c r="J153" s="1145"/>
      <c r="K153" s="1145"/>
      <c r="L153" s="1145"/>
      <c r="M153" s="1145"/>
      <c r="N153" s="1145"/>
      <c r="O153" s="1145"/>
      <c r="P153" s="1145"/>
      <c r="Q153" s="1145"/>
      <c r="R153" s="1164"/>
      <c r="S153" s="109"/>
      <c r="T153" s="109"/>
      <c r="U153" s="109"/>
      <c r="V153" s="109"/>
      <c r="W153" s="1075"/>
      <c r="X153" s="1075"/>
      <c r="Y153" s="1075"/>
      <c r="Z153" s="1075"/>
      <c r="AA153" s="1075"/>
      <c r="AB153" s="1075"/>
      <c r="AC153" s="1075"/>
      <c r="AD153" s="1075"/>
      <c r="AE153" s="1075"/>
      <c r="AF153" s="1075"/>
      <c r="AG153" s="1075"/>
      <c r="AH153" s="1075"/>
      <c r="AI153" s="1075"/>
      <c r="AJ153" s="1075"/>
      <c r="AK153" s="1075"/>
      <c r="AL153" s="1075"/>
      <c r="AM153" s="1075"/>
      <c r="AN153" s="1075"/>
      <c r="AO153" s="1075"/>
      <c r="AP153" s="1075"/>
      <c r="AQ153" s="1075"/>
      <c r="AR153" s="1075"/>
      <c r="AS153" s="1075"/>
      <c r="AT153" s="1075"/>
      <c r="AU153" s="1075"/>
      <c r="AV153" s="1075"/>
      <c r="AW153" s="1075"/>
      <c r="AX153" s="1075"/>
      <c r="AY153" s="1075"/>
      <c r="AZ153" s="1075"/>
    </row>
    <row r="154" spans="1:52" ht="17.100000000000001" customHeight="1">
      <c r="A154" s="109"/>
      <c r="B154" s="1163"/>
      <c r="C154" s="11"/>
      <c r="D154" s="11"/>
      <c r="E154" s="11"/>
      <c r="F154" s="11"/>
      <c r="G154" s="11"/>
      <c r="H154" s="11"/>
      <c r="I154" s="1145"/>
      <c r="J154" s="1145"/>
      <c r="K154" s="1145"/>
      <c r="L154" s="1145"/>
      <c r="M154" s="1145"/>
      <c r="N154" s="1145"/>
      <c r="O154" s="1145"/>
      <c r="P154" s="1145"/>
      <c r="Q154" s="1145"/>
      <c r="R154" s="1164"/>
      <c r="S154" s="109"/>
      <c r="T154" s="109"/>
      <c r="U154" s="109"/>
      <c r="V154" s="109"/>
      <c r="W154" s="1075"/>
      <c r="X154" s="1075"/>
      <c r="Y154" s="1075"/>
      <c r="Z154" s="1075"/>
      <c r="AA154" s="1075"/>
      <c r="AB154" s="1075"/>
      <c r="AC154" s="1075"/>
      <c r="AD154" s="1075"/>
      <c r="AE154" s="1075"/>
      <c r="AF154" s="1075"/>
      <c r="AG154" s="1075"/>
      <c r="AH154" s="1075"/>
      <c r="AI154" s="1075"/>
      <c r="AJ154" s="1075"/>
      <c r="AK154" s="1075"/>
      <c r="AL154" s="1075"/>
      <c r="AM154" s="1075"/>
      <c r="AN154" s="1075"/>
      <c r="AO154" s="1075"/>
      <c r="AP154" s="1075"/>
      <c r="AQ154" s="1075"/>
      <c r="AR154" s="1075"/>
      <c r="AS154" s="1075"/>
      <c r="AT154" s="1075"/>
      <c r="AU154" s="1075"/>
      <c r="AV154" s="1075"/>
      <c r="AW154" s="1075"/>
      <c r="AX154" s="1075"/>
      <c r="AY154" s="1075"/>
      <c r="AZ154" s="1075"/>
    </row>
    <row r="155" spans="1:52" ht="17.100000000000001" customHeight="1">
      <c r="A155" s="109"/>
      <c r="B155" s="1163"/>
      <c r="C155" s="11"/>
      <c r="D155" s="11"/>
      <c r="E155" s="11"/>
      <c r="F155" s="11"/>
      <c r="G155" s="11"/>
      <c r="H155" s="11"/>
      <c r="I155" s="1145"/>
      <c r="J155" s="1145"/>
      <c r="K155" s="1145"/>
      <c r="L155" s="1145"/>
      <c r="M155" s="1145"/>
      <c r="N155" s="1145"/>
      <c r="O155" s="1145"/>
      <c r="P155" s="1145"/>
      <c r="Q155" s="1145"/>
      <c r="R155" s="1164"/>
      <c r="S155" s="109"/>
      <c r="T155" s="109"/>
      <c r="U155" s="109"/>
      <c r="V155" s="109"/>
      <c r="W155" s="1075"/>
      <c r="X155" s="1075"/>
      <c r="Y155" s="1075"/>
      <c r="Z155" s="1075"/>
      <c r="AA155" s="1075"/>
      <c r="AB155" s="1075"/>
      <c r="AC155" s="1075"/>
      <c r="AD155" s="1075"/>
      <c r="AE155" s="1075"/>
      <c r="AF155" s="1075"/>
      <c r="AG155" s="1075"/>
      <c r="AH155" s="1075"/>
      <c r="AI155" s="1075"/>
      <c r="AJ155" s="1075"/>
      <c r="AK155" s="1075"/>
      <c r="AL155" s="1075"/>
      <c r="AM155" s="1075"/>
      <c r="AN155" s="1075"/>
      <c r="AO155" s="1075"/>
      <c r="AP155" s="1075"/>
      <c r="AQ155" s="1075"/>
      <c r="AR155" s="1075"/>
      <c r="AS155" s="1075"/>
      <c r="AT155" s="1075"/>
      <c r="AU155" s="1075"/>
      <c r="AV155" s="1075"/>
      <c r="AW155" s="1075"/>
      <c r="AX155" s="1075"/>
      <c r="AY155" s="1075"/>
      <c r="AZ155" s="1075"/>
    </row>
    <row r="156" spans="1:52" ht="17.100000000000001" customHeight="1">
      <c r="A156" s="109"/>
      <c r="B156" s="1163"/>
      <c r="C156" s="11"/>
      <c r="D156" s="11"/>
      <c r="E156" s="11"/>
      <c r="F156" s="11"/>
      <c r="G156" s="11"/>
      <c r="H156" s="11"/>
      <c r="I156" s="1145"/>
      <c r="J156" s="1145"/>
      <c r="K156" s="1145"/>
      <c r="L156" s="1145"/>
      <c r="M156" s="1145"/>
      <c r="N156" s="1145"/>
      <c r="O156" s="1145"/>
      <c r="P156" s="1145"/>
      <c r="Q156" s="1145"/>
      <c r="R156" s="1164"/>
      <c r="S156" s="109"/>
      <c r="T156" s="109"/>
      <c r="U156" s="109"/>
      <c r="V156" s="109"/>
      <c r="W156" s="1075"/>
      <c r="X156" s="1075"/>
      <c r="Y156" s="1075"/>
      <c r="Z156" s="1075"/>
      <c r="AA156" s="1075"/>
      <c r="AB156" s="1075"/>
      <c r="AC156" s="1075"/>
      <c r="AD156" s="1075"/>
      <c r="AE156" s="1075"/>
      <c r="AF156" s="1075"/>
      <c r="AG156" s="1075"/>
      <c r="AH156" s="1075"/>
      <c r="AI156" s="1075"/>
      <c r="AJ156" s="1075"/>
      <c r="AK156" s="1075"/>
      <c r="AL156" s="1075"/>
      <c r="AM156" s="1075"/>
      <c r="AN156" s="1075"/>
      <c r="AO156" s="1075"/>
      <c r="AP156" s="1075"/>
      <c r="AQ156" s="1075"/>
      <c r="AR156" s="1075"/>
      <c r="AS156" s="1075"/>
      <c r="AT156" s="1075"/>
      <c r="AU156" s="1075"/>
      <c r="AV156" s="1075"/>
      <c r="AW156" s="1075"/>
      <c r="AX156" s="1075"/>
      <c r="AY156" s="1075"/>
      <c r="AZ156" s="1075"/>
    </row>
    <row r="157" spans="1:52" ht="17.100000000000001" customHeight="1">
      <c r="A157" s="109"/>
      <c r="B157" s="1163"/>
      <c r="C157" s="11"/>
      <c r="D157" s="11"/>
      <c r="E157" s="11"/>
      <c r="F157" s="11"/>
      <c r="G157" s="11"/>
      <c r="H157" s="11"/>
      <c r="I157" s="1145"/>
      <c r="J157" s="1145"/>
      <c r="K157" s="1145"/>
      <c r="L157" s="1145"/>
      <c r="M157" s="1145"/>
      <c r="N157" s="1145"/>
      <c r="O157" s="1145"/>
      <c r="P157" s="1145"/>
      <c r="Q157" s="1145"/>
      <c r="R157" s="1164"/>
      <c r="S157" s="109"/>
      <c r="T157" s="109"/>
      <c r="U157" s="109"/>
      <c r="V157" s="109"/>
      <c r="W157" s="1075"/>
      <c r="X157" s="1075"/>
      <c r="Y157" s="1075"/>
      <c r="Z157" s="1075"/>
      <c r="AA157" s="1075"/>
      <c r="AB157" s="1075"/>
      <c r="AC157" s="1075"/>
      <c r="AD157" s="1075"/>
      <c r="AE157" s="1075"/>
      <c r="AF157" s="1075"/>
      <c r="AG157" s="1075"/>
      <c r="AH157" s="1075"/>
      <c r="AI157" s="1075"/>
      <c r="AJ157" s="1075"/>
      <c r="AK157" s="1075"/>
      <c r="AL157" s="1075"/>
      <c r="AM157" s="1075"/>
      <c r="AN157" s="1075"/>
      <c r="AO157" s="1075"/>
      <c r="AP157" s="1075"/>
      <c r="AQ157" s="1075"/>
      <c r="AR157" s="1075"/>
      <c r="AS157" s="1075"/>
      <c r="AT157" s="1075"/>
      <c r="AU157" s="1075"/>
      <c r="AV157" s="1075"/>
      <c r="AW157" s="1075"/>
      <c r="AX157" s="1075"/>
      <c r="AY157" s="1075"/>
      <c r="AZ157" s="1075"/>
    </row>
    <row r="158" spans="1:52" ht="17.100000000000001" customHeight="1">
      <c r="A158" s="109"/>
      <c r="B158" s="1163"/>
      <c r="C158" s="11"/>
      <c r="D158" s="11"/>
      <c r="E158" s="11"/>
      <c r="F158" s="11"/>
      <c r="G158" s="11"/>
      <c r="H158" s="11"/>
      <c r="I158" s="1145"/>
      <c r="J158" s="1145"/>
      <c r="K158" s="1145"/>
      <c r="L158" s="1145"/>
      <c r="M158" s="1145"/>
      <c r="N158" s="1145"/>
      <c r="O158" s="1145"/>
      <c r="P158" s="1145"/>
      <c r="Q158" s="1145"/>
      <c r="R158" s="1164"/>
      <c r="S158" s="109"/>
      <c r="T158" s="109"/>
      <c r="U158" s="109"/>
      <c r="V158" s="109"/>
      <c r="W158" s="1075"/>
      <c r="X158" s="1075"/>
      <c r="Y158" s="1075"/>
      <c r="Z158" s="1075"/>
      <c r="AA158" s="1075"/>
      <c r="AB158" s="1075"/>
      <c r="AC158" s="1075"/>
      <c r="AD158" s="1075"/>
      <c r="AE158" s="1075"/>
      <c r="AF158" s="1075"/>
      <c r="AG158" s="1075"/>
      <c r="AH158" s="1075"/>
      <c r="AI158" s="1075"/>
      <c r="AJ158" s="1075"/>
      <c r="AK158" s="1075"/>
      <c r="AL158" s="1075"/>
      <c r="AM158" s="1075"/>
      <c r="AN158" s="1075"/>
      <c r="AO158" s="1075"/>
      <c r="AP158" s="1075"/>
      <c r="AQ158" s="1075"/>
      <c r="AR158" s="1075"/>
      <c r="AS158" s="1075"/>
      <c r="AT158" s="1075"/>
      <c r="AU158" s="1075"/>
      <c r="AV158" s="1075"/>
      <c r="AW158" s="1075"/>
      <c r="AX158" s="1075"/>
      <c r="AY158" s="1075"/>
      <c r="AZ158" s="1075"/>
    </row>
    <row r="159" spans="1:52" ht="17.100000000000001" customHeight="1">
      <c r="A159" s="109"/>
      <c r="B159" s="1163"/>
      <c r="C159" s="11"/>
      <c r="D159" s="11"/>
      <c r="E159" s="11"/>
      <c r="F159" s="11"/>
      <c r="G159" s="11"/>
      <c r="H159" s="11"/>
      <c r="I159" s="1145"/>
      <c r="J159" s="1145"/>
      <c r="K159" s="1145"/>
      <c r="L159" s="1145"/>
      <c r="M159" s="1145"/>
      <c r="N159" s="1145"/>
      <c r="O159" s="1145"/>
      <c r="P159" s="1145"/>
      <c r="Q159" s="1145"/>
      <c r="R159" s="1164"/>
      <c r="S159" s="109"/>
      <c r="T159" s="109"/>
      <c r="U159" s="109"/>
      <c r="V159" s="109"/>
      <c r="W159" s="1075"/>
      <c r="X159" s="1075"/>
      <c r="Y159" s="1075"/>
      <c r="Z159" s="1075"/>
      <c r="AA159" s="1075"/>
      <c r="AB159" s="1075"/>
      <c r="AC159" s="1075"/>
      <c r="AD159" s="1075"/>
      <c r="AE159" s="1075"/>
      <c r="AF159" s="1075"/>
      <c r="AG159" s="1075"/>
      <c r="AH159" s="1075"/>
      <c r="AI159" s="1075"/>
      <c r="AJ159" s="1075"/>
      <c r="AK159" s="1075"/>
      <c r="AL159" s="1075"/>
      <c r="AM159" s="1075"/>
      <c r="AN159" s="1075"/>
      <c r="AO159" s="1075"/>
      <c r="AP159" s="1075"/>
      <c r="AQ159" s="1075"/>
      <c r="AR159" s="1075"/>
      <c r="AS159" s="1075"/>
      <c r="AT159" s="1075"/>
      <c r="AU159" s="1075"/>
      <c r="AV159" s="1075"/>
      <c r="AW159" s="1075"/>
      <c r="AX159" s="1075"/>
      <c r="AY159" s="1075"/>
      <c r="AZ159" s="1075"/>
    </row>
    <row r="160" spans="1:52" ht="17.100000000000001" customHeight="1">
      <c r="A160" s="109"/>
      <c r="B160" s="1163"/>
      <c r="C160" s="11"/>
      <c r="D160" s="11"/>
      <c r="E160" s="11"/>
      <c r="F160" s="11"/>
      <c r="G160" s="11"/>
      <c r="H160" s="11"/>
      <c r="I160" s="1145"/>
      <c r="J160" s="1145"/>
      <c r="K160" s="1145"/>
      <c r="L160" s="1145"/>
      <c r="M160" s="1145"/>
      <c r="N160" s="1145"/>
      <c r="O160" s="1145"/>
      <c r="P160" s="1145"/>
      <c r="Q160" s="1145"/>
      <c r="R160" s="1164"/>
      <c r="S160" s="109"/>
      <c r="T160" s="109"/>
      <c r="U160" s="109"/>
      <c r="V160" s="109"/>
      <c r="W160" s="1075"/>
      <c r="X160" s="1075"/>
      <c r="Y160" s="1075"/>
      <c r="Z160" s="1075"/>
      <c r="AA160" s="1075"/>
      <c r="AB160" s="1075"/>
      <c r="AC160" s="1075"/>
      <c r="AD160" s="1075"/>
      <c r="AE160" s="1075"/>
      <c r="AF160" s="1075"/>
      <c r="AG160" s="1075"/>
      <c r="AH160" s="1075"/>
      <c r="AI160" s="1075"/>
      <c r="AJ160" s="1075"/>
      <c r="AK160" s="1075"/>
      <c r="AL160" s="1075"/>
      <c r="AM160" s="1075"/>
      <c r="AN160" s="1075"/>
      <c r="AO160" s="1075"/>
      <c r="AP160" s="1075"/>
      <c r="AQ160" s="1075"/>
      <c r="AR160" s="1075"/>
      <c r="AS160" s="1075"/>
      <c r="AT160" s="1075"/>
      <c r="AU160" s="1075"/>
      <c r="AV160" s="1075"/>
      <c r="AW160" s="1075"/>
      <c r="AX160" s="1075"/>
      <c r="AY160" s="1075"/>
      <c r="AZ160" s="1075"/>
    </row>
    <row r="161" spans="1:52" ht="17.100000000000001" customHeight="1">
      <c r="A161" s="109"/>
      <c r="B161" s="1163"/>
      <c r="C161" s="11"/>
      <c r="D161" s="11"/>
      <c r="E161" s="11"/>
      <c r="F161" s="11"/>
      <c r="G161" s="11"/>
      <c r="H161" s="11"/>
      <c r="I161" s="1145"/>
      <c r="J161" s="1145"/>
      <c r="K161" s="1145"/>
      <c r="L161" s="1145"/>
      <c r="M161" s="1145"/>
      <c r="N161" s="1145"/>
      <c r="O161" s="1145"/>
      <c r="P161" s="1145"/>
      <c r="Q161" s="1145"/>
      <c r="R161" s="1164"/>
      <c r="S161" s="109"/>
      <c r="T161" s="109"/>
      <c r="U161" s="109"/>
      <c r="V161" s="109"/>
      <c r="W161" s="1075"/>
      <c r="X161" s="1075"/>
      <c r="Y161" s="1075"/>
      <c r="Z161" s="1075"/>
      <c r="AA161" s="1075"/>
      <c r="AB161" s="1075"/>
      <c r="AC161" s="1075"/>
      <c r="AD161" s="1075"/>
      <c r="AE161" s="1075"/>
      <c r="AF161" s="1075"/>
      <c r="AG161" s="1075"/>
      <c r="AH161" s="1075"/>
      <c r="AI161" s="1075"/>
      <c r="AJ161" s="1075"/>
      <c r="AK161" s="1075"/>
      <c r="AL161" s="1075"/>
      <c r="AM161" s="1075"/>
      <c r="AN161" s="1075"/>
      <c r="AO161" s="1075"/>
      <c r="AP161" s="1075"/>
      <c r="AQ161" s="1075"/>
      <c r="AR161" s="1075"/>
      <c r="AS161" s="1075"/>
      <c r="AT161" s="1075"/>
      <c r="AU161" s="1075"/>
      <c r="AV161" s="1075"/>
      <c r="AW161" s="1075"/>
      <c r="AX161" s="1075"/>
      <c r="AY161" s="1075"/>
      <c r="AZ161" s="1075"/>
    </row>
    <row r="162" spans="1:52" ht="17.100000000000001" customHeight="1" thickBot="1">
      <c r="A162" s="109"/>
      <c r="B162" s="1165"/>
      <c r="C162" s="1166"/>
      <c r="D162" s="1166"/>
      <c r="E162" s="1166"/>
      <c r="F162" s="1166"/>
      <c r="G162" s="1166"/>
      <c r="H162" s="1166"/>
      <c r="I162" s="1167"/>
      <c r="J162" s="1167"/>
      <c r="K162" s="1167"/>
      <c r="L162" s="1167"/>
      <c r="M162" s="1167"/>
      <c r="N162" s="1167"/>
      <c r="O162" s="1167"/>
      <c r="P162" s="1167"/>
      <c r="Q162" s="1167"/>
      <c r="R162" s="1168"/>
      <c r="S162" s="109"/>
      <c r="T162" s="109"/>
      <c r="U162" s="109"/>
      <c r="V162" s="109"/>
      <c r="W162" s="1075"/>
      <c r="X162" s="1075"/>
      <c r="Y162" s="1075"/>
      <c r="Z162" s="1075"/>
      <c r="AA162" s="1075"/>
      <c r="AB162" s="1075"/>
      <c r="AC162" s="1075"/>
      <c r="AD162" s="1075"/>
      <c r="AE162" s="1075"/>
      <c r="AF162" s="1075"/>
      <c r="AG162" s="1075"/>
      <c r="AH162" s="1075"/>
      <c r="AI162" s="1075"/>
      <c r="AJ162" s="1075"/>
      <c r="AK162" s="1075"/>
      <c r="AL162" s="1075"/>
      <c r="AM162" s="1075"/>
      <c r="AN162" s="1075"/>
      <c r="AO162" s="1075"/>
      <c r="AP162" s="1075"/>
      <c r="AQ162" s="1075"/>
      <c r="AR162" s="1075"/>
      <c r="AS162" s="1075"/>
      <c r="AT162" s="1075"/>
      <c r="AU162" s="1075"/>
      <c r="AV162" s="1075"/>
      <c r="AW162" s="1075"/>
      <c r="AX162" s="1075"/>
      <c r="AY162" s="1075"/>
      <c r="AZ162" s="1075"/>
    </row>
    <row r="163" spans="1:52" ht="17.100000000000001" customHeight="1">
      <c r="A163" s="109"/>
      <c r="B163" s="11"/>
      <c r="C163" s="11"/>
      <c r="D163" s="11"/>
      <c r="E163" s="11"/>
      <c r="F163" s="11"/>
      <c r="G163" s="11"/>
      <c r="H163" s="11"/>
      <c r="I163" s="1145"/>
      <c r="J163" s="1145"/>
      <c r="K163" s="1145"/>
      <c r="L163" s="1145"/>
      <c r="M163" s="1145"/>
      <c r="N163" s="1145"/>
      <c r="O163" s="1145"/>
      <c r="P163" s="1145"/>
      <c r="Q163" s="1145"/>
      <c r="R163" s="1145"/>
      <c r="S163" s="112"/>
      <c r="T163" s="109"/>
      <c r="U163" s="109"/>
      <c r="V163" s="109"/>
      <c r="W163" s="1075"/>
      <c r="X163" s="1075"/>
      <c r="Y163" s="1075"/>
      <c r="Z163" s="1075"/>
      <c r="AA163" s="1075"/>
      <c r="AB163" s="1075"/>
      <c r="AC163" s="1075"/>
      <c r="AD163" s="1075"/>
      <c r="AE163" s="1075"/>
      <c r="AF163" s="1075"/>
      <c r="AG163" s="1075"/>
      <c r="AH163" s="1075"/>
      <c r="AI163" s="1075"/>
      <c r="AJ163" s="1075"/>
      <c r="AK163" s="1075"/>
      <c r="AL163" s="1075"/>
      <c r="AM163" s="1075"/>
      <c r="AN163" s="1075"/>
      <c r="AO163" s="1075"/>
      <c r="AP163" s="1075"/>
      <c r="AQ163" s="1075"/>
      <c r="AR163" s="1075"/>
      <c r="AS163" s="1075"/>
      <c r="AT163" s="1075"/>
      <c r="AU163" s="1075"/>
      <c r="AV163" s="1075"/>
      <c r="AW163" s="1075"/>
      <c r="AX163" s="1075"/>
      <c r="AY163" s="1075"/>
      <c r="AZ163" s="1075"/>
    </row>
    <row r="164" spans="1:52" ht="17.100000000000001" customHeight="1">
      <c r="A164" s="109"/>
      <c r="B164" s="109"/>
      <c r="C164" s="109"/>
      <c r="D164" s="109"/>
      <c r="E164" s="109"/>
      <c r="F164" s="109"/>
      <c r="G164" s="109"/>
      <c r="H164" s="109"/>
      <c r="I164" s="1169"/>
      <c r="J164" s="1169"/>
      <c r="K164" s="1169"/>
      <c r="L164" s="1169"/>
      <c r="M164" s="1169"/>
      <c r="N164" s="1169"/>
      <c r="O164" s="1169"/>
      <c r="P164" s="1169"/>
      <c r="Q164" s="1169"/>
      <c r="R164" s="112"/>
      <c r="S164" s="112"/>
      <c r="T164" s="109"/>
      <c r="U164" s="109"/>
      <c r="V164" s="109"/>
      <c r="W164" s="1075"/>
      <c r="X164" s="1075"/>
      <c r="Y164" s="1075"/>
      <c r="Z164" s="1075"/>
      <c r="AA164" s="1075"/>
      <c r="AB164" s="1075"/>
      <c r="AC164" s="1075"/>
      <c r="AD164" s="1075"/>
      <c r="AE164" s="1075"/>
      <c r="AF164" s="1075"/>
      <c r="AG164" s="1075"/>
      <c r="AH164" s="1075"/>
      <c r="AI164" s="1075"/>
      <c r="AJ164" s="1075"/>
      <c r="AK164" s="1075"/>
      <c r="AL164" s="1075"/>
      <c r="AM164" s="1075"/>
      <c r="AN164" s="1075"/>
      <c r="AO164" s="1075"/>
      <c r="AP164" s="1075"/>
      <c r="AQ164" s="1075"/>
      <c r="AR164" s="1075"/>
      <c r="AS164" s="1075"/>
      <c r="AT164" s="1075"/>
      <c r="AU164" s="1075"/>
      <c r="AV164" s="1075"/>
      <c r="AW164" s="1075"/>
      <c r="AX164" s="1075"/>
      <c r="AY164" s="1075"/>
      <c r="AZ164" s="1075"/>
    </row>
    <row r="165" spans="1:52" ht="17.100000000000001" customHeight="1">
      <c r="A165" s="109"/>
      <c r="B165" s="109"/>
      <c r="C165" s="109"/>
      <c r="D165" s="109"/>
      <c r="E165" s="109"/>
      <c r="F165" s="109"/>
      <c r="G165" s="109"/>
      <c r="H165" s="109"/>
      <c r="I165" s="1169"/>
      <c r="J165" s="1169"/>
      <c r="K165" s="1169"/>
      <c r="L165" s="1169"/>
      <c r="M165" s="1169"/>
      <c r="N165" s="1169"/>
      <c r="O165" s="1169"/>
      <c r="P165" s="1169"/>
      <c r="Q165" s="1169"/>
      <c r="R165" s="112"/>
      <c r="S165" s="112"/>
      <c r="T165" s="109"/>
      <c r="U165" s="109"/>
      <c r="V165" s="109"/>
      <c r="W165" s="1075"/>
      <c r="X165" s="1075"/>
      <c r="Y165" s="1075"/>
      <c r="Z165" s="1075"/>
      <c r="AA165" s="1075"/>
      <c r="AB165" s="1075"/>
      <c r="AC165" s="1075"/>
      <c r="AD165" s="1075"/>
      <c r="AE165" s="1075"/>
      <c r="AF165" s="1075"/>
      <c r="AG165" s="1075"/>
      <c r="AH165" s="1075"/>
      <c r="AI165" s="1075"/>
      <c r="AJ165" s="1075"/>
      <c r="AK165" s="1075"/>
      <c r="AL165" s="1075"/>
      <c r="AM165" s="1075"/>
      <c r="AN165" s="1075"/>
      <c r="AO165" s="1075"/>
      <c r="AP165" s="1075"/>
      <c r="AQ165" s="1075"/>
      <c r="AR165" s="1075"/>
      <c r="AS165" s="1075"/>
      <c r="AT165" s="1075"/>
      <c r="AU165" s="1075"/>
      <c r="AV165" s="1075"/>
      <c r="AW165" s="1075"/>
      <c r="AX165" s="1075"/>
      <c r="AY165" s="1075"/>
      <c r="AZ165" s="1075"/>
    </row>
    <row r="166" spans="1:52" ht="17.100000000000001" customHeight="1">
      <c r="A166" s="1075"/>
      <c r="B166" s="1075"/>
      <c r="C166" s="1075"/>
      <c r="D166" s="1075"/>
      <c r="E166" s="1075"/>
      <c r="F166" s="1075"/>
      <c r="G166" s="1075"/>
      <c r="H166" s="1075"/>
      <c r="I166" s="1075"/>
      <c r="J166" s="1075"/>
      <c r="K166" s="1075"/>
      <c r="L166" s="1075"/>
      <c r="M166" s="1075"/>
      <c r="N166" s="1075"/>
      <c r="O166" s="1075"/>
      <c r="P166" s="1075"/>
      <c r="Q166" s="1075"/>
      <c r="R166" s="1075"/>
      <c r="S166" s="1075"/>
      <c r="T166" s="1075"/>
      <c r="U166" s="1075"/>
      <c r="V166" s="1075"/>
      <c r="W166" s="1075"/>
      <c r="X166" s="1075"/>
      <c r="Y166" s="1075"/>
      <c r="Z166" s="1075"/>
      <c r="AA166" s="1075"/>
      <c r="AB166" s="1075"/>
      <c r="AC166" s="1075"/>
      <c r="AD166" s="1075"/>
      <c r="AE166" s="1075"/>
      <c r="AF166" s="1075"/>
      <c r="AG166" s="1075"/>
      <c r="AH166" s="1075"/>
      <c r="AI166" s="1075"/>
      <c r="AJ166" s="1075"/>
      <c r="AK166" s="1075"/>
      <c r="AL166" s="1075"/>
      <c r="AM166" s="1075"/>
      <c r="AN166" s="1075"/>
      <c r="AO166" s="1075"/>
      <c r="AP166" s="1075"/>
      <c r="AQ166" s="1075"/>
      <c r="AR166" s="1075"/>
      <c r="AS166" s="1075"/>
      <c r="AT166" s="1075"/>
      <c r="AU166" s="1075"/>
      <c r="AV166" s="1075"/>
      <c r="AW166" s="1075"/>
      <c r="AX166" s="1075"/>
      <c r="AY166" s="1075"/>
      <c r="AZ166" s="1075"/>
    </row>
    <row r="167" spans="1:52" ht="17.100000000000001" customHeight="1">
      <c r="A167" s="1075"/>
      <c r="B167" s="1075"/>
      <c r="C167" s="1075"/>
      <c r="D167" s="1075"/>
      <c r="E167" s="1075"/>
      <c r="F167" s="1075"/>
      <c r="G167" s="1075"/>
      <c r="H167" s="1075"/>
      <c r="I167" s="1075"/>
      <c r="J167" s="1075"/>
      <c r="K167" s="1075"/>
      <c r="L167" s="1075"/>
      <c r="M167" s="1075"/>
      <c r="N167" s="1075"/>
      <c r="O167" s="1075"/>
      <c r="P167" s="1075"/>
      <c r="Q167" s="1075"/>
      <c r="R167" s="1075"/>
      <c r="S167" s="1075"/>
      <c r="T167" s="1075"/>
      <c r="U167" s="1075"/>
      <c r="V167" s="1075"/>
      <c r="W167" s="1075"/>
      <c r="X167" s="1075"/>
      <c r="Y167" s="1075"/>
      <c r="Z167" s="1075"/>
      <c r="AA167" s="1075"/>
      <c r="AB167" s="1075"/>
      <c r="AC167" s="1075"/>
      <c r="AD167" s="1075"/>
      <c r="AE167" s="1075"/>
      <c r="AF167" s="1075"/>
      <c r="AG167" s="1075"/>
      <c r="AH167" s="1075"/>
      <c r="AI167" s="1075"/>
      <c r="AJ167" s="1075"/>
      <c r="AK167" s="1075"/>
      <c r="AL167" s="1075"/>
      <c r="AM167" s="1075"/>
      <c r="AN167" s="1075"/>
      <c r="AO167" s="1075"/>
      <c r="AP167" s="1075"/>
      <c r="AQ167" s="1075"/>
      <c r="AR167" s="1075"/>
      <c r="AS167" s="1075"/>
      <c r="AT167" s="1075"/>
      <c r="AU167" s="1075"/>
      <c r="AV167" s="1075"/>
      <c r="AW167" s="1075"/>
      <c r="AX167" s="1075"/>
      <c r="AY167" s="1075"/>
      <c r="AZ167" s="1075"/>
    </row>
    <row r="168" spans="1:52" ht="17.100000000000001" customHeight="1">
      <c r="A168" s="1075"/>
      <c r="B168" s="1075"/>
      <c r="C168" s="1075"/>
      <c r="D168" s="1075"/>
      <c r="E168" s="1075"/>
      <c r="F168" s="1075"/>
      <c r="G168" s="1075"/>
      <c r="H168" s="1075"/>
      <c r="I168" s="1075"/>
      <c r="J168" s="1075"/>
      <c r="K168" s="1075"/>
      <c r="L168" s="1075"/>
      <c r="M168" s="1075"/>
      <c r="N168" s="1075"/>
      <c r="O168" s="1075"/>
      <c r="P168" s="1075"/>
      <c r="Q168" s="1075"/>
      <c r="R168" s="1075"/>
      <c r="S168" s="1075"/>
      <c r="T168" s="1075"/>
      <c r="U168" s="1075"/>
      <c r="V168" s="1075"/>
      <c r="W168" s="1075"/>
      <c r="X168" s="1075"/>
      <c r="Y168" s="1075"/>
      <c r="Z168" s="1075"/>
      <c r="AA168" s="1075"/>
      <c r="AB168" s="1075"/>
      <c r="AC168" s="1075"/>
      <c r="AD168" s="1075"/>
      <c r="AE168" s="1075"/>
      <c r="AF168" s="1075"/>
      <c r="AG168" s="1075"/>
      <c r="AH168" s="1075"/>
      <c r="AI168" s="1075"/>
      <c r="AJ168" s="1075"/>
      <c r="AK168" s="1075"/>
      <c r="AL168" s="1075"/>
      <c r="AM168" s="1075"/>
      <c r="AN168" s="1075"/>
      <c r="AO168" s="1075"/>
      <c r="AP168" s="1075"/>
      <c r="AQ168" s="1075"/>
      <c r="AR168" s="1075"/>
      <c r="AS168" s="1075"/>
      <c r="AT168" s="1075"/>
      <c r="AU168" s="1075"/>
      <c r="AV168" s="1075"/>
      <c r="AW168" s="1075"/>
      <c r="AX168" s="1075"/>
      <c r="AY168" s="1075"/>
      <c r="AZ168" s="1075"/>
    </row>
    <row r="169" spans="1:52" ht="17.100000000000001" customHeight="1">
      <c r="A169" s="1075"/>
      <c r="B169" s="1075"/>
      <c r="C169" s="1075"/>
      <c r="D169" s="1075"/>
      <c r="E169" s="1075"/>
      <c r="F169" s="1075"/>
      <c r="G169" s="1075"/>
      <c r="H169" s="1075"/>
      <c r="I169" s="1075"/>
      <c r="J169" s="1075"/>
      <c r="K169" s="1075"/>
      <c r="L169" s="1075"/>
      <c r="M169" s="1075"/>
      <c r="N169" s="1075"/>
      <c r="O169" s="1075"/>
      <c r="P169" s="1075"/>
      <c r="Q169" s="1075"/>
      <c r="R169" s="1075"/>
      <c r="S169" s="1075"/>
      <c r="T169" s="1075"/>
      <c r="U169" s="1075"/>
      <c r="V169" s="1075"/>
      <c r="W169" s="1075"/>
      <c r="X169" s="1075"/>
      <c r="Y169" s="1075"/>
      <c r="Z169" s="1075"/>
      <c r="AA169" s="1075"/>
      <c r="AB169" s="1075"/>
      <c r="AC169" s="1075"/>
      <c r="AD169" s="1075"/>
      <c r="AE169" s="1075"/>
      <c r="AF169" s="1075"/>
      <c r="AG169" s="1075"/>
      <c r="AH169" s="1075"/>
      <c r="AI169" s="1075"/>
      <c r="AJ169" s="1075"/>
      <c r="AK169" s="1075"/>
      <c r="AL169" s="1075"/>
      <c r="AM169" s="1075"/>
      <c r="AN169" s="1075"/>
      <c r="AO169" s="1075"/>
      <c r="AP169" s="1075"/>
      <c r="AQ169" s="1075"/>
      <c r="AR169" s="1075"/>
      <c r="AS169" s="1075"/>
      <c r="AT169" s="1075"/>
      <c r="AU169" s="1075"/>
      <c r="AV169" s="1075"/>
      <c r="AW169" s="1075"/>
      <c r="AX169" s="1075"/>
      <c r="AY169" s="1075"/>
      <c r="AZ169" s="1075"/>
    </row>
    <row r="170" spans="1:52" ht="17.100000000000001" customHeight="1">
      <c r="A170" s="1075"/>
      <c r="B170" s="1075"/>
      <c r="C170" s="1075"/>
      <c r="D170" s="1075"/>
      <c r="E170" s="1075"/>
      <c r="F170" s="1075"/>
      <c r="G170" s="1075"/>
      <c r="H170" s="1075"/>
      <c r="I170" s="1075"/>
      <c r="J170" s="1075"/>
      <c r="K170" s="1075"/>
      <c r="L170" s="1075"/>
      <c r="M170" s="1075"/>
      <c r="N170" s="1075"/>
      <c r="O170" s="1075"/>
      <c r="P170" s="1075"/>
      <c r="Q170" s="1075"/>
      <c r="R170" s="1075"/>
      <c r="S170" s="1075"/>
      <c r="T170" s="1075"/>
      <c r="U170" s="1075"/>
      <c r="V170" s="1075"/>
      <c r="W170" s="1075"/>
      <c r="X170" s="1075"/>
      <c r="Y170" s="1075"/>
      <c r="Z170" s="1075"/>
      <c r="AA170" s="1075"/>
      <c r="AB170" s="1075"/>
      <c r="AC170" s="1075"/>
      <c r="AD170" s="1075"/>
      <c r="AE170" s="1075"/>
      <c r="AF170" s="1075"/>
      <c r="AG170" s="1075"/>
      <c r="AH170" s="1075"/>
      <c r="AI170" s="1075"/>
      <c r="AJ170" s="1075"/>
      <c r="AK170" s="1075"/>
      <c r="AL170" s="1075"/>
      <c r="AM170" s="1075"/>
      <c r="AN170" s="1075"/>
      <c r="AO170" s="1075"/>
      <c r="AP170" s="1075"/>
      <c r="AQ170" s="1075"/>
      <c r="AR170" s="1075"/>
      <c r="AS170" s="1075"/>
      <c r="AT170" s="1075"/>
      <c r="AU170" s="1075"/>
      <c r="AV170" s="1075"/>
      <c r="AW170" s="1075"/>
      <c r="AX170" s="1075"/>
      <c r="AY170" s="1075"/>
      <c r="AZ170" s="1075"/>
    </row>
    <row r="171" spans="1:52" ht="17.100000000000001" customHeight="1">
      <c r="A171" s="1075"/>
      <c r="B171" s="1075"/>
      <c r="C171" s="1075"/>
      <c r="D171" s="1075"/>
      <c r="E171" s="1075"/>
      <c r="F171" s="1075"/>
      <c r="G171" s="1075"/>
      <c r="H171" s="1075"/>
      <c r="I171" s="1075"/>
      <c r="J171" s="1075"/>
      <c r="K171" s="1075"/>
      <c r="L171" s="1075"/>
      <c r="M171" s="1075"/>
      <c r="N171" s="1075"/>
      <c r="O171" s="1075"/>
      <c r="P171" s="1075"/>
      <c r="Q171" s="1075"/>
      <c r="R171" s="1075"/>
      <c r="S171" s="1075"/>
      <c r="T171" s="1075"/>
      <c r="U171" s="1075"/>
      <c r="V171" s="1075"/>
      <c r="W171" s="1075"/>
      <c r="X171" s="1075"/>
      <c r="Y171" s="1075"/>
      <c r="Z171" s="1075"/>
      <c r="AA171" s="1075"/>
      <c r="AB171" s="1075"/>
      <c r="AC171" s="1075"/>
      <c r="AD171" s="1075"/>
      <c r="AE171" s="1075"/>
      <c r="AF171" s="1075"/>
      <c r="AG171" s="1075"/>
      <c r="AH171" s="1075"/>
      <c r="AI171" s="1075"/>
      <c r="AJ171" s="1075"/>
      <c r="AK171" s="1075"/>
      <c r="AL171" s="1075"/>
      <c r="AM171" s="1075"/>
      <c r="AN171" s="1075"/>
      <c r="AO171" s="1075"/>
      <c r="AP171" s="1075"/>
      <c r="AQ171" s="1075"/>
      <c r="AR171" s="1075"/>
      <c r="AS171" s="1075"/>
      <c r="AT171" s="1075"/>
      <c r="AU171" s="1075"/>
      <c r="AV171" s="1075"/>
      <c r="AW171" s="1075"/>
      <c r="AX171" s="1075"/>
      <c r="AY171" s="1075"/>
      <c r="AZ171" s="1075"/>
    </row>
    <row r="172" spans="1:52" ht="17.100000000000001" customHeight="1">
      <c r="A172" s="1075"/>
      <c r="B172" s="1075"/>
      <c r="C172" s="1075"/>
      <c r="D172" s="1075"/>
      <c r="E172" s="1075"/>
      <c r="F172" s="1075"/>
      <c r="G172" s="1075"/>
      <c r="H172" s="1075"/>
      <c r="I172" s="1075"/>
      <c r="J172" s="1075"/>
      <c r="K172" s="1075"/>
      <c r="L172" s="1075"/>
      <c r="M172" s="1075"/>
      <c r="N172" s="1075"/>
      <c r="O172" s="1075"/>
      <c r="P172" s="1075"/>
      <c r="Q172" s="1075"/>
      <c r="R172" s="1075"/>
      <c r="S172" s="1075"/>
      <c r="T172" s="1075"/>
      <c r="U172" s="1075"/>
      <c r="V172" s="1075"/>
      <c r="W172" s="1075"/>
      <c r="X172" s="1075"/>
      <c r="Y172" s="1075"/>
      <c r="Z172" s="1075"/>
      <c r="AA172" s="1075"/>
      <c r="AB172" s="1075"/>
      <c r="AC172" s="1075"/>
      <c r="AD172" s="1075"/>
      <c r="AE172" s="1075"/>
      <c r="AF172" s="1075"/>
      <c r="AG172" s="1075"/>
      <c r="AH172" s="1075"/>
      <c r="AI172" s="1075"/>
      <c r="AJ172" s="1075"/>
      <c r="AK172" s="1075"/>
      <c r="AL172" s="1075"/>
      <c r="AM172" s="1075"/>
      <c r="AN172" s="1075"/>
      <c r="AO172" s="1075"/>
      <c r="AP172" s="1075"/>
      <c r="AQ172" s="1075"/>
      <c r="AR172" s="1075"/>
      <c r="AS172" s="1075"/>
      <c r="AT172" s="1075"/>
      <c r="AU172" s="1075"/>
      <c r="AV172" s="1075"/>
      <c r="AW172" s="1075"/>
      <c r="AX172" s="1075"/>
      <c r="AY172" s="1075"/>
      <c r="AZ172" s="1075"/>
    </row>
    <row r="173" spans="1:52" ht="17.100000000000001" customHeight="1">
      <c r="A173" s="1075"/>
      <c r="B173" s="1075"/>
      <c r="C173" s="1075"/>
      <c r="D173" s="1075"/>
      <c r="E173" s="1075"/>
      <c r="F173" s="1075"/>
      <c r="G173" s="1075"/>
      <c r="H173" s="1075"/>
      <c r="I173" s="1075"/>
      <c r="J173" s="1075"/>
      <c r="K173" s="1075"/>
      <c r="L173" s="1075"/>
      <c r="M173" s="1075"/>
      <c r="N173" s="1075"/>
      <c r="O173" s="1075"/>
      <c r="P173" s="1075"/>
      <c r="Q173" s="1075"/>
      <c r="R173" s="1075"/>
      <c r="S173" s="1075"/>
      <c r="T173" s="1075"/>
      <c r="U173" s="1075"/>
      <c r="V173" s="1075"/>
      <c r="W173" s="1075"/>
      <c r="X173" s="1075"/>
      <c r="Y173" s="1075"/>
      <c r="Z173" s="1075"/>
      <c r="AA173" s="1075"/>
      <c r="AB173" s="1075"/>
      <c r="AC173" s="1075"/>
      <c r="AD173" s="1075"/>
      <c r="AE173" s="1075"/>
      <c r="AF173" s="1075"/>
      <c r="AG173" s="1075"/>
      <c r="AH173" s="1075"/>
      <c r="AI173" s="1075"/>
      <c r="AJ173" s="1075"/>
      <c r="AK173" s="1075"/>
      <c r="AL173" s="1075"/>
      <c r="AM173" s="1075"/>
      <c r="AN173" s="1075"/>
      <c r="AO173" s="1075"/>
      <c r="AP173" s="1075"/>
      <c r="AQ173" s="1075"/>
      <c r="AR173" s="1075"/>
      <c r="AS173" s="1075"/>
      <c r="AT173" s="1075"/>
      <c r="AU173" s="1075"/>
      <c r="AV173" s="1075"/>
      <c r="AW173" s="1075"/>
      <c r="AX173" s="1075"/>
      <c r="AY173" s="1075"/>
      <c r="AZ173" s="1075"/>
    </row>
    <row r="174" spans="1:52" ht="17.100000000000001" customHeight="1">
      <c r="A174" s="1075"/>
      <c r="B174" s="1075"/>
      <c r="C174" s="1075"/>
      <c r="D174" s="1075"/>
      <c r="E174" s="1075"/>
      <c r="F174" s="1075"/>
      <c r="G174" s="1075"/>
      <c r="H174" s="1075"/>
      <c r="I174" s="1075"/>
      <c r="J174" s="1075"/>
      <c r="K174" s="1075"/>
      <c r="L174" s="1075"/>
      <c r="M174" s="1075"/>
      <c r="N174" s="1075"/>
      <c r="O174" s="1075"/>
      <c r="P174" s="1075"/>
      <c r="Q174" s="1075"/>
      <c r="R174" s="1075"/>
      <c r="S174" s="1075"/>
      <c r="T174" s="1075"/>
      <c r="U174" s="1075"/>
      <c r="V174" s="1075"/>
      <c r="W174" s="1075"/>
      <c r="X174" s="1075"/>
      <c r="Y174" s="1075"/>
      <c r="Z174" s="1075"/>
      <c r="AA174" s="1075"/>
      <c r="AB174" s="1075"/>
      <c r="AC174" s="1075"/>
      <c r="AD174" s="1075"/>
      <c r="AE174" s="1075"/>
      <c r="AF174" s="1075"/>
      <c r="AG174" s="1075"/>
      <c r="AH174" s="1075"/>
      <c r="AI174" s="1075"/>
      <c r="AJ174" s="1075"/>
      <c r="AK174" s="1075"/>
      <c r="AL174" s="1075"/>
      <c r="AM174" s="1075"/>
      <c r="AN174" s="1075"/>
      <c r="AO174" s="1075"/>
      <c r="AP174" s="1075"/>
      <c r="AQ174" s="1075"/>
      <c r="AR174" s="1075"/>
      <c r="AS174" s="1075"/>
      <c r="AT174" s="1075"/>
      <c r="AU174" s="1075"/>
      <c r="AV174" s="1075"/>
      <c r="AW174" s="1075"/>
      <c r="AX174" s="1075"/>
      <c r="AY174" s="1075"/>
      <c r="AZ174" s="1075"/>
    </row>
    <row r="175" spans="1:52" ht="17.100000000000001" customHeight="1">
      <c r="A175" s="1075"/>
      <c r="B175" s="1075"/>
      <c r="C175" s="1075"/>
      <c r="D175" s="1075"/>
      <c r="E175" s="1075"/>
      <c r="F175" s="1075"/>
      <c r="G175" s="1075"/>
      <c r="H175" s="1075"/>
      <c r="I175" s="1075"/>
      <c r="J175" s="1075"/>
      <c r="K175" s="1075"/>
      <c r="L175" s="1075"/>
      <c r="M175" s="1075"/>
      <c r="N175" s="1075"/>
      <c r="O175" s="1075"/>
      <c r="P175" s="1075"/>
      <c r="Q175" s="1075"/>
      <c r="R175" s="1075"/>
      <c r="S175" s="1075"/>
      <c r="T175" s="1075"/>
      <c r="U175" s="1075"/>
      <c r="V175" s="1075"/>
      <c r="W175" s="1075"/>
      <c r="X175" s="1075"/>
      <c r="Y175" s="1075"/>
      <c r="Z175" s="1075"/>
      <c r="AA175" s="1075"/>
      <c r="AB175" s="1075"/>
      <c r="AC175" s="1075"/>
      <c r="AD175" s="1075"/>
      <c r="AE175" s="1075"/>
      <c r="AF175" s="1075"/>
      <c r="AG175" s="1075"/>
      <c r="AH175" s="1075"/>
      <c r="AI175" s="1075"/>
      <c r="AJ175" s="1075"/>
      <c r="AK175" s="1075"/>
      <c r="AL175" s="1075"/>
      <c r="AM175" s="1075"/>
      <c r="AN175" s="1075"/>
      <c r="AO175" s="1075"/>
      <c r="AP175" s="1075"/>
      <c r="AQ175" s="1075"/>
      <c r="AR175" s="1075"/>
      <c r="AS175" s="1075"/>
      <c r="AT175" s="1075"/>
      <c r="AU175" s="1075"/>
      <c r="AV175" s="1075"/>
      <c r="AW175" s="1075"/>
      <c r="AX175" s="1075"/>
      <c r="AY175" s="1075"/>
      <c r="AZ175" s="1075"/>
    </row>
    <row r="176" spans="1:52" ht="17.100000000000001" customHeight="1">
      <c r="A176" s="1075"/>
      <c r="B176" s="1075"/>
      <c r="C176" s="1075"/>
      <c r="D176" s="1075"/>
      <c r="E176" s="1075"/>
      <c r="F176" s="1075"/>
      <c r="G176" s="1075"/>
      <c r="H176" s="1075"/>
      <c r="I176" s="1075"/>
      <c r="J176" s="1075"/>
      <c r="K176" s="1075"/>
      <c r="L176" s="1075"/>
      <c r="M176" s="1075"/>
      <c r="N176" s="1075"/>
      <c r="O176" s="1075"/>
      <c r="P176" s="1075"/>
      <c r="Q176" s="1075"/>
      <c r="R176" s="1075"/>
      <c r="S176" s="1075"/>
      <c r="T176" s="1075"/>
      <c r="U176" s="1075"/>
      <c r="V176" s="1075"/>
      <c r="W176" s="1075"/>
      <c r="X176" s="1075"/>
      <c r="Y176" s="1075"/>
      <c r="Z176" s="1075"/>
      <c r="AA176" s="1075"/>
      <c r="AB176" s="1075"/>
      <c r="AC176" s="1075"/>
      <c r="AD176" s="1075"/>
      <c r="AE176" s="1075"/>
      <c r="AF176" s="1075"/>
      <c r="AG176" s="1075"/>
      <c r="AH176" s="1075"/>
      <c r="AI176" s="1075"/>
      <c r="AJ176" s="1075"/>
      <c r="AK176" s="1075"/>
      <c r="AL176" s="1075"/>
      <c r="AM176" s="1075"/>
      <c r="AN176" s="1075"/>
      <c r="AO176" s="1075"/>
      <c r="AP176" s="1075"/>
      <c r="AQ176" s="1075"/>
      <c r="AR176" s="1075"/>
      <c r="AS176" s="1075"/>
      <c r="AT176" s="1075"/>
      <c r="AU176" s="1075"/>
      <c r="AV176" s="1075"/>
      <c r="AW176" s="1075"/>
      <c r="AX176" s="1075"/>
      <c r="AY176" s="1075"/>
      <c r="AZ176" s="1075"/>
    </row>
    <row r="177" spans="1:52" ht="17.100000000000001" customHeight="1">
      <c r="A177" s="1075"/>
      <c r="B177" s="1075"/>
      <c r="C177" s="1075"/>
      <c r="D177" s="1075"/>
      <c r="E177" s="1075"/>
      <c r="F177" s="1075"/>
      <c r="G177" s="1075"/>
      <c r="H177" s="1075"/>
      <c r="I177" s="1075"/>
      <c r="J177" s="1075"/>
      <c r="K177" s="1075"/>
      <c r="L177" s="1075"/>
      <c r="M177" s="1075"/>
      <c r="N177" s="1075"/>
      <c r="O177" s="1075"/>
      <c r="P177" s="1075"/>
      <c r="Q177" s="1075"/>
      <c r="R177" s="1075"/>
      <c r="S177" s="1075"/>
      <c r="T177" s="1075"/>
      <c r="U177" s="1075"/>
      <c r="V177" s="1075"/>
      <c r="W177" s="1075"/>
      <c r="X177" s="1075"/>
      <c r="Y177" s="1075"/>
      <c r="Z177" s="1075"/>
      <c r="AA177" s="1075"/>
      <c r="AB177" s="1075"/>
      <c r="AC177" s="1075"/>
      <c r="AD177" s="1075"/>
      <c r="AE177" s="1075"/>
      <c r="AF177" s="1075"/>
      <c r="AG177" s="1075"/>
      <c r="AH177" s="1075"/>
      <c r="AI177" s="1075"/>
      <c r="AJ177" s="1075"/>
      <c r="AK177" s="1075"/>
      <c r="AL177" s="1075"/>
      <c r="AM177" s="1075"/>
      <c r="AN177" s="1075"/>
      <c r="AO177" s="1075"/>
      <c r="AP177" s="1075"/>
      <c r="AQ177" s="1075"/>
      <c r="AR177" s="1075"/>
      <c r="AS177" s="1075"/>
      <c r="AT177" s="1075"/>
      <c r="AU177" s="1075"/>
      <c r="AV177" s="1075"/>
      <c r="AW177" s="1075"/>
      <c r="AX177" s="1075"/>
      <c r="AY177" s="1075"/>
      <c r="AZ177" s="1075"/>
    </row>
    <row r="178" spans="1:52" ht="17.100000000000001" customHeight="1">
      <c r="A178" s="1075"/>
      <c r="B178" s="1075"/>
      <c r="C178" s="1075"/>
      <c r="D178" s="1075"/>
      <c r="E178" s="1075"/>
      <c r="F178" s="1075"/>
      <c r="G178" s="1075"/>
      <c r="H178" s="1075"/>
      <c r="I178" s="1075"/>
      <c r="J178" s="1075"/>
      <c r="K178" s="1075"/>
      <c r="L178" s="1075"/>
      <c r="M178" s="1075"/>
      <c r="N178" s="1075"/>
      <c r="O178" s="1075"/>
      <c r="P178" s="1075"/>
      <c r="Q178" s="1075"/>
      <c r="R178" s="1075"/>
      <c r="S178" s="1075"/>
      <c r="T178" s="1075"/>
      <c r="U178" s="1075"/>
      <c r="V178" s="1075"/>
      <c r="W178" s="1075"/>
      <c r="X178" s="1075"/>
      <c r="Y178" s="1075"/>
      <c r="Z178" s="1075"/>
      <c r="AA178" s="1075"/>
      <c r="AB178" s="1075"/>
      <c r="AC178" s="1075"/>
      <c r="AD178" s="1075"/>
      <c r="AE178" s="1075"/>
      <c r="AF178" s="1075"/>
      <c r="AG178" s="1075"/>
      <c r="AH178" s="1075"/>
      <c r="AI178" s="1075"/>
      <c r="AJ178" s="1075"/>
      <c r="AK178" s="1075"/>
      <c r="AL178" s="1075"/>
      <c r="AM178" s="1075"/>
      <c r="AN178" s="1075"/>
      <c r="AO178" s="1075"/>
      <c r="AP178" s="1075"/>
      <c r="AQ178" s="1075"/>
      <c r="AR178" s="1075"/>
      <c r="AS178" s="1075"/>
      <c r="AT178" s="1075"/>
      <c r="AU178" s="1075"/>
      <c r="AV178" s="1075"/>
      <c r="AW178" s="1075"/>
      <c r="AX178" s="1075"/>
      <c r="AY178" s="1075"/>
      <c r="AZ178" s="1075"/>
    </row>
    <row r="179" spans="1:52" ht="17.100000000000001" customHeight="1">
      <c r="A179" s="1075"/>
      <c r="B179" s="1075"/>
      <c r="C179" s="1075"/>
      <c r="D179" s="1075"/>
      <c r="E179" s="1075"/>
      <c r="F179" s="1075"/>
      <c r="G179" s="1075"/>
      <c r="H179" s="1075"/>
      <c r="I179" s="1075"/>
      <c r="J179" s="1075"/>
      <c r="K179" s="1075"/>
      <c r="L179" s="1075"/>
      <c r="M179" s="1075"/>
      <c r="N179" s="1075"/>
      <c r="O179" s="1075"/>
      <c r="P179" s="1075"/>
      <c r="Q179" s="1075"/>
      <c r="R179" s="1075"/>
      <c r="S179" s="1075"/>
      <c r="T179" s="1075"/>
      <c r="U179" s="1075"/>
      <c r="V179" s="1075"/>
      <c r="W179" s="1075"/>
      <c r="X179" s="1075"/>
      <c r="Y179" s="1075"/>
      <c r="Z179" s="1075"/>
      <c r="AA179" s="1075"/>
      <c r="AB179" s="1075"/>
      <c r="AC179" s="1075"/>
      <c r="AD179" s="1075"/>
      <c r="AE179" s="1075"/>
      <c r="AF179" s="1075"/>
      <c r="AG179" s="1075"/>
      <c r="AH179" s="1075"/>
      <c r="AI179" s="1075"/>
      <c r="AJ179" s="1075"/>
      <c r="AK179" s="1075"/>
      <c r="AL179" s="1075"/>
      <c r="AM179" s="1075"/>
      <c r="AN179" s="1075"/>
      <c r="AO179" s="1075"/>
      <c r="AP179" s="1075"/>
      <c r="AQ179" s="1075"/>
      <c r="AR179" s="1075"/>
      <c r="AS179" s="1075"/>
      <c r="AT179" s="1075"/>
      <c r="AU179" s="1075"/>
      <c r="AV179" s="1075"/>
      <c r="AW179" s="1075"/>
      <c r="AX179" s="1075"/>
      <c r="AY179" s="1075"/>
      <c r="AZ179" s="1075"/>
    </row>
    <row r="180" spans="1:52" ht="17.100000000000001" customHeight="1">
      <c r="A180" s="1075"/>
      <c r="B180" s="1075"/>
      <c r="C180" s="1075"/>
      <c r="D180" s="1075"/>
      <c r="E180" s="1075"/>
      <c r="F180" s="1075"/>
      <c r="G180" s="1075"/>
      <c r="H180" s="1075"/>
      <c r="I180" s="1075"/>
      <c r="J180" s="1075"/>
      <c r="K180" s="1075"/>
      <c r="L180" s="1075"/>
      <c r="M180" s="1075"/>
      <c r="N180" s="1075"/>
      <c r="O180" s="1075"/>
      <c r="P180" s="1075"/>
      <c r="Q180" s="1075"/>
      <c r="R180" s="1075"/>
      <c r="S180" s="1075"/>
      <c r="T180" s="1075"/>
      <c r="U180" s="1075"/>
      <c r="V180" s="1075"/>
      <c r="W180" s="1075"/>
      <c r="X180" s="1075"/>
      <c r="Y180" s="1075"/>
      <c r="Z180" s="1075"/>
      <c r="AA180" s="1075"/>
      <c r="AB180" s="1075"/>
      <c r="AC180" s="1075"/>
      <c r="AD180" s="1075"/>
      <c r="AE180" s="1075"/>
      <c r="AF180" s="1075"/>
      <c r="AG180" s="1075"/>
      <c r="AH180" s="1075"/>
      <c r="AI180" s="1075"/>
      <c r="AJ180" s="1075"/>
      <c r="AK180" s="1075"/>
      <c r="AL180" s="1075"/>
      <c r="AM180" s="1075"/>
      <c r="AN180" s="1075"/>
      <c r="AO180" s="1075"/>
      <c r="AP180" s="1075"/>
      <c r="AQ180" s="1075"/>
      <c r="AR180" s="1075"/>
      <c r="AS180" s="1075"/>
      <c r="AT180" s="1075"/>
      <c r="AU180" s="1075"/>
      <c r="AV180" s="1075"/>
      <c r="AW180" s="1075"/>
      <c r="AX180" s="1075"/>
      <c r="AY180" s="1075"/>
      <c r="AZ180" s="1075"/>
    </row>
    <row r="181" spans="1:52" ht="17.100000000000001" customHeight="1">
      <c r="A181" s="1075"/>
      <c r="B181" s="1075"/>
      <c r="C181" s="1075"/>
      <c r="D181" s="1075"/>
      <c r="E181" s="1075"/>
      <c r="F181" s="1075"/>
      <c r="G181" s="1075"/>
      <c r="H181" s="1075"/>
      <c r="I181" s="1075"/>
      <c r="J181" s="1075"/>
      <c r="K181" s="1075"/>
      <c r="L181" s="1075"/>
      <c r="M181" s="1075"/>
      <c r="N181" s="1075"/>
      <c r="O181" s="1075"/>
      <c r="P181" s="1075"/>
      <c r="Q181" s="1075"/>
      <c r="R181" s="1075"/>
      <c r="S181" s="1075"/>
      <c r="T181" s="1075"/>
      <c r="U181" s="1075"/>
      <c r="V181" s="1075"/>
      <c r="W181" s="1075"/>
      <c r="X181" s="1075"/>
      <c r="Y181" s="1075"/>
      <c r="Z181" s="1075"/>
      <c r="AA181" s="1075"/>
      <c r="AB181" s="1075"/>
      <c r="AC181" s="1075"/>
      <c r="AD181" s="1075"/>
      <c r="AE181" s="1075"/>
      <c r="AF181" s="1075"/>
      <c r="AG181" s="1075"/>
      <c r="AH181" s="1075"/>
      <c r="AI181" s="1075"/>
      <c r="AJ181" s="1075"/>
      <c r="AK181" s="1075"/>
      <c r="AL181" s="1075"/>
      <c r="AM181" s="1075"/>
      <c r="AN181" s="1075"/>
      <c r="AO181" s="1075"/>
      <c r="AP181" s="1075"/>
      <c r="AQ181" s="1075"/>
      <c r="AR181" s="1075"/>
      <c r="AS181" s="1075"/>
      <c r="AT181" s="1075"/>
      <c r="AU181" s="1075"/>
      <c r="AV181" s="1075"/>
      <c r="AW181" s="1075"/>
      <c r="AX181" s="1075"/>
      <c r="AY181" s="1075"/>
      <c r="AZ181" s="1075"/>
    </row>
    <row r="182" spans="1:52" ht="17.100000000000001" customHeight="1">
      <c r="A182" s="1075"/>
      <c r="B182" s="1075"/>
      <c r="C182" s="1075"/>
      <c r="D182" s="1075"/>
      <c r="E182" s="1075"/>
      <c r="F182" s="1075"/>
      <c r="G182" s="1075"/>
      <c r="H182" s="1075"/>
      <c r="I182" s="1075"/>
      <c r="J182" s="1075"/>
      <c r="K182" s="1075"/>
      <c r="L182" s="1075"/>
      <c r="M182" s="1075"/>
      <c r="N182" s="1075"/>
      <c r="O182" s="1075"/>
      <c r="P182" s="1075"/>
      <c r="Q182" s="1075"/>
      <c r="R182" s="1075"/>
      <c r="S182" s="1075"/>
      <c r="T182" s="1075"/>
      <c r="U182" s="1075"/>
      <c r="V182" s="1075"/>
      <c r="W182" s="1075"/>
      <c r="X182" s="1075"/>
      <c r="Y182" s="1075"/>
      <c r="Z182" s="1075"/>
      <c r="AA182" s="1075"/>
      <c r="AB182" s="1075"/>
      <c r="AC182" s="1075"/>
      <c r="AD182" s="1075"/>
      <c r="AE182" s="1075"/>
      <c r="AF182" s="1075"/>
      <c r="AG182" s="1075"/>
      <c r="AH182" s="1075"/>
      <c r="AI182" s="1075"/>
      <c r="AJ182" s="1075"/>
      <c r="AK182" s="1075"/>
      <c r="AL182" s="1075"/>
      <c r="AM182" s="1075"/>
      <c r="AN182" s="1075"/>
      <c r="AO182" s="1075"/>
      <c r="AP182" s="1075"/>
      <c r="AQ182" s="1075"/>
      <c r="AR182" s="1075"/>
      <c r="AS182" s="1075"/>
      <c r="AT182" s="1075"/>
      <c r="AU182" s="1075"/>
      <c r="AV182" s="1075"/>
      <c r="AW182" s="1075"/>
      <c r="AX182" s="1075"/>
      <c r="AY182" s="1075"/>
      <c r="AZ182" s="1075"/>
    </row>
    <row r="183" spans="1:52" ht="17.100000000000001" customHeight="1">
      <c r="A183" s="1075"/>
      <c r="B183" s="1075"/>
      <c r="C183" s="1075"/>
      <c r="D183" s="1075"/>
      <c r="E183" s="1075"/>
      <c r="F183" s="1075"/>
      <c r="G183" s="1075"/>
      <c r="H183" s="1075"/>
      <c r="I183" s="1075"/>
      <c r="J183" s="1075"/>
      <c r="K183" s="1075"/>
      <c r="L183" s="1075"/>
      <c r="M183" s="1075"/>
      <c r="N183" s="1075"/>
      <c r="O183" s="1075"/>
      <c r="P183" s="1075"/>
      <c r="Q183" s="1075"/>
      <c r="R183" s="1075"/>
      <c r="S183" s="1075"/>
      <c r="T183" s="1075"/>
      <c r="U183" s="1075"/>
      <c r="V183" s="1075"/>
      <c r="W183" s="1075"/>
      <c r="X183" s="1075"/>
      <c r="Y183" s="1075"/>
      <c r="Z183" s="1075"/>
      <c r="AA183" s="1075"/>
      <c r="AB183" s="1075"/>
      <c r="AC183" s="1075"/>
      <c r="AD183" s="1075"/>
      <c r="AE183" s="1075"/>
      <c r="AF183" s="1075"/>
      <c r="AG183" s="1075"/>
      <c r="AH183" s="1075"/>
      <c r="AI183" s="1075"/>
      <c r="AJ183" s="1075"/>
      <c r="AK183" s="1075"/>
      <c r="AL183" s="1075"/>
      <c r="AM183" s="1075"/>
      <c r="AN183" s="1075"/>
      <c r="AO183" s="1075"/>
      <c r="AP183" s="1075"/>
      <c r="AQ183" s="1075"/>
      <c r="AR183" s="1075"/>
      <c r="AS183" s="1075"/>
      <c r="AT183" s="1075"/>
      <c r="AU183" s="1075"/>
      <c r="AV183" s="1075"/>
      <c r="AW183" s="1075"/>
      <c r="AX183" s="1075"/>
      <c r="AY183" s="1075"/>
      <c r="AZ183" s="1075"/>
    </row>
    <row r="184" spans="1:52" ht="17.100000000000001" customHeight="1">
      <c r="A184" s="1075"/>
      <c r="B184" s="1075"/>
      <c r="C184" s="1075"/>
      <c r="D184" s="1075"/>
      <c r="E184" s="1075"/>
      <c r="F184" s="1075"/>
      <c r="G184" s="1075"/>
      <c r="H184" s="1075"/>
      <c r="I184" s="1075"/>
      <c r="J184" s="1075"/>
      <c r="K184" s="1075"/>
      <c r="L184" s="1075"/>
      <c r="M184" s="1075"/>
      <c r="N184" s="1075"/>
      <c r="O184" s="1075"/>
      <c r="P184" s="1075"/>
      <c r="Q184" s="1075"/>
      <c r="R184" s="1075"/>
      <c r="S184" s="1075"/>
      <c r="T184" s="1075"/>
      <c r="U184" s="1075"/>
      <c r="V184" s="1075"/>
      <c r="W184" s="1075"/>
      <c r="X184" s="1075"/>
      <c r="Y184" s="1075"/>
      <c r="Z184" s="1075"/>
      <c r="AA184" s="1075"/>
      <c r="AB184" s="1075"/>
      <c r="AC184" s="1075"/>
      <c r="AD184" s="1075"/>
      <c r="AE184" s="1075"/>
      <c r="AF184" s="1075"/>
      <c r="AG184" s="1075"/>
      <c r="AH184" s="1075"/>
      <c r="AI184" s="1075"/>
      <c r="AJ184" s="1075"/>
      <c r="AK184" s="1075"/>
      <c r="AL184" s="1075"/>
      <c r="AM184" s="1075"/>
      <c r="AN184" s="1075"/>
      <c r="AO184" s="1075"/>
      <c r="AP184" s="1075"/>
      <c r="AQ184" s="1075"/>
      <c r="AR184" s="1075"/>
      <c r="AS184" s="1075"/>
      <c r="AT184" s="1075"/>
      <c r="AU184" s="1075"/>
      <c r="AV184" s="1075"/>
      <c r="AW184" s="1075"/>
      <c r="AX184" s="1075"/>
      <c r="AY184" s="1075"/>
      <c r="AZ184" s="1075"/>
    </row>
    <row r="185" spans="1:52" ht="17.100000000000001" customHeight="1">
      <c r="A185" s="1075"/>
      <c r="B185" s="1075"/>
      <c r="C185" s="1075"/>
      <c r="D185" s="1075"/>
      <c r="E185" s="1075"/>
      <c r="F185" s="1075"/>
      <c r="G185" s="1075"/>
      <c r="H185" s="1075"/>
      <c r="I185" s="1075"/>
      <c r="J185" s="1075"/>
      <c r="K185" s="1075"/>
      <c r="L185" s="1075"/>
      <c r="M185" s="1075"/>
      <c r="N185" s="1075"/>
      <c r="O185" s="1075"/>
      <c r="P185" s="1075"/>
      <c r="Q185" s="1075"/>
      <c r="R185" s="1075"/>
      <c r="S185" s="1075"/>
      <c r="T185" s="1075"/>
      <c r="U185" s="1075"/>
      <c r="V185" s="1075"/>
      <c r="W185" s="1075"/>
      <c r="X185" s="1075"/>
      <c r="Y185" s="1075"/>
      <c r="Z185" s="1075"/>
      <c r="AA185" s="1075"/>
      <c r="AB185" s="1075"/>
      <c r="AC185" s="1075"/>
      <c r="AD185" s="1075"/>
      <c r="AE185" s="1075"/>
      <c r="AF185" s="1075"/>
      <c r="AG185" s="1075"/>
      <c r="AH185" s="1075"/>
      <c r="AI185" s="1075"/>
      <c r="AJ185" s="1075"/>
      <c r="AK185" s="1075"/>
      <c r="AL185" s="1075"/>
      <c r="AM185" s="1075"/>
      <c r="AN185" s="1075"/>
      <c r="AO185" s="1075"/>
      <c r="AP185" s="1075"/>
      <c r="AQ185" s="1075"/>
      <c r="AR185" s="1075"/>
      <c r="AS185" s="1075"/>
      <c r="AT185" s="1075"/>
      <c r="AU185" s="1075"/>
      <c r="AV185" s="1075"/>
      <c r="AW185" s="1075"/>
      <c r="AX185" s="1075"/>
      <c r="AY185" s="1075"/>
      <c r="AZ185" s="1075"/>
    </row>
    <row r="186" spans="1:52" ht="17.100000000000001" customHeight="1">
      <c r="A186" s="1075"/>
      <c r="B186" s="1075"/>
      <c r="C186" s="1075"/>
      <c r="D186" s="1075"/>
      <c r="E186" s="1075"/>
      <c r="F186" s="1075"/>
      <c r="G186" s="1075"/>
      <c r="H186" s="1075"/>
      <c r="I186" s="1075"/>
      <c r="J186" s="1075"/>
      <c r="K186" s="1075"/>
      <c r="L186" s="1075"/>
      <c r="M186" s="1075"/>
      <c r="N186" s="1075"/>
      <c r="O186" s="1075"/>
      <c r="P186" s="1075"/>
      <c r="Q186" s="1075"/>
      <c r="R186" s="1075"/>
      <c r="S186" s="1075"/>
      <c r="T186" s="1075"/>
      <c r="U186" s="1075"/>
      <c r="V186" s="1075"/>
      <c r="W186" s="1075"/>
      <c r="X186" s="1075"/>
      <c r="Y186" s="1075"/>
      <c r="Z186" s="1075"/>
      <c r="AA186" s="1075"/>
      <c r="AB186" s="1075"/>
      <c r="AC186" s="1075"/>
      <c r="AD186" s="1075"/>
      <c r="AE186" s="1075"/>
      <c r="AF186" s="1075"/>
      <c r="AG186" s="1075"/>
      <c r="AH186" s="1075"/>
      <c r="AI186" s="1075"/>
      <c r="AJ186" s="1075"/>
      <c r="AK186" s="1075"/>
      <c r="AL186" s="1075"/>
      <c r="AM186" s="1075"/>
      <c r="AN186" s="1075"/>
      <c r="AO186" s="1075"/>
      <c r="AP186" s="1075"/>
      <c r="AQ186" s="1075"/>
      <c r="AR186" s="1075"/>
      <c r="AS186" s="1075"/>
      <c r="AT186" s="1075"/>
      <c r="AU186" s="1075"/>
      <c r="AV186" s="1075"/>
      <c r="AW186" s="1075"/>
      <c r="AX186" s="1075"/>
      <c r="AY186" s="1075"/>
      <c r="AZ186" s="1075"/>
    </row>
    <row r="187" spans="1:52" ht="17.100000000000001" customHeight="1">
      <c r="A187" s="1075"/>
      <c r="B187" s="1075"/>
      <c r="C187" s="1075"/>
      <c r="D187" s="1075"/>
      <c r="E187" s="1075"/>
      <c r="F187" s="1075"/>
      <c r="G187" s="1075"/>
      <c r="H187" s="1075"/>
      <c r="I187" s="1075"/>
      <c r="J187" s="1075"/>
      <c r="K187" s="1075"/>
      <c r="L187" s="1075"/>
      <c r="M187" s="1075"/>
      <c r="N187" s="1075"/>
      <c r="O187" s="1075"/>
      <c r="P187" s="1075"/>
      <c r="Q187" s="1075"/>
      <c r="R187" s="1075"/>
      <c r="S187" s="1075"/>
      <c r="T187" s="1075"/>
      <c r="U187" s="1075"/>
      <c r="V187" s="1075"/>
      <c r="W187" s="1075"/>
      <c r="X187" s="1075"/>
      <c r="Y187" s="1075"/>
      <c r="Z187" s="1075"/>
      <c r="AA187" s="1075"/>
      <c r="AB187" s="1075"/>
      <c r="AC187" s="1075"/>
      <c r="AD187" s="1075"/>
      <c r="AE187" s="1075"/>
      <c r="AF187" s="1075"/>
      <c r="AG187" s="1075"/>
      <c r="AH187" s="1075"/>
      <c r="AI187" s="1075"/>
      <c r="AJ187" s="1075"/>
      <c r="AK187" s="1075"/>
      <c r="AL187" s="1075"/>
      <c r="AM187" s="1075"/>
      <c r="AN187" s="1075"/>
      <c r="AO187" s="1075"/>
      <c r="AP187" s="1075"/>
      <c r="AQ187" s="1075"/>
      <c r="AR187" s="1075"/>
      <c r="AS187" s="1075"/>
      <c r="AT187" s="1075"/>
      <c r="AU187" s="1075"/>
      <c r="AV187" s="1075"/>
      <c r="AW187" s="1075"/>
      <c r="AX187" s="1075"/>
      <c r="AY187" s="1075"/>
      <c r="AZ187" s="1075"/>
    </row>
    <row r="188" spans="1:52" ht="17.100000000000001" customHeight="1">
      <c r="A188" s="1075"/>
      <c r="B188" s="1075"/>
      <c r="C188" s="1075"/>
      <c r="D188" s="1075"/>
      <c r="E188" s="1075"/>
      <c r="F188" s="1075"/>
      <c r="G188" s="1075"/>
      <c r="H188" s="1075"/>
      <c r="I188" s="1075"/>
      <c r="J188" s="1075"/>
      <c r="K188" s="1075"/>
      <c r="L188" s="1075"/>
      <c r="M188" s="1075"/>
      <c r="N188" s="1075"/>
      <c r="O188" s="1075"/>
      <c r="P188" s="1075"/>
      <c r="Q188" s="1075"/>
      <c r="R188" s="1075"/>
      <c r="S188" s="1075"/>
      <c r="T188" s="1075"/>
      <c r="U188" s="1075"/>
      <c r="V188" s="1075"/>
      <c r="W188" s="1075"/>
      <c r="X188" s="1075"/>
      <c r="Y188" s="1075"/>
      <c r="Z188" s="1075"/>
      <c r="AA188" s="1075"/>
      <c r="AB188" s="1075"/>
      <c r="AC188" s="1075"/>
      <c r="AD188" s="1075"/>
      <c r="AE188" s="1075"/>
      <c r="AF188" s="1075"/>
      <c r="AG188" s="1075"/>
      <c r="AH188" s="1075"/>
      <c r="AI188" s="1075"/>
      <c r="AJ188" s="1075"/>
      <c r="AK188" s="1075"/>
      <c r="AL188" s="1075"/>
      <c r="AM188" s="1075"/>
      <c r="AN188" s="1075"/>
      <c r="AO188" s="1075"/>
      <c r="AP188" s="1075"/>
      <c r="AQ188" s="1075"/>
      <c r="AR188" s="1075"/>
      <c r="AS188" s="1075"/>
      <c r="AT188" s="1075"/>
      <c r="AU188" s="1075"/>
      <c r="AV188" s="1075"/>
      <c r="AW188" s="1075"/>
      <c r="AX188" s="1075"/>
      <c r="AY188" s="1075"/>
      <c r="AZ188" s="1075"/>
    </row>
    <row r="189" spans="1:52" ht="17.100000000000001" customHeight="1">
      <c r="A189" s="1075"/>
      <c r="B189" s="1075"/>
      <c r="C189" s="1075"/>
      <c r="D189" s="1075"/>
      <c r="E189" s="1075"/>
      <c r="F189" s="1075"/>
      <c r="G189" s="1075"/>
      <c r="H189" s="1075"/>
      <c r="I189" s="1075"/>
      <c r="J189" s="1075"/>
      <c r="K189" s="1075"/>
      <c r="L189" s="1075"/>
      <c r="M189" s="1075"/>
      <c r="N189" s="1075"/>
      <c r="O189" s="1075"/>
      <c r="P189" s="1075"/>
      <c r="Q189" s="1075"/>
      <c r="R189" s="1075"/>
      <c r="S189" s="1075"/>
      <c r="T189" s="1075"/>
      <c r="U189" s="1075"/>
      <c r="V189" s="1075"/>
      <c r="W189" s="1075"/>
      <c r="X189" s="1075"/>
      <c r="Y189" s="1075"/>
      <c r="Z189" s="1075"/>
      <c r="AA189" s="1075"/>
      <c r="AB189" s="1075"/>
      <c r="AC189" s="1075"/>
      <c r="AD189" s="1075"/>
      <c r="AE189" s="1075"/>
      <c r="AF189" s="1075"/>
      <c r="AG189" s="1075"/>
      <c r="AH189" s="1075"/>
      <c r="AI189" s="1075"/>
      <c r="AJ189" s="1075"/>
      <c r="AK189" s="1075"/>
      <c r="AL189" s="1075"/>
      <c r="AM189" s="1075"/>
      <c r="AN189" s="1075"/>
      <c r="AO189" s="1075"/>
      <c r="AP189" s="1075"/>
      <c r="AQ189" s="1075"/>
      <c r="AR189" s="1075"/>
      <c r="AS189" s="1075"/>
      <c r="AT189" s="1075"/>
      <c r="AU189" s="1075"/>
      <c r="AV189" s="1075"/>
      <c r="AW189" s="1075"/>
      <c r="AX189" s="1075"/>
      <c r="AY189" s="1075"/>
      <c r="AZ189" s="1075"/>
    </row>
    <row r="190" spans="1:52" ht="17.100000000000001" customHeight="1">
      <c r="A190" s="1075"/>
      <c r="B190" s="1075"/>
      <c r="C190" s="1075"/>
      <c r="D190" s="1075"/>
      <c r="E190" s="1075"/>
      <c r="F190" s="1075"/>
      <c r="G190" s="1075"/>
      <c r="H190" s="1075"/>
      <c r="I190" s="1075"/>
      <c r="J190" s="1075"/>
      <c r="K190" s="1075"/>
      <c r="L190" s="1075"/>
      <c r="M190" s="1075"/>
      <c r="N190" s="1075"/>
      <c r="O190" s="1075"/>
      <c r="P190" s="1075"/>
      <c r="Q190" s="1075"/>
      <c r="R190" s="1075"/>
      <c r="S190" s="1075"/>
      <c r="T190" s="1075"/>
      <c r="U190" s="1075"/>
      <c r="V190" s="1075"/>
      <c r="W190" s="1075"/>
      <c r="X190" s="1075"/>
      <c r="Y190" s="1075"/>
      <c r="Z190" s="1075"/>
      <c r="AA190" s="1075"/>
      <c r="AB190" s="1075"/>
      <c r="AC190" s="1075"/>
      <c r="AD190" s="1075"/>
      <c r="AE190" s="1075"/>
      <c r="AF190" s="1075"/>
      <c r="AG190" s="1075"/>
      <c r="AH190" s="1075"/>
      <c r="AI190" s="1075"/>
      <c r="AJ190" s="1075"/>
      <c r="AK190" s="1075"/>
      <c r="AL190" s="1075"/>
      <c r="AM190" s="1075"/>
      <c r="AN190" s="1075"/>
      <c r="AO190" s="1075"/>
      <c r="AP190" s="1075"/>
      <c r="AQ190" s="1075"/>
      <c r="AR190" s="1075"/>
      <c r="AS190" s="1075"/>
      <c r="AT190" s="1075"/>
      <c r="AU190" s="1075"/>
      <c r="AV190" s="1075"/>
      <c r="AW190" s="1075"/>
      <c r="AX190" s="1075"/>
      <c r="AY190" s="1075"/>
      <c r="AZ190" s="1075"/>
    </row>
    <row r="191" spans="1:52" ht="17.100000000000001" customHeight="1">
      <c r="A191" s="1075"/>
      <c r="B191" s="1075"/>
      <c r="C191" s="1075"/>
      <c r="D191" s="1075"/>
      <c r="E191" s="1075"/>
      <c r="F191" s="1075"/>
      <c r="G191" s="1075"/>
      <c r="H191" s="1075"/>
      <c r="I191" s="1075"/>
      <c r="J191" s="1075"/>
      <c r="K191" s="1075"/>
      <c r="L191" s="1075"/>
      <c r="M191" s="1075"/>
      <c r="N191" s="1075"/>
      <c r="O191" s="1075"/>
      <c r="P191" s="1075"/>
      <c r="Q191" s="1075"/>
      <c r="R191" s="1075"/>
      <c r="S191" s="1075"/>
      <c r="T191" s="1075"/>
      <c r="U191" s="1075"/>
      <c r="V191" s="1075"/>
      <c r="W191" s="1075"/>
      <c r="X191" s="1075"/>
      <c r="Y191" s="1075"/>
      <c r="Z191" s="1075"/>
      <c r="AA191" s="1075"/>
      <c r="AB191" s="1075"/>
      <c r="AC191" s="1075"/>
      <c r="AD191" s="1075"/>
      <c r="AE191" s="1075"/>
      <c r="AF191" s="1075"/>
      <c r="AG191" s="1075"/>
      <c r="AH191" s="1075"/>
      <c r="AI191" s="1075"/>
      <c r="AJ191" s="1075"/>
      <c r="AK191" s="1075"/>
      <c r="AL191" s="1075"/>
      <c r="AM191" s="1075"/>
      <c r="AN191" s="1075"/>
      <c r="AO191" s="1075"/>
      <c r="AP191" s="1075"/>
      <c r="AQ191" s="1075"/>
      <c r="AR191" s="1075"/>
      <c r="AS191" s="1075"/>
      <c r="AT191" s="1075"/>
      <c r="AU191" s="1075"/>
      <c r="AV191" s="1075"/>
      <c r="AW191" s="1075"/>
      <c r="AX191" s="1075"/>
      <c r="AY191" s="1075"/>
      <c r="AZ191" s="1075"/>
    </row>
    <row r="192" spans="1:52" ht="17.100000000000001" customHeight="1">
      <c r="A192" s="1075"/>
      <c r="B192" s="1075"/>
      <c r="C192" s="1075"/>
      <c r="D192" s="1075"/>
      <c r="E192" s="1075"/>
      <c r="F192" s="1075"/>
      <c r="G192" s="1075"/>
      <c r="H192" s="1075"/>
      <c r="I192" s="1075"/>
      <c r="J192" s="1075"/>
      <c r="K192" s="1075"/>
      <c r="L192" s="1075"/>
      <c r="M192" s="1075"/>
      <c r="N192" s="1075"/>
      <c r="O192" s="1075"/>
      <c r="P192" s="1075"/>
      <c r="Q192" s="1075"/>
      <c r="R192" s="1075"/>
      <c r="S192" s="1075"/>
      <c r="T192" s="1075"/>
      <c r="U192" s="1075"/>
      <c r="V192" s="1075"/>
      <c r="W192" s="1075"/>
      <c r="X192" s="1075"/>
      <c r="Y192" s="1075"/>
      <c r="Z192" s="1075"/>
      <c r="AA192" s="1075"/>
      <c r="AB192" s="1075"/>
      <c r="AC192" s="1075"/>
      <c r="AD192" s="1075"/>
      <c r="AE192" s="1075"/>
      <c r="AF192" s="1075"/>
      <c r="AG192" s="1075"/>
      <c r="AH192" s="1075"/>
      <c r="AI192" s="1075"/>
      <c r="AJ192" s="1075"/>
      <c r="AK192" s="1075"/>
      <c r="AL192" s="1075"/>
      <c r="AM192" s="1075"/>
      <c r="AN192" s="1075"/>
      <c r="AO192" s="1075"/>
      <c r="AP192" s="1075"/>
      <c r="AQ192" s="1075"/>
      <c r="AR192" s="1075"/>
      <c r="AS192" s="1075"/>
      <c r="AT192" s="1075"/>
      <c r="AU192" s="1075"/>
      <c r="AV192" s="1075"/>
      <c r="AW192" s="1075"/>
      <c r="AX192" s="1075"/>
      <c r="AY192" s="1075"/>
      <c r="AZ192" s="1075"/>
    </row>
    <row r="193" spans="1:52" ht="17.100000000000001" customHeight="1">
      <c r="A193" s="1075"/>
      <c r="B193" s="1075"/>
      <c r="C193" s="1075"/>
      <c r="D193" s="1075"/>
      <c r="E193" s="1075"/>
      <c r="F193" s="1075"/>
      <c r="G193" s="1075"/>
      <c r="H193" s="1075"/>
      <c r="I193" s="1075"/>
      <c r="J193" s="1075"/>
      <c r="K193" s="1075"/>
      <c r="L193" s="1075"/>
      <c r="M193" s="1075"/>
      <c r="N193" s="1075"/>
      <c r="O193" s="1075"/>
      <c r="P193" s="1075"/>
      <c r="Q193" s="1075"/>
      <c r="R193" s="1075"/>
      <c r="S193" s="1075"/>
      <c r="T193" s="1075"/>
      <c r="U193" s="1075"/>
      <c r="V193" s="1075"/>
      <c r="W193" s="1075"/>
      <c r="X193" s="1075"/>
      <c r="Y193" s="1075"/>
      <c r="Z193" s="1075"/>
      <c r="AA193" s="1075"/>
      <c r="AB193" s="1075"/>
      <c r="AC193" s="1075"/>
      <c r="AD193" s="1075"/>
      <c r="AE193" s="1075"/>
      <c r="AF193" s="1075"/>
      <c r="AG193" s="1075"/>
      <c r="AH193" s="1075"/>
      <c r="AI193" s="1075"/>
      <c r="AJ193" s="1075"/>
      <c r="AK193" s="1075"/>
      <c r="AL193" s="1075"/>
      <c r="AM193" s="1075"/>
      <c r="AN193" s="1075"/>
      <c r="AO193" s="1075"/>
      <c r="AP193" s="1075"/>
      <c r="AQ193" s="1075"/>
      <c r="AR193" s="1075"/>
      <c r="AS193" s="1075"/>
      <c r="AT193" s="1075"/>
      <c r="AU193" s="1075"/>
      <c r="AV193" s="1075"/>
      <c r="AW193" s="1075"/>
      <c r="AX193" s="1075"/>
      <c r="AY193" s="1075"/>
      <c r="AZ193" s="1075"/>
    </row>
    <row r="194" spans="1:52" ht="17.100000000000001" customHeight="1">
      <c r="A194" s="1075"/>
      <c r="B194" s="1075"/>
      <c r="C194" s="1075"/>
      <c r="D194" s="1075"/>
      <c r="E194" s="1075"/>
      <c r="F194" s="1075"/>
      <c r="G194" s="1075"/>
      <c r="H194" s="1075"/>
      <c r="I194" s="1075"/>
      <c r="J194" s="1075"/>
      <c r="K194" s="1075"/>
      <c r="L194" s="1075"/>
      <c r="M194" s="1075"/>
      <c r="N194" s="1075"/>
      <c r="O194" s="1075"/>
      <c r="P194" s="1075"/>
      <c r="Q194" s="1075"/>
      <c r="R194" s="1075"/>
      <c r="S194" s="1075"/>
      <c r="T194" s="1075"/>
      <c r="U194" s="1075"/>
      <c r="V194" s="1075"/>
      <c r="W194" s="1075"/>
      <c r="X194" s="1075"/>
      <c r="Y194" s="1075"/>
      <c r="Z194" s="1075"/>
      <c r="AA194" s="1075"/>
      <c r="AB194" s="1075"/>
      <c r="AC194" s="1075"/>
      <c r="AD194" s="1075"/>
      <c r="AE194" s="1075"/>
      <c r="AF194" s="1075"/>
      <c r="AG194" s="1075"/>
      <c r="AH194" s="1075"/>
      <c r="AI194" s="1075"/>
      <c r="AJ194" s="1075"/>
      <c r="AK194" s="1075"/>
      <c r="AL194" s="1075"/>
      <c r="AM194" s="1075"/>
      <c r="AN194" s="1075"/>
      <c r="AO194" s="1075"/>
      <c r="AP194" s="1075"/>
      <c r="AQ194" s="1075"/>
      <c r="AR194" s="1075"/>
      <c r="AS194" s="1075"/>
      <c r="AT194" s="1075"/>
      <c r="AU194" s="1075"/>
      <c r="AV194" s="1075"/>
      <c r="AW194" s="1075"/>
      <c r="AX194" s="1075"/>
      <c r="AY194" s="1075"/>
      <c r="AZ194" s="1075"/>
    </row>
    <row r="195" spans="1:52" ht="17.100000000000001" customHeight="1">
      <c r="A195" s="1075"/>
      <c r="B195" s="1075"/>
      <c r="C195" s="1075"/>
      <c r="D195" s="1075"/>
      <c r="E195" s="1075"/>
      <c r="F195" s="1075"/>
      <c r="G195" s="1075"/>
      <c r="H195" s="1075"/>
      <c r="I195" s="1075"/>
      <c r="J195" s="1075"/>
      <c r="K195" s="1075"/>
      <c r="L195" s="1075"/>
      <c r="M195" s="1075"/>
      <c r="N195" s="1075"/>
      <c r="O195" s="1075"/>
      <c r="P195" s="1075"/>
      <c r="Q195" s="1075"/>
      <c r="R195" s="1075"/>
      <c r="S195" s="1075"/>
      <c r="T195" s="1075"/>
      <c r="U195" s="1075"/>
      <c r="V195" s="1075"/>
      <c r="W195" s="1075"/>
      <c r="X195" s="1075"/>
      <c r="Y195" s="1075"/>
      <c r="Z195" s="1075"/>
      <c r="AA195" s="1075"/>
      <c r="AB195" s="1075"/>
      <c r="AC195" s="1075"/>
      <c r="AD195" s="1075"/>
      <c r="AE195" s="1075"/>
      <c r="AF195" s="1075"/>
      <c r="AG195" s="1075"/>
      <c r="AH195" s="1075"/>
      <c r="AI195" s="1075"/>
      <c r="AJ195" s="1075"/>
      <c r="AK195" s="1075"/>
      <c r="AL195" s="1075"/>
      <c r="AM195" s="1075"/>
      <c r="AN195" s="1075"/>
      <c r="AO195" s="1075"/>
      <c r="AP195" s="1075"/>
      <c r="AQ195" s="1075"/>
      <c r="AR195" s="1075"/>
      <c r="AS195" s="1075"/>
      <c r="AT195" s="1075"/>
      <c r="AU195" s="1075"/>
      <c r="AV195" s="1075"/>
      <c r="AW195" s="1075"/>
      <c r="AX195" s="1075"/>
      <c r="AY195" s="1075"/>
      <c r="AZ195" s="1075"/>
    </row>
    <row r="196" spans="1:52" ht="17.100000000000001" customHeight="1">
      <c r="A196" s="1075"/>
      <c r="B196" s="1075"/>
      <c r="C196" s="1075"/>
      <c r="D196" s="1075"/>
      <c r="E196" s="1075"/>
      <c r="F196" s="1075"/>
      <c r="G196" s="1075"/>
      <c r="H196" s="1075"/>
      <c r="I196" s="1075"/>
      <c r="J196" s="1075"/>
      <c r="K196" s="1075"/>
      <c r="L196" s="1075"/>
      <c r="M196" s="1075"/>
      <c r="N196" s="1075"/>
      <c r="O196" s="1075"/>
      <c r="P196" s="1075"/>
      <c r="Q196" s="1075"/>
      <c r="R196" s="1075"/>
      <c r="S196" s="1075"/>
      <c r="T196" s="1075"/>
      <c r="U196" s="1075"/>
      <c r="V196" s="1075"/>
      <c r="W196" s="1075"/>
      <c r="X196" s="1075"/>
      <c r="Y196" s="1075"/>
      <c r="Z196" s="1075"/>
      <c r="AA196" s="1075"/>
      <c r="AB196" s="1075"/>
      <c r="AC196" s="1075"/>
      <c r="AD196" s="1075"/>
      <c r="AE196" s="1075"/>
      <c r="AF196" s="1075"/>
      <c r="AG196" s="1075"/>
      <c r="AH196" s="1075"/>
      <c r="AI196" s="1075"/>
      <c r="AJ196" s="1075"/>
      <c r="AK196" s="1075"/>
      <c r="AL196" s="1075"/>
      <c r="AM196" s="1075"/>
      <c r="AN196" s="1075"/>
      <c r="AO196" s="1075"/>
      <c r="AP196" s="1075"/>
      <c r="AQ196" s="1075"/>
      <c r="AR196" s="1075"/>
      <c r="AS196" s="1075"/>
      <c r="AT196" s="1075"/>
      <c r="AU196" s="1075"/>
      <c r="AV196" s="1075"/>
      <c r="AW196" s="1075"/>
      <c r="AX196" s="1075"/>
      <c r="AY196" s="1075"/>
      <c r="AZ196" s="1075"/>
    </row>
    <row r="197" spans="1:52" ht="17.100000000000001" customHeight="1">
      <c r="A197" s="1075"/>
      <c r="B197" s="1075"/>
      <c r="C197" s="1075"/>
      <c r="D197" s="1075"/>
      <c r="E197" s="1075"/>
      <c r="F197" s="1075"/>
      <c r="G197" s="1075"/>
      <c r="H197" s="1075"/>
      <c r="I197" s="1075"/>
      <c r="J197" s="1075"/>
      <c r="K197" s="1075"/>
      <c r="L197" s="1075"/>
      <c r="M197" s="1075"/>
      <c r="N197" s="1075"/>
      <c r="O197" s="1075"/>
      <c r="P197" s="1075"/>
      <c r="Q197" s="1075"/>
      <c r="R197" s="1075"/>
      <c r="S197" s="1075"/>
      <c r="T197" s="1075"/>
      <c r="U197" s="1075"/>
      <c r="V197" s="1075"/>
      <c r="W197" s="1075"/>
      <c r="X197" s="1075"/>
      <c r="Y197" s="1075"/>
      <c r="Z197" s="1075"/>
      <c r="AA197" s="1075"/>
      <c r="AB197" s="1075"/>
      <c r="AC197" s="1075"/>
      <c r="AD197" s="1075"/>
      <c r="AE197" s="1075"/>
      <c r="AF197" s="1075"/>
      <c r="AG197" s="1075"/>
      <c r="AH197" s="1075"/>
      <c r="AI197" s="1075"/>
      <c r="AJ197" s="1075"/>
      <c r="AK197" s="1075"/>
      <c r="AL197" s="1075"/>
      <c r="AM197" s="1075"/>
      <c r="AN197" s="1075"/>
      <c r="AO197" s="1075"/>
      <c r="AP197" s="1075"/>
      <c r="AQ197" s="1075"/>
      <c r="AR197" s="1075"/>
      <c r="AS197" s="1075"/>
      <c r="AT197" s="1075"/>
      <c r="AU197" s="1075"/>
      <c r="AV197" s="1075"/>
      <c r="AW197" s="1075"/>
      <c r="AX197" s="1075"/>
      <c r="AY197" s="1075"/>
      <c r="AZ197" s="1075"/>
    </row>
    <row r="198" spans="1:52" ht="17.100000000000001" customHeight="1">
      <c r="A198" s="1075"/>
      <c r="B198" s="1075"/>
      <c r="C198" s="1075"/>
      <c r="D198" s="1075"/>
      <c r="E198" s="1075"/>
      <c r="F198" s="1075"/>
      <c r="G198" s="1075"/>
      <c r="H198" s="1075"/>
      <c r="I198" s="1075"/>
      <c r="J198" s="1075"/>
      <c r="K198" s="1075"/>
      <c r="L198" s="1075"/>
      <c r="M198" s="1075"/>
      <c r="N198" s="1075"/>
      <c r="O198" s="1075"/>
      <c r="P198" s="1075"/>
      <c r="Q198" s="1075"/>
      <c r="R198" s="1075"/>
      <c r="S198" s="1075"/>
      <c r="T198" s="1075"/>
      <c r="U198" s="1075"/>
      <c r="V198" s="1075"/>
      <c r="W198" s="1075"/>
      <c r="X198" s="1075"/>
      <c r="Y198" s="1075"/>
      <c r="Z198" s="1075"/>
      <c r="AA198" s="1075"/>
      <c r="AB198" s="1075"/>
      <c r="AC198" s="1075"/>
      <c r="AD198" s="1075"/>
      <c r="AE198" s="1075"/>
      <c r="AF198" s="1075"/>
      <c r="AG198" s="1075"/>
      <c r="AH198" s="1075"/>
      <c r="AI198" s="1075"/>
      <c r="AJ198" s="1075"/>
      <c r="AK198" s="1075"/>
      <c r="AL198" s="1075"/>
      <c r="AM198" s="1075"/>
      <c r="AN198" s="1075"/>
      <c r="AO198" s="1075"/>
      <c r="AP198" s="1075"/>
      <c r="AQ198" s="1075"/>
      <c r="AR198" s="1075"/>
      <c r="AS198" s="1075"/>
      <c r="AT198" s="1075"/>
      <c r="AU198" s="1075"/>
      <c r="AV198" s="1075"/>
      <c r="AW198" s="1075"/>
      <c r="AX198" s="1075"/>
      <c r="AY198" s="1075"/>
      <c r="AZ198" s="1075"/>
    </row>
    <row r="199" spans="1:52" ht="17.100000000000001" customHeight="1">
      <c r="A199" s="1075"/>
      <c r="B199" s="1075"/>
      <c r="C199" s="1075"/>
      <c r="D199" s="1075"/>
      <c r="E199" s="1075"/>
      <c r="F199" s="1075"/>
      <c r="G199" s="1075"/>
      <c r="H199" s="1075"/>
      <c r="I199" s="1075"/>
      <c r="J199" s="1075"/>
      <c r="K199" s="1075"/>
      <c r="L199" s="1075"/>
      <c r="M199" s="1075"/>
      <c r="N199" s="1075"/>
      <c r="O199" s="1075"/>
      <c r="P199" s="1075"/>
      <c r="Q199" s="1075"/>
      <c r="R199" s="1075"/>
      <c r="S199" s="1075"/>
      <c r="T199" s="1075"/>
      <c r="U199" s="1075"/>
      <c r="V199" s="1075"/>
      <c r="W199" s="1075"/>
      <c r="X199" s="1075"/>
      <c r="Y199" s="1075"/>
      <c r="Z199" s="1075"/>
      <c r="AA199" s="1075"/>
      <c r="AB199" s="1075"/>
      <c r="AC199" s="1075"/>
      <c r="AD199" s="1075"/>
      <c r="AE199" s="1075"/>
      <c r="AF199" s="1075"/>
      <c r="AG199" s="1075"/>
      <c r="AH199" s="1075"/>
      <c r="AI199" s="1075"/>
      <c r="AJ199" s="1075"/>
      <c r="AK199" s="1075"/>
      <c r="AL199" s="1075"/>
      <c r="AM199" s="1075"/>
      <c r="AN199" s="1075"/>
      <c r="AO199" s="1075"/>
      <c r="AP199" s="1075"/>
      <c r="AQ199" s="1075"/>
      <c r="AR199" s="1075"/>
      <c r="AS199" s="1075"/>
      <c r="AT199" s="1075"/>
      <c r="AU199" s="1075"/>
      <c r="AV199" s="1075"/>
      <c r="AW199" s="1075"/>
      <c r="AX199" s="1075"/>
      <c r="AY199" s="1075"/>
      <c r="AZ199" s="1075"/>
    </row>
    <row r="200" spans="1:52" ht="17.100000000000001" customHeight="1">
      <c r="A200" s="1075"/>
      <c r="B200" s="1075"/>
      <c r="C200" s="1075"/>
      <c r="D200" s="1075"/>
      <c r="E200" s="1075"/>
      <c r="F200" s="1075"/>
      <c r="G200" s="1075"/>
      <c r="H200" s="1075"/>
      <c r="I200" s="1075"/>
      <c r="J200" s="1075"/>
      <c r="K200" s="1075"/>
      <c r="L200" s="1075"/>
      <c r="M200" s="1075"/>
      <c r="N200" s="1075"/>
      <c r="O200" s="1075"/>
      <c r="P200" s="1075"/>
      <c r="Q200" s="1075"/>
      <c r="R200" s="1075"/>
      <c r="S200" s="1075"/>
      <c r="T200" s="1075"/>
      <c r="U200" s="1075"/>
      <c r="V200" s="1075"/>
      <c r="W200" s="1075"/>
      <c r="X200" s="1075"/>
      <c r="Y200" s="1075"/>
      <c r="Z200" s="1075"/>
      <c r="AA200" s="1075"/>
      <c r="AB200" s="1075"/>
      <c r="AC200" s="1075"/>
      <c r="AD200" s="1075"/>
      <c r="AE200" s="1075"/>
      <c r="AF200" s="1075"/>
      <c r="AG200" s="1075"/>
      <c r="AH200" s="1075"/>
      <c r="AI200" s="1075"/>
      <c r="AJ200" s="1075"/>
      <c r="AK200" s="1075"/>
      <c r="AL200" s="1075"/>
      <c r="AM200" s="1075"/>
      <c r="AN200" s="1075"/>
      <c r="AO200" s="1075"/>
      <c r="AP200" s="1075"/>
      <c r="AQ200" s="1075"/>
      <c r="AR200" s="1075"/>
      <c r="AS200" s="1075"/>
      <c r="AT200" s="1075"/>
      <c r="AU200" s="1075"/>
      <c r="AV200" s="1075"/>
      <c r="AW200" s="1075"/>
      <c r="AX200" s="1075"/>
      <c r="AY200" s="1075"/>
      <c r="AZ200" s="1075"/>
    </row>
    <row r="201" spans="1:52" ht="17.100000000000001" customHeight="1">
      <c r="A201" s="1075"/>
      <c r="B201" s="1075"/>
      <c r="C201" s="1075"/>
      <c r="D201" s="1075"/>
      <c r="E201" s="1075"/>
      <c r="F201" s="1075"/>
      <c r="G201" s="1075"/>
      <c r="H201" s="1075"/>
      <c r="I201" s="1075"/>
      <c r="J201" s="1075"/>
      <c r="K201" s="1075"/>
      <c r="L201" s="1075"/>
      <c r="M201" s="1075"/>
      <c r="N201" s="1075"/>
      <c r="O201" s="1075"/>
      <c r="P201" s="1075"/>
      <c r="Q201" s="1075"/>
      <c r="R201" s="1075"/>
      <c r="S201" s="1075"/>
      <c r="T201" s="1075"/>
      <c r="U201" s="1075"/>
      <c r="V201" s="1075"/>
      <c r="W201" s="1075"/>
      <c r="X201" s="1075"/>
      <c r="Y201" s="1075"/>
      <c r="Z201" s="1075"/>
      <c r="AA201" s="1075"/>
      <c r="AB201" s="1075"/>
      <c r="AC201" s="1075"/>
      <c r="AD201" s="1075"/>
      <c r="AE201" s="1075"/>
      <c r="AF201" s="1075"/>
      <c r="AG201" s="1075"/>
      <c r="AH201" s="1075"/>
      <c r="AI201" s="1075"/>
      <c r="AJ201" s="1075"/>
      <c r="AK201" s="1075"/>
      <c r="AL201" s="1075"/>
      <c r="AM201" s="1075"/>
      <c r="AN201" s="1075"/>
      <c r="AO201" s="1075"/>
      <c r="AP201" s="1075"/>
      <c r="AQ201" s="1075"/>
      <c r="AR201" s="1075"/>
      <c r="AS201" s="1075"/>
      <c r="AT201" s="1075"/>
      <c r="AU201" s="1075"/>
      <c r="AV201" s="1075"/>
      <c r="AW201" s="1075"/>
      <c r="AX201" s="1075"/>
      <c r="AY201" s="1075"/>
      <c r="AZ201" s="1075"/>
    </row>
    <row r="202" spans="1:52" ht="17.100000000000001" customHeight="1">
      <c r="A202" s="1075"/>
      <c r="B202" s="1075"/>
      <c r="C202" s="1075"/>
      <c r="D202" s="1075"/>
      <c r="E202" s="1075"/>
      <c r="F202" s="1075"/>
      <c r="G202" s="1075"/>
      <c r="H202" s="1075"/>
      <c r="I202" s="1075"/>
      <c r="J202" s="1075"/>
      <c r="K202" s="1075"/>
      <c r="L202" s="1075"/>
      <c r="M202" s="1075"/>
      <c r="N202" s="1075"/>
      <c r="O202" s="1075"/>
      <c r="P202" s="1075"/>
      <c r="Q202" s="1075"/>
      <c r="R202" s="1075"/>
      <c r="S202" s="1075"/>
      <c r="T202" s="1075"/>
      <c r="U202" s="1075"/>
      <c r="V202" s="1075"/>
      <c r="W202" s="1075"/>
      <c r="X202" s="1075"/>
      <c r="Y202" s="1075"/>
      <c r="Z202" s="1075"/>
      <c r="AA202" s="1075"/>
      <c r="AB202" s="1075"/>
      <c r="AC202" s="1075"/>
      <c r="AD202" s="1075"/>
      <c r="AE202" s="1075"/>
      <c r="AF202" s="1075"/>
      <c r="AG202" s="1075"/>
      <c r="AH202" s="1075"/>
      <c r="AI202" s="1075"/>
      <c r="AJ202" s="1075"/>
      <c r="AK202" s="1075"/>
      <c r="AL202" s="1075"/>
      <c r="AM202" s="1075"/>
      <c r="AN202" s="1075"/>
      <c r="AO202" s="1075"/>
      <c r="AP202" s="1075"/>
      <c r="AQ202" s="1075"/>
      <c r="AR202" s="1075"/>
      <c r="AS202" s="1075"/>
      <c r="AT202" s="1075"/>
      <c r="AU202" s="1075"/>
      <c r="AV202" s="1075"/>
      <c r="AW202" s="1075"/>
      <c r="AX202" s="1075"/>
      <c r="AY202" s="1075"/>
      <c r="AZ202" s="1075"/>
    </row>
    <row r="203" spans="1:52" ht="17.100000000000001" customHeight="1">
      <c r="A203" s="1075"/>
      <c r="B203" s="1075"/>
      <c r="C203" s="1075"/>
      <c r="D203" s="1075"/>
      <c r="E203" s="1075"/>
      <c r="F203" s="1075"/>
      <c r="G203" s="1075"/>
      <c r="H203" s="1075"/>
      <c r="I203" s="1075"/>
      <c r="J203" s="1075"/>
      <c r="K203" s="1075"/>
      <c r="L203" s="1075"/>
      <c r="M203" s="1075"/>
      <c r="N203" s="1075"/>
      <c r="O203" s="1075"/>
      <c r="P203" s="1075"/>
      <c r="Q203" s="1075"/>
      <c r="R203" s="1075"/>
      <c r="S203" s="1075"/>
      <c r="T203" s="1075"/>
      <c r="U203" s="1075"/>
      <c r="V203" s="1075"/>
      <c r="W203" s="1075"/>
      <c r="X203" s="1075"/>
      <c r="Y203" s="1075"/>
      <c r="Z203" s="1075"/>
      <c r="AA203" s="1075"/>
      <c r="AB203" s="1075"/>
      <c r="AC203" s="1075"/>
      <c r="AD203" s="1075"/>
      <c r="AE203" s="1075"/>
      <c r="AF203" s="1075"/>
      <c r="AG203" s="1075"/>
      <c r="AH203" s="1075"/>
      <c r="AI203" s="1075"/>
      <c r="AJ203" s="1075"/>
      <c r="AK203" s="1075"/>
      <c r="AL203" s="1075"/>
      <c r="AM203" s="1075"/>
      <c r="AN203" s="1075"/>
      <c r="AO203" s="1075"/>
      <c r="AP203" s="1075"/>
      <c r="AQ203" s="1075"/>
      <c r="AR203" s="1075"/>
      <c r="AS203" s="1075"/>
      <c r="AT203" s="1075"/>
      <c r="AU203" s="1075"/>
      <c r="AV203" s="1075"/>
      <c r="AW203" s="1075"/>
      <c r="AX203" s="1075"/>
      <c r="AY203" s="1075"/>
      <c r="AZ203" s="1075"/>
    </row>
    <row r="204" spans="1:52" ht="17.100000000000001" customHeight="1">
      <c r="A204" s="1075"/>
      <c r="B204" s="1075"/>
      <c r="C204" s="1075"/>
      <c r="D204" s="1075"/>
      <c r="E204" s="1075"/>
      <c r="F204" s="1075"/>
      <c r="G204" s="1075"/>
      <c r="H204" s="1075"/>
      <c r="I204" s="1075"/>
      <c r="J204" s="1075"/>
      <c r="K204" s="1075"/>
      <c r="L204" s="1075"/>
      <c r="M204" s="1075"/>
      <c r="N204" s="1075"/>
      <c r="O204" s="1075"/>
      <c r="P204" s="1075"/>
      <c r="Q204" s="1075"/>
      <c r="R204" s="1075"/>
      <c r="S204" s="1075"/>
      <c r="T204" s="1075"/>
      <c r="U204" s="1075"/>
      <c r="V204" s="1075"/>
      <c r="W204" s="1075"/>
      <c r="X204" s="1075"/>
      <c r="Y204" s="1075"/>
      <c r="Z204" s="1075"/>
      <c r="AA204" s="1075"/>
      <c r="AB204" s="1075"/>
      <c r="AC204" s="1075"/>
      <c r="AD204" s="1075"/>
      <c r="AE204" s="1075"/>
      <c r="AF204" s="1075"/>
      <c r="AG204" s="1075"/>
      <c r="AH204" s="1075"/>
      <c r="AI204" s="1075"/>
      <c r="AJ204" s="1075"/>
      <c r="AK204" s="1075"/>
      <c r="AL204" s="1075"/>
      <c r="AM204" s="1075"/>
      <c r="AN204" s="1075"/>
      <c r="AO204" s="1075"/>
      <c r="AP204" s="1075"/>
      <c r="AQ204" s="1075"/>
      <c r="AR204" s="1075"/>
      <c r="AS204" s="1075"/>
      <c r="AT204" s="1075"/>
      <c r="AU204" s="1075"/>
      <c r="AV204" s="1075"/>
      <c r="AW204" s="1075"/>
      <c r="AX204" s="1075"/>
      <c r="AY204" s="1075"/>
      <c r="AZ204" s="1075"/>
    </row>
    <row r="205" spans="1:52" ht="17.100000000000001" customHeight="1">
      <c r="A205" s="1075"/>
      <c r="B205" s="1075"/>
      <c r="C205" s="1075"/>
      <c r="D205" s="1075"/>
      <c r="E205" s="1075"/>
      <c r="F205" s="1075"/>
      <c r="G205" s="1075"/>
      <c r="H205" s="1075"/>
      <c r="I205" s="1075"/>
      <c r="J205" s="1075"/>
      <c r="K205" s="1075"/>
      <c r="L205" s="1075"/>
      <c r="M205" s="1075"/>
      <c r="N205" s="1075"/>
      <c r="O205" s="1075"/>
      <c r="P205" s="1075"/>
      <c r="Q205" s="1075"/>
      <c r="R205" s="1075"/>
      <c r="S205" s="1075"/>
      <c r="T205" s="1075"/>
      <c r="U205" s="1075"/>
      <c r="V205" s="1075"/>
      <c r="W205" s="1075"/>
      <c r="X205" s="1075"/>
      <c r="Y205" s="1075"/>
      <c r="Z205" s="1075"/>
      <c r="AA205" s="1075"/>
      <c r="AB205" s="1075"/>
      <c r="AC205" s="1075"/>
      <c r="AD205" s="1075"/>
      <c r="AE205" s="1075"/>
      <c r="AF205" s="1075"/>
      <c r="AG205" s="1075"/>
      <c r="AH205" s="1075"/>
      <c r="AI205" s="1075"/>
      <c r="AJ205" s="1075"/>
      <c r="AK205" s="1075"/>
      <c r="AL205" s="1075"/>
      <c r="AM205" s="1075"/>
      <c r="AN205" s="1075"/>
      <c r="AO205" s="1075"/>
      <c r="AP205" s="1075"/>
      <c r="AQ205" s="1075"/>
      <c r="AR205" s="1075"/>
      <c r="AS205" s="1075"/>
      <c r="AT205" s="1075"/>
      <c r="AU205" s="1075"/>
      <c r="AV205" s="1075"/>
      <c r="AW205" s="1075"/>
      <c r="AX205" s="1075"/>
      <c r="AY205" s="1075"/>
      <c r="AZ205" s="1075"/>
    </row>
    <row r="206" spans="1:52" ht="17.100000000000001" customHeight="1">
      <c r="A206" s="1075"/>
      <c r="B206" s="1075"/>
      <c r="C206" s="1075"/>
      <c r="D206" s="1075"/>
      <c r="E206" s="1075"/>
      <c r="F206" s="1075"/>
      <c r="G206" s="1075"/>
      <c r="H206" s="1075"/>
      <c r="I206" s="1075"/>
      <c r="J206" s="1075"/>
      <c r="K206" s="1075"/>
      <c r="L206" s="1075"/>
      <c r="M206" s="1075"/>
      <c r="N206" s="1075"/>
      <c r="O206" s="1075"/>
      <c r="P206" s="1075"/>
      <c r="Q206" s="1075"/>
      <c r="R206" s="1075"/>
      <c r="S206" s="1075"/>
      <c r="T206" s="1075"/>
      <c r="U206" s="1075"/>
      <c r="V206" s="1075"/>
      <c r="W206" s="1075"/>
      <c r="X206" s="1075"/>
      <c r="Y206" s="1075"/>
      <c r="Z206" s="1075"/>
      <c r="AA206" s="1075"/>
      <c r="AB206" s="1075"/>
      <c r="AC206" s="1075"/>
      <c r="AD206" s="1075"/>
      <c r="AE206" s="1075"/>
      <c r="AF206" s="1075"/>
      <c r="AG206" s="1075"/>
      <c r="AH206" s="1075"/>
      <c r="AI206" s="1075"/>
      <c r="AJ206" s="1075"/>
      <c r="AK206" s="1075"/>
      <c r="AL206" s="1075"/>
      <c r="AM206" s="1075"/>
      <c r="AN206" s="1075"/>
      <c r="AO206" s="1075"/>
      <c r="AP206" s="1075"/>
      <c r="AQ206" s="1075"/>
      <c r="AR206" s="1075"/>
      <c r="AS206" s="1075"/>
      <c r="AT206" s="1075"/>
      <c r="AU206" s="1075"/>
      <c r="AV206" s="1075"/>
      <c r="AW206" s="1075"/>
      <c r="AX206" s="1075"/>
      <c r="AY206" s="1075"/>
      <c r="AZ206" s="1075"/>
    </row>
    <row r="207" spans="1:52" ht="17.100000000000001" customHeight="1">
      <c r="A207" s="1075"/>
      <c r="B207" s="1075"/>
      <c r="C207" s="1075"/>
      <c r="D207" s="1075"/>
      <c r="E207" s="1075"/>
      <c r="F207" s="1075"/>
      <c r="G207" s="1075"/>
      <c r="H207" s="1075"/>
      <c r="I207" s="1075"/>
      <c r="J207" s="1075"/>
      <c r="K207" s="1075"/>
      <c r="L207" s="1075"/>
      <c r="M207" s="1075"/>
      <c r="N207" s="1075"/>
      <c r="O207" s="1075"/>
      <c r="P207" s="1075"/>
      <c r="Q207" s="1075"/>
      <c r="R207" s="1075"/>
      <c r="S207" s="1075"/>
      <c r="T207" s="1075"/>
      <c r="U207" s="1075"/>
      <c r="V207" s="1075"/>
      <c r="W207" s="1075"/>
      <c r="X207" s="1075"/>
      <c r="Y207" s="1075"/>
      <c r="Z207" s="1075"/>
      <c r="AA207" s="1075"/>
      <c r="AB207" s="1075"/>
      <c r="AC207" s="1075"/>
      <c r="AD207" s="1075"/>
      <c r="AE207" s="1075"/>
      <c r="AF207" s="1075"/>
      <c r="AG207" s="1075"/>
      <c r="AH207" s="1075"/>
      <c r="AI207" s="1075"/>
      <c r="AJ207" s="1075"/>
      <c r="AK207" s="1075"/>
      <c r="AL207" s="1075"/>
      <c r="AM207" s="1075"/>
      <c r="AN207" s="1075"/>
      <c r="AO207" s="1075"/>
      <c r="AP207" s="1075"/>
      <c r="AQ207" s="1075"/>
      <c r="AR207" s="1075"/>
      <c r="AS207" s="1075"/>
      <c r="AT207" s="1075"/>
      <c r="AU207" s="1075"/>
      <c r="AV207" s="1075"/>
      <c r="AW207" s="1075"/>
      <c r="AX207" s="1075"/>
      <c r="AY207" s="1075"/>
      <c r="AZ207" s="1075"/>
    </row>
    <row r="208" spans="1:52" ht="17.100000000000001" customHeight="1">
      <c r="A208" s="1075"/>
      <c r="B208" s="1075"/>
      <c r="C208" s="1075"/>
      <c r="D208" s="1075"/>
      <c r="E208" s="1075"/>
      <c r="F208" s="1075"/>
      <c r="G208" s="1075"/>
      <c r="H208" s="1075"/>
      <c r="I208" s="1075"/>
      <c r="J208" s="1075"/>
      <c r="K208" s="1075"/>
      <c r="L208" s="1075"/>
      <c r="M208" s="1075"/>
      <c r="N208" s="1075"/>
      <c r="O208" s="1075"/>
      <c r="P208" s="1075"/>
      <c r="Q208" s="1075"/>
      <c r="R208" s="1075"/>
      <c r="S208" s="1075"/>
      <c r="T208" s="1075"/>
      <c r="U208" s="1075"/>
      <c r="V208" s="1075"/>
      <c r="W208" s="1075"/>
      <c r="X208" s="1075"/>
      <c r="Y208" s="1075"/>
      <c r="Z208" s="1075"/>
      <c r="AA208" s="1075"/>
      <c r="AB208" s="1075"/>
      <c r="AC208" s="1075"/>
      <c r="AD208" s="1075"/>
      <c r="AE208" s="1075"/>
      <c r="AF208" s="1075"/>
      <c r="AG208" s="1075"/>
      <c r="AH208" s="1075"/>
      <c r="AI208" s="1075"/>
      <c r="AJ208" s="1075"/>
      <c r="AK208" s="1075"/>
      <c r="AL208" s="1075"/>
      <c r="AM208" s="1075"/>
      <c r="AN208" s="1075"/>
      <c r="AO208" s="1075"/>
      <c r="AP208" s="1075"/>
      <c r="AQ208" s="1075"/>
      <c r="AR208" s="1075"/>
      <c r="AS208" s="1075"/>
      <c r="AT208" s="1075"/>
      <c r="AU208" s="1075"/>
      <c r="AV208" s="1075"/>
      <c r="AW208" s="1075"/>
      <c r="AX208" s="1075"/>
      <c r="AY208" s="1075"/>
      <c r="AZ208" s="1075"/>
    </row>
    <row r="209" spans="1:52" ht="17.100000000000001" customHeight="1">
      <c r="A209" s="1075"/>
      <c r="B209" s="1075"/>
      <c r="C209" s="1075"/>
      <c r="D209" s="1075"/>
      <c r="E209" s="1075"/>
      <c r="F209" s="1075"/>
      <c r="G209" s="1075"/>
      <c r="H209" s="1075"/>
      <c r="I209" s="1075"/>
      <c r="J209" s="1075"/>
      <c r="K209" s="1075"/>
      <c r="L209" s="1075"/>
      <c r="M209" s="1075"/>
      <c r="N209" s="1075"/>
      <c r="O209" s="1075"/>
      <c r="P209" s="1075"/>
      <c r="Q209" s="1075"/>
      <c r="R209" s="1075"/>
      <c r="S209" s="1075"/>
      <c r="T209" s="1075"/>
      <c r="U209" s="1075"/>
      <c r="V209" s="1075"/>
      <c r="W209" s="1075"/>
      <c r="X209" s="1075"/>
      <c r="Y209" s="1075"/>
      <c r="Z209" s="1075"/>
      <c r="AA209" s="1075"/>
      <c r="AB209" s="1075"/>
      <c r="AC209" s="1075"/>
      <c r="AD209" s="1075"/>
      <c r="AE209" s="1075"/>
      <c r="AF209" s="1075"/>
      <c r="AG209" s="1075"/>
      <c r="AH209" s="1075"/>
      <c r="AI209" s="1075"/>
      <c r="AJ209" s="1075"/>
      <c r="AK209" s="1075"/>
      <c r="AL209" s="1075"/>
      <c r="AM209" s="1075"/>
      <c r="AN209" s="1075"/>
      <c r="AO209" s="1075"/>
      <c r="AP209" s="1075"/>
      <c r="AQ209" s="1075"/>
      <c r="AR209" s="1075"/>
      <c r="AS209" s="1075"/>
      <c r="AT209" s="1075"/>
      <c r="AU209" s="1075"/>
      <c r="AV209" s="1075"/>
      <c r="AW209" s="1075"/>
      <c r="AX209" s="1075"/>
      <c r="AY209" s="1075"/>
      <c r="AZ209" s="1075"/>
    </row>
    <row r="210" spans="1:52" ht="17.100000000000001" customHeight="1">
      <c r="A210" s="1075"/>
      <c r="B210" s="1075"/>
      <c r="C210" s="1075"/>
      <c r="D210" s="1075"/>
      <c r="E210" s="1075"/>
      <c r="F210" s="1075"/>
      <c r="G210" s="1075"/>
      <c r="H210" s="1075"/>
      <c r="I210" s="1075"/>
      <c r="J210" s="1075"/>
      <c r="K210" s="1075"/>
      <c r="L210" s="1075"/>
      <c r="M210" s="1075"/>
      <c r="N210" s="1075"/>
      <c r="O210" s="1075"/>
      <c r="P210" s="1075"/>
      <c r="Q210" s="1075"/>
      <c r="R210" s="1075"/>
      <c r="S210" s="1075"/>
      <c r="T210" s="1075"/>
      <c r="U210" s="1075"/>
      <c r="V210" s="1075"/>
      <c r="W210" s="1075"/>
      <c r="X210" s="1075"/>
      <c r="Y210" s="1075"/>
      <c r="Z210" s="1075"/>
      <c r="AA210" s="1075"/>
      <c r="AB210" s="1075"/>
      <c r="AC210" s="1075"/>
      <c r="AD210" s="1075"/>
      <c r="AE210" s="1075"/>
      <c r="AF210" s="1075"/>
      <c r="AG210" s="1075"/>
      <c r="AH210" s="1075"/>
      <c r="AI210" s="1075"/>
      <c r="AJ210" s="1075"/>
      <c r="AK210" s="1075"/>
      <c r="AL210" s="1075"/>
      <c r="AM210" s="1075"/>
      <c r="AN210" s="1075"/>
      <c r="AO210" s="1075"/>
      <c r="AP210" s="1075"/>
      <c r="AQ210" s="1075"/>
      <c r="AR210" s="1075"/>
      <c r="AS210" s="1075"/>
      <c r="AT210" s="1075"/>
      <c r="AU210" s="1075"/>
      <c r="AV210" s="1075"/>
      <c r="AW210" s="1075"/>
      <c r="AX210" s="1075"/>
      <c r="AY210" s="1075"/>
      <c r="AZ210" s="1075"/>
    </row>
    <row r="211" spans="1:52" ht="17.100000000000001" customHeight="1">
      <c r="A211" s="1075"/>
      <c r="B211" s="1075"/>
      <c r="C211" s="1075"/>
      <c r="D211" s="1075"/>
      <c r="E211" s="1075"/>
      <c r="F211" s="1075"/>
      <c r="G211" s="1075"/>
      <c r="H211" s="1075"/>
      <c r="I211" s="1075"/>
      <c r="J211" s="1075"/>
      <c r="K211" s="1075"/>
      <c r="L211" s="1075"/>
      <c r="M211" s="1075"/>
      <c r="N211" s="1075"/>
      <c r="O211" s="1075"/>
      <c r="P211" s="1075"/>
      <c r="Q211" s="1075"/>
      <c r="R211" s="1075"/>
      <c r="S211" s="1075"/>
      <c r="T211" s="1075"/>
      <c r="U211" s="1075"/>
      <c r="V211" s="1075"/>
      <c r="W211" s="1075"/>
      <c r="X211" s="1075"/>
      <c r="Y211" s="1075"/>
      <c r="Z211" s="1075"/>
      <c r="AA211" s="1075"/>
      <c r="AB211" s="1075"/>
      <c r="AC211" s="1075"/>
      <c r="AD211" s="1075"/>
      <c r="AE211" s="1075"/>
      <c r="AF211" s="1075"/>
      <c r="AG211" s="1075"/>
      <c r="AH211" s="1075"/>
      <c r="AI211" s="1075"/>
      <c r="AJ211" s="1075"/>
      <c r="AK211" s="1075"/>
      <c r="AL211" s="1075"/>
      <c r="AM211" s="1075"/>
      <c r="AN211" s="1075"/>
      <c r="AO211" s="1075"/>
      <c r="AP211" s="1075"/>
      <c r="AQ211" s="1075"/>
      <c r="AR211" s="1075"/>
      <c r="AS211" s="1075"/>
      <c r="AT211" s="1075"/>
      <c r="AU211" s="1075"/>
      <c r="AV211" s="1075"/>
      <c r="AW211" s="1075"/>
      <c r="AX211" s="1075"/>
      <c r="AY211" s="1075"/>
      <c r="AZ211" s="1075"/>
    </row>
    <row r="212" spans="1:52" ht="17.100000000000001" customHeight="1">
      <c r="A212" s="1075"/>
      <c r="B212" s="1075"/>
      <c r="C212" s="1075"/>
      <c r="D212" s="1075"/>
      <c r="E212" s="1075"/>
      <c r="F212" s="1075"/>
      <c r="G212" s="1075"/>
      <c r="H212" s="1075"/>
      <c r="I212" s="1075"/>
      <c r="J212" s="1075"/>
      <c r="K212" s="1075"/>
      <c r="L212" s="1075"/>
      <c r="M212" s="1075"/>
      <c r="N212" s="1075"/>
      <c r="O212" s="1075"/>
      <c r="P212" s="1075"/>
      <c r="Q212" s="1075"/>
      <c r="R212" s="1075"/>
      <c r="S212" s="1075"/>
      <c r="T212" s="1075"/>
      <c r="U212" s="1075"/>
      <c r="V212" s="1075"/>
      <c r="W212" s="1075"/>
      <c r="X212" s="1075"/>
      <c r="Y212" s="1075"/>
      <c r="Z212" s="1075"/>
      <c r="AA212" s="1075"/>
      <c r="AB212" s="1075"/>
      <c r="AC212" s="1075"/>
      <c r="AD212" s="1075"/>
      <c r="AE212" s="1075"/>
      <c r="AF212" s="1075"/>
      <c r="AG212" s="1075"/>
      <c r="AH212" s="1075"/>
      <c r="AI212" s="1075"/>
      <c r="AJ212" s="1075"/>
      <c r="AK212" s="1075"/>
      <c r="AL212" s="1075"/>
      <c r="AM212" s="1075"/>
      <c r="AN212" s="1075"/>
      <c r="AO212" s="1075"/>
      <c r="AP212" s="1075"/>
      <c r="AQ212" s="1075"/>
      <c r="AR212" s="1075"/>
      <c r="AS212" s="1075"/>
      <c r="AT212" s="1075"/>
      <c r="AU212" s="1075"/>
      <c r="AV212" s="1075"/>
      <c r="AW212" s="1075"/>
      <c r="AX212" s="1075"/>
      <c r="AY212" s="1075"/>
      <c r="AZ212" s="1075"/>
    </row>
    <row r="213" spans="1:52" ht="17.100000000000001" customHeight="1">
      <c r="A213" s="1075"/>
      <c r="B213" s="1075"/>
      <c r="C213" s="1075"/>
      <c r="D213" s="1075"/>
      <c r="E213" s="1075"/>
      <c r="F213" s="1075"/>
      <c r="G213" s="1075"/>
      <c r="H213" s="1075"/>
      <c r="I213" s="1075"/>
      <c r="J213" s="1075"/>
      <c r="K213" s="1075"/>
      <c r="L213" s="1075"/>
      <c r="M213" s="1075"/>
      <c r="N213" s="1075"/>
      <c r="O213" s="1075"/>
      <c r="P213" s="1075"/>
      <c r="Q213" s="1075"/>
      <c r="R213" s="1075"/>
      <c r="S213" s="1075"/>
      <c r="T213" s="1075"/>
      <c r="U213" s="1075"/>
      <c r="V213" s="1075"/>
      <c r="W213" s="1075"/>
      <c r="X213" s="1075"/>
      <c r="Y213" s="1075"/>
      <c r="Z213" s="1075"/>
      <c r="AA213" s="1075"/>
      <c r="AB213" s="1075"/>
      <c r="AC213" s="1075"/>
      <c r="AD213" s="1075"/>
      <c r="AE213" s="1075"/>
      <c r="AF213" s="1075"/>
      <c r="AG213" s="1075"/>
      <c r="AH213" s="1075"/>
      <c r="AI213" s="1075"/>
      <c r="AJ213" s="1075"/>
      <c r="AK213" s="1075"/>
      <c r="AL213" s="1075"/>
      <c r="AM213" s="1075"/>
      <c r="AN213" s="1075"/>
      <c r="AO213" s="1075"/>
      <c r="AP213" s="1075"/>
      <c r="AQ213" s="1075"/>
      <c r="AR213" s="1075"/>
      <c r="AS213" s="1075"/>
      <c r="AT213" s="1075"/>
      <c r="AU213" s="1075"/>
      <c r="AV213" s="1075"/>
      <c r="AW213" s="1075"/>
      <c r="AX213" s="1075"/>
      <c r="AY213" s="1075"/>
      <c r="AZ213" s="1075"/>
    </row>
    <row r="214" spans="1:52" ht="17.100000000000001" customHeight="1">
      <c r="A214" s="1075"/>
      <c r="B214" s="1075"/>
      <c r="C214" s="1075"/>
      <c r="D214" s="1075"/>
      <c r="E214" s="1075"/>
      <c r="F214" s="1075"/>
      <c r="G214" s="1075"/>
      <c r="H214" s="1075"/>
      <c r="I214" s="1075"/>
      <c r="J214" s="1075"/>
      <c r="K214" s="1075"/>
      <c r="L214" s="1075"/>
      <c r="M214" s="1075"/>
      <c r="N214" s="1075"/>
      <c r="O214" s="1075"/>
      <c r="P214" s="1075"/>
      <c r="Q214" s="1075"/>
      <c r="R214" s="1075"/>
      <c r="S214" s="1075"/>
      <c r="T214" s="1075"/>
      <c r="U214" s="1075"/>
      <c r="V214" s="1075"/>
      <c r="W214" s="1075"/>
      <c r="X214" s="1075"/>
      <c r="Y214" s="1075"/>
      <c r="Z214" s="1075"/>
      <c r="AA214" s="1075"/>
      <c r="AB214" s="1075"/>
      <c r="AC214" s="1075"/>
      <c r="AD214" s="1075"/>
      <c r="AE214" s="1075"/>
      <c r="AF214" s="1075"/>
      <c r="AG214" s="1075"/>
      <c r="AH214" s="1075"/>
      <c r="AI214" s="1075"/>
      <c r="AJ214" s="1075"/>
      <c r="AK214" s="1075"/>
      <c r="AL214" s="1075"/>
      <c r="AM214" s="1075"/>
      <c r="AN214" s="1075"/>
      <c r="AO214" s="1075"/>
      <c r="AP214" s="1075"/>
      <c r="AQ214" s="1075"/>
      <c r="AR214" s="1075"/>
      <c r="AS214" s="1075"/>
      <c r="AT214" s="1075"/>
      <c r="AU214" s="1075"/>
      <c r="AV214" s="1075"/>
      <c r="AW214" s="1075"/>
      <c r="AX214" s="1075"/>
      <c r="AY214" s="1075"/>
      <c r="AZ214" s="1075"/>
    </row>
    <row r="215" spans="1:52" ht="17.100000000000001" customHeight="1">
      <c r="A215" s="1075"/>
      <c r="B215" s="1075"/>
      <c r="C215" s="1075"/>
      <c r="D215" s="1075"/>
      <c r="E215" s="1075"/>
      <c r="F215" s="1075"/>
      <c r="G215" s="1075"/>
      <c r="H215" s="1075"/>
      <c r="I215" s="1075"/>
      <c r="J215" s="1075"/>
      <c r="K215" s="1075"/>
      <c r="L215" s="1075"/>
      <c r="M215" s="1075"/>
      <c r="N215" s="1075"/>
      <c r="O215" s="1075"/>
      <c r="P215" s="1075"/>
      <c r="Q215" s="1075"/>
      <c r="R215" s="1075"/>
      <c r="S215" s="1075"/>
      <c r="T215" s="1075"/>
      <c r="U215" s="1075"/>
      <c r="V215" s="1075"/>
      <c r="W215" s="1075"/>
      <c r="X215" s="1075"/>
      <c r="Y215" s="1075"/>
      <c r="Z215" s="1075"/>
      <c r="AA215" s="1075"/>
      <c r="AB215" s="1075"/>
      <c r="AC215" s="1075"/>
      <c r="AD215" s="1075"/>
      <c r="AE215" s="1075"/>
      <c r="AF215" s="1075"/>
      <c r="AG215" s="1075"/>
      <c r="AH215" s="1075"/>
      <c r="AI215" s="1075"/>
      <c r="AJ215" s="1075"/>
      <c r="AK215" s="1075"/>
      <c r="AL215" s="1075"/>
      <c r="AM215" s="1075"/>
      <c r="AN215" s="1075"/>
      <c r="AO215" s="1075"/>
      <c r="AP215" s="1075"/>
      <c r="AQ215" s="1075"/>
      <c r="AR215" s="1075"/>
      <c r="AS215" s="1075"/>
      <c r="AT215" s="1075"/>
      <c r="AU215" s="1075"/>
      <c r="AV215" s="1075"/>
      <c r="AW215" s="1075"/>
      <c r="AX215" s="1075"/>
      <c r="AY215" s="1075"/>
      <c r="AZ215" s="1075"/>
    </row>
    <row r="216" spans="1:52" ht="17.100000000000001" customHeight="1">
      <c r="A216" s="1075"/>
      <c r="B216" s="1075"/>
      <c r="C216" s="1075"/>
      <c r="D216" s="1075"/>
      <c r="E216" s="1075"/>
      <c r="F216" s="1075"/>
      <c r="G216" s="1075"/>
      <c r="H216" s="1075"/>
      <c r="I216" s="1075"/>
      <c r="J216" s="1075"/>
      <c r="K216" s="1075"/>
      <c r="L216" s="1075"/>
      <c r="M216" s="1075"/>
      <c r="N216" s="1075"/>
      <c r="O216" s="1075"/>
      <c r="P216" s="1075"/>
      <c r="Q216" s="1075"/>
      <c r="R216" s="1075"/>
      <c r="S216" s="1075"/>
      <c r="T216" s="1075"/>
      <c r="U216" s="1075"/>
      <c r="V216" s="1075"/>
      <c r="W216" s="1075"/>
      <c r="X216" s="1075"/>
      <c r="Y216" s="1075"/>
      <c r="Z216" s="1075"/>
      <c r="AA216" s="1075"/>
      <c r="AB216" s="1075"/>
      <c r="AC216" s="1075"/>
      <c r="AD216" s="1075"/>
      <c r="AE216" s="1075"/>
      <c r="AF216" s="1075"/>
      <c r="AG216" s="1075"/>
      <c r="AH216" s="1075"/>
      <c r="AI216" s="1075"/>
      <c r="AJ216" s="1075"/>
      <c r="AK216" s="1075"/>
      <c r="AL216" s="1075"/>
      <c r="AM216" s="1075"/>
      <c r="AN216" s="1075"/>
      <c r="AO216" s="1075"/>
      <c r="AP216" s="1075"/>
      <c r="AQ216" s="1075"/>
      <c r="AR216" s="1075"/>
      <c r="AS216" s="1075"/>
      <c r="AT216" s="1075"/>
      <c r="AU216" s="1075"/>
      <c r="AV216" s="1075"/>
      <c r="AW216" s="1075"/>
      <c r="AX216" s="1075"/>
      <c r="AY216" s="1075"/>
      <c r="AZ216" s="1075"/>
    </row>
    <row r="217" spans="1:52" ht="17.100000000000001" customHeight="1">
      <c r="A217" s="1075"/>
      <c r="B217" s="1075"/>
      <c r="C217" s="1075"/>
      <c r="D217" s="1075"/>
      <c r="E217" s="1075"/>
      <c r="F217" s="1075"/>
      <c r="G217" s="1075"/>
      <c r="H217" s="1075"/>
      <c r="I217" s="1075"/>
      <c r="J217" s="1075"/>
      <c r="K217" s="1075"/>
      <c r="L217" s="1075"/>
      <c r="M217" s="1075"/>
      <c r="N217" s="1075"/>
      <c r="O217" s="1075"/>
      <c r="P217" s="1075"/>
      <c r="Q217" s="1075"/>
      <c r="R217" s="1075"/>
      <c r="S217" s="1075"/>
      <c r="T217" s="1075"/>
      <c r="U217" s="1075"/>
      <c r="V217" s="1075"/>
      <c r="W217" s="1075"/>
      <c r="X217" s="1075"/>
      <c r="Y217" s="1075"/>
      <c r="Z217" s="1075"/>
      <c r="AA217" s="1075"/>
      <c r="AB217" s="1075"/>
      <c r="AC217" s="1075"/>
      <c r="AD217" s="1075"/>
      <c r="AE217" s="1075"/>
      <c r="AF217" s="1075"/>
      <c r="AG217" s="1075"/>
      <c r="AH217" s="1075"/>
      <c r="AI217" s="1075"/>
      <c r="AJ217" s="1075"/>
      <c r="AK217" s="1075"/>
      <c r="AL217" s="1075"/>
      <c r="AM217" s="1075"/>
      <c r="AN217" s="1075"/>
      <c r="AO217" s="1075"/>
      <c r="AP217" s="1075"/>
      <c r="AQ217" s="1075"/>
      <c r="AR217" s="1075"/>
      <c r="AS217" s="1075"/>
      <c r="AT217" s="1075"/>
      <c r="AU217" s="1075"/>
      <c r="AV217" s="1075"/>
      <c r="AW217" s="1075"/>
      <c r="AX217" s="1075"/>
      <c r="AY217" s="1075"/>
      <c r="AZ217" s="1075"/>
    </row>
    <row r="218" spans="1:52" ht="17.100000000000001" customHeight="1">
      <c r="A218" s="1075"/>
      <c r="B218" s="1075"/>
      <c r="C218" s="1075"/>
      <c r="D218" s="1075"/>
      <c r="E218" s="1075"/>
      <c r="F218" s="1075"/>
      <c r="G218" s="1075"/>
      <c r="H218" s="1075"/>
      <c r="I218" s="1075"/>
      <c r="J218" s="1075"/>
      <c r="K218" s="1075"/>
      <c r="L218" s="1075"/>
      <c r="M218" s="1075"/>
      <c r="N218" s="1075"/>
      <c r="O218" s="1075"/>
      <c r="P218" s="1075"/>
      <c r="Q218" s="1075"/>
      <c r="R218" s="1075"/>
      <c r="S218" s="1075"/>
      <c r="T218" s="1075"/>
      <c r="U218" s="1075"/>
      <c r="V218" s="1075"/>
      <c r="W218" s="1075"/>
      <c r="X218" s="1075"/>
      <c r="Y218" s="1075"/>
      <c r="Z218" s="1075"/>
      <c r="AA218" s="1075"/>
      <c r="AB218" s="1075"/>
      <c r="AC218" s="1075"/>
      <c r="AD218" s="1075"/>
      <c r="AE218" s="1075"/>
      <c r="AF218" s="1075"/>
      <c r="AG218" s="1075"/>
      <c r="AH218" s="1075"/>
      <c r="AI218" s="1075"/>
      <c r="AJ218" s="1075"/>
      <c r="AK218" s="1075"/>
      <c r="AL218" s="1075"/>
      <c r="AM218" s="1075"/>
      <c r="AN218" s="1075"/>
      <c r="AO218" s="1075"/>
      <c r="AP218" s="1075"/>
      <c r="AQ218" s="1075"/>
      <c r="AR218" s="1075"/>
      <c r="AS218" s="1075"/>
      <c r="AT218" s="1075"/>
      <c r="AU218" s="1075"/>
      <c r="AV218" s="1075"/>
      <c r="AW218" s="1075"/>
      <c r="AX218" s="1075"/>
      <c r="AY218" s="1075"/>
      <c r="AZ218" s="1075"/>
    </row>
    <row r="219" spans="1:52" ht="17.100000000000001" customHeight="1">
      <c r="A219" s="1075"/>
      <c r="B219" s="1075"/>
      <c r="C219" s="1075"/>
      <c r="D219" s="1075"/>
      <c r="E219" s="1075"/>
      <c r="F219" s="1075"/>
      <c r="G219" s="1075"/>
      <c r="H219" s="1075"/>
      <c r="I219" s="1075"/>
      <c r="J219" s="1075"/>
      <c r="K219" s="1075"/>
      <c r="L219" s="1075"/>
      <c r="M219" s="1075"/>
      <c r="N219" s="1075"/>
      <c r="O219" s="1075"/>
      <c r="P219" s="1075"/>
      <c r="Q219" s="1075"/>
      <c r="R219" s="1075"/>
      <c r="S219" s="1075"/>
      <c r="T219" s="1075"/>
      <c r="U219" s="1075"/>
      <c r="V219" s="1075"/>
      <c r="W219" s="1075"/>
      <c r="X219" s="1075"/>
      <c r="Y219" s="1075"/>
      <c r="Z219" s="1075"/>
      <c r="AA219" s="1075"/>
      <c r="AB219" s="1075"/>
      <c r="AC219" s="1075"/>
      <c r="AD219" s="1075"/>
      <c r="AE219" s="1075"/>
      <c r="AF219" s="1075"/>
      <c r="AG219" s="1075"/>
      <c r="AH219" s="1075"/>
      <c r="AI219" s="1075"/>
      <c r="AJ219" s="1075"/>
      <c r="AK219" s="1075"/>
      <c r="AL219" s="1075"/>
      <c r="AM219" s="1075"/>
      <c r="AN219" s="1075"/>
      <c r="AO219" s="1075"/>
      <c r="AP219" s="1075"/>
      <c r="AQ219" s="1075"/>
      <c r="AR219" s="1075"/>
      <c r="AS219" s="1075"/>
      <c r="AT219" s="1075"/>
      <c r="AU219" s="1075"/>
      <c r="AV219" s="1075"/>
      <c r="AW219" s="1075"/>
      <c r="AX219" s="1075"/>
      <c r="AY219" s="1075"/>
      <c r="AZ219" s="1075"/>
    </row>
    <row r="220" spans="1:52" ht="17.100000000000001" customHeight="1">
      <c r="A220" s="1075"/>
      <c r="B220" s="1075"/>
      <c r="C220" s="1075"/>
      <c r="D220" s="1075"/>
      <c r="E220" s="1075"/>
      <c r="F220" s="1075"/>
      <c r="G220" s="1075"/>
      <c r="H220" s="1075"/>
      <c r="I220" s="1075"/>
      <c r="J220" s="1075"/>
      <c r="K220" s="1075"/>
      <c r="L220" s="1075"/>
      <c r="M220" s="1075"/>
      <c r="N220" s="1075"/>
      <c r="O220" s="1075"/>
      <c r="P220" s="1075"/>
      <c r="Q220" s="1075"/>
      <c r="R220" s="1075"/>
      <c r="S220" s="1075"/>
      <c r="T220" s="1075"/>
      <c r="U220" s="1075"/>
      <c r="V220" s="1075"/>
      <c r="W220" s="1075"/>
      <c r="X220" s="1075"/>
      <c r="Y220" s="1075"/>
      <c r="Z220" s="1075"/>
      <c r="AA220" s="1075"/>
      <c r="AB220" s="1075"/>
      <c r="AC220" s="1075"/>
      <c r="AD220" s="1075"/>
      <c r="AE220" s="1075"/>
      <c r="AF220" s="1075"/>
      <c r="AG220" s="1075"/>
      <c r="AH220" s="1075"/>
      <c r="AI220" s="1075"/>
      <c r="AJ220" s="1075"/>
      <c r="AK220" s="1075"/>
      <c r="AL220" s="1075"/>
      <c r="AM220" s="1075"/>
      <c r="AN220" s="1075"/>
      <c r="AO220" s="1075"/>
      <c r="AP220" s="1075"/>
      <c r="AQ220" s="1075"/>
      <c r="AR220" s="1075"/>
      <c r="AS220" s="1075"/>
      <c r="AT220" s="1075"/>
      <c r="AU220" s="1075"/>
      <c r="AV220" s="1075"/>
      <c r="AW220" s="1075"/>
      <c r="AX220" s="1075"/>
      <c r="AY220" s="1075"/>
      <c r="AZ220" s="1075"/>
    </row>
    <row r="221" spans="1:52" ht="17.100000000000001" customHeight="1">
      <c r="A221" s="1075"/>
      <c r="B221" s="1075"/>
      <c r="C221" s="1075"/>
      <c r="D221" s="1075"/>
      <c r="E221" s="1075"/>
      <c r="F221" s="1075"/>
      <c r="G221" s="1075"/>
      <c r="H221" s="1075"/>
      <c r="I221" s="1075"/>
      <c r="J221" s="1075"/>
      <c r="K221" s="1075"/>
      <c r="L221" s="1075"/>
      <c r="M221" s="1075"/>
      <c r="N221" s="1075"/>
      <c r="O221" s="1075"/>
      <c r="P221" s="1075"/>
      <c r="Q221" s="1075"/>
      <c r="R221" s="1075"/>
      <c r="S221" s="1075"/>
      <c r="T221" s="1075"/>
      <c r="U221" s="1075"/>
      <c r="V221" s="1075"/>
      <c r="W221" s="1075"/>
      <c r="X221" s="1075"/>
      <c r="Y221" s="1075"/>
      <c r="Z221" s="1075"/>
      <c r="AA221" s="1075"/>
      <c r="AB221" s="1075"/>
      <c r="AC221" s="1075"/>
      <c r="AD221" s="1075"/>
      <c r="AE221" s="1075"/>
      <c r="AF221" s="1075"/>
      <c r="AG221" s="1075"/>
      <c r="AH221" s="1075"/>
      <c r="AI221" s="1075"/>
      <c r="AJ221" s="1075"/>
      <c r="AK221" s="1075"/>
      <c r="AL221" s="1075"/>
      <c r="AM221" s="1075"/>
      <c r="AN221" s="1075"/>
      <c r="AO221" s="1075"/>
      <c r="AP221" s="1075"/>
      <c r="AQ221" s="1075"/>
      <c r="AR221" s="1075"/>
      <c r="AS221" s="1075"/>
      <c r="AT221" s="1075"/>
      <c r="AU221" s="1075"/>
      <c r="AV221" s="1075"/>
      <c r="AW221" s="1075"/>
      <c r="AX221" s="1075"/>
      <c r="AY221" s="1075"/>
      <c r="AZ221" s="1075"/>
    </row>
    <row r="222" spans="1:52" ht="17.100000000000001" customHeight="1">
      <c r="A222" s="1075"/>
      <c r="B222" s="1075"/>
      <c r="C222" s="1075"/>
      <c r="D222" s="1075"/>
      <c r="E222" s="1075"/>
      <c r="F222" s="1075"/>
      <c r="G222" s="1075"/>
      <c r="H222" s="1075"/>
      <c r="I222" s="1075"/>
      <c r="J222" s="1075"/>
      <c r="K222" s="1075"/>
      <c r="L222" s="1075"/>
      <c r="M222" s="1075"/>
      <c r="N222" s="1075"/>
      <c r="O222" s="1075"/>
      <c r="P222" s="1075"/>
      <c r="Q222" s="1075"/>
      <c r="R222" s="1075"/>
      <c r="S222" s="1075"/>
      <c r="T222" s="1075"/>
      <c r="U222" s="1075"/>
      <c r="V222" s="1075"/>
      <c r="W222" s="1075"/>
      <c r="X222" s="1075"/>
      <c r="Y222" s="1075"/>
      <c r="Z222" s="1075"/>
      <c r="AA222" s="1075"/>
      <c r="AB222" s="1075"/>
      <c r="AC222" s="1075"/>
      <c r="AD222" s="1075"/>
      <c r="AE222" s="1075"/>
      <c r="AF222" s="1075"/>
      <c r="AG222" s="1075"/>
      <c r="AH222" s="1075"/>
      <c r="AI222" s="1075"/>
      <c r="AJ222" s="1075"/>
      <c r="AK222" s="1075"/>
      <c r="AL222" s="1075"/>
      <c r="AM222" s="1075"/>
      <c r="AN222" s="1075"/>
      <c r="AO222" s="1075"/>
      <c r="AP222" s="1075"/>
      <c r="AQ222" s="1075"/>
      <c r="AR222" s="1075"/>
      <c r="AS222" s="1075"/>
      <c r="AT222" s="1075"/>
      <c r="AU222" s="1075"/>
      <c r="AV222" s="1075"/>
      <c r="AW222" s="1075"/>
      <c r="AX222" s="1075"/>
      <c r="AY222" s="1075"/>
      <c r="AZ222" s="1075"/>
    </row>
    <row r="223" spans="1:52" ht="17.100000000000001" customHeight="1">
      <c r="A223" s="1075"/>
      <c r="B223" s="1075"/>
      <c r="C223" s="1075"/>
      <c r="D223" s="1075"/>
      <c r="E223" s="1075"/>
      <c r="F223" s="1075"/>
      <c r="G223" s="1075"/>
      <c r="H223" s="1075"/>
      <c r="I223" s="1075"/>
      <c r="J223" s="1075"/>
      <c r="K223" s="1075"/>
      <c r="L223" s="1075"/>
      <c r="M223" s="1075"/>
      <c r="N223" s="1075"/>
      <c r="O223" s="1075"/>
      <c r="P223" s="1075"/>
      <c r="Q223" s="1075"/>
      <c r="R223" s="1075"/>
      <c r="S223" s="1075"/>
      <c r="T223" s="1075"/>
      <c r="U223" s="1075"/>
      <c r="V223" s="1075"/>
      <c r="W223" s="1075"/>
      <c r="X223" s="1075"/>
      <c r="Y223" s="1075"/>
      <c r="Z223" s="1075"/>
      <c r="AA223" s="1075"/>
      <c r="AB223" s="1075"/>
      <c r="AC223" s="1075"/>
      <c r="AD223" s="1075"/>
      <c r="AE223" s="1075"/>
      <c r="AF223" s="1075"/>
      <c r="AG223" s="1075"/>
      <c r="AH223" s="1075"/>
      <c r="AI223" s="1075"/>
      <c r="AJ223" s="1075"/>
      <c r="AK223" s="1075"/>
      <c r="AL223" s="1075"/>
      <c r="AM223" s="1075"/>
      <c r="AN223" s="1075"/>
      <c r="AO223" s="1075"/>
      <c r="AP223" s="1075"/>
      <c r="AQ223" s="1075"/>
      <c r="AR223" s="1075"/>
      <c r="AS223" s="1075"/>
      <c r="AT223" s="1075"/>
      <c r="AU223" s="1075"/>
      <c r="AV223" s="1075"/>
      <c r="AW223" s="1075"/>
      <c r="AX223" s="1075"/>
      <c r="AY223" s="1075"/>
      <c r="AZ223" s="1075"/>
    </row>
    <row r="224" spans="1:52" ht="17.100000000000001" customHeight="1">
      <c r="A224" s="1075"/>
      <c r="B224" s="1075"/>
      <c r="C224" s="1075"/>
      <c r="D224" s="1075"/>
      <c r="E224" s="1075"/>
      <c r="F224" s="1075"/>
      <c r="G224" s="1075"/>
      <c r="H224" s="1075"/>
      <c r="I224" s="1075"/>
      <c r="J224" s="1075"/>
      <c r="K224" s="1075"/>
      <c r="L224" s="1075"/>
      <c r="M224" s="1075"/>
      <c r="N224" s="1075"/>
      <c r="O224" s="1075"/>
      <c r="P224" s="1075"/>
      <c r="Q224" s="1075"/>
      <c r="R224" s="1075"/>
      <c r="S224" s="1075"/>
      <c r="T224" s="1075"/>
      <c r="U224" s="1075"/>
      <c r="V224" s="1075"/>
      <c r="W224" s="1075"/>
      <c r="X224" s="1075"/>
      <c r="Y224" s="1075"/>
      <c r="Z224" s="1075"/>
      <c r="AA224" s="1075"/>
      <c r="AB224" s="1075"/>
      <c r="AC224" s="1075"/>
      <c r="AD224" s="1075"/>
      <c r="AE224" s="1075"/>
      <c r="AF224" s="1075"/>
      <c r="AG224" s="1075"/>
      <c r="AH224" s="1075"/>
      <c r="AI224" s="1075"/>
      <c r="AJ224" s="1075"/>
      <c r="AK224" s="1075"/>
      <c r="AL224" s="1075"/>
      <c r="AM224" s="1075"/>
      <c r="AN224" s="1075"/>
      <c r="AO224" s="1075"/>
      <c r="AP224" s="1075"/>
      <c r="AQ224" s="1075"/>
      <c r="AR224" s="1075"/>
      <c r="AS224" s="1075"/>
      <c r="AT224" s="1075"/>
      <c r="AU224" s="1075"/>
      <c r="AV224" s="1075"/>
      <c r="AW224" s="1075"/>
      <c r="AX224" s="1075"/>
      <c r="AY224" s="1075"/>
      <c r="AZ224" s="1075"/>
    </row>
    <row r="225" spans="1:52" ht="17.100000000000001" customHeight="1">
      <c r="A225" s="1075"/>
      <c r="B225" s="1075"/>
      <c r="C225" s="1075"/>
      <c r="D225" s="1075"/>
      <c r="E225" s="1075"/>
      <c r="F225" s="1075"/>
      <c r="G225" s="1075"/>
      <c r="H225" s="1075"/>
      <c r="I225" s="1075"/>
      <c r="J225" s="1075"/>
      <c r="K225" s="1075"/>
      <c r="L225" s="1075"/>
      <c r="M225" s="1075"/>
      <c r="N225" s="1075"/>
      <c r="O225" s="1075"/>
      <c r="P225" s="1075"/>
      <c r="Q225" s="1075"/>
      <c r="R225" s="1075"/>
      <c r="S225" s="1075"/>
      <c r="T225" s="1075"/>
      <c r="U225" s="1075"/>
      <c r="V225" s="1075"/>
      <c r="W225" s="1075"/>
      <c r="X225" s="1075"/>
      <c r="Y225" s="1075"/>
      <c r="Z225" s="1075"/>
      <c r="AA225" s="1075"/>
      <c r="AB225" s="1075"/>
      <c r="AC225" s="1075"/>
      <c r="AD225" s="1075"/>
      <c r="AE225" s="1075"/>
      <c r="AF225" s="1075"/>
      <c r="AG225" s="1075"/>
      <c r="AH225" s="1075"/>
      <c r="AI225" s="1075"/>
      <c r="AJ225" s="1075"/>
      <c r="AK225" s="1075"/>
      <c r="AL225" s="1075"/>
      <c r="AM225" s="1075"/>
      <c r="AN225" s="1075"/>
      <c r="AO225" s="1075"/>
      <c r="AP225" s="1075"/>
      <c r="AQ225" s="1075"/>
      <c r="AR225" s="1075"/>
      <c r="AS225" s="1075"/>
      <c r="AT225" s="1075"/>
      <c r="AU225" s="1075"/>
      <c r="AV225" s="1075"/>
      <c r="AW225" s="1075"/>
      <c r="AX225" s="1075"/>
      <c r="AY225" s="1075"/>
      <c r="AZ225" s="1075"/>
    </row>
    <row r="226" spans="1:52" ht="17.100000000000001" customHeight="1">
      <c r="A226" s="1075"/>
      <c r="B226" s="1075"/>
      <c r="C226" s="1075"/>
      <c r="D226" s="1075"/>
      <c r="E226" s="1075"/>
      <c r="F226" s="1075"/>
      <c r="G226" s="1075"/>
      <c r="H226" s="1075"/>
      <c r="I226" s="1075"/>
      <c r="J226" s="1075"/>
      <c r="K226" s="1075"/>
      <c r="L226" s="1075"/>
      <c r="M226" s="1075"/>
      <c r="N226" s="1075"/>
      <c r="O226" s="1075"/>
      <c r="P226" s="1075"/>
      <c r="Q226" s="1075"/>
      <c r="R226" s="1075"/>
      <c r="S226" s="1075"/>
      <c r="T226" s="1075"/>
      <c r="U226" s="1075"/>
      <c r="V226" s="1075"/>
      <c r="W226" s="1075"/>
      <c r="X226" s="1075"/>
      <c r="Y226" s="1075"/>
      <c r="Z226" s="1075"/>
      <c r="AA226" s="1075"/>
      <c r="AB226" s="1075"/>
      <c r="AC226" s="1075"/>
      <c r="AD226" s="1075"/>
      <c r="AE226" s="1075"/>
      <c r="AF226" s="1075"/>
      <c r="AG226" s="1075"/>
      <c r="AH226" s="1075"/>
      <c r="AI226" s="1075"/>
      <c r="AJ226" s="1075"/>
      <c r="AK226" s="1075"/>
      <c r="AL226" s="1075"/>
      <c r="AM226" s="1075"/>
      <c r="AN226" s="1075"/>
      <c r="AO226" s="1075"/>
      <c r="AP226" s="1075"/>
      <c r="AQ226" s="1075"/>
      <c r="AR226" s="1075"/>
      <c r="AS226" s="1075"/>
      <c r="AT226" s="1075"/>
      <c r="AU226" s="1075"/>
      <c r="AV226" s="1075"/>
      <c r="AW226" s="1075"/>
      <c r="AX226" s="1075"/>
      <c r="AY226" s="1075"/>
      <c r="AZ226" s="1075"/>
    </row>
    <row r="227" spans="1:52" ht="17.100000000000001" customHeight="1">
      <c r="A227" s="1075"/>
      <c r="B227" s="1075"/>
      <c r="C227" s="1075"/>
      <c r="D227" s="1075"/>
      <c r="E227" s="1075"/>
      <c r="F227" s="1075"/>
      <c r="G227" s="1075"/>
      <c r="H227" s="1075"/>
      <c r="I227" s="1075"/>
      <c r="J227" s="1075"/>
      <c r="K227" s="1075"/>
      <c r="L227" s="1075"/>
      <c r="M227" s="1075"/>
      <c r="N227" s="1075"/>
      <c r="O227" s="1075"/>
      <c r="P227" s="1075"/>
      <c r="Q227" s="1075"/>
      <c r="R227" s="1075"/>
      <c r="S227" s="1075"/>
      <c r="T227" s="1075"/>
      <c r="U227" s="1075"/>
      <c r="V227" s="1075"/>
      <c r="W227" s="1075"/>
      <c r="X227" s="1075"/>
      <c r="Y227" s="1075"/>
      <c r="Z227" s="1075"/>
      <c r="AA227" s="1075"/>
      <c r="AB227" s="1075"/>
      <c r="AC227" s="1075"/>
      <c r="AD227" s="1075"/>
      <c r="AE227" s="1075"/>
      <c r="AF227" s="1075"/>
      <c r="AG227" s="1075"/>
      <c r="AH227" s="1075"/>
      <c r="AI227" s="1075"/>
      <c r="AJ227" s="1075"/>
      <c r="AK227" s="1075"/>
      <c r="AL227" s="1075"/>
      <c r="AM227" s="1075"/>
      <c r="AN227" s="1075"/>
      <c r="AO227" s="1075"/>
      <c r="AP227" s="1075"/>
      <c r="AQ227" s="1075"/>
      <c r="AR227" s="1075"/>
      <c r="AS227" s="1075"/>
      <c r="AT227" s="1075"/>
      <c r="AU227" s="1075"/>
      <c r="AV227" s="1075"/>
      <c r="AW227" s="1075"/>
      <c r="AX227" s="1075"/>
      <c r="AY227" s="1075"/>
      <c r="AZ227" s="1075"/>
    </row>
    <row r="228" spans="1:52" ht="17.100000000000001" customHeight="1">
      <c r="A228" s="1075"/>
      <c r="B228" s="1075"/>
      <c r="C228" s="1075"/>
      <c r="D228" s="1075"/>
      <c r="E228" s="1075"/>
      <c r="F228" s="1075"/>
      <c r="G228" s="1075"/>
      <c r="H228" s="1075"/>
      <c r="I228" s="1075"/>
      <c r="J228" s="1075"/>
      <c r="K228" s="1075"/>
      <c r="L228" s="1075"/>
      <c r="M228" s="1075"/>
      <c r="N228" s="1075"/>
      <c r="O228" s="1075"/>
      <c r="P228" s="1075"/>
      <c r="Q228" s="1075"/>
      <c r="R228" s="1075"/>
      <c r="S228" s="1075"/>
      <c r="T228" s="1075"/>
      <c r="U228" s="1075"/>
      <c r="V228" s="1075"/>
      <c r="W228" s="1075"/>
      <c r="X228" s="1075"/>
      <c r="Y228" s="1075"/>
      <c r="Z228" s="1075"/>
      <c r="AA228" s="1075"/>
      <c r="AB228" s="1075"/>
      <c r="AC228" s="1075"/>
      <c r="AD228" s="1075"/>
      <c r="AE228" s="1075"/>
      <c r="AF228" s="1075"/>
      <c r="AG228" s="1075"/>
      <c r="AH228" s="1075"/>
      <c r="AI228" s="1075"/>
      <c r="AJ228" s="1075"/>
      <c r="AK228" s="1075"/>
      <c r="AL228" s="1075"/>
      <c r="AM228" s="1075"/>
      <c r="AN228" s="1075"/>
      <c r="AO228" s="1075"/>
      <c r="AP228" s="1075"/>
      <c r="AQ228" s="1075"/>
      <c r="AR228" s="1075"/>
      <c r="AS228" s="1075"/>
      <c r="AT228" s="1075"/>
      <c r="AU228" s="1075"/>
      <c r="AV228" s="1075"/>
      <c r="AW228" s="1075"/>
      <c r="AX228" s="1075"/>
      <c r="AY228" s="1075"/>
      <c r="AZ228" s="1075"/>
    </row>
    <row r="229" spans="1:52" ht="17.100000000000001" customHeight="1">
      <c r="A229" s="1075"/>
      <c r="B229" s="1075"/>
      <c r="C229" s="1075"/>
      <c r="D229" s="1075"/>
      <c r="E229" s="1075"/>
      <c r="F229" s="1075"/>
      <c r="G229" s="1075"/>
      <c r="H229" s="1075"/>
      <c r="I229" s="1075"/>
      <c r="J229" s="1075"/>
      <c r="K229" s="1075"/>
      <c r="L229" s="1075"/>
      <c r="M229" s="1075"/>
      <c r="N229" s="1075"/>
      <c r="O229" s="1075"/>
      <c r="P229" s="1075"/>
      <c r="Q229" s="1075"/>
      <c r="R229" s="1075"/>
      <c r="S229" s="1075"/>
      <c r="T229" s="1075"/>
      <c r="U229" s="1075"/>
      <c r="V229" s="1075"/>
      <c r="W229" s="1075"/>
      <c r="X229" s="1075"/>
      <c r="Y229" s="1075"/>
      <c r="Z229" s="1075"/>
      <c r="AA229" s="1075"/>
      <c r="AB229" s="1075"/>
      <c r="AC229" s="1075"/>
      <c r="AD229" s="1075"/>
      <c r="AE229" s="1075"/>
      <c r="AF229" s="1075"/>
      <c r="AG229" s="1075"/>
      <c r="AH229" s="1075"/>
      <c r="AI229" s="1075"/>
      <c r="AJ229" s="1075"/>
      <c r="AK229" s="1075"/>
      <c r="AL229" s="1075"/>
      <c r="AM229" s="1075"/>
      <c r="AN229" s="1075"/>
      <c r="AO229" s="1075"/>
      <c r="AP229" s="1075"/>
      <c r="AQ229" s="1075"/>
      <c r="AR229" s="1075"/>
      <c r="AS229" s="1075"/>
      <c r="AT229" s="1075"/>
      <c r="AU229" s="1075"/>
      <c r="AV229" s="1075"/>
      <c r="AW229" s="1075"/>
      <c r="AX229" s="1075"/>
      <c r="AY229" s="1075"/>
      <c r="AZ229" s="1075"/>
    </row>
    <row r="230" spans="1:52" ht="17.100000000000001" customHeight="1">
      <c r="A230" s="1075"/>
      <c r="B230" s="1075"/>
      <c r="C230" s="1075"/>
      <c r="D230" s="1075"/>
      <c r="E230" s="1075"/>
      <c r="F230" s="1075"/>
      <c r="G230" s="1075"/>
      <c r="H230" s="1075"/>
      <c r="I230" s="1075"/>
      <c r="J230" s="1075"/>
      <c r="K230" s="1075"/>
      <c r="L230" s="1075"/>
      <c r="M230" s="1075"/>
      <c r="N230" s="1075"/>
      <c r="O230" s="1075"/>
      <c r="P230" s="1075"/>
      <c r="Q230" s="1075"/>
      <c r="R230" s="1075"/>
      <c r="S230" s="1075"/>
      <c r="T230" s="1075"/>
      <c r="U230" s="1075"/>
      <c r="V230" s="1075"/>
      <c r="W230" s="1075"/>
      <c r="X230" s="1075"/>
      <c r="Y230" s="1075"/>
      <c r="Z230" s="1075"/>
      <c r="AA230" s="1075"/>
      <c r="AB230" s="1075"/>
      <c r="AC230" s="1075"/>
      <c r="AD230" s="1075"/>
      <c r="AE230" s="1075"/>
      <c r="AF230" s="1075"/>
      <c r="AG230" s="1075"/>
      <c r="AH230" s="1075"/>
      <c r="AI230" s="1075"/>
      <c r="AJ230" s="1075"/>
      <c r="AK230" s="1075"/>
      <c r="AL230" s="1075"/>
      <c r="AM230" s="1075"/>
      <c r="AN230" s="1075"/>
      <c r="AO230" s="1075"/>
      <c r="AP230" s="1075"/>
      <c r="AQ230" s="1075"/>
      <c r="AR230" s="1075"/>
      <c r="AS230" s="1075"/>
      <c r="AT230" s="1075"/>
      <c r="AU230" s="1075"/>
      <c r="AV230" s="1075"/>
      <c r="AW230" s="1075"/>
      <c r="AX230" s="1075"/>
      <c r="AY230" s="1075"/>
      <c r="AZ230" s="1075"/>
    </row>
    <row r="231" spans="1:52" ht="17.100000000000001" customHeight="1">
      <c r="A231" s="1075"/>
      <c r="B231" s="1075"/>
      <c r="C231" s="1075"/>
      <c r="D231" s="1075"/>
      <c r="E231" s="1075"/>
      <c r="F231" s="1075"/>
      <c r="G231" s="1075"/>
      <c r="H231" s="1075"/>
      <c r="I231" s="1075"/>
      <c r="J231" s="1075"/>
      <c r="K231" s="1075"/>
      <c r="L231" s="1075"/>
      <c r="M231" s="1075"/>
      <c r="N231" s="1075"/>
      <c r="O231" s="1075"/>
      <c r="P231" s="1075"/>
      <c r="Q231" s="1075"/>
      <c r="R231" s="1075"/>
      <c r="S231" s="1075"/>
      <c r="T231" s="1075"/>
      <c r="U231" s="1075"/>
      <c r="V231" s="1075"/>
      <c r="W231" s="1075"/>
      <c r="X231" s="1075"/>
      <c r="Y231" s="1075"/>
      <c r="Z231" s="1075"/>
      <c r="AA231" s="1075"/>
      <c r="AB231" s="1075"/>
      <c r="AC231" s="1075"/>
      <c r="AD231" s="1075"/>
      <c r="AE231" s="1075"/>
      <c r="AF231" s="1075"/>
      <c r="AG231" s="1075"/>
      <c r="AH231" s="1075"/>
      <c r="AI231" s="1075"/>
      <c r="AJ231" s="1075"/>
      <c r="AK231" s="1075"/>
      <c r="AL231" s="1075"/>
      <c r="AM231" s="1075"/>
      <c r="AN231" s="1075"/>
      <c r="AO231" s="1075"/>
      <c r="AP231" s="1075"/>
      <c r="AQ231" s="1075"/>
      <c r="AR231" s="1075"/>
      <c r="AS231" s="1075"/>
      <c r="AT231" s="1075"/>
      <c r="AU231" s="1075"/>
      <c r="AV231" s="1075"/>
      <c r="AW231" s="1075"/>
      <c r="AX231" s="1075"/>
      <c r="AY231" s="1075"/>
      <c r="AZ231" s="1075"/>
    </row>
    <row r="232" spans="1:52" ht="17.100000000000001" customHeight="1">
      <c r="A232" s="1075"/>
      <c r="B232" s="1075"/>
      <c r="C232" s="1075"/>
      <c r="D232" s="1075"/>
      <c r="E232" s="1075"/>
      <c r="F232" s="1075"/>
      <c r="G232" s="1075"/>
      <c r="H232" s="1075"/>
      <c r="I232" s="1075"/>
      <c r="J232" s="1075"/>
      <c r="K232" s="1075"/>
      <c r="L232" s="1075"/>
      <c r="M232" s="1075"/>
      <c r="N232" s="1075"/>
      <c r="O232" s="1075"/>
      <c r="P232" s="1075"/>
      <c r="Q232" s="1075"/>
      <c r="R232" s="1075"/>
      <c r="S232" s="1075"/>
      <c r="T232" s="1075"/>
      <c r="U232" s="1075"/>
      <c r="V232" s="1075"/>
      <c r="W232" s="1075"/>
      <c r="X232" s="1075"/>
      <c r="Y232" s="1075"/>
      <c r="Z232" s="1075"/>
      <c r="AA232" s="1075"/>
      <c r="AB232" s="1075"/>
      <c r="AC232" s="1075"/>
      <c r="AD232" s="1075"/>
      <c r="AE232" s="1075"/>
      <c r="AF232" s="1075"/>
      <c r="AG232" s="1075"/>
      <c r="AH232" s="1075"/>
      <c r="AI232" s="1075"/>
      <c r="AJ232" s="1075"/>
      <c r="AK232" s="1075"/>
      <c r="AL232" s="1075"/>
      <c r="AM232" s="1075"/>
      <c r="AN232" s="1075"/>
      <c r="AO232" s="1075"/>
      <c r="AP232" s="1075"/>
      <c r="AQ232" s="1075"/>
      <c r="AR232" s="1075"/>
      <c r="AS232" s="1075"/>
      <c r="AT232" s="1075"/>
      <c r="AU232" s="1075"/>
      <c r="AV232" s="1075"/>
      <c r="AW232" s="1075"/>
      <c r="AX232" s="1075"/>
      <c r="AY232" s="1075"/>
      <c r="AZ232" s="1075"/>
    </row>
    <row r="233" spans="1:52" ht="17.100000000000001" customHeight="1">
      <c r="A233" s="1075"/>
      <c r="B233" s="1075"/>
      <c r="C233" s="1075"/>
      <c r="D233" s="1075"/>
      <c r="E233" s="1075"/>
      <c r="F233" s="1075"/>
      <c r="G233" s="1075"/>
      <c r="H233" s="1075"/>
      <c r="I233" s="1075"/>
      <c r="J233" s="1075"/>
      <c r="K233" s="1075"/>
      <c r="L233" s="1075"/>
      <c r="M233" s="1075"/>
      <c r="N233" s="1075"/>
      <c r="O233" s="1075"/>
      <c r="P233" s="1075"/>
      <c r="Q233" s="1075"/>
      <c r="R233" s="1075"/>
      <c r="S233" s="1075"/>
      <c r="T233" s="1075"/>
      <c r="U233" s="1075"/>
      <c r="V233" s="1075"/>
      <c r="W233" s="1075"/>
      <c r="X233" s="1075"/>
      <c r="Y233" s="1075"/>
      <c r="Z233" s="1075"/>
      <c r="AA233" s="1075"/>
      <c r="AB233" s="1075"/>
      <c r="AC233" s="1075"/>
      <c r="AD233" s="1075"/>
      <c r="AE233" s="1075"/>
      <c r="AF233" s="1075"/>
      <c r="AG233" s="1075"/>
      <c r="AH233" s="1075"/>
      <c r="AI233" s="1075"/>
      <c r="AJ233" s="1075"/>
      <c r="AK233" s="1075"/>
      <c r="AL233" s="1075"/>
      <c r="AM233" s="1075"/>
      <c r="AN233" s="1075"/>
      <c r="AO233" s="1075"/>
      <c r="AP233" s="1075"/>
      <c r="AQ233" s="1075"/>
      <c r="AR233" s="1075"/>
      <c r="AS233" s="1075"/>
      <c r="AT233" s="1075"/>
      <c r="AU233" s="1075"/>
      <c r="AV233" s="1075"/>
      <c r="AW233" s="1075"/>
      <c r="AX233" s="1075"/>
      <c r="AY233" s="1075"/>
      <c r="AZ233" s="1075"/>
    </row>
    <row r="234" spans="1:52" ht="17.100000000000001" customHeight="1">
      <c r="A234" s="1075"/>
      <c r="B234" s="1075"/>
      <c r="C234" s="1075"/>
      <c r="D234" s="1075"/>
      <c r="E234" s="1075"/>
      <c r="F234" s="1075"/>
      <c r="G234" s="1075"/>
      <c r="H234" s="1075"/>
      <c r="I234" s="1075"/>
      <c r="J234" s="1075"/>
      <c r="K234" s="1075"/>
      <c r="L234" s="1075"/>
      <c r="M234" s="1075"/>
      <c r="N234" s="1075"/>
      <c r="O234" s="1075"/>
      <c r="P234" s="1075"/>
      <c r="Q234" s="1075"/>
      <c r="R234" s="1075"/>
      <c r="S234" s="1075"/>
      <c r="T234" s="1075"/>
      <c r="U234" s="1075"/>
      <c r="V234" s="1075"/>
      <c r="W234" s="1075"/>
      <c r="X234" s="1075"/>
      <c r="Y234" s="1075"/>
      <c r="Z234" s="1075"/>
      <c r="AA234" s="1075"/>
      <c r="AB234" s="1075"/>
      <c r="AC234" s="1075"/>
      <c r="AD234" s="1075"/>
      <c r="AE234" s="1075"/>
      <c r="AF234" s="1075"/>
      <c r="AG234" s="1075"/>
      <c r="AH234" s="1075"/>
      <c r="AI234" s="1075"/>
      <c r="AJ234" s="1075"/>
      <c r="AK234" s="1075"/>
      <c r="AL234" s="1075"/>
      <c r="AM234" s="1075"/>
      <c r="AN234" s="1075"/>
      <c r="AO234" s="1075"/>
      <c r="AP234" s="1075"/>
      <c r="AQ234" s="1075"/>
      <c r="AR234" s="1075"/>
      <c r="AS234" s="1075"/>
      <c r="AT234" s="1075"/>
      <c r="AU234" s="1075"/>
      <c r="AV234" s="1075"/>
      <c r="AW234" s="1075"/>
      <c r="AX234" s="1075"/>
      <c r="AY234" s="1075"/>
      <c r="AZ234" s="1075"/>
    </row>
    <row r="235" spans="1:52" ht="17.100000000000001" customHeight="1">
      <c r="A235" s="1075"/>
      <c r="B235" s="1075"/>
      <c r="C235" s="1075"/>
      <c r="D235" s="1075"/>
      <c r="E235" s="1075"/>
      <c r="F235" s="1075"/>
      <c r="G235" s="1075"/>
      <c r="H235" s="1075"/>
      <c r="I235" s="1075"/>
      <c r="J235" s="1075"/>
      <c r="K235" s="1075"/>
      <c r="L235" s="1075"/>
      <c r="M235" s="1075"/>
      <c r="N235" s="1075"/>
      <c r="O235" s="1075"/>
      <c r="P235" s="1075"/>
      <c r="Q235" s="1075"/>
      <c r="R235" s="1075"/>
      <c r="S235" s="1075"/>
      <c r="T235" s="1075"/>
      <c r="U235" s="1075"/>
      <c r="V235" s="1075"/>
      <c r="W235" s="1075"/>
      <c r="X235" s="1075"/>
      <c r="Y235" s="1075"/>
      <c r="Z235" s="1075"/>
      <c r="AA235" s="1075"/>
      <c r="AB235" s="1075"/>
      <c r="AC235" s="1075"/>
      <c r="AD235" s="1075"/>
      <c r="AE235" s="1075"/>
      <c r="AF235" s="1075"/>
      <c r="AG235" s="1075"/>
      <c r="AH235" s="1075"/>
      <c r="AI235" s="1075"/>
      <c r="AJ235" s="1075"/>
      <c r="AK235" s="1075"/>
      <c r="AL235" s="1075"/>
      <c r="AM235" s="1075"/>
      <c r="AN235" s="1075"/>
      <c r="AO235" s="1075"/>
      <c r="AP235" s="1075"/>
      <c r="AQ235" s="1075"/>
      <c r="AR235" s="1075"/>
      <c r="AS235" s="1075"/>
      <c r="AT235" s="1075"/>
      <c r="AU235" s="1075"/>
      <c r="AV235" s="1075"/>
      <c r="AW235" s="1075"/>
      <c r="AX235" s="1075"/>
      <c r="AY235" s="1075"/>
      <c r="AZ235" s="1075"/>
    </row>
    <row r="236" spans="1:52" ht="17.100000000000001" customHeight="1">
      <c r="A236" s="1075"/>
      <c r="B236" s="1075"/>
      <c r="C236" s="1075"/>
      <c r="D236" s="1075"/>
      <c r="E236" s="1075"/>
      <c r="F236" s="1075"/>
      <c r="G236" s="1075"/>
      <c r="H236" s="1075"/>
      <c r="I236" s="1075"/>
      <c r="J236" s="1075"/>
      <c r="K236" s="1075"/>
      <c r="L236" s="1075"/>
      <c r="M236" s="1075"/>
      <c r="N236" s="1075"/>
      <c r="O236" s="1075"/>
      <c r="P236" s="1075"/>
      <c r="Q236" s="1075"/>
      <c r="R236" s="1075"/>
      <c r="S236" s="1075"/>
      <c r="T236" s="1075"/>
      <c r="U236" s="1075"/>
      <c r="V236" s="1075"/>
      <c r="W236" s="1075"/>
      <c r="X236" s="1075"/>
      <c r="Y236" s="1075"/>
      <c r="Z236" s="1075"/>
      <c r="AA236" s="1075"/>
      <c r="AB236" s="1075"/>
      <c r="AC236" s="1075"/>
      <c r="AD236" s="1075"/>
      <c r="AE236" s="1075"/>
      <c r="AF236" s="1075"/>
      <c r="AG236" s="1075"/>
      <c r="AH236" s="1075"/>
      <c r="AI236" s="1075"/>
      <c r="AJ236" s="1075"/>
      <c r="AK236" s="1075"/>
      <c r="AL236" s="1075"/>
      <c r="AM236" s="1075"/>
      <c r="AN236" s="1075"/>
      <c r="AO236" s="1075"/>
      <c r="AP236" s="1075"/>
      <c r="AQ236" s="1075"/>
      <c r="AR236" s="1075"/>
      <c r="AS236" s="1075"/>
      <c r="AT236" s="1075"/>
      <c r="AU236" s="1075"/>
      <c r="AV236" s="1075"/>
      <c r="AW236" s="1075"/>
      <c r="AX236" s="1075"/>
      <c r="AY236" s="1075"/>
      <c r="AZ236" s="1075"/>
    </row>
    <row r="237" spans="1:52" ht="17.100000000000001" customHeight="1">
      <c r="A237" s="1075"/>
      <c r="B237" s="1075"/>
      <c r="C237" s="1075"/>
      <c r="D237" s="1075"/>
      <c r="E237" s="1075"/>
      <c r="F237" s="1075"/>
      <c r="G237" s="1075"/>
      <c r="H237" s="1075"/>
      <c r="I237" s="1075"/>
      <c r="J237" s="1075"/>
      <c r="K237" s="1075"/>
      <c r="L237" s="1075"/>
      <c r="M237" s="1075"/>
      <c r="N237" s="1075"/>
      <c r="O237" s="1075"/>
      <c r="P237" s="1075"/>
      <c r="Q237" s="1075"/>
      <c r="R237" s="1075"/>
      <c r="S237" s="1075"/>
      <c r="T237" s="1075"/>
      <c r="U237" s="1075"/>
      <c r="V237" s="1075"/>
      <c r="W237" s="1075"/>
      <c r="X237" s="1075"/>
      <c r="Y237" s="1075"/>
      <c r="Z237" s="1075"/>
      <c r="AA237" s="1075"/>
      <c r="AB237" s="1075"/>
      <c r="AC237" s="1075"/>
      <c r="AD237" s="1075"/>
      <c r="AE237" s="1075"/>
      <c r="AF237" s="1075"/>
      <c r="AG237" s="1075"/>
      <c r="AH237" s="1075"/>
      <c r="AI237" s="1075"/>
      <c r="AJ237" s="1075"/>
      <c r="AK237" s="1075"/>
      <c r="AL237" s="1075"/>
      <c r="AM237" s="1075"/>
      <c r="AN237" s="1075"/>
      <c r="AO237" s="1075"/>
      <c r="AP237" s="1075"/>
      <c r="AQ237" s="1075"/>
      <c r="AR237" s="1075"/>
      <c r="AS237" s="1075"/>
      <c r="AT237" s="1075"/>
      <c r="AU237" s="1075"/>
      <c r="AV237" s="1075"/>
      <c r="AW237" s="1075"/>
      <c r="AX237" s="1075"/>
      <c r="AY237" s="1075"/>
      <c r="AZ237" s="1075"/>
    </row>
    <row r="238" spans="1:52" ht="17.100000000000001" customHeight="1">
      <c r="A238" s="1075"/>
      <c r="B238" s="1075"/>
      <c r="C238" s="1075"/>
      <c r="D238" s="1075"/>
      <c r="E238" s="1075"/>
      <c r="F238" s="1075"/>
      <c r="G238" s="1075"/>
      <c r="H238" s="1075"/>
      <c r="I238" s="1075"/>
      <c r="J238" s="1075"/>
      <c r="K238" s="1075"/>
      <c r="L238" s="1075"/>
      <c r="M238" s="1075"/>
      <c r="N238" s="1075"/>
      <c r="O238" s="1075"/>
      <c r="P238" s="1075"/>
      <c r="Q238" s="1075"/>
      <c r="R238" s="1075"/>
      <c r="S238" s="1075"/>
      <c r="T238" s="1075"/>
      <c r="U238" s="1075"/>
      <c r="V238" s="1075"/>
      <c r="W238" s="1075"/>
      <c r="X238" s="1075"/>
      <c r="Y238" s="1075"/>
      <c r="Z238" s="1075"/>
      <c r="AA238" s="1075"/>
      <c r="AB238" s="1075"/>
      <c r="AC238" s="1075"/>
      <c r="AD238" s="1075"/>
      <c r="AE238" s="1075"/>
      <c r="AF238" s="1075"/>
      <c r="AG238" s="1075"/>
      <c r="AH238" s="1075"/>
      <c r="AI238" s="1075"/>
      <c r="AJ238" s="1075"/>
      <c r="AK238" s="1075"/>
      <c r="AL238" s="1075"/>
      <c r="AM238" s="1075"/>
      <c r="AN238" s="1075"/>
      <c r="AO238" s="1075"/>
      <c r="AP238" s="1075"/>
      <c r="AQ238" s="1075"/>
      <c r="AR238" s="1075"/>
      <c r="AS238" s="1075"/>
      <c r="AT238" s="1075"/>
      <c r="AU238" s="1075"/>
      <c r="AV238" s="1075"/>
      <c r="AW238" s="1075"/>
      <c r="AX238" s="1075"/>
      <c r="AY238" s="1075"/>
      <c r="AZ238" s="1075"/>
    </row>
    <row r="239" spans="1:52" ht="17.100000000000001" customHeight="1">
      <c r="A239" s="1075"/>
      <c r="B239" s="1075"/>
      <c r="C239" s="1075"/>
      <c r="D239" s="1075"/>
      <c r="E239" s="1075"/>
      <c r="F239" s="1075"/>
      <c r="G239" s="1075"/>
      <c r="H239" s="1075"/>
      <c r="I239" s="1075"/>
      <c r="J239" s="1075"/>
      <c r="K239" s="1075"/>
      <c r="L239" s="1075"/>
      <c r="M239" s="1075"/>
      <c r="N239" s="1075"/>
      <c r="O239" s="1075"/>
      <c r="P239" s="1075"/>
      <c r="Q239" s="1075"/>
      <c r="R239" s="1075"/>
      <c r="S239" s="1075"/>
      <c r="T239" s="1075"/>
      <c r="U239" s="1075"/>
      <c r="V239" s="1075"/>
      <c r="W239" s="1075"/>
      <c r="X239" s="1075"/>
      <c r="Y239" s="1075"/>
      <c r="Z239" s="1075"/>
      <c r="AA239" s="1075"/>
      <c r="AB239" s="1075"/>
      <c r="AC239" s="1075"/>
      <c r="AD239" s="1075"/>
      <c r="AE239" s="1075"/>
      <c r="AF239" s="1075"/>
      <c r="AG239" s="1075"/>
      <c r="AH239" s="1075"/>
      <c r="AI239" s="1075"/>
      <c r="AJ239" s="1075"/>
      <c r="AK239" s="1075"/>
      <c r="AL239" s="1075"/>
      <c r="AM239" s="1075"/>
      <c r="AN239" s="1075"/>
      <c r="AO239" s="1075"/>
      <c r="AP239" s="1075"/>
      <c r="AQ239" s="1075"/>
      <c r="AR239" s="1075"/>
      <c r="AS239" s="1075"/>
      <c r="AT239" s="1075"/>
      <c r="AU239" s="1075"/>
      <c r="AV239" s="1075"/>
      <c r="AW239" s="1075"/>
      <c r="AX239" s="1075"/>
      <c r="AY239" s="1075"/>
      <c r="AZ239" s="1075"/>
    </row>
    <row r="240" spans="1:52" ht="17.100000000000001" customHeight="1">
      <c r="A240" s="1075"/>
      <c r="B240" s="1075"/>
      <c r="C240" s="1075"/>
      <c r="D240" s="1075"/>
      <c r="E240" s="1075"/>
      <c r="F240" s="1075"/>
      <c r="G240" s="1075"/>
      <c r="H240" s="1075"/>
      <c r="I240" s="1075"/>
      <c r="J240" s="1075"/>
      <c r="K240" s="1075"/>
      <c r="L240" s="1075"/>
      <c r="M240" s="1075"/>
      <c r="N240" s="1075"/>
      <c r="O240" s="1075"/>
      <c r="P240" s="1075"/>
      <c r="Q240" s="1075"/>
      <c r="R240" s="1075"/>
      <c r="S240" s="1075"/>
      <c r="T240" s="1075"/>
      <c r="U240" s="1075"/>
      <c r="V240" s="1075"/>
      <c r="W240" s="1075"/>
      <c r="X240" s="1075"/>
      <c r="Y240" s="1075"/>
      <c r="Z240" s="1075"/>
      <c r="AA240" s="1075"/>
      <c r="AB240" s="1075"/>
      <c r="AC240" s="1075"/>
      <c r="AD240" s="1075"/>
      <c r="AE240" s="1075"/>
      <c r="AF240" s="1075"/>
      <c r="AG240" s="1075"/>
      <c r="AH240" s="1075"/>
      <c r="AI240" s="1075"/>
      <c r="AJ240" s="1075"/>
      <c r="AK240" s="1075"/>
      <c r="AL240" s="1075"/>
      <c r="AM240" s="1075"/>
      <c r="AN240" s="1075"/>
      <c r="AO240" s="1075"/>
      <c r="AP240" s="1075"/>
      <c r="AQ240" s="1075"/>
      <c r="AR240" s="1075"/>
      <c r="AS240" s="1075"/>
      <c r="AT240" s="1075"/>
      <c r="AU240" s="1075"/>
      <c r="AV240" s="1075"/>
      <c r="AW240" s="1075"/>
      <c r="AX240" s="1075"/>
      <c r="AY240" s="1075"/>
      <c r="AZ240" s="1075"/>
    </row>
    <row r="241" spans="1:52" ht="17.100000000000001" customHeight="1">
      <c r="A241" s="1075"/>
      <c r="B241" s="1075"/>
      <c r="C241" s="1075"/>
      <c r="D241" s="1075"/>
      <c r="E241" s="1075"/>
      <c r="F241" s="1075"/>
      <c r="G241" s="1075"/>
      <c r="H241" s="1075"/>
      <c r="I241" s="1075"/>
      <c r="J241" s="1075"/>
      <c r="K241" s="1075"/>
      <c r="L241" s="1075"/>
      <c r="M241" s="1075"/>
      <c r="N241" s="1075"/>
      <c r="O241" s="1075"/>
      <c r="P241" s="1075"/>
      <c r="Q241" s="1075"/>
      <c r="R241" s="1075"/>
      <c r="S241" s="1075"/>
      <c r="T241" s="1075"/>
      <c r="U241" s="1075"/>
      <c r="V241" s="1075"/>
      <c r="W241" s="1075"/>
      <c r="X241" s="1075"/>
      <c r="Y241" s="1075"/>
      <c r="Z241" s="1075"/>
      <c r="AA241" s="1075"/>
      <c r="AB241" s="1075"/>
      <c r="AC241" s="1075"/>
      <c r="AD241" s="1075"/>
      <c r="AE241" s="1075"/>
      <c r="AF241" s="1075"/>
      <c r="AG241" s="1075"/>
      <c r="AH241" s="1075"/>
      <c r="AI241" s="1075"/>
      <c r="AJ241" s="1075"/>
      <c r="AK241" s="1075"/>
      <c r="AL241" s="1075"/>
      <c r="AM241" s="1075"/>
      <c r="AN241" s="1075"/>
      <c r="AO241" s="1075"/>
      <c r="AP241" s="1075"/>
      <c r="AQ241" s="1075"/>
      <c r="AR241" s="1075"/>
      <c r="AS241" s="1075"/>
      <c r="AT241" s="1075"/>
      <c r="AU241" s="1075"/>
      <c r="AV241" s="1075"/>
      <c r="AW241" s="1075"/>
      <c r="AX241" s="1075"/>
      <c r="AY241" s="1075"/>
      <c r="AZ241" s="1075"/>
    </row>
    <row r="242" spans="1:52" ht="17.100000000000001" customHeight="1">
      <c r="A242" s="1075"/>
      <c r="B242" s="1075"/>
      <c r="C242" s="1075"/>
      <c r="D242" s="1075"/>
      <c r="E242" s="1075"/>
      <c r="F242" s="1075"/>
      <c r="G242" s="1075"/>
      <c r="H242" s="1075"/>
      <c r="I242" s="1075"/>
      <c r="J242" s="1075"/>
      <c r="K242" s="1075"/>
      <c r="L242" s="1075"/>
      <c r="M242" s="1075"/>
      <c r="N242" s="1075"/>
      <c r="O242" s="1075"/>
      <c r="P242" s="1075"/>
      <c r="Q242" s="1075"/>
      <c r="R242" s="1075"/>
      <c r="S242" s="1075"/>
      <c r="T242" s="1075"/>
      <c r="U242" s="1075"/>
      <c r="V242" s="1075"/>
      <c r="W242" s="1075"/>
      <c r="X242" s="1075"/>
      <c r="Y242" s="1075"/>
      <c r="Z242" s="1075"/>
      <c r="AA242" s="1075"/>
      <c r="AB242" s="1075"/>
      <c r="AC242" s="1075"/>
      <c r="AD242" s="1075"/>
      <c r="AE242" s="1075"/>
      <c r="AF242" s="1075"/>
      <c r="AG242" s="1075"/>
      <c r="AH242" s="1075"/>
      <c r="AI242" s="1075"/>
      <c r="AJ242" s="1075"/>
      <c r="AK242" s="1075"/>
      <c r="AL242" s="1075"/>
      <c r="AM242" s="1075"/>
      <c r="AN242" s="1075"/>
      <c r="AO242" s="1075"/>
      <c r="AP242" s="1075"/>
      <c r="AQ242" s="1075"/>
      <c r="AR242" s="1075"/>
      <c r="AS242" s="1075"/>
      <c r="AT242" s="1075"/>
      <c r="AU242" s="1075"/>
      <c r="AV242" s="1075"/>
      <c r="AW242" s="1075"/>
      <c r="AX242" s="1075"/>
      <c r="AY242" s="1075"/>
      <c r="AZ242" s="1075"/>
    </row>
    <row r="243" spans="1:52" ht="17.100000000000001" customHeight="1">
      <c r="A243" s="1075"/>
      <c r="B243" s="1075"/>
      <c r="C243" s="1075"/>
      <c r="D243" s="1075"/>
      <c r="E243" s="1075"/>
      <c r="F243" s="1075"/>
      <c r="G243" s="1075"/>
      <c r="H243" s="1075"/>
      <c r="I243" s="1075"/>
      <c r="J243" s="1075"/>
      <c r="K243" s="1075"/>
      <c r="L243" s="1075"/>
      <c r="M243" s="1075"/>
      <c r="N243" s="1075"/>
      <c r="O243" s="1075"/>
      <c r="P243" s="1075"/>
      <c r="Q243" s="1075"/>
      <c r="R243" s="1075"/>
      <c r="S243" s="1075"/>
      <c r="T243" s="1075"/>
      <c r="U243" s="1075"/>
      <c r="V243" s="1075"/>
      <c r="W243" s="1075"/>
      <c r="X243" s="1075"/>
      <c r="Y243" s="1075"/>
      <c r="Z243" s="1075"/>
      <c r="AA243" s="1075"/>
      <c r="AB243" s="1075"/>
      <c r="AC243" s="1075"/>
      <c r="AD243" s="1075"/>
      <c r="AE243" s="1075"/>
      <c r="AF243" s="1075"/>
      <c r="AG243" s="1075"/>
      <c r="AH243" s="1075"/>
      <c r="AI243" s="1075"/>
      <c r="AJ243" s="1075"/>
      <c r="AK243" s="1075"/>
      <c r="AL243" s="1075"/>
      <c r="AM243" s="1075"/>
      <c r="AN243" s="1075"/>
      <c r="AO243" s="1075"/>
      <c r="AP243" s="1075"/>
      <c r="AQ243" s="1075"/>
      <c r="AR243" s="1075"/>
      <c r="AS243" s="1075"/>
      <c r="AT243" s="1075"/>
      <c r="AU243" s="1075"/>
      <c r="AV243" s="1075"/>
      <c r="AW243" s="1075"/>
      <c r="AX243" s="1075"/>
      <c r="AY243" s="1075"/>
      <c r="AZ243" s="1075"/>
    </row>
    <row r="244" spans="1:52" ht="17.100000000000001" customHeight="1">
      <c r="A244" s="1075"/>
      <c r="B244" s="1075"/>
      <c r="C244" s="1075"/>
      <c r="D244" s="1075"/>
      <c r="E244" s="1075"/>
      <c r="F244" s="1075"/>
      <c r="G244" s="1075"/>
      <c r="H244" s="1075"/>
      <c r="I244" s="1075"/>
      <c r="J244" s="1075"/>
      <c r="K244" s="1075"/>
      <c r="L244" s="1075"/>
      <c r="M244" s="1075"/>
      <c r="N244" s="1075"/>
      <c r="O244" s="1075"/>
      <c r="P244" s="1075"/>
      <c r="Q244" s="1075"/>
      <c r="R244" s="1075"/>
      <c r="S244" s="1075"/>
      <c r="T244" s="1075"/>
      <c r="U244" s="1075"/>
      <c r="V244" s="1075"/>
      <c r="W244" s="1075"/>
      <c r="X244" s="1075"/>
      <c r="Y244" s="1075"/>
      <c r="Z244" s="1075"/>
      <c r="AA244" s="1075"/>
      <c r="AB244" s="1075"/>
      <c r="AC244" s="1075"/>
      <c r="AD244" s="1075"/>
      <c r="AE244" s="1075"/>
      <c r="AF244" s="1075"/>
      <c r="AG244" s="1075"/>
      <c r="AH244" s="1075"/>
      <c r="AI244" s="1075"/>
      <c r="AJ244" s="1075"/>
      <c r="AK244" s="1075"/>
      <c r="AL244" s="1075"/>
      <c r="AM244" s="1075"/>
      <c r="AN244" s="1075"/>
      <c r="AO244" s="1075"/>
      <c r="AP244" s="1075"/>
      <c r="AQ244" s="1075"/>
      <c r="AR244" s="1075"/>
      <c r="AS244" s="1075"/>
      <c r="AT244" s="1075"/>
      <c r="AU244" s="1075"/>
      <c r="AV244" s="1075"/>
      <c r="AW244" s="1075"/>
      <c r="AX244" s="1075"/>
      <c r="AY244" s="1075"/>
      <c r="AZ244" s="1075"/>
    </row>
    <row r="245" spans="1:52" ht="17.100000000000001" customHeight="1">
      <c r="A245" s="1075"/>
      <c r="B245" s="1075"/>
      <c r="C245" s="1075"/>
      <c r="D245" s="1075"/>
      <c r="E245" s="1075"/>
      <c r="F245" s="1075"/>
      <c r="G245" s="1075"/>
      <c r="H245" s="1075"/>
      <c r="I245" s="1075"/>
      <c r="J245" s="1075"/>
      <c r="K245" s="1075"/>
      <c r="L245" s="1075"/>
      <c r="M245" s="1075"/>
      <c r="N245" s="1075"/>
      <c r="O245" s="1075"/>
      <c r="P245" s="1075"/>
      <c r="Q245" s="1075"/>
      <c r="R245" s="1075"/>
      <c r="S245" s="1075"/>
      <c r="T245" s="1075"/>
      <c r="U245" s="1075"/>
      <c r="V245" s="1075"/>
      <c r="W245" s="1075"/>
      <c r="X245" s="1075"/>
      <c r="Y245" s="1075"/>
      <c r="Z245" s="1075"/>
      <c r="AA245" s="1075"/>
      <c r="AB245" s="1075"/>
      <c r="AC245" s="1075"/>
      <c r="AD245" s="1075"/>
      <c r="AE245" s="1075"/>
      <c r="AF245" s="1075"/>
      <c r="AG245" s="1075"/>
      <c r="AH245" s="1075"/>
      <c r="AI245" s="1075"/>
      <c r="AJ245" s="1075"/>
      <c r="AK245" s="1075"/>
      <c r="AL245" s="1075"/>
      <c r="AM245" s="1075"/>
      <c r="AN245" s="1075"/>
      <c r="AO245" s="1075"/>
      <c r="AP245" s="1075"/>
      <c r="AQ245" s="1075"/>
      <c r="AR245" s="1075"/>
      <c r="AS245" s="1075"/>
      <c r="AT245" s="1075"/>
      <c r="AU245" s="1075"/>
      <c r="AV245" s="1075"/>
      <c r="AW245" s="1075"/>
      <c r="AX245" s="1075"/>
      <c r="AY245" s="1075"/>
      <c r="AZ245" s="1075"/>
    </row>
    <row r="246" spans="1:52" ht="17.100000000000001" customHeight="1">
      <c r="A246" s="1075"/>
      <c r="B246" s="1075"/>
      <c r="C246" s="1075"/>
      <c r="D246" s="1075"/>
      <c r="E246" s="1075"/>
      <c r="F246" s="1075"/>
      <c r="G246" s="1075"/>
      <c r="H246" s="1075"/>
      <c r="I246" s="1075"/>
      <c r="J246" s="1075"/>
      <c r="K246" s="1075"/>
      <c r="L246" s="1075"/>
      <c r="M246" s="1075"/>
      <c r="N246" s="1075"/>
      <c r="O246" s="1075"/>
      <c r="P246" s="1075"/>
      <c r="Q246" s="1075"/>
      <c r="R246" s="1075"/>
      <c r="S246" s="1075"/>
      <c r="T246" s="1075"/>
      <c r="U246" s="1075"/>
      <c r="V246" s="1075"/>
      <c r="W246" s="1075"/>
      <c r="X246" s="1075"/>
      <c r="Y246" s="1075"/>
      <c r="Z246" s="1075"/>
      <c r="AA246" s="1075"/>
      <c r="AB246" s="1075"/>
      <c r="AC246" s="1075"/>
      <c r="AD246" s="1075"/>
      <c r="AE246" s="1075"/>
      <c r="AF246" s="1075"/>
      <c r="AG246" s="1075"/>
      <c r="AH246" s="1075"/>
      <c r="AI246" s="1075"/>
      <c r="AJ246" s="1075"/>
      <c r="AK246" s="1075"/>
      <c r="AL246" s="1075"/>
      <c r="AM246" s="1075"/>
      <c r="AN246" s="1075"/>
      <c r="AO246" s="1075"/>
      <c r="AP246" s="1075"/>
      <c r="AQ246" s="1075"/>
      <c r="AR246" s="1075"/>
      <c r="AS246" s="1075"/>
      <c r="AT246" s="1075"/>
      <c r="AU246" s="1075"/>
      <c r="AV246" s="1075"/>
      <c r="AW246" s="1075"/>
      <c r="AX246" s="1075"/>
      <c r="AY246" s="1075"/>
      <c r="AZ246" s="1075"/>
    </row>
    <row r="247" spans="1:52" ht="17.100000000000001" customHeight="1">
      <c r="A247" s="1075"/>
      <c r="B247" s="1075"/>
      <c r="C247" s="1075"/>
      <c r="D247" s="1075"/>
      <c r="E247" s="1075"/>
      <c r="F247" s="1075"/>
      <c r="G247" s="1075"/>
      <c r="H247" s="1075"/>
      <c r="I247" s="1075"/>
      <c r="J247" s="1075"/>
      <c r="K247" s="1075"/>
      <c r="L247" s="1075"/>
      <c r="M247" s="1075"/>
      <c r="N247" s="1075"/>
      <c r="O247" s="1075"/>
      <c r="P247" s="1075"/>
      <c r="Q247" s="1075"/>
      <c r="R247" s="1075"/>
      <c r="S247" s="1075"/>
      <c r="T247" s="1075"/>
      <c r="U247" s="1075"/>
      <c r="V247" s="1075"/>
      <c r="W247" s="1075"/>
      <c r="X247" s="1075"/>
      <c r="Y247" s="1075"/>
      <c r="Z247" s="1075"/>
      <c r="AA247" s="1075"/>
      <c r="AB247" s="1075"/>
      <c r="AC247" s="1075"/>
      <c r="AD247" s="1075"/>
      <c r="AE247" s="1075"/>
      <c r="AF247" s="1075"/>
      <c r="AG247" s="1075"/>
      <c r="AH247" s="1075"/>
      <c r="AI247" s="1075"/>
      <c r="AJ247" s="1075"/>
      <c r="AK247" s="1075"/>
      <c r="AL247" s="1075"/>
      <c r="AM247" s="1075"/>
      <c r="AN247" s="1075"/>
      <c r="AO247" s="1075"/>
      <c r="AP247" s="1075"/>
      <c r="AQ247" s="1075"/>
      <c r="AR247" s="1075"/>
      <c r="AS247" s="1075"/>
      <c r="AT247" s="1075"/>
      <c r="AU247" s="1075"/>
      <c r="AV247" s="1075"/>
      <c r="AW247" s="1075"/>
      <c r="AX247" s="1075"/>
      <c r="AY247" s="1075"/>
      <c r="AZ247" s="1075"/>
    </row>
    <row r="248" spans="1:52" ht="17.100000000000001" customHeight="1">
      <c r="A248" s="1075"/>
      <c r="B248" s="1075"/>
      <c r="C248" s="1075"/>
      <c r="D248" s="1075"/>
      <c r="E248" s="1075"/>
      <c r="F248" s="1075"/>
      <c r="G248" s="1075"/>
      <c r="H248" s="1075"/>
      <c r="I248" s="1075"/>
      <c r="J248" s="1075"/>
      <c r="K248" s="1075"/>
      <c r="L248" s="1075"/>
      <c r="M248" s="1075"/>
      <c r="N248" s="1075"/>
      <c r="O248" s="1075"/>
      <c r="P248" s="1075"/>
      <c r="Q248" s="1075"/>
      <c r="R248" s="1075"/>
      <c r="S248" s="1075"/>
      <c r="T248" s="1075"/>
      <c r="U248" s="1075"/>
      <c r="V248" s="1075"/>
      <c r="W248" s="1075"/>
      <c r="X248" s="1075"/>
      <c r="Y248" s="1075"/>
      <c r="Z248" s="1075"/>
      <c r="AA248" s="1075"/>
      <c r="AB248" s="1075"/>
      <c r="AC248" s="1075"/>
      <c r="AD248" s="1075"/>
      <c r="AE248" s="1075"/>
      <c r="AF248" s="1075"/>
      <c r="AG248" s="1075"/>
      <c r="AH248" s="1075"/>
      <c r="AI248" s="1075"/>
      <c r="AJ248" s="1075"/>
      <c r="AK248" s="1075"/>
      <c r="AL248" s="1075"/>
      <c r="AM248" s="1075"/>
      <c r="AN248" s="1075"/>
      <c r="AO248" s="1075"/>
      <c r="AP248" s="1075"/>
      <c r="AQ248" s="1075"/>
      <c r="AR248" s="1075"/>
      <c r="AS248" s="1075"/>
      <c r="AT248" s="1075"/>
      <c r="AU248" s="1075"/>
      <c r="AV248" s="1075"/>
      <c r="AW248" s="1075"/>
      <c r="AX248" s="1075"/>
      <c r="AY248" s="1075"/>
      <c r="AZ248" s="1075"/>
    </row>
    <row r="249" spans="1:52" ht="17.100000000000001" customHeight="1">
      <c r="A249" s="1075"/>
      <c r="B249" s="1075"/>
      <c r="C249" s="1075"/>
      <c r="D249" s="1075"/>
      <c r="E249" s="1075"/>
      <c r="F249" s="1075"/>
      <c r="G249" s="1075"/>
      <c r="H249" s="1075"/>
      <c r="I249" s="1075"/>
      <c r="J249" s="1075"/>
      <c r="K249" s="1075"/>
      <c r="L249" s="1075"/>
      <c r="M249" s="1075"/>
      <c r="N249" s="1075"/>
      <c r="O249" s="1075"/>
      <c r="P249" s="1075"/>
      <c r="Q249" s="1075"/>
      <c r="R249" s="1075"/>
      <c r="S249" s="1075"/>
      <c r="T249" s="1075"/>
      <c r="U249" s="1075"/>
      <c r="V249" s="1075"/>
      <c r="W249" s="1075"/>
      <c r="X249" s="1075"/>
      <c r="Y249" s="1075"/>
      <c r="Z249" s="1075"/>
      <c r="AA249" s="1075"/>
      <c r="AB249" s="1075"/>
      <c r="AC249" s="1075"/>
      <c r="AD249" s="1075"/>
      <c r="AE249" s="1075"/>
      <c r="AF249" s="1075"/>
      <c r="AG249" s="1075"/>
      <c r="AH249" s="1075"/>
      <c r="AI249" s="1075"/>
      <c r="AJ249" s="1075"/>
      <c r="AK249" s="1075"/>
      <c r="AL249" s="1075"/>
      <c r="AM249" s="1075"/>
      <c r="AN249" s="1075"/>
      <c r="AO249" s="1075"/>
      <c r="AP249" s="1075"/>
      <c r="AQ249" s="1075"/>
      <c r="AR249" s="1075"/>
      <c r="AS249" s="1075"/>
      <c r="AT249" s="1075"/>
      <c r="AU249" s="1075"/>
      <c r="AV249" s="1075"/>
      <c r="AW249" s="1075"/>
      <c r="AX249" s="1075"/>
      <c r="AY249" s="1075"/>
      <c r="AZ249" s="1075"/>
    </row>
    <row r="250" spans="1:52" ht="17.100000000000001" customHeight="1">
      <c r="A250" s="1075"/>
      <c r="B250" s="1075"/>
      <c r="C250" s="1075"/>
      <c r="D250" s="1075"/>
      <c r="E250" s="1075"/>
      <c r="F250" s="1075"/>
      <c r="G250" s="1075"/>
      <c r="H250" s="1075"/>
      <c r="I250" s="1075"/>
      <c r="J250" s="1075"/>
      <c r="K250" s="1075"/>
      <c r="L250" s="1075"/>
      <c r="M250" s="1075"/>
      <c r="N250" s="1075"/>
      <c r="O250" s="1075"/>
      <c r="P250" s="1075"/>
      <c r="Q250" s="1075"/>
      <c r="R250" s="1075"/>
      <c r="S250" s="1075"/>
      <c r="T250" s="1075"/>
      <c r="U250" s="1075"/>
      <c r="V250" s="1075"/>
      <c r="W250" s="1075"/>
      <c r="X250" s="1075"/>
      <c r="Y250" s="1075"/>
      <c r="Z250" s="1075"/>
      <c r="AA250" s="1075"/>
      <c r="AB250" s="1075"/>
      <c r="AC250" s="1075"/>
      <c r="AD250" s="1075"/>
      <c r="AE250" s="1075"/>
      <c r="AF250" s="1075"/>
      <c r="AG250" s="1075"/>
      <c r="AH250" s="1075"/>
      <c r="AI250" s="1075"/>
      <c r="AJ250" s="1075"/>
      <c r="AK250" s="1075"/>
      <c r="AL250" s="1075"/>
      <c r="AM250" s="1075"/>
      <c r="AN250" s="1075"/>
      <c r="AO250" s="1075"/>
      <c r="AP250" s="1075"/>
      <c r="AQ250" s="1075"/>
      <c r="AR250" s="1075"/>
      <c r="AS250" s="1075"/>
      <c r="AT250" s="1075"/>
      <c r="AU250" s="1075"/>
      <c r="AV250" s="1075"/>
      <c r="AW250" s="1075"/>
      <c r="AX250" s="1075"/>
      <c r="AY250" s="1075"/>
      <c r="AZ250" s="1075"/>
    </row>
    <row r="251" spans="1:52" ht="17.100000000000001" customHeight="1">
      <c r="A251" s="1075"/>
      <c r="B251" s="1075"/>
      <c r="C251" s="1075"/>
      <c r="D251" s="1075"/>
      <c r="E251" s="1075"/>
      <c r="F251" s="1075"/>
      <c r="G251" s="1075"/>
      <c r="H251" s="1075"/>
      <c r="I251" s="1075"/>
      <c r="J251" s="1075"/>
      <c r="K251" s="1075"/>
      <c r="L251" s="1075"/>
      <c r="M251" s="1075"/>
      <c r="N251" s="1075"/>
      <c r="O251" s="1075"/>
      <c r="P251" s="1075"/>
      <c r="Q251" s="1075"/>
      <c r="R251" s="1075"/>
      <c r="S251" s="1075"/>
      <c r="T251" s="1075"/>
      <c r="U251" s="1075"/>
      <c r="V251" s="1075"/>
      <c r="W251" s="1075"/>
      <c r="X251" s="1075"/>
      <c r="Y251" s="1075"/>
      <c r="Z251" s="1075"/>
      <c r="AA251" s="1075"/>
      <c r="AB251" s="1075"/>
      <c r="AC251" s="1075"/>
      <c r="AD251" s="1075"/>
      <c r="AE251" s="1075"/>
      <c r="AF251" s="1075"/>
      <c r="AG251" s="1075"/>
      <c r="AH251" s="1075"/>
      <c r="AI251" s="1075"/>
      <c r="AJ251" s="1075"/>
      <c r="AK251" s="1075"/>
      <c r="AL251" s="1075"/>
      <c r="AM251" s="1075"/>
      <c r="AN251" s="1075"/>
      <c r="AO251" s="1075"/>
      <c r="AP251" s="1075"/>
      <c r="AQ251" s="1075"/>
      <c r="AR251" s="1075"/>
      <c r="AS251" s="1075"/>
      <c r="AT251" s="1075"/>
      <c r="AU251" s="1075"/>
      <c r="AV251" s="1075"/>
      <c r="AW251" s="1075"/>
      <c r="AX251" s="1075"/>
      <c r="AY251" s="1075"/>
      <c r="AZ251" s="1075"/>
    </row>
    <row r="252" spans="1:52" ht="17.100000000000001" customHeight="1">
      <c r="A252" s="1075"/>
      <c r="B252" s="1075"/>
      <c r="C252" s="1075"/>
      <c r="D252" s="1075"/>
      <c r="E252" s="1075"/>
      <c r="F252" s="1075"/>
      <c r="G252" s="1075"/>
      <c r="H252" s="1075"/>
      <c r="I252" s="1075"/>
      <c r="J252" s="1075"/>
      <c r="K252" s="1075"/>
      <c r="L252" s="1075"/>
      <c r="M252" s="1075"/>
      <c r="N252" s="1075"/>
      <c r="O252" s="1075"/>
      <c r="P252" s="1075"/>
      <c r="Q252" s="1075"/>
      <c r="R252" s="1075"/>
      <c r="S252" s="1075"/>
      <c r="T252" s="1075"/>
      <c r="U252" s="1075"/>
      <c r="V252" s="1075"/>
      <c r="W252" s="1075"/>
      <c r="X252" s="1075"/>
      <c r="Y252" s="1075"/>
      <c r="Z252" s="1075"/>
      <c r="AA252" s="1075"/>
      <c r="AB252" s="1075"/>
      <c r="AC252" s="1075"/>
      <c r="AD252" s="1075"/>
      <c r="AE252" s="1075"/>
      <c r="AF252" s="1075"/>
      <c r="AG252" s="1075"/>
      <c r="AH252" s="1075"/>
      <c r="AI252" s="1075"/>
      <c r="AJ252" s="1075"/>
      <c r="AK252" s="1075"/>
      <c r="AL252" s="1075"/>
      <c r="AM252" s="1075"/>
      <c r="AN252" s="1075"/>
      <c r="AO252" s="1075"/>
      <c r="AP252" s="1075"/>
      <c r="AQ252" s="1075"/>
      <c r="AR252" s="1075"/>
      <c r="AS252" s="1075"/>
      <c r="AT252" s="1075"/>
      <c r="AU252" s="1075"/>
      <c r="AV252" s="1075"/>
      <c r="AW252" s="1075"/>
      <c r="AX252" s="1075"/>
      <c r="AY252" s="1075"/>
      <c r="AZ252" s="1075"/>
    </row>
    <row r="253" spans="1:52" ht="17.100000000000001" customHeight="1">
      <c r="A253" s="1075"/>
      <c r="B253" s="1075"/>
      <c r="C253" s="1075"/>
      <c r="D253" s="1075"/>
      <c r="E253" s="1075"/>
      <c r="F253" s="1075"/>
      <c r="G253" s="1075"/>
      <c r="H253" s="1075"/>
      <c r="I253" s="1075"/>
      <c r="J253" s="1075"/>
      <c r="K253" s="1075"/>
      <c r="L253" s="1075"/>
      <c r="M253" s="1075"/>
      <c r="N253" s="1075"/>
      <c r="O253" s="1075"/>
      <c r="P253" s="1075"/>
      <c r="Q253" s="1075"/>
      <c r="R253" s="1075"/>
      <c r="S253" s="1075"/>
      <c r="T253" s="1075"/>
      <c r="U253" s="1075"/>
      <c r="V253" s="1075"/>
      <c r="W253" s="1075"/>
      <c r="X253" s="1075"/>
      <c r="Y253" s="1075"/>
      <c r="Z253" s="1075"/>
      <c r="AA253" s="1075"/>
      <c r="AB253" s="1075"/>
      <c r="AC253" s="1075"/>
      <c r="AD253" s="1075"/>
      <c r="AE253" s="1075"/>
      <c r="AF253" s="1075"/>
      <c r="AG253" s="1075"/>
      <c r="AH253" s="1075"/>
      <c r="AI253" s="1075"/>
      <c r="AJ253" s="1075"/>
      <c r="AK253" s="1075"/>
      <c r="AL253" s="1075"/>
      <c r="AM253" s="1075"/>
      <c r="AN253" s="1075"/>
      <c r="AO253" s="1075"/>
      <c r="AP253" s="1075"/>
      <c r="AQ253" s="1075"/>
      <c r="AR253" s="1075"/>
      <c r="AS253" s="1075"/>
      <c r="AT253" s="1075"/>
      <c r="AU253" s="1075"/>
      <c r="AV253" s="1075"/>
      <c r="AW253" s="1075"/>
      <c r="AX253" s="1075"/>
      <c r="AY253" s="1075"/>
      <c r="AZ253" s="1075"/>
    </row>
    <row r="254" spans="1:52" ht="17.100000000000001" customHeight="1">
      <c r="A254" s="1075"/>
      <c r="B254" s="1075"/>
      <c r="C254" s="1075"/>
      <c r="D254" s="1075"/>
      <c r="E254" s="1075"/>
      <c r="F254" s="1075"/>
      <c r="G254" s="1075"/>
      <c r="H254" s="1075"/>
      <c r="I254" s="1075"/>
      <c r="J254" s="1075"/>
      <c r="K254" s="1075"/>
      <c r="L254" s="1075"/>
      <c r="M254" s="1075"/>
      <c r="N254" s="1075"/>
      <c r="O254" s="1075"/>
      <c r="P254" s="1075"/>
      <c r="Q254" s="1075"/>
      <c r="R254" s="1075"/>
      <c r="S254" s="1075"/>
      <c r="T254" s="1075"/>
      <c r="U254" s="1075"/>
      <c r="V254" s="1075"/>
      <c r="W254" s="1075"/>
      <c r="X254" s="1075"/>
      <c r="Y254" s="1075"/>
      <c r="Z254" s="1075"/>
      <c r="AA254" s="1075"/>
      <c r="AB254" s="1075"/>
      <c r="AC254" s="1075"/>
      <c r="AD254" s="1075"/>
      <c r="AE254" s="1075"/>
      <c r="AF254" s="1075"/>
      <c r="AG254" s="1075"/>
      <c r="AH254" s="1075"/>
      <c r="AI254" s="1075"/>
      <c r="AJ254" s="1075"/>
      <c r="AK254" s="1075"/>
      <c r="AL254" s="1075"/>
      <c r="AM254" s="1075"/>
      <c r="AN254" s="1075"/>
      <c r="AO254" s="1075"/>
      <c r="AP254" s="1075"/>
      <c r="AQ254" s="1075"/>
      <c r="AR254" s="1075"/>
      <c r="AS254" s="1075"/>
      <c r="AT254" s="1075"/>
      <c r="AU254" s="1075"/>
      <c r="AV254" s="1075"/>
      <c r="AW254" s="1075"/>
      <c r="AX254" s="1075"/>
      <c r="AY254" s="1075"/>
      <c r="AZ254" s="1075"/>
    </row>
    <row r="255" spans="1:52" ht="17.100000000000001" customHeight="1">
      <c r="A255" s="1075"/>
      <c r="B255" s="1075"/>
      <c r="C255" s="1075"/>
      <c r="D255" s="1075"/>
      <c r="E255" s="1075"/>
      <c r="F255" s="1075"/>
      <c r="G255" s="1075"/>
      <c r="H255" s="1075"/>
      <c r="I255" s="1075"/>
      <c r="J255" s="1075"/>
      <c r="K255" s="1075"/>
      <c r="L255" s="1075"/>
      <c r="M255" s="1075"/>
      <c r="N255" s="1075"/>
      <c r="O255" s="1075"/>
      <c r="P255" s="1075"/>
      <c r="Q255" s="1075"/>
      <c r="R255" s="1075"/>
      <c r="S255" s="1075"/>
      <c r="T255" s="1075"/>
      <c r="U255" s="1075"/>
      <c r="V255" s="1075"/>
      <c r="W255" s="1075"/>
      <c r="X255" s="1075"/>
      <c r="Y255" s="1075"/>
      <c r="Z255" s="1075"/>
      <c r="AA255" s="1075"/>
      <c r="AB255" s="1075"/>
      <c r="AC255" s="1075"/>
      <c r="AD255" s="1075"/>
      <c r="AE255" s="1075"/>
      <c r="AF255" s="1075"/>
      <c r="AG255" s="1075"/>
      <c r="AH255" s="1075"/>
      <c r="AI255" s="1075"/>
      <c r="AJ255" s="1075"/>
      <c r="AK255" s="1075"/>
      <c r="AL255" s="1075"/>
      <c r="AM255" s="1075"/>
      <c r="AN255" s="1075"/>
      <c r="AO255" s="1075"/>
      <c r="AP255" s="1075"/>
      <c r="AQ255" s="1075"/>
      <c r="AR255" s="1075"/>
      <c r="AS255" s="1075"/>
      <c r="AT255" s="1075"/>
      <c r="AU255" s="1075"/>
      <c r="AV255" s="1075"/>
      <c r="AW255" s="1075"/>
      <c r="AX255" s="1075"/>
      <c r="AY255" s="1075"/>
      <c r="AZ255" s="1075"/>
    </row>
    <row r="256" spans="1:52" ht="17.100000000000001" customHeight="1">
      <c r="A256" s="1075"/>
      <c r="B256" s="1075"/>
      <c r="C256" s="1075"/>
      <c r="D256" s="1075"/>
      <c r="E256" s="1075"/>
      <c r="F256" s="1075"/>
      <c r="G256" s="1075"/>
      <c r="H256" s="1075"/>
      <c r="I256" s="1075"/>
      <c r="J256" s="1075"/>
      <c r="K256" s="1075"/>
      <c r="L256" s="1075"/>
      <c r="M256" s="1075"/>
      <c r="N256" s="1075"/>
      <c r="O256" s="1075"/>
      <c r="P256" s="1075"/>
      <c r="Q256" s="1075"/>
      <c r="R256" s="1075"/>
      <c r="S256" s="1075"/>
      <c r="T256" s="1075"/>
      <c r="U256" s="1075"/>
      <c r="V256" s="1075"/>
      <c r="W256" s="1075"/>
      <c r="X256" s="1075"/>
      <c r="Y256" s="1075"/>
      <c r="Z256" s="1075"/>
      <c r="AA256" s="1075"/>
      <c r="AB256" s="1075"/>
      <c r="AC256" s="1075"/>
      <c r="AD256" s="1075"/>
      <c r="AE256" s="1075"/>
      <c r="AF256" s="1075"/>
      <c r="AG256" s="1075"/>
      <c r="AH256" s="1075"/>
      <c r="AI256" s="1075"/>
      <c r="AJ256" s="1075"/>
      <c r="AK256" s="1075"/>
      <c r="AL256" s="1075"/>
      <c r="AM256" s="1075"/>
      <c r="AN256" s="1075"/>
      <c r="AO256" s="1075"/>
      <c r="AP256" s="1075"/>
      <c r="AQ256" s="1075"/>
      <c r="AR256" s="1075"/>
      <c r="AS256" s="1075"/>
      <c r="AT256" s="1075"/>
      <c r="AU256" s="1075"/>
      <c r="AV256" s="1075"/>
      <c r="AW256" s="1075"/>
      <c r="AX256" s="1075"/>
      <c r="AY256" s="1075"/>
      <c r="AZ256" s="1075"/>
    </row>
    <row r="257" spans="1:52" ht="17.100000000000001" customHeight="1">
      <c r="A257" s="1075"/>
      <c r="B257" s="1075"/>
      <c r="C257" s="1075"/>
      <c r="D257" s="1075"/>
      <c r="E257" s="1075"/>
      <c r="F257" s="1075"/>
      <c r="G257" s="1075"/>
      <c r="H257" s="1075"/>
      <c r="I257" s="1075"/>
      <c r="J257" s="1075"/>
      <c r="K257" s="1075"/>
      <c r="L257" s="1075"/>
      <c r="M257" s="1075"/>
      <c r="N257" s="1075"/>
      <c r="O257" s="1075"/>
      <c r="P257" s="1075"/>
      <c r="Q257" s="1075"/>
      <c r="R257" s="1075"/>
      <c r="S257" s="1075"/>
      <c r="T257" s="1075"/>
      <c r="U257" s="1075"/>
      <c r="V257" s="1075"/>
      <c r="W257" s="1075"/>
      <c r="X257" s="1075"/>
      <c r="Y257" s="1075"/>
      <c r="Z257" s="1075"/>
      <c r="AA257" s="1075"/>
      <c r="AB257" s="1075"/>
      <c r="AC257" s="1075"/>
      <c r="AD257" s="1075"/>
      <c r="AE257" s="1075"/>
      <c r="AF257" s="1075"/>
      <c r="AG257" s="1075"/>
      <c r="AH257" s="1075"/>
      <c r="AI257" s="1075"/>
      <c r="AJ257" s="1075"/>
      <c r="AK257" s="1075"/>
      <c r="AL257" s="1075"/>
      <c r="AM257" s="1075"/>
      <c r="AN257" s="1075"/>
      <c r="AO257" s="1075"/>
      <c r="AP257" s="1075"/>
      <c r="AQ257" s="1075"/>
      <c r="AR257" s="1075"/>
      <c r="AS257" s="1075"/>
      <c r="AT257" s="1075"/>
      <c r="AU257" s="1075"/>
      <c r="AV257" s="1075"/>
      <c r="AW257" s="1075"/>
      <c r="AX257" s="1075"/>
      <c r="AY257" s="1075"/>
      <c r="AZ257" s="1075"/>
    </row>
    <row r="258" spans="1:52" ht="17.100000000000001" customHeight="1">
      <c r="A258" s="1075"/>
      <c r="B258" s="1075"/>
      <c r="C258" s="1075"/>
      <c r="D258" s="1075"/>
      <c r="E258" s="1075"/>
      <c r="F258" s="1075"/>
      <c r="G258" s="1075"/>
      <c r="H258" s="1075"/>
      <c r="I258" s="1075"/>
      <c r="J258" s="1075"/>
      <c r="K258" s="1075"/>
      <c r="L258" s="1075"/>
      <c r="M258" s="1075"/>
      <c r="N258" s="1075"/>
      <c r="O258" s="1075"/>
      <c r="P258" s="1075"/>
      <c r="Q258" s="1075"/>
      <c r="R258" s="1075"/>
      <c r="S258" s="1075"/>
      <c r="T258" s="1075"/>
      <c r="U258" s="1075"/>
      <c r="V258" s="1075"/>
      <c r="W258" s="1075"/>
      <c r="X258" s="1075"/>
      <c r="Y258" s="1075"/>
      <c r="Z258" s="1075"/>
      <c r="AA258" s="1075"/>
      <c r="AB258" s="1075"/>
      <c r="AC258" s="1075"/>
      <c r="AD258" s="1075"/>
      <c r="AE258" s="1075"/>
      <c r="AF258" s="1075"/>
      <c r="AG258" s="1075"/>
      <c r="AH258" s="1075"/>
      <c r="AI258" s="1075"/>
      <c r="AJ258" s="1075"/>
      <c r="AK258" s="1075"/>
      <c r="AL258" s="1075"/>
      <c r="AM258" s="1075"/>
      <c r="AN258" s="1075"/>
      <c r="AO258" s="1075"/>
      <c r="AP258" s="1075"/>
      <c r="AQ258" s="1075"/>
      <c r="AR258" s="1075"/>
      <c r="AS258" s="1075"/>
      <c r="AT258" s="1075"/>
      <c r="AU258" s="1075"/>
      <c r="AV258" s="1075"/>
      <c r="AW258" s="1075"/>
      <c r="AX258" s="1075"/>
      <c r="AY258" s="1075"/>
      <c r="AZ258" s="1075"/>
    </row>
    <row r="259" spans="1:52" ht="17.100000000000001" customHeight="1">
      <c r="A259" s="1075"/>
      <c r="B259" s="1075"/>
      <c r="C259" s="1075"/>
      <c r="D259" s="1075"/>
      <c r="E259" s="1075"/>
      <c r="F259" s="1075"/>
      <c r="G259" s="1075"/>
      <c r="H259" s="1075"/>
      <c r="I259" s="1075"/>
      <c r="J259" s="1075"/>
      <c r="K259" s="1075"/>
      <c r="L259" s="1075"/>
      <c r="M259" s="1075"/>
      <c r="N259" s="1075"/>
      <c r="O259" s="1075"/>
      <c r="P259" s="1075"/>
      <c r="Q259" s="1075"/>
      <c r="R259" s="1075"/>
      <c r="S259" s="1075"/>
      <c r="T259" s="1075"/>
      <c r="U259" s="1075"/>
      <c r="V259" s="1075"/>
      <c r="W259" s="1075"/>
      <c r="X259" s="1075"/>
      <c r="Y259" s="1075"/>
      <c r="Z259" s="1075"/>
      <c r="AA259" s="1075"/>
      <c r="AB259" s="1075"/>
      <c r="AC259" s="1075"/>
      <c r="AD259" s="1075"/>
      <c r="AE259" s="1075"/>
      <c r="AF259" s="1075"/>
      <c r="AG259" s="1075"/>
      <c r="AH259" s="1075"/>
      <c r="AI259" s="1075"/>
      <c r="AJ259" s="1075"/>
      <c r="AK259" s="1075"/>
      <c r="AL259" s="1075"/>
      <c r="AM259" s="1075"/>
      <c r="AN259" s="1075"/>
      <c r="AO259" s="1075"/>
      <c r="AP259" s="1075"/>
      <c r="AQ259" s="1075"/>
      <c r="AR259" s="1075"/>
      <c r="AS259" s="1075"/>
      <c r="AT259" s="1075"/>
      <c r="AU259" s="1075"/>
      <c r="AV259" s="1075"/>
      <c r="AW259" s="1075"/>
      <c r="AX259" s="1075"/>
      <c r="AY259" s="1075"/>
      <c r="AZ259" s="1075"/>
    </row>
    <row r="260" spans="1:52" ht="17.100000000000001" customHeight="1">
      <c r="A260" s="1075"/>
      <c r="B260" s="1075"/>
      <c r="C260" s="1075"/>
      <c r="D260" s="1075"/>
      <c r="E260" s="1075"/>
      <c r="F260" s="1075"/>
      <c r="G260" s="1075"/>
      <c r="H260" s="1075"/>
      <c r="I260" s="1075"/>
      <c r="J260" s="1075"/>
      <c r="K260" s="1075"/>
      <c r="L260" s="1075"/>
      <c r="M260" s="1075"/>
      <c r="N260" s="1075"/>
      <c r="O260" s="1075"/>
      <c r="P260" s="1075"/>
      <c r="Q260" s="1075"/>
      <c r="R260" s="1075"/>
      <c r="S260" s="1075"/>
      <c r="T260" s="1075"/>
      <c r="U260" s="1075"/>
      <c r="V260" s="1075"/>
      <c r="W260" s="1075"/>
      <c r="X260" s="1075"/>
      <c r="Y260" s="1075"/>
      <c r="Z260" s="1075"/>
      <c r="AA260" s="1075"/>
      <c r="AB260" s="1075"/>
      <c r="AC260" s="1075"/>
      <c r="AD260" s="1075"/>
      <c r="AE260" s="1075"/>
      <c r="AF260" s="1075"/>
      <c r="AG260" s="1075"/>
      <c r="AH260" s="1075"/>
      <c r="AI260" s="1075"/>
      <c r="AJ260" s="1075"/>
      <c r="AK260" s="1075"/>
      <c r="AL260" s="1075"/>
      <c r="AM260" s="1075"/>
      <c r="AN260" s="1075"/>
      <c r="AO260" s="1075"/>
      <c r="AP260" s="1075"/>
      <c r="AQ260" s="1075"/>
      <c r="AR260" s="1075"/>
      <c r="AS260" s="1075"/>
      <c r="AT260" s="1075"/>
      <c r="AU260" s="1075"/>
      <c r="AV260" s="1075"/>
      <c r="AW260" s="1075"/>
      <c r="AX260" s="1075"/>
      <c r="AY260" s="1075"/>
      <c r="AZ260" s="1075"/>
    </row>
    <row r="261" spans="1:52" ht="17.100000000000001" customHeight="1">
      <c r="A261" s="1075"/>
      <c r="B261" s="1075"/>
      <c r="C261" s="1075"/>
      <c r="D261" s="1075"/>
      <c r="E261" s="1075"/>
      <c r="F261" s="1075"/>
      <c r="G261" s="1075"/>
      <c r="H261" s="1075"/>
      <c r="I261" s="1075"/>
      <c r="J261" s="1075"/>
      <c r="K261" s="1075"/>
      <c r="L261" s="1075"/>
      <c r="M261" s="1075"/>
      <c r="N261" s="1075"/>
      <c r="O261" s="1075"/>
      <c r="P261" s="1075"/>
      <c r="Q261" s="1075"/>
      <c r="R261" s="1075"/>
      <c r="S261" s="1075"/>
      <c r="T261" s="1075"/>
      <c r="U261" s="1075"/>
      <c r="V261" s="1075"/>
      <c r="W261" s="1075"/>
      <c r="X261" s="1075"/>
      <c r="Y261" s="1075"/>
      <c r="Z261" s="1075"/>
      <c r="AA261" s="1075"/>
      <c r="AB261" s="1075"/>
      <c r="AC261" s="1075"/>
      <c r="AD261" s="1075"/>
      <c r="AE261" s="1075"/>
      <c r="AF261" s="1075"/>
      <c r="AG261" s="1075"/>
      <c r="AH261" s="1075"/>
      <c r="AI261" s="1075"/>
      <c r="AJ261" s="1075"/>
      <c r="AK261" s="1075"/>
      <c r="AL261" s="1075"/>
      <c r="AM261" s="1075"/>
      <c r="AN261" s="1075"/>
      <c r="AO261" s="1075"/>
      <c r="AP261" s="1075"/>
      <c r="AQ261" s="1075"/>
      <c r="AR261" s="1075"/>
      <c r="AS261" s="1075"/>
      <c r="AT261" s="1075"/>
      <c r="AU261" s="1075"/>
      <c r="AV261" s="1075"/>
      <c r="AW261" s="1075"/>
      <c r="AX261" s="1075"/>
      <c r="AY261" s="1075"/>
      <c r="AZ261" s="1075"/>
    </row>
    <row r="262" spans="1:52" ht="17.100000000000001" customHeight="1">
      <c r="A262" s="1075"/>
      <c r="B262" s="1075"/>
      <c r="C262" s="1075"/>
      <c r="D262" s="1075"/>
      <c r="E262" s="1075"/>
      <c r="F262" s="1075"/>
      <c r="G262" s="1075"/>
      <c r="H262" s="1075"/>
      <c r="I262" s="1075"/>
      <c r="J262" s="1075"/>
      <c r="K262" s="1075"/>
      <c r="L262" s="1075"/>
      <c r="M262" s="1075"/>
      <c r="N262" s="1075"/>
      <c r="O262" s="1075"/>
      <c r="P262" s="1075"/>
      <c r="Q262" s="1075"/>
      <c r="R262" s="1075"/>
      <c r="S262" s="1075"/>
      <c r="T262" s="1075"/>
      <c r="U262" s="1075"/>
      <c r="V262" s="1075"/>
      <c r="W262" s="1075"/>
      <c r="X262" s="1075"/>
      <c r="Y262" s="1075"/>
      <c r="Z262" s="1075"/>
      <c r="AA262" s="1075"/>
      <c r="AB262" s="1075"/>
      <c r="AC262" s="1075"/>
      <c r="AD262" s="1075"/>
      <c r="AE262" s="1075"/>
      <c r="AF262" s="1075"/>
      <c r="AG262" s="1075"/>
      <c r="AH262" s="1075"/>
      <c r="AI262" s="1075"/>
      <c r="AJ262" s="1075"/>
      <c r="AK262" s="1075"/>
      <c r="AL262" s="1075"/>
      <c r="AM262" s="1075"/>
      <c r="AN262" s="1075"/>
      <c r="AO262" s="1075"/>
      <c r="AP262" s="1075"/>
      <c r="AQ262" s="1075"/>
      <c r="AR262" s="1075"/>
      <c r="AS262" s="1075"/>
      <c r="AT262" s="1075"/>
      <c r="AU262" s="1075"/>
      <c r="AV262" s="1075"/>
      <c r="AW262" s="1075"/>
      <c r="AX262" s="1075"/>
      <c r="AY262" s="1075"/>
      <c r="AZ262" s="1075"/>
    </row>
    <row r="263" spans="1:52" ht="17.100000000000001" customHeight="1">
      <c r="A263" s="1075"/>
      <c r="B263" s="1075"/>
      <c r="C263" s="1075"/>
      <c r="D263" s="1075"/>
      <c r="E263" s="1075"/>
      <c r="F263" s="1075"/>
      <c r="G263" s="1075"/>
      <c r="H263" s="1075"/>
      <c r="I263" s="1075"/>
      <c r="J263" s="1075"/>
      <c r="K263" s="1075"/>
      <c r="L263" s="1075"/>
      <c r="M263" s="1075"/>
      <c r="N263" s="1075"/>
      <c r="O263" s="1075"/>
      <c r="P263" s="1075"/>
      <c r="Q263" s="1075"/>
      <c r="R263" s="1075"/>
      <c r="S263" s="1075"/>
      <c r="T263" s="1075"/>
      <c r="U263" s="1075"/>
      <c r="V263" s="1075"/>
      <c r="W263" s="1075"/>
      <c r="X263" s="1075"/>
      <c r="Y263" s="1075"/>
      <c r="Z263" s="1075"/>
      <c r="AA263" s="1075"/>
      <c r="AB263" s="1075"/>
      <c r="AC263" s="1075"/>
      <c r="AD263" s="1075"/>
      <c r="AE263" s="1075"/>
      <c r="AF263" s="1075"/>
      <c r="AG263" s="1075"/>
      <c r="AH263" s="1075"/>
      <c r="AI263" s="1075"/>
      <c r="AJ263" s="1075"/>
      <c r="AK263" s="1075"/>
      <c r="AL263" s="1075"/>
      <c r="AM263" s="1075"/>
      <c r="AN263" s="1075"/>
      <c r="AO263" s="1075"/>
      <c r="AP263" s="1075"/>
      <c r="AQ263" s="1075"/>
      <c r="AR263" s="1075"/>
      <c r="AS263" s="1075"/>
      <c r="AT263" s="1075"/>
      <c r="AU263" s="1075"/>
      <c r="AV263" s="1075"/>
      <c r="AW263" s="1075"/>
      <c r="AX263" s="1075"/>
      <c r="AY263" s="1075"/>
      <c r="AZ263" s="1075"/>
    </row>
    <row r="264" spans="1:52" ht="17.100000000000001" customHeight="1">
      <c r="A264" s="1075"/>
      <c r="B264" s="1075"/>
      <c r="C264" s="1075"/>
      <c r="D264" s="1075"/>
      <c r="E264" s="1075"/>
      <c r="F264" s="1075"/>
      <c r="G264" s="1075"/>
      <c r="H264" s="1075"/>
      <c r="I264" s="1075"/>
      <c r="J264" s="1075"/>
      <c r="K264" s="1075"/>
      <c r="L264" s="1075"/>
      <c r="M264" s="1075"/>
      <c r="N264" s="1075"/>
      <c r="O264" s="1075"/>
      <c r="P264" s="1075"/>
      <c r="Q264" s="1075"/>
      <c r="R264" s="1075"/>
      <c r="S264" s="1075"/>
      <c r="T264" s="1075"/>
      <c r="U264" s="1075"/>
      <c r="V264" s="1075"/>
      <c r="W264" s="1075"/>
      <c r="X264" s="1075"/>
      <c r="Y264" s="1075"/>
      <c r="Z264" s="1075"/>
      <c r="AA264" s="1075"/>
      <c r="AB264" s="1075"/>
      <c r="AC264" s="1075"/>
      <c r="AD264" s="1075"/>
      <c r="AE264" s="1075"/>
      <c r="AF264" s="1075"/>
      <c r="AG264" s="1075"/>
      <c r="AH264" s="1075"/>
      <c r="AI264" s="1075"/>
      <c r="AJ264" s="1075"/>
      <c r="AK264" s="1075"/>
      <c r="AL264" s="1075"/>
      <c r="AM264" s="1075"/>
      <c r="AN264" s="1075"/>
      <c r="AO264" s="1075"/>
      <c r="AP264" s="1075"/>
      <c r="AQ264" s="1075"/>
      <c r="AR264" s="1075"/>
      <c r="AS264" s="1075"/>
      <c r="AT264" s="1075"/>
      <c r="AU264" s="1075"/>
      <c r="AV264" s="1075"/>
      <c r="AW264" s="1075"/>
      <c r="AX264" s="1075"/>
      <c r="AY264" s="1075"/>
      <c r="AZ264" s="1075"/>
    </row>
    <row r="265" spans="1:52" ht="17.100000000000001" customHeight="1">
      <c r="A265" s="1075"/>
      <c r="B265" s="1075"/>
      <c r="C265" s="1075"/>
      <c r="D265" s="1075"/>
      <c r="E265" s="1075"/>
      <c r="F265" s="1075"/>
      <c r="G265" s="1075"/>
      <c r="H265" s="1075"/>
      <c r="I265" s="1075"/>
      <c r="J265" s="1075"/>
      <c r="K265" s="1075"/>
      <c r="L265" s="1075"/>
      <c r="M265" s="1075"/>
      <c r="N265" s="1075"/>
      <c r="O265" s="1075"/>
      <c r="P265" s="1075"/>
      <c r="Q265" s="1075"/>
      <c r="R265" s="1075"/>
      <c r="S265" s="1075"/>
      <c r="T265" s="1075"/>
      <c r="U265" s="1075"/>
      <c r="V265" s="1075"/>
      <c r="W265" s="1075"/>
      <c r="X265" s="1075"/>
      <c r="Y265" s="1075"/>
      <c r="Z265" s="1075"/>
      <c r="AA265" s="1075"/>
      <c r="AB265" s="1075"/>
      <c r="AC265" s="1075"/>
      <c r="AD265" s="1075"/>
      <c r="AE265" s="1075"/>
      <c r="AF265" s="1075"/>
      <c r="AG265" s="1075"/>
      <c r="AH265" s="1075"/>
      <c r="AI265" s="1075"/>
      <c r="AJ265" s="1075"/>
      <c r="AK265" s="1075"/>
      <c r="AL265" s="1075"/>
      <c r="AM265" s="1075"/>
      <c r="AN265" s="1075"/>
      <c r="AO265" s="1075"/>
      <c r="AP265" s="1075"/>
      <c r="AQ265" s="1075"/>
      <c r="AR265" s="1075"/>
      <c r="AS265" s="1075"/>
      <c r="AT265" s="1075"/>
      <c r="AU265" s="1075"/>
      <c r="AV265" s="1075"/>
      <c r="AW265" s="1075"/>
      <c r="AX265" s="1075"/>
      <c r="AY265" s="1075"/>
      <c r="AZ265" s="1075"/>
    </row>
    <row r="266" spans="1:52" ht="17.100000000000001" customHeight="1">
      <c r="A266" s="1075"/>
      <c r="B266" s="1075"/>
      <c r="C266" s="1075"/>
      <c r="D266" s="1075"/>
      <c r="E266" s="1075"/>
      <c r="F266" s="1075"/>
      <c r="G266" s="1075"/>
      <c r="H266" s="1075"/>
      <c r="I266" s="1075"/>
      <c r="J266" s="1075"/>
      <c r="K266" s="1075"/>
      <c r="L266" s="1075"/>
      <c r="M266" s="1075"/>
      <c r="N266" s="1075"/>
      <c r="O266" s="1075"/>
      <c r="P266" s="1075"/>
      <c r="Q266" s="1075"/>
      <c r="R266" s="1075"/>
      <c r="S266" s="1075"/>
      <c r="T266" s="1075"/>
      <c r="U266" s="1075"/>
      <c r="V266" s="1075"/>
      <c r="W266" s="1075"/>
      <c r="X266" s="1075"/>
      <c r="Y266" s="1075"/>
      <c r="Z266" s="1075"/>
      <c r="AA266" s="1075"/>
      <c r="AB266" s="1075"/>
      <c r="AC266" s="1075"/>
      <c r="AD266" s="1075"/>
      <c r="AE266" s="1075"/>
      <c r="AF266" s="1075"/>
      <c r="AG266" s="1075"/>
      <c r="AH266" s="1075"/>
      <c r="AI266" s="1075"/>
      <c r="AJ266" s="1075"/>
      <c r="AK266" s="1075"/>
      <c r="AL266" s="1075"/>
      <c r="AM266" s="1075"/>
      <c r="AN266" s="1075"/>
      <c r="AO266" s="1075"/>
      <c r="AP266" s="1075"/>
      <c r="AQ266" s="1075"/>
      <c r="AR266" s="1075"/>
      <c r="AS266" s="1075"/>
      <c r="AT266" s="1075"/>
      <c r="AU266" s="1075"/>
      <c r="AV266" s="1075"/>
      <c r="AW266" s="1075"/>
      <c r="AX266" s="1075"/>
      <c r="AY266" s="1075"/>
      <c r="AZ266" s="1075"/>
    </row>
    <row r="267" spans="1:52" ht="17.100000000000001" customHeight="1">
      <c r="A267" s="1075"/>
      <c r="B267" s="1075"/>
      <c r="C267" s="1075"/>
      <c r="D267" s="1075"/>
      <c r="E267" s="1075"/>
      <c r="F267" s="1075"/>
      <c r="G267" s="1075"/>
      <c r="H267" s="1075"/>
      <c r="I267" s="1075"/>
      <c r="J267" s="1075"/>
      <c r="K267" s="1075"/>
      <c r="L267" s="1075"/>
      <c r="M267" s="1075"/>
      <c r="N267" s="1075"/>
      <c r="O267" s="1075"/>
      <c r="P267" s="1075"/>
      <c r="Q267" s="1075"/>
      <c r="R267" s="1075"/>
      <c r="S267" s="1075"/>
      <c r="T267" s="1075"/>
      <c r="U267" s="1075"/>
      <c r="V267" s="1075"/>
      <c r="W267" s="1075"/>
      <c r="X267" s="1075"/>
      <c r="Y267" s="1075"/>
      <c r="Z267" s="1075"/>
      <c r="AA267" s="1075"/>
      <c r="AB267" s="1075"/>
      <c r="AC267" s="1075"/>
      <c r="AD267" s="1075"/>
      <c r="AE267" s="1075"/>
      <c r="AF267" s="1075"/>
      <c r="AG267" s="1075"/>
      <c r="AH267" s="1075"/>
      <c r="AI267" s="1075"/>
      <c r="AJ267" s="1075"/>
      <c r="AK267" s="1075"/>
      <c r="AL267" s="1075"/>
      <c r="AM267" s="1075"/>
      <c r="AN267" s="1075"/>
      <c r="AO267" s="1075"/>
      <c r="AP267" s="1075"/>
      <c r="AQ267" s="1075"/>
      <c r="AR267" s="1075"/>
      <c r="AS267" s="1075"/>
      <c r="AT267" s="1075"/>
      <c r="AU267" s="1075"/>
      <c r="AV267" s="1075"/>
      <c r="AW267" s="1075"/>
      <c r="AX267" s="1075"/>
      <c r="AY267" s="1075"/>
      <c r="AZ267" s="1075"/>
    </row>
    <row r="268" spans="1:52" ht="17.100000000000001" customHeight="1">
      <c r="A268" s="1075"/>
      <c r="B268" s="1075"/>
      <c r="C268" s="1075"/>
      <c r="D268" s="1075"/>
      <c r="E268" s="1075"/>
      <c r="F268" s="1075"/>
      <c r="G268" s="1075"/>
      <c r="H268" s="1075"/>
      <c r="I268" s="1075"/>
      <c r="J268" s="1075"/>
      <c r="K268" s="1075"/>
      <c r="L268" s="1075"/>
      <c r="M268" s="1075"/>
      <c r="N268" s="1075"/>
      <c r="O268" s="1075"/>
      <c r="P268" s="1075"/>
      <c r="Q268" s="1075"/>
      <c r="R268" s="1075"/>
      <c r="S268" s="1075"/>
      <c r="T268" s="1075"/>
      <c r="U268" s="1075"/>
      <c r="V268" s="1075"/>
      <c r="W268" s="1075"/>
      <c r="X268" s="1075"/>
      <c r="Y268" s="1075"/>
      <c r="Z268" s="1075"/>
      <c r="AA268" s="1075"/>
      <c r="AB268" s="1075"/>
      <c r="AC268" s="1075"/>
      <c r="AD268" s="1075"/>
      <c r="AE268" s="1075"/>
      <c r="AF268" s="1075"/>
      <c r="AG268" s="1075"/>
      <c r="AH268" s="1075"/>
      <c r="AI268" s="1075"/>
      <c r="AJ268" s="1075"/>
      <c r="AK268" s="1075"/>
      <c r="AL268" s="1075"/>
      <c r="AM268" s="1075"/>
      <c r="AN268" s="1075"/>
      <c r="AO268" s="1075"/>
      <c r="AP268" s="1075"/>
      <c r="AQ268" s="1075"/>
      <c r="AR268" s="1075"/>
      <c r="AS268" s="1075"/>
      <c r="AT268" s="1075"/>
      <c r="AU268" s="1075"/>
      <c r="AV268" s="1075"/>
      <c r="AW268" s="1075"/>
      <c r="AX268" s="1075"/>
      <c r="AY268" s="1075"/>
      <c r="AZ268" s="1075"/>
    </row>
    <row r="269" spans="1:52" ht="17.100000000000001" customHeight="1">
      <c r="A269" s="1075"/>
      <c r="B269" s="1075"/>
      <c r="C269" s="1075"/>
      <c r="D269" s="1075"/>
      <c r="E269" s="1075"/>
      <c r="F269" s="1075"/>
      <c r="G269" s="1075"/>
      <c r="H269" s="1075"/>
      <c r="I269" s="1075"/>
      <c r="J269" s="1075"/>
      <c r="K269" s="1075"/>
      <c r="L269" s="1075"/>
      <c r="M269" s="1075"/>
      <c r="N269" s="1075"/>
      <c r="O269" s="1075"/>
      <c r="P269" s="1075"/>
      <c r="Q269" s="1075"/>
      <c r="R269" s="1075"/>
      <c r="S269" s="1075"/>
      <c r="T269" s="1075"/>
      <c r="U269" s="1075"/>
      <c r="V269" s="1075"/>
      <c r="W269" s="1075"/>
      <c r="X269" s="1075"/>
      <c r="Y269" s="1075"/>
      <c r="Z269" s="1075"/>
      <c r="AA269" s="1075"/>
      <c r="AB269" s="1075"/>
      <c r="AC269" s="1075"/>
      <c r="AD269" s="1075"/>
      <c r="AE269" s="1075"/>
      <c r="AF269" s="1075"/>
      <c r="AG269" s="1075"/>
      <c r="AH269" s="1075"/>
      <c r="AI269" s="1075"/>
      <c r="AJ269" s="1075"/>
      <c r="AK269" s="1075"/>
      <c r="AL269" s="1075"/>
      <c r="AM269" s="1075"/>
      <c r="AN269" s="1075"/>
      <c r="AO269" s="1075"/>
      <c r="AP269" s="1075"/>
      <c r="AQ269" s="1075"/>
      <c r="AR269" s="1075"/>
      <c r="AS269" s="1075"/>
      <c r="AT269" s="1075"/>
      <c r="AU269" s="1075"/>
      <c r="AV269" s="1075"/>
      <c r="AW269" s="1075"/>
      <c r="AX269" s="1075"/>
      <c r="AY269" s="1075"/>
      <c r="AZ269" s="1075"/>
    </row>
    <row r="270" spans="1:52" ht="17.100000000000001" customHeight="1">
      <c r="A270" s="1075"/>
      <c r="B270" s="1075"/>
      <c r="C270" s="1075"/>
      <c r="D270" s="1075"/>
      <c r="E270" s="1075"/>
      <c r="F270" s="1075"/>
      <c r="G270" s="1075"/>
      <c r="H270" s="1075"/>
      <c r="I270" s="1075"/>
      <c r="J270" s="1075"/>
      <c r="K270" s="1075"/>
      <c r="L270" s="1075"/>
      <c r="M270" s="1075"/>
      <c r="N270" s="1075"/>
      <c r="O270" s="1075"/>
      <c r="P270" s="1075"/>
      <c r="Q270" s="1075"/>
      <c r="R270" s="1075"/>
      <c r="S270" s="1075"/>
      <c r="T270" s="1075"/>
      <c r="U270" s="1075"/>
      <c r="V270" s="1075"/>
      <c r="W270" s="1075"/>
      <c r="X270" s="1075"/>
      <c r="Y270" s="1075"/>
      <c r="Z270" s="1075"/>
      <c r="AA270" s="1075"/>
      <c r="AB270" s="1075"/>
      <c r="AC270" s="1075"/>
      <c r="AD270" s="1075"/>
      <c r="AE270" s="1075"/>
      <c r="AF270" s="1075"/>
      <c r="AG270" s="1075"/>
      <c r="AH270" s="1075"/>
      <c r="AI270" s="1075"/>
      <c r="AJ270" s="1075"/>
      <c r="AK270" s="1075"/>
      <c r="AL270" s="1075"/>
      <c r="AM270" s="1075"/>
      <c r="AN270" s="1075"/>
      <c r="AO270" s="1075"/>
      <c r="AP270" s="1075"/>
      <c r="AQ270" s="1075"/>
      <c r="AR270" s="1075"/>
      <c r="AS270" s="1075"/>
      <c r="AT270" s="1075"/>
      <c r="AU270" s="1075"/>
      <c r="AV270" s="1075"/>
      <c r="AW270" s="1075"/>
      <c r="AX270" s="1075"/>
      <c r="AY270" s="1075"/>
      <c r="AZ270" s="1075"/>
    </row>
    <row r="271" spans="1:52" ht="17.100000000000001" customHeight="1">
      <c r="A271" s="1075"/>
      <c r="B271" s="1075"/>
      <c r="C271" s="1075"/>
      <c r="D271" s="1075"/>
      <c r="E271" s="1075"/>
      <c r="F271" s="1075"/>
      <c r="G271" s="1075"/>
      <c r="H271" s="1075"/>
      <c r="I271" s="1075"/>
      <c r="J271" s="1075"/>
      <c r="K271" s="1075"/>
      <c r="L271" s="1075"/>
      <c r="M271" s="1075"/>
      <c r="N271" s="1075"/>
      <c r="O271" s="1075"/>
      <c r="P271" s="1075"/>
      <c r="Q271" s="1075"/>
      <c r="R271" s="1075"/>
      <c r="S271" s="1075"/>
      <c r="T271" s="1075"/>
      <c r="U271" s="1075"/>
      <c r="V271" s="1075"/>
      <c r="W271" s="1075"/>
      <c r="X271" s="1075"/>
      <c r="Y271" s="1075"/>
      <c r="Z271" s="1075"/>
      <c r="AA271" s="1075"/>
      <c r="AB271" s="1075"/>
      <c r="AC271" s="1075"/>
      <c r="AD271" s="1075"/>
      <c r="AE271" s="1075"/>
      <c r="AF271" s="1075"/>
      <c r="AG271" s="1075"/>
      <c r="AH271" s="1075"/>
      <c r="AI271" s="1075"/>
      <c r="AJ271" s="1075"/>
      <c r="AK271" s="1075"/>
      <c r="AL271" s="1075"/>
      <c r="AM271" s="1075"/>
      <c r="AN271" s="1075"/>
      <c r="AO271" s="1075"/>
      <c r="AP271" s="1075"/>
      <c r="AQ271" s="1075"/>
      <c r="AR271" s="1075"/>
      <c r="AS271" s="1075"/>
      <c r="AT271" s="1075"/>
      <c r="AU271" s="1075"/>
      <c r="AV271" s="1075"/>
      <c r="AW271" s="1075"/>
      <c r="AX271" s="1075"/>
      <c r="AY271" s="1075"/>
      <c r="AZ271" s="1075"/>
    </row>
    <row r="272" spans="1:52" ht="17.100000000000001" customHeight="1">
      <c r="A272" s="1075"/>
      <c r="B272" s="1075"/>
      <c r="C272" s="1075"/>
      <c r="D272" s="1075"/>
      <c r="E272" s="1075"/>
      <c r="F272" s="1075"/>
      <c r="G272" s="1075"/>
      <c r="H272" s="1075"/>
      <c r="I272" s="1075"/>
      <c r="J272" s="1075"/>
      <c r="K272" s="1075"/>
      <c r="L272" s="1075"/>
      <c r="M272" s="1075"/>
      <c r="N272" s="1075"/>
      <c r="O272" s="1075"/>
      <c r="P272" s="1075"/>
      <c r="Q272" s="1075"/>
      <c r="R272" s="1075"/>
      <c r="S272" s="1075"/>
      <c r="T272" s="1075"/>
      <c r="U272" s="1075"/>
      <c r="V272" s="1075"/>
      <c r="W272" s="1075"/>
      <c r="X272" s="1075"/>
      <c r="Y272" s="1075"/>
      <c r="Z272" s="1075"/>
      <c r="AA272" s="1075"/>
      <c r="AB272" s="1075"/>
      <c r="AC272" s="1075"/>
      <c r="AD272" s="1075"/>
      <c r="AE272" s="1075"/>
      <c r="AF272" s="1075"/>
      <c r="AG272" s="1075"/>
      <c r="AH272" s="1075"/>
      <c r="AI272" s="1075"/>
      <c r="AJ272" s="1075"/>
      <c r="AK272" s="1075"/>
      <c r="AL272" s="1075"/>
      <c r="AM272" s="1075"/>
      <c r="AN272" s="1075"/>
      <c r="AO272" s="1075"/>
      <c r="AP272" s="1075"/>
      <c r="AQ272" s="1075"/>
      <c r="AR272" s="1075"/>
      <c r="AS272" s="1075"/>
      <c r="AT272" s="1075"/>
      <c r="AU272" s="1075"/>
      <c r="AV272" s="1075"/>
      <c r="AW272" s="1075"/>
      <c r="AX272" s="1075"/>
      <c r="AY272" s="1075"/>
      <c r="AZ272" s="1075"/>
    </row>
    <row r="273" spans="1:52" ht="17.100000000000001" customHeight="1">
      <c r="A273" s="1075"/>
      <c r="B273" s="1075"/>
      <c r="C273" s="1075"/>
      <c r="D273" s="1075"/>
      <c r="E273" s="1075"/>
      <c r="F273" s="1075"/>
      <c r="G273" s="1075"/>
      <c r="H273" s="1075"/>
      <c r="I273" s="1075"/>
      <c r="J273" s="1075"/>
      <c r="K273" s="1075"/>
      <c r="L273" s="1075"/>
      <c r="M273" s="1075"/>
      <c r="N273" s="1075"/>
      <c r="O273" s="1075"/>
      <c r="P273" s="1075"/>
      <c r="Q273" s="1075"/>
      <c r="R273" s="1075"/>
      <c r="S273" s="1075"/>
      <c r="T273" s="1075"/>
      <c r="U273" s="1075"/>
      <c r="V273" s="1075"/>
      <c r="W273" s="1075"/>
      <c r="X273" s="1075"/>
      <c r="Y273" s="1075"/>
      <c r="Z273" s="1075"/>
      <c r="AA273" s="1075"/>
      <c r="AB273" s="1075"/>
      <c r="AC273" s="1075"/>
      <c r="AD273" s="1075"/>
      <c r="AE273" s="1075"/>
      <c r="AF273" s="1075"/>
      <c r="AG273" s="1075"/>
      <c r="AH273" s="1075"/>
      <c r="AI273" s="1075"/>
      <c r="AJ273" s="1075"/>
      <c r="AK273" s="1075"/>
      <c r="AL273" s="1075"/>
      <c r="AM273" s="1075"/>
      <c r="AN273" s="1075"/>
      <c r="AO273" s="1075"/>
      <c r="AP273" s="1075"/>
      <c r="AQ273" s="1075"/>
      <c r="AR273" s="1075"/>
      <c r="AS273" s="1075"/>
      <c r="AT273" s="1075"/>
      <c r="AU273" s="1075"/>
      <c r="AV273" s="1075"/>
      <c r="AW273" s="1075"/>
      <c r="AX273" s="1075"/>
      <c r="AY273" s="1075"/>
      <c r="AZ273" s="1075"/>
    </row>
    <row r="274" spans="1:52" ht="17.100000000000001" customHeight="1">
      <c r="A274" s="1075"/>
      <c r="B274" s="1075"/>
      <c r="C274" s="1075"/>
      <c r="D274" s="1075"/>
      <c r="E274" s="1075"/>
      <c r="F274" s="1075"/>
      <c r="G274" s="1075"/>
      <c r="H274" s="1075"/>
      <c r="I274" s="1075"/>
      <c r="J274" s="1075"/>
      <c r="K274" s="1075"/>
      <c r="L274" s="1075"/>
      <c r="M274" s="1075"/>
      <c r="N274" s="1075"/>
      <c r="O274" s="1075"/>
      <c r="P274" s="1075"/>
      <c r="Q274" s="1075"/>
      <c r="R274" s="1075"/>
      <c r="S274" s="1075"/>
      <c r="T274" s="1075"/>
      <c r="U274" s="1075"/>
      <c r="V274" s="1075"/>
      <c r="W274" s="1075"/>
      <c r="X274" s="1075"/>
      <c r="Y274" s="1075"/>
      <c r="Z274" s="1075"/>
      <c r="AA274" s="1075"/>
      <c r="AB274" s="1075"/>
      <c r="AC274" s="1075"/>
      <c r="AD274" s="1075"/>
      <c r="AE274" s="1075"/>
      <c r="AF274" s="1075"/>
      <c r="AG274" s="1075"/>
      <c r="AH274" s="1075"/>
      <c r="AI274" s="1075"/>
      <c r="AJ274" s="1075"/>
      <c r="AK274" s="1075"/>
      <c r="AL274" s="1075"/>
      <c r="AM274" s="1075"/>
      <c r="AN274" s="1075"/>
      <c r="AO274" s="1075"/>
      <c r="AP274" s="1075"/>
      <c r="AQ274" s="1075"/>
      <c r="AR274" s="1075"/>
      <c r="AS274" s="1075"/>
      <c r="AT274" s="1075"/>
      <c r="AU274" s="1075"/>
      <c r="AV274" s="1075"/>
      <c r="AW274" s="1075"/>
      <c r="AX274" s="1075"/>
      <c r="AY274" s="1075"/>
      <c r="AZ274" s="1075"/>
    </row>
    <row r="275" spans="1:52" ht="17.100000000000001" customHeight="1">
      <c r="A275" s="1075"/>
      <c r="B275" s="1075"/>
      <c r="C275" s="1075"/>
      <c r="D275" s="1075"/>
      <c r="E275" s="1075"/>
      <c r="F275" s="1075"/>
      <c r="G275" s="1075"/>
      <c r="H275" s="1075"/>
      <c r="I275" s="1075"/>
      <c r="J275" s="1075"/>
      <c r="K275" s="1075"/>
      <c r="L275" s="1075"/>
      <c r="M275" s="1075"/>
      <c r="N275" s="1075"/>
      <c r="O275" s="1075"/>
      <c r="P275" s="1075"/>
      <c r="Q275" s="1075"/>
      <c r="R275" s="1075"/>
      <c r="S275" s="1075"/>
      <c r="T275" s="1075"/>
      <c r="U275" s="1075"/>
      <c r="V275" s="1075"/>
      <c r="W275" s="1075"/>
      <c r="X275" s="1075"/>
      <c r="Y275" s="1075"/>
      <c r="Z275" s="1075"/>
      <c r="AA275" s="1075"/>
      <c r="AB275" s="1075"/>
      <c r="AC275" s="1075"/>
      <c r="AD275" s="1075"/>
      <c r="AE275" s="1075"/>
      <c r="AF275" s="1075"/>
      <c r="AG275" s="1075"/>
      <c r="AH275" s="1075"/>
      <c r="AI275" s="1075"/>
      <c r="AJ275" s="1075"/>
      <c r="AK275" s="1075"/>
      <c r="AL275" s="1075"/>
      <c r="AM275" s="1075"/>
      <c r="AN275" s="1075"/>
      <c r="AO275" s="1075"/>
      <c r="AP275" s="1075"/>
      <c r="AQ275" s="1075"/>
      <c r="AR275" s="1075"/>
      <c r="AS275" s="1075"/>
      <c r="AT275" s="1075"/>
      <c r="AU275" s="1075"/>
      <c r="AV275" s="1075"/>
      <c r="AW275" s="1075"/>
      <c r="AX275" s="1075"/>
      <c r="AY275" s="1075"/>
      <c r="AZ275" s="1075"/>
    </row>
    <row r="276" spans="1:52" ht="17.100000000000001" customHeight="1">
      <c r="A276" s="1075"/>
      <c r="B276" s="1075"/>
      <c r="C276" s="1075"/>
      <c r="D276" s="1075"/>
      <c r="E276" s="1075"/>
      <c r="F276" s="1075"/>
      <c r="G276" s="1075"/>
      <c r="H276" s="1075"/>
      <c r="I276" s="1075"/>
      <c r="J276" s="1075"/>
      <c r="K276" s="1075"/>
      <c r="L276" s="1075"/>
      <c r="M276" s="1075"/>
      <c r="N276" s="1075"/>
      <c r="O276" s="1075"/>
      <c r="P276" s="1075"/>
      <c r="Q276" s="1075"/>
      <c r="R276" s="1075"/>
      <c r="S276" s="1075"/>
      <c r="T276" s="1075"/>
      <c r="U276" s="1075"/>
      <c r="V276" s="1075"/>
      <c r="W276" s="1075"/>
      <c r="X276" s="1075"/>
      <c r="Y276" s="1075"/>
      <c r="Z276" s="1075"/>
      <c r="AA276" s="1075"/>
      <c r="AB276" s="1075"/>
      <c r="AC276" s="1075"/>
      <c r="AD276" s="1075"/>
      <c r="AE276" s="1075"/>
      <c r="AF276" s="1075"/>
      <c r="AG276" s="1075"/>
      <c r="AH276" s="1075"/>
      <c r="AI276" s="1075"/>
      <c r="AJ276" s="1075"/>
      <c r="AK276" s="1075"/>
      <c r="AL276" s="1075"/>
      <c r="AM276" s="1075"/>
      <c r="AN276" s="1075"/>
      <c r="AO276" s="1075"/>
      <c r="AP276" s="1075"/>
      <c r="AQ276" s="1075"/>
      <c r="AR276" s="1075"/>
      <c r="AS276" s="1075"/>
      <c r="AT276" s="1075"/>
      <c r="AU276" s="1075"/>
      <c r="AV276" s="1075"/>
      <c r="AW276" s="1075"/>
      <c r="AX276" s="1075"/>
      <c r="AY276" s="1075"/>
      <c r="AZ276" s="1075"/>
    </row>
    <row r="277" spans="1:52" ht="17.100000000000001" customHeight="1">
      <c r="A277" s="1075"/>
      <c r="B277" s="1075"/>
      <c r="C277" s="1075"/>
      <c r="D277" s="1075"/>
      <c r="E277" s="1075"/>
      <c r="F277" s="1075"/>
      <c r="G277" s="1075"/>
      <c r="H277" s="1075"/>
      <c r="I277" s="1075"/>
      <c r="J277" s="1075"/>
      <c r="K277" s="1075"/>
      <c r="L277" s="1075"/>
      <c r="M277" s="1075"/>
      <c r="N277" s="1075"/>
      <c r="O277" s="1075"/>
      <c r="P277" s="1075"/>
      <c r="Q277" s="1075"/>
      <c r="R277" s="1075"/>
      <c r="S277" s="1075"/>
      <c r="T277" s="1075"/>
      <c r="U277" s="1075"/>
      <c r="V277" s="1075"/>
      <c r="W277" s="1075"/>
      <c r="X277" s="1075"/>
      <c r="Y277" s="1075"/>
      <c r="Z277" s="1075"/>
      <c r="AA277" s="1075"/>
      <c r="AB277" s="1075"/>
      <c r="AC277" s="1075"/>
      <c r="AD277" s="1075"/>
      <c r="AE277" s="1075"/>
      <c r="AF277" s="1075"/>
      <c r="AG277" s="1075"/>
      <c r="AH277" s="1075"/>
      <c r="AI277" s="1075"/>
      <c r="AJ277" s="1075"/>
      <c r="AK277" s="1075"/>
      <c r="AL277" s="1075"/>
      <c r="AM277" s="1075"/>
      <c r="AN277" s="1075"/>
      <c r="AO277" s="1075"/>
      <c r="AP277" s="1075"/>
      <c r="AQ277" s="1075"/>
      <c r="AR277" s="1075"/>
      <c r="AS277" s="1075"/>
      <c r="AT277" s="1075"/>
      <c r="AU277" s="1075"/>
      <c r="AV277" s="1075"/>
      <c r="AW277" s="1075"/>
      <c r="AX277" s="1075"/>
      <c r="AY277" s="1075"/>
      <c r="AZ277" s="1075"/>
    </row>
    <row r="278" spans="1:52" ht="17.100000000000001" customHeight="1">
      <c r="A278" s="1075"/>
      <c r="B278" s="1075"/>
      <c r="C278" s="1075"/>
      <c r="D278" s="1075"/>
      <c r="E278" s="1075"/>
      <c r="F278" s="1075"/>
      <c r="G278" s="1075"/>
      <c r="H278" s="1075"/>
      <c r="I278" s="1075"/>
      <c r="J278" s="1075"/>
      <c r="K278" s="1075"/>
      <c r="L278" s="1075"/>
      <c r="M278" s="1075"/>
      <c r="N278" s="1075"/>
      <c r="O278" s="1075"/>
      <c r="P278" s="1075"/>
      <c r="Q278" s="1075"/>
      <c r="R278" s="1075"/>
      <c r="S278" s="1075"/>
      <c r="T278" s="1075"/>
      <c r="U278" s="1075"/>
      <c r="V278" s="1075"/>
      <c r="W278" s="1075"/>
      <c r="X278" s="1075"/>
      <c r="Y278" s="1075"/>
      <c r="Z278" s="1075"/>
      <c r="AA278" s="1075"/>
      <c r="AB278" s="1075"/>
      <c r="AC278" s="1075"/>
      <c r="AD278" s="1075"/>
      <c r="AE278" s="1075"/>
      <c r="AF278" s="1075"/>
      <c r="AG278" s="1075"/>
      <c r="AH278" s="1075"/>
      <c r="AI278" s="1075"/>
      <c r="AJ278" s="1075"/>
      <c r="AK278" s="1075"/>
      <c r="AL278" s="1075"/>
      <c r="AM278" s="1075"/>
      <c r="AN278" s="1075"/>
      <c r="AO278" s="1075"/>
      <c r="AP278" s="1075"/>
      <c r="AQ278" s="1075"/>
      <c r="AR278" s="1075"/>
      <c r="AS278" s="1075"/>
      <c r="AT278" s="1075"/>
      <c r="AU278" s="1075"/>
      <c r="AV278" s="1075"/>
      <c r="AW278" s="1075"/>
      <c r="AX278" s="1075"/>
      <c r="AY278" s="1075"/>
      <c r="AZ278" s="1075"/>
    </row>
    <row r="279" spans="1:52" ht="17.100000000000001" customHeight="1">
      <c r="A279" s="1075"/>
      <c r="B279" s="1075"/>
      <c r="C279" s="1075"/>
      <c r="D279" s="1075"/>
      <c r="E279" s="1075"/>
      <c r="F279" s="1075"/>
      <c r="G279" s="1075"/>
      <c r="H279" s="1075"/>
      <c r="I279" s="1075"/>
      <c r="J279" s="1075"/>
      <c r="K279" s="1075"/>
      <c r="L279" s="1075"/>
      <c r="M279" s="1075"/>
      <c r="N279" s="1075"/>
      <c r="O279" s="1075"/>
      <c r="P279" s="1075"/>
      <c r="Q279" s="1075"/>
      <c r="R279" s="1075"/>
      <c r="S279" s="1075"/>
      <c r="T279" s="1075"/>
      <c r="U279" s="1075"/>
      <c r="V279" s="1075"/>
      <c r="W279" s="1075"/>
      <c r="X279" s="1075"/>
      <c r="Y279" s="1075"/>
      <c r="Z279" s="1075"/>
      <c r="AA279" s="1075"/>
      <c r="AB279" s="1075"/>
      <c r="AC279" s="1075"/>
      <c r="AD279" s="1075"/>
      <c r="AE279" s="1075"/>
      <c r="AF279" s="1075"/>
      <c r="AG279" s="1075"/>
      <c r="AH279" s="1075"/>
      <c r="AI279" s="1075"/>
      <c r="AJ279" s="1075"/>
      <c r="AK279" s="1075"/>
      <c r="AL279" s="1075"/>
      <c r="AM279" s="1075"/>
      <c r="AN279" s="1075"/>
      <c r="AO279" s="1075"/>
      <c r="AP279" s="1075"/>
      <c r="AQ279" s="1075"/>
      <c r="AR279" s="1075"/>
      <c r="AS279" s="1075"/>
      <c r="AT279" s="1075"/>
      <c r="AU279" s="1075"/>
      <c r="AV279" s="1075"/>
      <c r="AW279" s="1075"/>
      <c r="AX279" s="1075"/>
      <c r="AY279" s="1075"/>
      <c r="AZ279" s="1075"/>
    </row>
    <row r="280" spans="1:52" ht="17.100000000000001" customHeight="1">
      <c r="A280" s="1075"/>
      <c r="B280" s="1075"/>
      <c r="C280" s="1075"/>
      <c r="D280" s="1075"/>
      <c r="E280" s="1075"/>
      <c r="F280" s="1075"/>
      <c r="G280" s="1075"/>
      <c r="H280" s="1075"/>
      <c r="I280" s="1075"/>
      <c r="J280" s="1075"/>
      <c r="K280" s="1075"/>
      <c r="L280" s="1075"/>
      <c r="M280" s="1075"/>
      <c r="N280" s="1075"/>
      <c r="O280" s="1075"/>
      <c r="P280" s="1075"/>
      <c r="Q280" s="1075"/>
      <c r="R280" s="1075"/>
      <c r="S280" s="1075"/>
      <c r="T280" s="1075"/>
      <c r="U280" s="1075"/>
      <c r="V280" s="1075"/>
      <c r="W280" s="1075"/>
      <c r="X280" s="1075"/>
      <c r="Y280" s="1075"/>
      <c r="Z280" s="1075"/>
      <c r="AA280" s="1075"/>
      <c r="AB280" s="1075"/>
      <c r="AC280" s="1075"/>
      <c r="AD280" s="1075"/>
      <c r="AE280" s="1075"/>
      <c r="AF280" s="1075"/>
      <c r="AG280" s="1075"/>
      <c r="AH280" s="1075"/>
      <c r="AI280" s="1075"/>
      <c r="AJ280" s="1075"/>
      <c r="AK280" s="1075"/>
      <c r="AL280" s="1075"/>
      <c r="AM280" s="1075"/>
      <c r="AN280" s="1075"/>
      <c r="AO280" s="1075"/>
      <c r="AP280" s="1075"/>
      <c r="AQ280" s="1075"/>
      <c r="AR280" s="1075"/>
      <c r="AS280" s="1075"/>
      <c r="AT280" s="1075"/>
      <c r="AU280" s="1075"/>
      <c r="AV280" s="1075"/>
      <c r="AW280" s="1075"/>
      <c r="AX280" s="1075"/>
      <c r="AY280" s="1075"/>
      <c r="AZ280" s="1075"/>
    </row>
    <row r="281" spans="1:52" ht="17.100000000000001" customHeight="1">
      <c r="A281" s="1075"/>
      <c r="B281" s="1075"/>
      <c r="C281" s="1075"/>
      <c r="D281" s="1075"/>
      <c r="E281" s="1075"/>
      <c r="F281" s="1075"/>
      <c r="G281" s="1075"/>
      <c r="H281" s="1075"/>
      <c r="I281" s="1075"/>
      <c r="J281" s="1075"/>
      <c r="K281" s="1075"/>
      <c r="L281" s="1075"/>
      <c r="M281" s="1075"/>
      <c r="N281" s="1075"/>
      <c r="O281" s="1075"/>
      <c r="P281" s="1075"/>
      <c r="Q281" s="1075"/>
      <c r="R281" s="1075"/>
      <c r="S281" s="1075"/>
      <c r="T281" s="1075"/>
      <c r="U281" s="1075"/>
      <c r="V281" s="1075"/>
      <c r="W281" s="1075"/>
      <c r="X281" s="1075"/>
      <c r="Y281" s="1075"/>
      <c r="Z281" s="1075"/>
      <c r="AA281" s="1075"/>
      <c r="AB281" s="1075"/>
      <c r="AC281" s="1075"/>
      <c r="AD281" s="1075"/>
      <c r="AE281" s="1075"/>
      <c r="AF281" s="1075"/>
      <c r="AG281" s="1075"/>
      <c r="AH281" s="1075"/>
      <c r="AI281" s="1075"/>
      <c r="AJ281" s="1075"/>
      <c r="AK281" s="1075"/>
      <c r="AL281" s="1075"/>
      <c r="AM281" s="1075"/>
      <c r="AN281" s="1075"/>
      <c r="AO281" s="1075"/>
      <c r="AP281" s="1075"/>
      <c r="AQ281" s="1075"/>
      <c r="AR281" s="1075"/>
      <c r="AS281" s="1075"/>
      <c r="AT281" s="1075"/>
      <c r="AU281" s="1075"/>
      <c r="AV281" s="1075"/>
      <c r="AW281" s="1075"/>
      <c r="AX281" s="1075"/>
      <c r="AY281" s="1075"/>
      <c r="AZ281" s="1075"/>
    </row>
    <row r="282" spans="1:52" ht="17.100000000000001" customHeight="1">
      <c r="A282" s="1075"/>
      <c r="B282" s="1075"/>
      <c r="C282" s="1075"/>
      <c r="D282" s="1075"/>
      <c r="E282" s="1075"/>
      <c r="F282" s="1075"/>
      <c r="G282" s="1075"/>
      <c r="H282" s="1075"/>
      <c r="I282" s="1075"/>
      <c r="J282" s="1075"/>
      <c r="K282" s="1075"/>
      <c r="L282" s="1075"/>
      <c r="M282" s="1075"/>
      <c r="N282" s="1075"/>
      <c r="O282" s="1075"/>
      <c r="P282" s="1075"/>
      <c r="Q282" s="1075"/>
      <c r="R282" s="1075"/>
      <c r="S282" s="1075"/>
      <c r="T282" s="1075"/>
      <c r="U282" s="1075"/>
      <c r="V282" s="1075"/>
      <c r="W282" s="1075"/>
      <c r="X282" s="1075"/>
      <c r="Y282" s="1075"/>
      <c r="Z282" s="1075"/>
      <c r="AA282" s="1075"/>
      <c r="AB282" s="1075"/>
      <c r="AC282" s="1075"/>
      <c r="AD282" s="1075"/>
      <c r="AE282" s="1075"/>
      <c r="AF282" s="1075"/>
      <c r="AG282" s="1075"/>
      <c r="AH282" s="1075"/>
      <c r="AI282" s="1075"/>
      <c r="AJ282" s="1075"/>
      <c r="AK282" s="1075"/>
      <c r="AL282" s="1075"/>
      <c r="AM282" s="1075"/>
      <c r="AN282" s="1075"/>
      <c r="AO282" s="1075"/>
      <c r="AP282" s="1075"/>
      <c r="AQ282" s="1075"/>
      <c r="AR282" s="1075"/>
      <c r="AS282" s="1075"/>
      <c r="AT282" s="1075"/>
      <c r="AU282" s="1075"/>
      <c r="AV282" s="1075"/>
      <c r="AW282" s="1075"/>
      <c r="AX282" s="1075"/>
      <c r="AY282" s="1075"/>
      <c r="AZ282" s="1075"/>
    </row>
    <row r="283" spans="1:52" ht="17.100000000000001" customHeight="1">
      <c r="A283" s="1075"/>
      <c r="B283" s="1075"/>
      <c r="C283" s="1075"/>
      <c r="D283" s="1075"/>
      <c r="E283" s="1075"/>
      <c r="F283" s="1075"/>
      <c r="G283" s="1075"/>
      <c r="H283" s="1075"/>
      <c r="I283" s="1075"/>
      <c r="J283" s="1075"/>
      <c r="K283" s="1075"/>
      <c r="L283" s="1075"/>
      <c r="M283" s="1075"/>
      <c r="N283" s="1075"/>
      <c r="O283" s="1075"/>
      <c r="P283" s="1075"/>
      <c r="Q283" s="1075"/>
      <c r="R283" s="1075"/>
      <c r="S283" s="1075"/>
      <c r="T283" s="1075"/>
      <c r="U283" s="1075"/>
      <c r="V283" s="1075"/>
      <c r="W283" s="1075"/>
      <c r="X283" s="1075"/>
      <c r="Y283" s="1075"/>
      <c r="Z283" s="1075"/>
      <c r="AA283" s="1075"/>
      <c r="AB283" s="1075"/>
      <c r="AC283" s="1075"/>
      <c r="AD283" s="1075"/>
      <c r="AE283" s="1075"/>
      <c r="AF283" s="1075"/>
      <c r="AG283" s="1075"/>
      <c r="AH283" s="1075"/>
      <c r="AI283" s="1075"/>
      <c r="AJ283" s="1075"/>
      <c r="AK283" s="1075"/>
      <c r="AL283" s="1075"/>
      <c r="AM283" s="1075"/>
      <c r="AN283" s="1075"/>
      <c r="AO283" s="1075"/>
      <c r="AP283" s="1075"/>
      <c r="AQ283" s="1075"/>
      <c r="AR283" s="1075"/>
      <c r="AS283" s="1075"/>
      <c r="AT283" s="1075"/>
      <c r="AU283" s="1075"/>
      <c r="AV283" s="1075"/>
      <c r="AW283" s="1075"/>
      <c r="AX283" s="1075"/>
      <c r="AY283" s="1075"/>
      <c r="AZ283" s="1075"/>
    </row>
    <row r="284" spans="1:52" ht="17.100000000000001" customHeight="1">
      <c r="A284" s="1075"/>
      <c r="B284" s="1075"/>
      <c r="C284" s="1075"/>
      <c r="D284" s="1075"/>
      <c r="E284" s="1075"/>
      <c r="F284" s="1075"/>
      <c r="G284" s="1075"/>
      <c r="H284" s="1075"/>
      <c r="I284" s="1075"/>
      <c r="J284" s="1075"/>
      <c r="K284" s="1075"/>
      <c r="L284" s="1075"/>
      <c r="M284" s="1075"/>
      <c r="N284" s="1075"/>
      <c r="O284" s="1075"/>
      <c r="P284" s="1075"/>
      <c r="Q284" s="1075"/>
      <c r="R284" s="1075"/>
      <c r="S284" s="1075"/>
      <c r="T284" s="1075"/>
      <c r="U284" s="1075"/>
      <c r="V284" s="1075"/>
      <c r="W284" s="1075"/>
      <c r="X284" s="1075"/>
      <c r="Y284" s="1075"/>
      <c r="Z284" s="1075"/>
      <c r="AA284" s="1075"/>
      <c r="AB284" s="1075"/>
      <c r="AC284" s="1075"/>
      <c r="AD284" s="1075"/>
      <c r="AE284" s="1075"/>
      <c r="AF284" s="1075"/>
      <c r="AG284" s="1075"/>
      <c r="AH284" s="1075"/>
      <c r="AI284" s="1075"/>
      <c r="AJ284" s="1075"/>
      <c r="AK284" s="1075"/>
      <c r="AL284" s="1075"/>
      <c r="AM284" s="1075"/>
      <c r="AN284" s="1075"/>
      <c r="AO284" s="1075"/>
      <c r="AP284" s="1075"/>
      <c r="AQ284" s="1075"/>
      <c r="AR284" s="1075"/>
      <c r="AS284" s="1075"/>
      <c r="AT284" s="1075"/>
      <c r="AU284" s="1075"/>
      <c r="AV284" s="1075"/>
      <c r="AW284" s="1075"/>
      <c r="AX284" s="1075"/>
      <c r="AY284" s="1075"/>
      <c r="AZ284" s="1075"/>
    </row>
    <row r="285" spans="1:52" ht="17.100000000000001" customHeight="1">
      <c r="A285" s="1075"/>
      <c r="B285" s="1075"/>
      <c r="C285" s="1075"/>
      <c r="D285" s="1075"/>
      <c r="E285" s="1075"/>
      <c r="F285" s="1075"/>
      <c r="G285" s="1075"/>
      <c r="H285" s="1075"/>
      <c r="I285" s="1075"/>
      <c r="J285" s="1075"/>
      <c r="K285" s="1075"/>
      <c r="L285" s="1075"/>
      <c r="M285" s="1075"/>
      <c r="N285" s="1075"/>
      <c r="O285" s="1075"/>
      <c r="P285" s="1075"/>
      <c r="Q285" s="1075"/>
      <c r="R285" s="1075"/>
      <c r="S285" s="1075"/>
      <c r="T285" s="1075"/>
      <c r="U285" s="1075"/>
      <c r="V285" s="1075"/>
      <c r="W285" s="1075"/>
      <c r="X285" s="1075"/>
      <c r="Y285" s="1075"/>
      <c r="Z285" s="1075"/>
      <c r="AA285" s="1075"/>
      <c r="AB285" s="1075"/>
      <c r="AC285" s="1075"/>
      <c r="AD285" s="1075"/>
      <c r="AE285" s="1075"/>
      <c r="AF285" s="1075"/>
      <c r="AG285" s="1075"/>
      <c r="AH285" s="1075"/>
      <c r="AI285" s="1075"/>
      <c r="AJ285" s="1075"/>
      <c r="AK285" s="1075"/>
      <c r="AL285" s="1075"/>
      <c r="AM285" s="1075"/>
      <c r="AN285" s="1075"/>
      <c r="AO285" s="1075"/>
      <c r="AP285" s="1075"/>
      <c r="AQ285" s="1075"/>
      <c r="AR285" s="1075"/>
      <c r="AS285" s="1075"/>
      <c r="AT285" s="1075"/>
      <c r="AU285" s="1075"/>
      <c r="AV285" s="1075"/>
      <c r="AW285" s="1075"/>
      <c r="AX285" s="1075"/>
      <c r="AY285" s="1075"/>
      <c r="AZ285" s="1075"/>
    </row>
    <row r="286" spans="1:52" ht="17.100000000000001" customHeight="1">
      <c r="A286" s="1075"/>
      <c r="B286" s="1075"/>
      <c r="C286" s="1075"/>
      <c r="D286" s="1075"/>
      <c r="E286" s="1075"/>
      <c r="F286" s="1075"/>
      <c r="G286" s="1075"/>
      <c r="H286" s="1075"/>
      <c r="I286" s="1075"/>
      <c r="J286" s="1075"/>
      <c r="K286" s="1075"/>
      <c r="L286" s="1075"/>
      <c r="M286" s="1075"/>
      <c r="N286" s="1075"/>
      <c r="O286" s="1075"/>
      <c r="P286" s="1075"/>
      <c r="Q286" s="1075"/>
      <c r="R286" s="1075"/>
      <c r="S286" s="1075"/>
      <c r="T286" s="1075"/>
      <c r="U286" s="1075"/>
      <c r="V286" s="1075"/>
      <c r="W286" s="1075"/>
      <c r="X286" s="1075"/>
      <c r="Y286" s="1075"/>
      <c r="Z286" s="1075"/>
      <c r="AA286" s="1075"/>
      <c r="AB286" s="1075"/>
      <c r="AC286" s="1075"/>
      <c r="AD286" s="1075"/>
      <c r="AE286" s="1075"/>
      <c r="AF286" s="1075"/>
      <c r="AG286" s="1075"/>
      <c r="AH286" s="1075"/>
      <c r="AI286" s="1075"/>
      <c r="AJ286" s="1075"/>
      <c r="AK286" s="1075"/>
      <c r="AL286" s="1075"/>
      <c r="AM286" s="1075"/>
      <c r="AN286" s="1075"/>
      <c r="AO286" s="1075"/>
      <c r="AP286" s="1075"/>
      <c r="AQ286" s="1075"/>
      <c r="AR286" s="1075"/>
      <c r="AS286" s="1075"/>
      <c r="AT286" s="1075"/>
      <c r="AU286" s="1075"/>
      <c r="AV286" s="1075"/>
      <c r="AW286" s="1075"/>
      <c r="AX286" s="1075"/>
      <c r="AY286" s="1075"/>
      <c r="AZ286" s="1075"/>
    </row>
    <row r="287" spans="1:52" ht="17.100000000000001" customHeight="1">
      <c r="A287" s="1075"/>
      <c r="B287" s="1075"/>
      <c r="C287" s="1075"/>
      <c r="D287" s="1075"/>
      <c r="E287" s="1075"/>
      <c r="F287" s="1075"/>
      <c r="G287" s="1075"/>
      <c r="H287" s="1075"/>
      <c r="I287" s="1075"/>
      <c r="J287" s="1075"/>
      <c r="K287" s="1075"/>
      <c r="L287" s="1075"/>
      <c r="M287" s="1075"/>
      <c r="N287" s="1075"/>
      <c r="O287" s="1075"/>
      <c r="P287" s="1075"/>
      <c r="Q287" s="1075"/>
      <c r="R287" s="1075"/>
      <c r="S287" s="1075"/>
      <c r="T287" s="1075"/>
      <c r="U287" s="1075"/>
      <c r="V287" s="1075"/>
      <c r="W287" s="1075"/>
      <c r="X287" s="1075"/>
      <c r="Y287" s="1075"/>
      <c r="Z287" s="1075"/>
      <c r="AA287" s="1075"/>
      <c r="AB287" s="1075"/>
      <c r="AC287" s="1075"/>
      <c r="AD287" s="1075"/>
      <c r="AE287" s="1075"/>
      <c r="AF287" s="1075"/>
      <c r="AG287" s="1075"/>
      <c r="AH287" s="1075"/>
      <c r="AI287" s="1075"/>
      <c r="AJ287" s="1075"/>
      <c r="AK287" s="1075"/>
      <c r="AL287" s="1075"/>
      <c r="AM287" s="1075"/>
      <c r="AN287" s="1075"/>
      <c r="AO287" s="1075"/>
      <c r="AP287" s="1075"/>
      <c r="AQ287" s="1075"/>
      <c r="AR287" s="1075"/>
      <c r="AS287" s="1075"/>
      <c r="AT287" s="1075"/>
      <c r="AU287" s="1075"/>
      <c r="AV287" s="1075"/>
      <c r="AW287" s="1075"/>
      <c r="AX287" s="1075"/>
      <c r="AY287" s="1075"/>
      <c r="AZ287" s="1075"/>
    </row>
    <row r="288" spans="1:52" ht="17.100000000000001" customHeight="1">
      <c r="A288" s="1075"/>
      <c r="B288" s="1075"/>
      <c r="C288" s="1075"/>
      <c r="D288" s="1075"/>
      <c r="E288" s="1075"/>
      <c r="F288" s="1075"/>
      <c r="G288" s="1075"/>
      <c r="H288" s="1075"/>
      <c r="I288" s="1075"/>
      <c r="J288" s="1075"/>
      <c r="K288" s="1075"/>
      <c r="L288" s="1075"/>
      <c r="M288" s="1075"/>
      <c r="N288" s="1075"/>
      <c r="O288" s="1075"/>
      <c r="P288" s="1075"/>
      <c r="Q288" s="1075"/>
      <c r="R288" s="1075"/>
      <c r="S288" s="1075"/>
      <c r="T288" s="1075"/>
      <c r="U288" s="1075"/>
      <c r="V288" s="1075"/>
      <c r="W288" s="1075"/>
      <c r="X288" s="1075"/>
      <c r="Y288" s="1075"/>
      <c r="Z288" s="1075"/>
      <c r="AA288" s="1075"/>
      <c r="AB288" s="1075"/>
      <c r="AC288" s="1075"/>
      <c r="AD288" s="1075"/>
      <c r="AE288" s="1075"/>
      <c r="AF288" s="1075"/>
      <c r="AG288" s="1075"/>
      <c r="AH288" s="1075"/>
      <c r="AI288" s="1075"/>
      <c r="AJ288" s="1075"/>
      <c r="AK288" s="1075"/>
      <c r="AL288" s="1075"/>
      <c r="AM288" s="1075"/>
      <c r="AN288" s="1075"/>
      <c r="AO288" s="1075"/>
      <c r="AP288" s="1075"/>
      <c r="AQ288" s="1075"/>
      <c r="AR288" s="1075"/>
      <c r="AS288" s="1075"/>
      <c r="AT288" s="1075"/>
      <c r="AU288" s="1075"/>
      <c r="AV288" s="1075"/>
      <c r="AW288" s="1075"/>
      <c r="AX288" s="1075"/>
      <c r="AY288" s="1075"/>
      <c r="AZ288" s="1075"/>
    </row>
    <row r="289" spans="1:52" ht="17.100000000000001" customHeight="1">
      <c r="A289" s="1075"/>
      <c r="B289" s="1075"/>
      <c r="C289" s="1075"/>
      <c r="D289" s="1075"/>
      <c r="E289" s="1075"/>
      <c r="F289" s="1075"/>
      <c r="G289" s="1075"/>
      <c r="H289" s="1075"/>
      <c r="I289" s="1075"/>
      <c r="J289" s="1075"/>
      <c r="K289" s="1075"/>
      <c r="L289" s="1075"/>
      <c r="M289" s="1075"/>
      <c r="N289" s="1075"/>
      <c r="O289" s="1075"/>
      <c r="P289" s="1075"/>
      <c r="Q289" s="1075"/>
      <c r="R289" s="1075"/>
      <c r="S289" s="1075"/>
      <c r="T289" s="1075"/>
      <c r="U289" s="1075"/>
      <c r="V289" s="1075"/>
      <c r="W289" s="1075"/>
      <c r="X289" s="1075"/>
      <c r="Y289" s="1075"/>
      <c r="Z289" s="1075"/>
      <c r="AA289" s="1075"/>
      <c r="AB289" s="1075"/>
      <c r="AC289" s="1075"/>
      <c r="AD289" s="1075"/>
      <c r="AE289" s="1075"/>
      <c r="AF289" s="1075"/>
      <c r="AG289" s="1075"/>
      <c r="AH289" s="1075"/>
      <c r="AI289" s="1075"/>
      <c r="AJ289" s="1075"/>
      <c r="AK289" s="1075"/>
      <c r="AL289" s="1075"/>
      <c r="AM289" s="1075"/>
      <c r="AN289" s="1075"/>
      <c r="AO289" s="1075"/>
      <c r="AP289" s="1075"/>
      <c r="AQ289" s="1075"/>
      <c r="AR289" s="1075"/>
      <c r="AS289" s="1075"/>
      <c r="AT289" s="1075"/>
      <c r="AU289" s="1075"/>
      <c r="AV289" s="1075"/>
      <c r="AW289" s="1075"/>
      <c r="AX289" s="1075"/>
      <c r="AY289" s="1075"/>
      <c r="AZ289" s="1075"/>
    </row>
    <row r="290" spans="1:52" ht="17.100000000000001" customHeight="1">
      <c r="A290" s="1075"/>
      <c r="B290" s="1075"/>
      <c r="C290" s="1075"/>
      <c r="D290" s="1075"/>
      <c r="E290" s="1075"/>
      <c r="F290" s="1075"/>
      <c r="G290" s="1075"/>
      <c r="H290" s="1075"/>
      <c r="I290" s="1075"/>
      <c r="J290" s="1075"/>
      <c r="K290" s="1075"/>
      <c r="L290" s="1075"/>
      <c r="M290" s="1075"/>
      <c r="N290" s="1075"/>
      <c r="O290" s="1075"/>
      <c r="P290" s="1075"/>
      <c r="Q290" s="1075"/>
      <c r="R290" s="1075"/>
      <c r="S290" s="1075"/>
      <c r="T290" s="1075"/>
      <c r="U290" s="1075"/>
      <c r="V290" s="1075"/>
      <c r="W290" s="1075"/>
      <c r="X290" s="1075"/>
      <c r="Y290" s="1075"/>
      <c r="Z290" s="1075"/>
      <c r="AA290" s="1075"/>
      <c r="AB290" s="1075"/>
      <c r="AC290" s="1075"/>
      <c r="AD290" s="1075"/>
      <c r="AE290" s="1075"/>
      <c r="AF290" s="1075"/>
      <c r="AG290" s="1075"/>
      <c r="AH290" s="1075"/>
      <c r="AI290" s="1075"/>
      <c r="AJ290" s="1075"/>
      <c r="AK290" s="1075"/>
      <c r="AL290" s="1075"/>
      <c r="AM290" s="1075"/>
      <c r="AN290" s="1075"/>
      <c r="AO290" s="1075"/>
      <c r="AP290" s="1075"/>
      <c r="AQ290" s="1075"/>
      <c r="AR290" s="1075"/>
      <c r="AS290" s="1075"/>
      <c r="AT290" s="1075"/>
      <c r="AU290" s="1075"/>
      <c r="AV290" s="1075"/>
      <c r="AW290" s="1075"/>
      <c r="AX290" s="1075"/>
      <c r="AY290" s="1075"/>
      <c r="AZ290" s="1075"/>
    </row>
    <row r="291" spans="1:52" ht="17.100000000000001" customHeight="1">
      <c r="A291" s="1075"/>
      <c r="B291" s="1075"/>
      <c r="C291" s="1075"/>
      <c r="D291" s="1075"/>
      <c r="E291" s="1075"/>
      <c r="F291" s="1075"/>
      <c r="G291" s="1075"/>
      <c r="H291" s="1075"/>
      <c r="I291" s="1075"/>
      <c r="J291" s="1075"/>
      <c r="K291" s="1075"/>
      <c r="L291" s="1075"/>
      <c r="M291" s="1075"/>
      <c r="N291" s="1075"/>
      <c r="O291" s="1075"/>
      <c r="P291" s="1075"/>
      <c r="Q291" s="1075"/>
      <c r="R291" s="1075"/>
      <c r="S291" s="1075"/>
      <c r="T291" s="1075"/>
      <c r="U291" s="1075"/>
      <c r="V291" s="1075"/>
      <c r="W291" s="1075"/>
      <c r="X291" s="1075"/>
      <c r="Y291" s="1075"/>
      <c r="Z291" s="1075"/>
      <c r="AA291" s="1075"/>
      <c r="AB291" s="1075"/>
      <c r="AC291" s="1075"/>
      <c r="AD291" s="1075"/>
      <c r="AE291" s="1075"/>
      <c r="AF291" s="1075"/>
      <c r="AG291" s="1075"/>
      <c r="AH291" s="1075"/>
      <c r="AI291" s="1075"/>
      <c r="AJ291" s="1075"/>
      <c r="AK291" s="1075"/>
      <c r="AL291" s="1075"/>
      <c r="AM291" s="1075"/>
      <c r="AN291" s="1075"/>
      <c r="AO291" s="1075"/>
      <c r="AP291" s="1075"/>
      <c r="AQ291" s="1075"/>
      <c r="AR291" s="1075"/>
      <c r="AS291" s="1075"/>
      <c r="AT291" s="1075"/>
      <c r="AU291" s="1075"/>
      <c r="AV291" s="1075"/>
      <c r="AW291" s="1075"/>
      <c r="AX291" s="1075"/>
      <c r="AY291" s="1075"/>
      <c r="AZ291" s="1075"/>
    </row>
    <row r="292" spans="1:52" ht="17.100000000000001" customHeight="1">
      <c r="A292" s="1075"/>
      <c r="B292" s="1075"/>
      <c r="C292" s="1075"/>
      <c r="D292" s="1075"/>
      <c r="E292" s="1075"/>
      <c r="F292" s="1075"/>
      <c r="G292" s="1075"/>
      <c r="H292" s="1075"/>
      <c r="I292" s="1075"/>
      <c r="J292" s="1075"/>
      <c r="K292" s="1075"/>
      <c r="L292" s="1075"/>
      <c r="M292" s="1075"/>
      <c r="N292" s="1075"/>
      <c r="O292" s="1075"/>
      <c r="P292" s="1075"/>
      <c r="Q292" s="1075"/>
      <c r="R292" s="1075"/>
      <c r="S292" s="1075"/>
      <c r="T292" s="1075"/>
      <c r="U292" s="1075"/>
      <c r="V292" s="1075"/>
      <c r="W292" s="1075"/>
      <c r="X292" s="1075"/>
      <c r="Y292" s="1075"/>
      <c r="Z292" s="1075"/>
      <c r="AA292" s="1075"/>
      <c r="AB292" s="1075"/>
      <c r="AC292" s="1075"/>
      <c r="AD292" s="1075"/>
      <c r="AE292" s="1075"/>
      <c r="AF292" s="1075"/>
      <c r="AG292" s="1075"/>
      <c r="AH292" s="1075"/>
      <c r="AI292" s="1075"/>
      <c r="AJ292" s="1075"/>
      <c r="AK292" s="1075"/>
      <c r="AL292" s="1075"/>
      <c r="AM292" s="1075"/>
      <c r="AN292" s="1075"/>
      <c r="AO292" s="1075"/>
      <c r="AP292" s="1075"/>
      <c r="AQ292" s="1075"/>
      <c r="AR292" s="1075"/>
      <c r="AS292" s="1075"/>
      <c r="AT292" s="1075"/>
      <c r="AU292" s="1075"/>
      <c r="AV292" s="1075"/>
      <c r="AW292" s="1075"/>
      <c r="AX292" s="1075"/>
      <c r="AY292" s="1075"/>
      <c r="AZ292" s="1075"/>
    </row>
    <row r="293" spans="1:52" ht="17.100000000000001" customHeight="1">
      <c r="A293" s="1075"/>
      <c r="B293" s="1075"/>
      <c r="C293" s="1075"/>
      <c r="D293" s="1075"/>
      <c r="E293" s="1075"/>
      <c r="F293" s="1075"/>
      <c r="G293" s="1075"/>
      <c r="H293" s="1075"/>
      <c r="I293" s="1075"/>
      <c r="J293" s="1075"/>
      <c r="K293" s="1075"/>
      <c r="L293" s="1075"/>
      <c r="M293" s="1075"/>
      <c r="N293" s="1075"/>
      <c r="O293" s="1075"/>
      <c r="P293" s="1075"/>
      <c r="Q293" s="1075"/>
      <c r="R293" s="1075"/>
      <c r="S293" s="1075"/>
      <c r="T293" s="1075"/>
      <c r="U293" s="1075"/>
      <c r="V293" s="1075"/>
      <c r="W293" s="1075"/>
      <c r="X293" s="1075"/>
      <c r="Y293" s="1075"/>
      <c r="Z293" s="1075"/>
      <c r="AA293" s="1075"/>
      <c r="AB293" s="1075"/>
      <c r="AC293" s="1075"/>
      <c r="AD293" s="1075"/>
      <c r="AE293" s="1075"/>
      <c r="AF293" s="1075"/>
      <c r="AG293" s="1075"/>
      <c r="AH293" s="1075"/>
      <c r="AI293" s="1075"/>
      <c r="AJ293" s="1075"/>
      <c r="AK293" s="1075"/>
      <c r="AL293" s="1075"/>
      <c r="AM293" s="1075"/>
      <c r="AN293" s="1075"/>
      <c r="AO293" s="1075"/>
      <c r="AP293" s="1075"/>
      <c r="AQ293" s="1075"/>
      <c r="AR293" s="1075"/>
      <c r="AS293" s="1075"/>
      <c r="AT293" s="1075"/>
      <c r="AU293" s="1075"/>
      <c r="AV293" s="1075"/>
      <c r="AW293" s="1075"/>
      <c r="AX293" s="1075"/>
      <c r="AY293" s="1075"/>
      <c r="AZ293" s="1075"/>
    </row>
    <row r="294" spans="1:52" ht="17.100000000000001" customHeight="1">
      <c r="A294" s="1075"/>
      <c r="B294" s="1075"/>
      <c r="C294" s="1075"/>
      <c r="D294" s="1075"/>
      <c r="E294" s="1075"/>
      <c r="F294" s="1075"/>
      <c r="G294" s="1075"/>
      <c r="H294" s="1075"/>
      <c r="I294" s="1075"/>
      <c r="J294" s="1075"/>
      <c r="K294" s="1075"/>
      <c r="L294" s="1075"/>
      <c r="M294" s="1075"/>
      <c r="N294" s="1075"/>
      <c r="O294" s="1075"/>
      <c r="P294" s="1075"/>
      <c r="Q294" s="1075"/>
      <c r="R294" s="1075"/>
      <c r="S294" s="1075"/>
      <c r="T294" s="1075"/>
      <c r="U294" s="1075"/>
      <c r="V294" s="1075"/>
      <c r="W294" s="1075"/>
      <c r="X294" s="1075"/>
      <c r="Y294" s="1075"/>
      <c r="Z294" s="1075"/>
      <c r="AA294" s="1075"/>
      <c r="AB294" s="1075"/>
      <c r="AC294" s="1075"/>
      <c r="AD294" s="1075"/>
      <c r="AE294" s="1075"/>
      <c r="AF294" s="1075"/>
      <c r="AG294" s="1075"/>
      <c r="AH294" s="1075"/>
      <c r="AI294" s="1075"/>
      <c r="AJ294" s="1075"/>
      <c r="AK294" s="1075"/>
      <c r="AL294" s="1075"/>
      <c r="AM294" s="1075"/>
      <c r="AN294" s="1075"/>
      <c r="AO294" s="1075"/>
      <c r="AP294" s="1075"/>
      <c r="AQ294" s="1075"/>
      <c r="AR294" s="1075"/>
      <c r="AS294" s="1075"/>
      <c r="AT294" s="1075"/>
      <c r="AU294" s="1075"/>
      <c r="AV294" s="1075"/>
      <c r="AW294" s="1075"/>
      <c r="AX294" s="1075"/>
      <c r="AY294" s="1075"/>
      <c r="AZ294" s="1075"/>
    </row>
    <row r="295" spans="1:52" ht="17.100000000000001" customHeight="1">
      <c r="A295" s="1075"/>
      <c r="B295" s="1075"/>
      <c r="C295" s="1075"/>
      <c r="D295" s="1075"/>
      <c r="E295" s="1075"/>
      <c r="F295" s="1075"/>
      <c r="G295" s="1075"/>
      <c r="H295" s="1075"/>
      <c r="I295" s="1075"/>
      <c r="J295" s="1075"/>
      <c r="K295" s="1075"/>
      <c r="L295" s="1075"/>
      <c r="M295" s="1075"/>
      <c r="N295" s="1075"/>
      <c r="O295" s="1075"/>
      <c r="P295" s="1075"/>
      <c r="Q295" s="1075"/>
      <c r="R295" s="1075"/>
      <c r="S295" s="1075"/>
      <c r="T295" s="1075"/>
      <c r="U295" s="1075"/>
      <c r="V295" s="1075"/>
      <c r="W295" s="1075"/>
      <c r="X295" s="1075"/>
      <c r="Y295" s="1075"/>
      <c r="Z295" s="1075"/>
      <c r="AA295" s="1075"/>
      <c r="AB295" s="1075"/>
      <c r="AC295" s="1075"/>
      <c r="AD295" s="1075"/>
      <c r="AE295" s="1075"/>
      <c r="AF295" s="1075"/>
      <c r="AG295" s="1075"/>
      <c r="AH295" s="1075"/>
      <c r="AI295" s="1075"/>
      <c r="AJ295" s="1075"/>
      <c r="AK295" s="1075"/>
      <c r="AL295" s="1075"/>
      <c r="AM295" s="1075"/>
      <c r="AN295" s="1075"/>
      <c r="AO295" s="1075"/>
      <c r="AP295" s="1075"/>
      <c r="AQ295" s="1075"/>
      <c r="AR295" s="1075"/>
      <c r="AS295" s="1075"/>
      <c r="AT295" s="1075"/>
      <c r="AU295" s="1075"/>
      <c r="AV295" s="1075"/>
      <c r="AW295" s="1075"/>
      <c r="AX295" s="1075"/>
      <c r="AY295" s="1075"/>
      <c r="AZ295" s="1075"/>
    </row>
    <row r="296" spans="1:52" ht="17.100000000000001" customHeight="1">
      <c r="A296" s="1075"/>
      <c r="B296" s="1075"/>
      <c r="C296" s="1075"/>
      <c r="D296" s="1075"/>
      <c r="E296" s="1075"/>
      <c r="F296" s="1075"/>
      <c r="G296" s="1075"/>
      <c r="H296" s="1075"/>
      <c r="I296" s="1075"/>
      <c r="J296" s="1075"/>
      <c r="K296" s="1075"/>
      <c r="L296" s="1075"/>
      <c r="M296" s="1075"/>
      <c r="N296" s="1075"/>
      <c r="O296" s="1075"/>
      <c r="P296" s="1075"/>
      <c r="Q296" s="1075"/>
      <c r="R296" s="1075"/>
      <c r="S296" s="1075"/>
      <c r="T296" s="1075"/>
      <c r="U296" s="1075"/>
      <c r="V296" s="1075"/>
      <c r="W296" s="1075"/>
      <c r="X296" s="1075"/>
      <c r="Y296" s="1075"/>
      <c r="Z296" s="1075"/>
      <c r="AA296" s="1075"/>
      <c r="AB296" s="1075"/>
      <c r="AC296" s="1075"/>
      <c r="AD296" s="1075"/>
      <c r="AE296" s="1075"/>
      <c r="AF296" s="1075"/>
      <c r="AG296" s="1075"/>
      <c r="AH296" s="1075"/>
      <c r="AI296" s="1075"/>
      <c r="AJ296" s="1075"/>
      <c r="AK296" s="1075"/>
      <c r="AL296" s="1075"/>
      <c r="AM296" s="1075"/>
      <c r="AN296" s="1075"/>
      <c r="AO296" s="1075"/>
      <c r="AP296" s="1075"/>
      <c r="AQ296" s="1075"/>
      <c r="AR296" s="1075"/>
      <c r="AS296" s="1075"/>
      <c r="AT296" s="1075"/>
      <c r="AU296" s="1075"/>
      <c r="AV296" s="1075"/>
      <c r="AW296" s="1075"/>
      <c r="AX296" s="1075"/>
      <c r="AY296" s="1075"/>
      <c r="AZ296" s="1075"/>
    </row>
    <row r="297" spans="1:52" ht="17.100000000000001" customHeight="1">
      <c r="A297" s="1075"/>
      <c r="B297" s="1075"/>
      <c r="C297" s="1075"/>
      <c r="D297" s="1075"/>
      <c r="E297" s="1075"/>
      <c r="F297" s="1075"/>
      <c r="G297" s="1075"/>
      <c r="H297" s="1075"/>
      <c r="I297" s="1075"/>
      <c r="J297" s="1075"/>
      <c r="K297" s="1075"/>
      <c r="L297" s="1075"/>
      <c r="M297" s="1075"/>
      <c r="N297" s="1075"/>
      <c r="O297" s="1075"/>
      <c r="P297" s="1075"/>
      <c r="Q297" s="1075"/>
      <c r="R297" s="1075"/>
      <c r="S297" s="1075"/>
      <c r="T297" s="1075"/>
      <c r="U297" s="1075"/>
      <c r="V297" s="1075"/>
      <c r="W297" s="1075"/>
      <c r="X297" s="1075"/>
      <c r="Y297" s="1075"/>
      <c r="Z297" s="1075"/>
      <c r="AA297" s="1075"/>
      <c r="AB297" s="1075"/>
      <c r="AC297" s="1075"/>
      <c r="AD297" s="1075"/>
      <c r="AE297" s="1075"/>
      <c r="AF297" s="1075"/>
      <c r="AG297" s="1075"/>
      <c r="AH297" s="1075"/>
      <c r="AI297" s="1075"/>
      <c r="AJ297" s="1075"/>
      <c r="AK297" s="1075"/>
      <c r="AL297" s="1075"/>
      <c r="AM297" s="1075"/>
      <c r="AN297" s="1075"/>
      <c r="AO297" s="1075"/>
      <c r="AP297" s="1075"/>
      <c r="AQ297" s="1075"/>
      <c r="AR297" s="1075"/>
      <c r="AS297" s="1075"/>
      <c r="AT297" s="1075"/>
      <c r="AU297" s="1075"/>
      <c r="AV297" s="1075"/>
      <c r="AW297" s="1075"/>
      <c r="AX297" s="1075"/>
      <c r="AY297" s="1075"/>
      <c r="AZ297" s="1075"/>
    </row>
    <row r="298" spans="1:52" ht="17.100000000000001" customHeight="1">
      <c r="A298" s="1075"/>
      <c r="B298" s="1075"/>
      <c r="C298" s="1075"/>
      <c r="D298" s="1075"/>
      <c r="E298" s="1075"/>
      <c r="F298" s="1075"/>
      <c r="G298" s="1075"/>
      <c r="H298" s="1075"/>
      <c r="I298" s="1075"/>
      <c r="J298" s="1075"/>
      <c r="K298" s="1075"/>
      <c r="L298" s="1075"/>
      <c r="M298" s="1075"/>
      <c r="N298" s="1075"/>
      <c r="O298" s="1075"/>
      <c r="P298" s="1075"/>
      <c r="Q298" s="1075"/>
      <c r="R298" s="1075"/>
      <c r="S298" s="1075"/>
      <c r="T298" s="1075"/>
      <c r="U298" s="1075"/>
      <c r="V298" s="1075"/>
      <c r="W298" s="1075"/>
      <c r="X298" s="1075"/>
      <c r="Y298" s="1075"/>
      <c r="Z298" s="1075"/>
      <c r="AA298" s="1075"/>
      <c r="AB298" s="1075"/>
      <c r="AC298" s="1075"/>
      <c r="AD298" s="1075"/>
      <c r="AE298" s="1075"/>
      <c r="AF298" s="1075"/>
      <c r="AG298" s="1075"/>
      <c r="AH298" s="1075"/>
      <c r="AI298" s="1075"/>
      <c r="AJ298" s="1075"/>
      <c r="AK298" s="1075"/>
      <c r="AL298" s="1075"/>
      <c r="AM298" s="1075"/>
      <c r="AN298" s="1075"/>
      <c r="AO298" s="1075"/>
      <c r="AP298" s="1075"/>
      <c r="AQ298" s="1075"/>
      <c r="AR298" s="1075"/>
      <c r="AS298" s="1075"/>
      <c r="AT298" s="1075"/>
      <c r="AU298" s="1075"/>
      <c r="AV298" s="1075"/>
      <c r="AW298" s="1075"/>
      <c r="AX298" s="1075"/>
      <c r="AY298" s="1075"/>
      <c r="AZ298" s="1075"/>
    </row>
    <row r="299" spans="1:52" ht="17.100000000000001" customHeight="1">
      <c r="A299" s="1075"/>
      <c r="B299" s="1075"/>
      <c r="C299" s="1075"/>
      <c r="D299" s="1075"/>
      <c r="E299" s="1075"/>
      <c r="F299" s="1075"/>
      <c r="G299" s="1075"/>
      <c r="H299" s="1075"/>
      <c r="I299" s="1075"/>
      <c r="J299" s="1075"/>
      <c r="K299" s="1075"/>
      <c r="L299" s="1075"/>
      <c r="M299" s="1075"/>
      <c r="N299" s="1075"/>
      <c r="O299" s="1075"/>
      <c r="P299" s="1075"/>
      <c r="Q299" s="1075"/>
      <c r="R299" s="1075"/>
      <c r="S299" s="1075"/>
      <c r="T299" s="1075"/>
      <c r="U299" s="1075"/>
      <c r="V299" s="1075"/>
      <c r="W299" s="1075"/>
      <c r="X299" s="1075"/>
      <c r="Y299" s="1075"/>
      <c r="Z299" s="1075"/>
      <c r="AA299" s="1075"/>
      <c r="AB299" s="1075"/>
      <c r="AC299" s="1075"/>
      <c r="AD299" s="1075"/>
      <c r="AE299" s="1075"/>
      <c r="AF299" s="1075"/>
      <c r="AG299" s="1075"/>
      <c r="AH299" s="1075"/>
      <c r="AI299" s="1075"/>
      <c r="AJ299" s="1075"/>
      <c r="AK299" s="1075"/>
      <c r="AL299" s="1075"/>
      <c r="AM299" s="1075"/>
      <c r="AN299" s="1075"/>
      <c r="AO299" s="1075"/>
      <c r="AP299" s="1075"/>
      <c r="AQ299" s="1075"/>
      <c r="AR299" s="1075"/>
      <c r="AS299" s="1075"/>
      <c r="AT299" s="1075"/>
      <c r="AU299" s="1075"/>
      <c r="AV299" s="1075"/>
      <c r="AW299" s="1075"/>
      <c r="AX299" s="1075"/>
      <c r="AY299" s="1075"/>
      <c r="AZ299" s="1075"/>
    </row>
    <row r="300" spans="1:52" ht="17.100000000000001" customHeight="1">
      <c r="A300" s="1075"/>
      <c r="B300" s="1075"/>
      <c r="C300" s="1075"/>
      <c r="D300" s="1075"/>
      <c r="E300" s="1075"/>
      <c r="F300" s="1075"/>
      <c r="G300" s="1075"/>
      <c r="H300" s="1075"/>
      <c r="I300" s="1075"/>
      <c r="J300" s="1075"/>
      <c r="K300" s="1075"/>
      <c r="L300" s="1075"/>
      <c r="M300" s="1075"/>
      <c r="N300" s="1075"/>
      <c r="O300" s="1075"/>
      <c r="P300" s="1075"/>
      <c r="Q300" s="1075"/>
      <c r="R300" s="1075"/>
      <c r="S300" s="1075"/>
      <c r="T300" s="1075"/>
      <c r="U300" s="1075"/>
      <c r="V300" s="1075"/>
      <c r="W300" s="1075"/>
      <c r="X300" s="1075"/>
      <c r="Y300" s="1075"/>
      <c r="Z300" s="1075"/>
      <c r="AA300" s="1075"/>
      <c r="AB300" s="1075"/>
      <c r="AC300" s="1075"/>
      <c r="AD300" s="1075"/>
      <c r="AE300" s="1075"/>
      <c r="AF300" s="1075"/>
      <c r="AG300" s="1075"/>
      <c r="AH300" s="1075"/>
      <c r="AI300" s="1075"/>
      <c r="AJ300" s="1075"/>
      <c r="AK300" s="1075"/>
      <c r="AL300" s="1075"/>
      <c r="AM300" s="1075"/>
      <c r="AN300" s="1075"/>
      <c r="AO300" s="1075"/>
      <c r="AP300" s="1075"/>
      <c r="AQ300" s="1075"/>
      <c r="AR300" s="1075"/>
      <c r="AS300" s="1075"/>
      <c r="AT300" s="1075"/>
      <c r="AU300" s="1075"/>
      <c r="AV300" s="1075"/>
      <c r="AW300" s="1075"/>
      <c r="AX300" s="1075"/>
      <c r="AY300" s="1075"/>
      <c r="AZ300" s="1075"/>
    </row>
    <row r="301" spans="1:52" ht="17.100000000000001" customHeight="1">
      <c r="A301" s="1075"/>
      <c r="B301" s="1075"/>
      <c r="C301" s="1075"/>
      <c r="D301" s="1075"/>
      <c r="E301" s="1075"/>
      <c r="F301" s="1075"/>
      <c r="G301" s="1075"/>
      <c r="H301" s="1075"/>
      <c r="I301" s="1075"/>
      <c r="J301" s="1075"/>
      <c r="K301" s="1075"/>
      <c r="L301" s="1075"/>
      <c r="M301" s="1075"/>
      <c r="N301" s="1075"/>
      <c r="O301" s="1075"/>
      <c r="P301" s="1075"/>
      <c r="Q301" s="1075"/>
      <c r="R301" s="1075"/>
      <c r="S301" s="1075"/>
      <c r="T301" s="1075"/>
      <c r="U301" s="1075"/>
      <c r="V301" s="1075"/>
      <c r="W301" s="1075"/>
      <c r="X301" s="1075"/>
      <c r="Y301" s="1075"/>
      <c r="Z301" s="1075"/>
      <c r="AA301" s="1075"/>
      <c r="AB301" s="1075"/>
      <c r="AC301" s="1075"/>
      <c r="AD301" s="1075"/>
      <c r="AE301" s="1075"/>
      <c r="AF301" s="1075"/>
      <c r="AG301" s="1075"/>
      <c r="AH301" s="1075"/>
      <c r="AI301" s="1075"/>
      <c r="AJ301" s="1075"/>
      <c r="AK301" s="1075"/>
      <c r="AL301" s="1075"/>
      <c r="AM301" s="1075"/>
      <c r="AN301" s="1075"/>
      <c r="AO301" s="1075"/>
      <c r="AP301" s="1075"/>
      <c r="AQ301" s="1075"/>
      <c r="AR301" s="1075"/>
      <c r="AS301" s="1075"/>
      <c r="AT301" s="1075"/>
      <c r="AU301" s="1075"/>
      <c r="AV301" s="1075"/>
      <c r="AW301" s="1075"/>
      <c r="AX301" s="1075"/>
      <c r="AY301" s="1075"/>
      <c r="AZ301" s="1075"/>
    </row>
    <row r="302" spans="1:52" ht="17.100000000000001" customHeight="1">
      <c r="A302" s="1075"/>
      <c r="B302" s="1075"/>
      <c r="C302" s="1075"/>
      <c r="D302" s="1075"/>
      <c r="E302" s="1075"/>
      <c r="F302" s="1075"/>
      <c r="G302" s="1075"/>
      <c r="H302" s="1075"/>
      <c r="I302" s="1075"/>
      <c r="J302" s="1075"/>
      <c r="K302" s="1075"/>
      <c r="L302" s="1075"/>
      <c r="M302" s="1075"/>
      <c r="N302" s="1075"/>
      <c r="O302" s="1075"/>
      <c r="P302" s="1075"/>
      <c r="Q302" s="1075"/>
      <c r="R302" s="1075"/>
      <c r="S302" s="1075"/>
      <c r="T302" s="1075"/>
      <c r="U302" s="1075"/>
      <c r="V302" s="1075"/>
      <c r="W302" s="1075"/>
      <c r="X302" s="1075"/>
      <c r="Y302" s="1075"/>
      <c r="Z302" s="1075"/>
      <c r="AA302" s="1075"/>
      <c r="AB302" s="1075"/>
      <c r="AC302" s="1075"/>
      <c r="AD302" s="1075"/>
      <c r="AE302" s="1075"/>
      <c r="AF302" s="1075"/>
      <c r="AG302" s="1075"/>
      <c r="AH302" s="1075"/>
      <c r="AI302" s="1075"/>
      <c r="AJ302" s="1075"/>
      <c r="AK302" s="1075"/>
      <c r="AL302" s="1075"/>
      <c r="AM302" s="1075"/>
      <c r="AN302" s="1075"/>
      <c r="AO302" s="1075"/>
      <c r="AP302" s="1075"/>
      <c r="AQ302" s="1075"/>
      <c r="AR302" s="1075"/>
      <c r="AS302" s="1075"/>
      <c r="AT302" s="1075"/>
      <c r="AU302" s="1075"/>
      <c r="AV302" s="1075"/>
      <c r="AW302" s="1075"/>
      <c r="AX302" s="1075"/>
      <c r="AY302" s="1075"/>
      <c r="AZ302" s="1075"/>
    </row>
    <row r="303" spans="1:52" ht="17.100000000000001" customHeight="1">
      <c r="A303" s="1075"/>
      <c r="B303" s="1075"/>
      <c r="C303" s="1075"/>
      <c r="D303" s="1075"/>
      <c r="E303" s="1075"/>
      <c r="F303" s="1075"/>
      <c r="G303" s="1075"/>
      <c r="H303" s="1075"/>
      <c r="I303" s="1075"/>
      <c r="J303" s="1075"/>
      <c r="K303" s="1075"/>
      <c r="L303" s="1075"/>
      <c r="M303" s="1075"/>
      <c r="N303" s="1075"/>
      <c r="O303" s="1075"/>
      <c r="P303" s="1075"/>
      <c r="Q303" s="1075"/>
      <c r="R303" s="1075"/>
      <c r="S303" s="1075"/>
      <c r="T303" s="1075"/>
      <c r="U303" s="1075"/>
      <c r="V303" s="1075"/>
      <c r="W303" s="1075"/>
      <c r="X303" s="1075"/>
      <c r="Y303" s="1075"/>
      <c r="Z303" s="1075"/>
      <c r="AA303" s="1075"/>
      <c r="AB303" s="1075"/>
      <c r="AC303" s="1075"/>
      <c r="AD303" s="1075"/>
      <c r="AE303" s="1075"/>
      <c r="AF303" s="1075"/>
      <c r="AG303" s="1075"/>
      <c r="AH303" s="1075"/>
      <c r="AI303" s="1075"/>
      <c r="AJ303" s="1075"/>
      <c r="AK303" s="1075"/>
      <c r="AL303" s="1075"/>
      <c r="AM303" s="1075"/>
      <c r="AN303" s="1075"/>
      <c r="AO303" s="1075"/>
      <c r="AP303" s="1075"/>
      <c r="AQ303" s="1075"/>
      <c r="AR303" s="1075"/>
      <c r="AS303" s="1075"/>
      <c r="AT303" s="1075"/>
      <c r="AU303" s="1075"/>
      <c r="AV303" s="1075"/>
      <c r="AW303" s="1075"/>
      <c r="AX303" s="1075"/>
      <c r="AY303" s="1075"/>
      <c r="AZ303" s="1075"/>
    </row>
    <row r="304" spans="1:52" ht="17.100000000000001" customHeight="1">
      <c r="A304" s="1075"/>
      <c r="B304" s="1075"/>
      <c r="C304" s="1075"/>
      <c r="D304" s="1075"/>
      <c r="E304" s="1075"/>
      <c r="F304" s="1075"/>
      <c r="G304" s="1075"/>
      <c r="H304" s="1075"/>
      <c r="I304" s="1075"/>
      <c r="J304" s="1075"/>
      <c r="K304" s="1075"/>
      <c r="L304" s="1075"/>
      <c r="M304" s="1075"/>
      <c r="N304" s="1075"/>
      <c r="O304" s="1075"/>
      <c r="P304" s="1075"/>
      <c r="Q304" s="1075"/>
      <c r="R304" s="1075"/>
      <c r="S304" s="1075"/>
      <c r="T304" s="1075"/>
      <c r="U304" s="1075"/>
      <c r="V304" s="1075"/>
      <c r="W304" s="1075"/>
      <c r="X304" s="1075"/>
      <c r="Y304" s="1075"/>
      <c r="Z304" s="1075"/>
      <c r="AA304" s="1075"/>
      <c r="AB304" s="1075"/>
      <c r="AC304" s="1075"/>
      <c r="AD304" s="1075"/>
      <c r="AE304" s="1075"/>
      <c r="AF304" s="1075"/>
      <c r="AG304" s="1075"/>
      <c r="AH304" s="1075"/>
      <c r="AI304" s="1075"/>
      <c r="AJ304" s="1075"/>
      <c r="AK304" s="1075"/>
      <c r="AL304" s="1075"/>
      <c r="AM304" s="1075"/>
      <c r="AN304" s="1075"/>
      <c r="AO304" s="1075"/>
      <c r="AP304" s="1075"/>
      <c r="AQ304" s="1075"/>
      <c r="AR304" s="1075"/>
      <c r="AS304" s="1075"/>
      <c r="AT304" s="1075"/>
      <c r="AU304" s="1075"/>
      <c r="AV304" s="1075"/>
      <c r="AW304" s="1075"/>
      <c r="AX304" s="1075"/>
      <c r="AY304" s="1075"/>
      <c r="AZ304" s="1075"/>
    </row>
    <row r="305" spans="1:52" ht="17.100000000000001" customHeight="1">
      <c r="A305" s="1075"/>
      <c r="B305" s="1075"/>
      <c r="C305" s="1075"/>
      <c r="D305" s="1075"/>
      <c r="E305" s="1075"/>
      <c r="F305" s="1075"/>
      <c r="G305" s="1075"/>
      <c r="H305" s="1075"/>
      <c r="I305" s="1075"/>
      <c r="J305" s="1075"/>
      <c r="K305" s="1075"/>
      <c r="L305" s="1075"/>
      <c r="M305" s="1075"/>
      <c r="N305" s="1075"/>
      <c r="O305" s="1075"/>
      <c r="P305" s="1075"/>
      <c r="Q305" s="1075"/>
      <c r="R305" s="1075"/>
      <c r="S305" s="1075"/>
      <c r="T305" s="1075"/>
      <c r="U305" s="1075"/>
      <c r="V305" s="1075"/>
      <c r="W305" s="1075"/>
      <c r="X305" s="1075"/>
      <c r="Y305" s="1075"/>
      <c r="Z305" s="1075"/>
      <c r="AA305" s="1075"/>
      <c r="AB305" s="1075"/>
      <c r="AC305" s="1075"/>
      <c r="AD305" s="1075"/>
      <c r="AE305" s="1075"/>
      <c r="AF305" s="1075"/>
      <c r="AG305" s="1075"/>
      <c r="AH305" s="1075"/>
      <c r="AI305" s="1075"/>
      <c r="AJ305" s="1075"/>
      <c r="AK305" s="1075"/>
      <c r="AL305" s="1075"/>
      <c r="AM305" s="1075"/>
      <c r="AN305" s="1075"/>
      <c r="AO305" s="1075"/>
      <c r="AP305" s="1075"/>
      <c r="AQ305" s="1075"/>
      <c r="AR305" s="1075"/>
      <c r="AS305" s="1075"/>
      <c r="AT305" s="1075"/>
      <c r="AU305" s="1075"/>
      <c r="AV305" s="1075"/>
      <c r="AW305" s="1075"/>
      <c r="AX305" s="1075"/>
      <c r="AY305" s="1075"/>
      <c r="AZ305" s="1075"/>
    </row>
    <row r="306" spans="1:52" ht="17.100000000000001" customHeight="1">
      <c r="A306" s="1075"/>
      <c r="B306" s="1075"/>
      <c r="C306" s="1075"/>
      <c r="D306" s="1075"/>
      <c r="E306" s="1075"/>
      <c r="F306" s="1075"/>
      <c r="G306" s="1075"/>
      <c r="H306" s="1075"/>
      <c r="I306" s="1075"/>
      <c r="J306" s="1075"/>
      <c r="K306" s="1075"/>
      <c r="L306" s="1075"/>
      <c r="M306" s="1075"/>
      <c r="N306" s="1075"/>
      <c r="O306" s="1075"/>
      <c r="P306" s="1075"/>
      <c r="Q306" s="1075"/>
      <c r="R306" s="1075"/>
      <c r="S306" s="1075"/>
      <c r="T306" s="1075"/>
      <c r="U306" s="1075"/>
      <c r="V306" s="1075"/>
      <c r="W306" s="1075"/>
      <c r="X306" s="1075"/>
      <c r="Y306" s="1075"/>
      <c r="Z306" s="1075"/>
      <c r="AA306" s="1075"/>
      <c r="AB306" s="1075"/>
      <c r="AC306" s="1075"/>
      <c r="AD306" s="1075"/>
      <c r="AE306" s="1075"/>
      <c r="AF306" s="1075"/>
      <c r="AG306" s="1075"/>
      <c r="AH306" s="1075"/>
      <c r="AI306" s="1075"/>
      <c r="AJ306" s="1075"/>
      <c r="AK306" s="1075"/>
      <c r="AL306" s="1075"/>
      <c r="AM306" s="1075"/>
      <c r="AN306" s="1075"/>
      <c r="AO306" s="1075"/>
      <c r="AP306" s="1075"/>
      <c r="AQ306" s="1075"/>
      <c r="AR306" s="1075"/>
      <c r="AS306" s="1075"/>
      <c r="AT306" s="1075"/>
      <c r="AU306" s="1075"/>
      <c r="AV306" s="1075"/>
      <c r="AW306" s="1075"/>
      <c r="AX306" s="1075"/>
      <c r="AY306" s="1075"/>
      <c r="AZ306" s="1075"/>
    </row>
    <row r="307" spans="1:52" ht="17.100000000000001" customHeight="1">
      <c r="A307" s="1075"/>
      <c r="B307" s="1075"/>
      <c r="C307" s="1075"/>
      <c r="D307" s="1075"/>
      <c r="E307" s="1075"/>
      <c r="F307" s="1075"/>
      <c r="G307" s="1075"/>
      <c r="H307" s="1075"/>
      <c r="I307" s="1075"/>
      <c r="J307" s="1075"/>
      <c r="K307" s="1075"/>
      <c r="L307" s="1075"/>
      <c r="M307" s="1075"/>
      <c r="N307" s="1075"/>
      <c r="O307" s="1075"/>
      <c r="P307" s="1075"/>
      <c r="Q307" s="1075"/>
      <c r="R307" s="1075"/>
      <c r="S307" s="1075"/>
      <c r="T307" s="1075"/>
      <c r="U307" s="1075"/>
      <c r="V307" s="1075"/>
      <c r="W307" s="1075"/>
      <c r="X307" s="1075"/>
      <c r="Y307" s="1075"/>
      <c r="Z307" s="1075"/>
      <c r="AA307" s="1075"/>
      <c r="AB307" s="1075"/>
      <c r="AC307" s="1075"/>
      <c r="AD307" s="1075"/>
      <c r="AE307" s="1075"/>
      <c r="AF307" s="1075"/>
      <c r="AG307" s="1075"/>
      <c r="AH307" s="1075"/>
      <c r="AI307" s="1075"/>
      <c r="AJ307" s="1075"/>
      <c r="AK307" s="1075"/>
      <c r="AL307" s="1075"/>
      <c r="AM307" s="1075"/>
      <c r="AN307" s="1075"/>
      <c r="AO307" s="1075"/>
      <c r="AP307" s="1075"/>
      <c r="AQ307" s="1075"/>
      <c r="AR307" s="1075"/>
      <c r="AS307" s="1075"/>
      <c r="AT307" s="1075"/>
      <c r="AU307" s="1075"/>
      <c r="AV307" s="1075"/>
      <c r="AW307" s="1075"/>
      <c r="AX307" s="1075"/>
      <c r="AY307" s="1075"/>
      <c r="AZ307" s="1075"/>
    </row>
    <row r="308" spans="1:52" ht="17.100000000000001" customHeight="1">
      <c r="A308" s="1075"/>
      <c r="B308" s="1075"/>
      <c r="C308" s="1075"/>
      <c r="D308" s="1075"/>
      <c r="E308" s="1075"/>
      <c r="F308" s="1075"/>
      <c r="G308" s="1075"/>
      <c r="H308" s="1075"/>
      <c r="I308" s="1075"/>
      <c r="J308" s="1075"/>
      <c r="K308" s="1075"/>
      <c r="L308" s="1075"/>
      <c r="M308" s="1075"/>
      <c r="N308" s="1075"/>
      <c r="O308" s="1075"/>
      <c r="P308" s="1075"/>
      <c r="Q308" s="1075"/>
      <c r="R308" s="1075"/>
      <c r="S308" s="1075"/>
      <c r="T308" s="1075"/>
      <c r="U308" s="1075"/>
      <c r="V308" s="1075"/>
      <c r="W308" s="1075"/>
      <c r="X308" s="1075"/>
      <c r="Y308" s="1075"/>
      <c r="Z308" s="1075"/>
      <c r="AA308" s="1075"/>
      <c r="AB308" s="1075"/>
      <c r="AC308" s="1075"/>
      <c r="AD308" s="1075"/>
      <c r="AE308" s="1075"/>
      <c r="AF308" s="1075"/>
      <c r="AG308" s="1075"/>
      <c r="AH308" s="1075"/>
      <c r="AI308" s="1075"/>
      <c r="AJ308" s="1075"/>
      <c r="AK308" s="1075"/>
      <c r="AL308" s="1075"/>
      <c r="AM308" s="1075"/>
      <c r="AN308" s="1075"/>
      <c r="AO308" s="1075"/>
      <c r="AP308" s="1075"/>
      <c r="AQ308" s="1075"/>
      <c r="AR308" s="1075"/>
      <c r="AS308" s="1075"/>
      <c r="AT308" s="1075"/>
      <c r="AU308" s="1075"/>
      <c r="AV308" s="1075"/>
      <c r="AW308" s="1075"/>
      <c r="AX308" s="1075"/>
      <c r="AY308" s="1075"/>
      <c r="AZ308" s="1075"/>
    </row>
    <row r="309" spans="1:52" ht="17.100000000000001" customHeight="1">
      <c r="A309" s="1075"/>
      <c r="B309" s="1075"/>
      <c r="C309" s="1075"/>
      <c r="D309" s="1075"/>
      <c r="E309" s="1075"/>
      <c r="F309" s="1075"/>
      <c r="G309" s="1075"/>
      <c r="H309" s="1075"/>
      <c r="I309" s="1075"/>
      <c r="J309" s="1075"/>
      <c r="K309" s="1075"/>
      <c r="L309" s="1075"/>
      <c r="M309" s="1075"/>
      <c r="N309" s="1075"/>
      <c r="O309" s="1075"/>
      <c r="P309" s="1075"/>
      <c r="Q309" s="1075"/>
      <c r="R309" s="1075"/>
      <c r="S309" s="1075"/>
      <c r="T309" s="1075"/>
      <c r="U309" s="1075"/>
      <c r="V309" s="1075"/>
      <c r="W309" s="1075"/>
      <c r="X309" s="1075"/>
      <c r="Y309" s="1075"/>
      <c r="Z309" s="1075"/>
      <c r="AA309" s="1075"/>
      <c r="AB309" s="1075"/>
      <c r="AC309" s="1075"/>
      <c r="AD309" s="1075"/>
      <c r="AE309" s="1075"/>
      <c r="AF309" s="1075"/>
      <c r="AG309" s="1075"/>
      <c r="AH309" s="1075"/>
      <c r="AI309" s="1075"/>
      <c r="AJ309" s="1075"/>
      <c r="AK309" s="1075"/>
      <c r="AL309" s="1075"/>
      <c r="AM309" s="1075"/>
      <c r="AN309" s="1075"/>
      <c r="AO309" s="1075"/>
      <c r="AP309" s="1075"/>
      <c r="AQ309" s="1075"/>
      <c r="AR309" s="1075"/>
      <c r="AS309" s="1075"/>
      <c r="AT309" s="1075"/>
      <c r="AU309" s="1075"/>
      <c r="AV309" s="1075"/>
      <c r="AW309" s="1075"/>
      <c r="AX309" s="1075"/>
      <c r="AY309" s="1075"/>
      <c r="AZ309" s="1075"/>
    </row>
    <row r="310" spans="1:52" ht="17.100000000000001" customHeight="1">
      <c r="A310" s="1075"/>
      <c r="B310" s="1075"/>
      <c r="C310" s="1075"/>
      <c r="D310" s="1075"/>
      <c r="E310" s="1075"/>
      <c r="F310" s="1075"/>
      <c r="G310" s="1075"/>
      <c r="H310" s="1075"/>
      <c r="I310" s="1075"/>
      <c r="J310" s="1075"/>
      <c r="K310" s="1075"/>
      <c r="L310" s="1075"/>
      <c r="M310" s="1075"/>
      <c r="N310" s="1075"/>
      <c r="O310" s="1075"/>
      <c r="P310" s="1075"/>
      <c r="Q310" s="1075"/>
      <c r="R310" s="1075"/>
      <c r="S310" s="1075"/>
      <c r="T310" s="1075"/>
      <c r="U310" s="1075"/>
      <c r="V310" s="1075"/>
      <c r="W310" s="1075"/>
      <c r="X310" s="1075"/>
      <c r="Y310" s="1075"/>
      <c r="Z310" s="1075"/>
      <c r="AA310" s="1075"/>
      <c r="AB310" s="1075"/>
      <c r="AC310" s="1075"/>
      <c r="AD310" s="1075"/>
      <c r="AE310" s="1075"/>
      <c r="AF310" s="1075"/>
      <c r="AG310" s="1075"/>
      <c r="AH310" s="1075"/>
      <c r="AI310" s="1075"/>
      <c r="AJ310" s="1075"/>
      <c r="AK310" s="1075"/>
      <c r="AL310" s="1075"/>
      <c r="AM310" s="1075"/>
      <c r="AN310" s="1075"/>
      <c r="AO310" s="1075"/>
      <c r="AP310" s="1075"/>
      <c r="AQ310" s="1075"/>
      <c r="AR310" s="1075"/>
      <c r="AS310" s="1075"/>
      <c r="AT310" s="1075"/>
      <c r="AU310" s="1075"/>
      <c r="AV310" s="1075"/>
      <c r="AW310" s="1075"/>
      <c r="AX310" s="1075"/>
      <c r="AY310" s="1075"/>
      <c r="AZ310" s="1075"/>
    </row>
    <row r="311" spans="1:52" ht="17.100000000000001" customHeight="1">
      <c r="A311" s="1075"/>
      <c r="B311" s="1075"/>
      <c r="C311" s="1075"/>
      <c r="D311" s="1075"/>
      <c r="E311" s="1075"/>
      <c r="F311" s="1075"/>
      <c r="G311" s="1075"/>
      <c r="H311" s="1075"/>
      <c r="I311" s="1075"/>
      <c r="J311" s="1075"/>
      <c r="K311" s="1075"/>
      <c r="L311" s="1075"/>
      <c r="M311" s="1075"/>
      <c r="N311" s="1075"/>
      <c r="O311" s="1075"/>
      <c r="P311" s="1075"/>
      <c r="Q311" s="1075"/>
      <c r="R311" s="1075"/>
      <c r="S311" s="1075"/>
      <c r="T311" s="1075"/>
      <c r="U311" s="1075"/>
      <c r="V311" s="1075"/>
      <c r="W311" s="1075"/>
      <c r="X311" s="1075"/>
      <c r="Y311" s="1075"/>
      <c r="Z311" s="1075"/>
      <c r="AA311" s="1075"/>
      <c r="AB311" s="1075"/>
      <c r="AC311" s="1075"/>
      <c r="AD311" s="1075"/>
      <c r="AE311" s="1075"/>
      <c r="AF311" s="1075"/>
      <c r="AG311" s="1075"/>
      <c r="AH311" s="1075"/>
      <c r="AI311" s="1075"/>
      <c r="AJ311" s="1075"/>
      <c r="AK311" s="1075"/>
      <c r="AL311" s="1075"/>
      <c r="AM311" s="1075"/>
      <c r="AN311" s="1075"/>
      <c r="AO311" s="1075"/>
      <c r="AP311" s="1075"/>
      <c r="AQ311" s="1075"/>
      <c r="AR311" s="1075"/>
      <c r="AS311" s="1075"/>
      <c r="AT311" s="1075"/>
      <c r="AU311" s="1075"/>
      <c r="AV311" s="1075"/>
      <c r="AW311" s="1075"/>
      <c r="AX311" s="1075"/>
      <c r="AY311" s="1075"/>
      <c r="AZ311" s="1075"/>
    </row>
    <row r="312" spans="1:52" ht="17.100000000000001" customHeight="1">
      <c r="A312" s="1075"/>
      <c r="B312" s="1075"/>
      <c r="C312" s="1075"/>
      <c r="D312" s="1075"/>
      <c r="E312" s="1075"/>
      <c r="F312" s="1075"/>
      <c r="G312" s="1075"/>
      <c r="H312" s="1075"/>
      <c r="I312" s="1075"/>
      <c r="J312" s="1075"/>
      <c r="K312" s="1075"/>
      <c r="L312" s="1075"/>
      <c r="M312" s="1075"/>
      <c r="N312" s="1075"/>
      <c r="O312" s="1075"/>
      <c r="P312" s="1075"/>
      <c r="Q312" s="1075"/>
      <c r="R312" s="1075"/>
      <c r="S312" s="1075"/>
      <c r="T312" s="1075"/>
      <c r="U312" s="1075"/>
      <c r="V312" s="1075"/>
      <c r="W312" s="1075"/>
      <c r="X312" s="1075"/>
      <c r="Y312" s="1075"/>
      <c r="Z312" s="1075"/>
      <c r="AA312" s="1075"/>
      <c r="AB312" s="1075"/>
      <c r="AC312" s="1075"/>
      <c r="AD312" s="1075"/>
      <c r="AE312" s="1075"/>
      <c r="AF312" s="1075"/>
      <c r="AG312" s="1075"/>
      <c r="AH312" s="1075"/>
      <c r="AI312" s="1075"/>
      <c r="AJ312" s="1075"/>
      <c r="AK312" s="1075"/>
      <c r="AL312" s="1075"/>
      <c r="AM312" s="1075"/>
      <c r="AN312" s="1075"/>
      <c r="AO312" s="1075"/>
      <c r="AP312" s="1075"/>
      <c r="AQ312" s="1075"/>
      <c r="AR312" s="1075"/>
      <c r="AS312" s="1075"/>
      <c r="AT312" s="1075"/>
      <c r="AU312" s="1075"/>
      <c r="AV312" s="1075"/>
      <c r="AW312" s="1075"/>
      <c r="AX312" s="1075"/>
      <c r="AY312" s="1075"/>
      <c r="AZ312" s="1075"/>
    </row>
    <row r="313" spans="1:52" ht="17.100000000000001" customHeight="1">
      <c r="A313" s="1075"/>
      <c r="B313" s="1075"/>
      <c r="C313" s="1075"/>
      <c r="D313" s="1075"/>
      <c r="E313" s="1075"/>
      <c r="F313" s="1075"/>
      <c r="G313" s="1075"/>
      <c r="H313" s="1075"/>
      <c r="I313" s="1075"/>
      <c r="J313" s="1075"/>
      <c r="K313" s="1075"/>
      <c r="L313" s="1075"/>
      <c r="M313" s="1075"/>
      <c r="N313" s="1075"/>
      <c r="O313" s="1075"/>
      <c r="P313" s="1075"/>
      <c r="Q313" s="1075"/>
      <c r="R313" s="1075"/>
      <c r="S313" s="1075"/>
      <c r="T313" s="1075"/>
      <c r="U313" s="1075"/>
      <c r="V313" s="1075"/>
      <c r="W313" s="1075"/>
      <c r="X313" s="1075"/>
      <c r="Y313" s="1075"/>
      <c r="Z313" s="1075"/>
      <c r="AA313" s="1075"/>
      <c r="AB313" s="1075"/>
      <c r="AC313" s="1075"/>
      <c r="AD313" s="1075"/>
      <c r="AE313" s="1075"/>
      <c r="AF313" s="1075"/>
      <c r="AG313" s="1075"/>
      <c r="AH313" s="1075"/>
      <c r="AI313" s="1075"/>
      <c r="AJ313" s="1075"/>
      <c r="AK313" s="1075"/>
      <c r="AL313" s="1075"/>
      <c r="AM313" s="1075"/>
      <c r="AN313" s="1075"/>
      <c r="AO313" s="1075"/>
      <c r="AP313" s="1075"/>
      <c r="AQ313" s="1075"/>
      <c r="AR313" s="1075"/>
      <c r="AS313" s="1075"/>
      <c r="AT313" s="1075"/>
      <c r="AU313" s="1075"/>
      <c r="AV313" s="1075"/>
      <c r="AW313" s="1075"/>
      <c r="AX313" s="1075"/>
      <c r="AY313" s="1075"/>
      <c r="AZ313" s="1075"/>
    </row>
    <row r="314" spans="1:52" ht="17.100000000000001" customHeight="1">
      <c r="A314" s="1075"/>
      <c r="B314" s="1075"/>
      <c r="C314" s="1075"/>
      <c r="D314" s="1075"/>
      <c r="E314" s="1075"/>
      <c r="F314" s="1075"/>
      <c r="G314" s="1075"/>
      <c r="H314" s="1075"/>
      <c r="I314" s="1075"/>
      <c r="J314" s="1075"/>
      <c r="K314" s="1075"/>
      <c r="L314" s="1075"/>
      <c r="M314" s="1075"/>
      <c r="N314" s="1075"/>
      <c r="O314" s="1075"/>
      <c r="P314" s="1075"/>
      <c r="Q314" s="1075"/>
      <c r="R314" s="1075"/>
      <c r="S314" s="1075"/>
      <c r="T314" s="1075"/>
      <c r="U314" s="1075"/>
      <c r="V314" s="1075"/>
      <c r="W314" s="1075"/>
      <c r="X314" s="1075"/>
      <c r="Y314" s="1075"/>
      <c r="Z314" s="1075"/>
      <c r="AA314" s="1075"/>
      <c r="AB314" s="1075"/>
      <c r="AC314" s="1075"/>
      <c r="AD314" s="1075"/>
      <c r="AE314" s="1075"/>
      <c r="AF314" s="1075"/>
      <c r="AG314" s="1075"/>
      <c r="AH314" s="1075"/>
      <c r="AI314" s="1075"/>
      <c r="AJ314" s="1075"/>
      <c r="AK314" s="1075"/>
      <c r="AL314" s="1075"/>
      <c r="AM314" s="1075"/>
      <c r="AN314" s="1075"/>
      <c r="AO314" s="1075"/>
      <c r="AP314" s="1075"/>
      <c r="AQ314" s="1075"/>
      <c r="AR314" s="1075"/>
      <c r="AS314" s="1075"/>
      <c r="AT314" s="1075"/>
      <c r="AU314" s="1075"/>
      <c r="AV314" s="1075"/>
      <c r="AW314" s="1075"/>
      <c r="AX314" s="1075"/>
      <c r="AY314" s="1075"/>
      <c r="AZ314" s="1075"/>
    </row>
    <row r="315" spans="1:52" ht="17.100000000000001" customHeight="1">
      <c r="A315" s="1075"/>
      <c r="B315" s="1075"/>
      <c r="C315" s="1075"/>
      <c r="D315" s="1075"/>
      <c r="E315" s="1075"/>
      <c r="F315" s="1075"/>
      <c r="G315" s="1075"/>
      <c r="H315" s="1075"/>
      <c r="I315" s="1075"/>
      <c r="J315" s="1075"/>
      <c r="K315" s="1075"/>
      <c r="L315" s="1075"/>
      <c r="M315" s="1075"/>
      <c r="N315" s="1075"/>
      <c r="O315" s="1075"/>
      <c r="P315" s="1075"/>
      <c r="Q315" s="1075"/>
      <c r="R315" s="1075"/>
      <c r="S315" s="1075"/>
      <c r="T315" s="1075"/>
      <c r="U315" s="1075"/>
      <c r="V315" s="1075"/>
      <c r="W315" s="1075"/>
      <c r="X315" s="1075"/>
      <c r="Y315" s="1075"/>
      <c r="Z315" s="1075"/>
      <c r="AA315" s="1075"/>
      <c r="AB315" s="1075"/>
      <c r="AC315" s="1075"/>
      <c r="AD315" s="1075"/>
      <c r="AE315" s="1075"/>
      <c r="AF315" s="1075"/>
      <c r="AG315" s="1075"/>
      <c r="AH315" s="1075"/>
      <c r="AI315" s="1075"/>
      <c r="AJ315" s="1075"/>
      <c r="AK315" s="1075"/>
      <c r="AL315" s="1075"/>
      <c r="AM315" s="1075"/>
      <c r="AN315" s="1075"/>
      <c r="AO315" s="1075"/>
      <c r="AP315" s="1075"/>
      <c r="AQ315" s="1075"/>
      <c r="AR315" s="1075"/>
      <c r="AS315" s="1075"/>
      <c r="AT315" s="1075"/>
      <c r="AU315" s="1075"/>
      <c r="AV315" s="1075"/>
      <c r="AW315" s="1075"/>
      <c r="AX315" s="1075"/>
      <c r="AY315" s="1075"/>
      <c r="AZ315" s="1075"/>
    </row>
    <row r="316" spans="1:52" ht="17.100000000000001" customHeight="1">
      <c r="A316" s="1075"/>
      <c r="B316" s="1075"/>
      <c r="C316" s="1075"/>
      <c r="D316" s="1075"/>
      <c r="E316" s="1075"/>
      <c r="F316" s="1075"/>
      <c r="G316" s="1075"/>
      <c r="H316" s="1075"/>
      <c r="I316" s="1075"/>
      <c r="J316" s="1075"/>
      <c r="K316" s="1075"/>
      <c r="L316" s="1075"/>
      <c r="M316" s="1075"/>
      <c r="N316" s="1075"/>
      <c r="O316" s="1075"/>
      <c r="P316" s="1075"/>
      <c r="Q316" s="1075"/>
      <c r="R316" s="1075"/>
      <c r="S316" s="1075"/>
      <c r="T316" s="1075"/>
      <c r="U316" s="1075"/>
      <c r="V316" s="1075"/>
      <c r="W316" s="1075"/>
      <c r="X316" s="1075"/>
      <c r="Y316" s="1075"/>
      <c r="Z316" s="1075"/>
      <c r="AA316" s="1075"/>
      <c r="AB316" s="1075"/>
      <c r="AC316" s="1075"/>
      <c r="AD316" s="1075"/>
      <c r="AE316" s="1075"/>
      <c r="AF316" s="1075"/>
      <c r="AG316" s="1075"/>
      <c r="AH316" s="1075"/>
      <c r="AI316" s="1075"/>
      <c r="AJ316" s="1075"/>
      <c r="AK316" s="1075"/>
      <c r="AL316" s="1075"/>
      <c r="AM316" s="1075"/>
      <c r="AN316" s="1075"/>
      <c r="AO316" s="1075"/>
      <c r="AP316" s="1075"/>
      <c r="AQ316" s="1075"/>
      <c r="AR316" s="1075"/>
      <c r="AS316" s="1075"/>
      <c r="AT316" s="1075"/>
      <c r="AU316" s="1075"/>
      <c r="AV316" s="1075"/>
      <c r="AW316" s="1075"/>
      <c r="AX316" s="1075"/>
      <c r="AY316" s="1075"/>
      <c r="AZ316" s="1075"/>
    </row>
    <row r="317" spans="1:52" ht="17.100000000000001" customHeight="1">
      <c r="A317" s="1075"/>
      <c r="B317" s="1075"/>
      <c r="C317" s="1075"/>
      <c r="D317" s="1075"/>
      <c r="E317" s="1075"/>
      <c r="F317" s="1075"/>
      <c r="G317" s="1075"/>
      <c r="H317" s="1075"/>
      <c r="I317" s="1075"/>
      <c r="J317" s="1075"/>
      <c r="K317" s="1075"/>
      <c r="L317" s="1075"/>
      <c r="M317" s="1075"/>
      <c r="N317" s="1075"/>
      <c r="O317" s="1075"/>
      <c r="P317" s="1075"/>
      <c r="Q317" s="1075"/>
      <c r="R317" s="1075"/>
      <c r="S317" s="1075"/>
      <c r="T317" s="1075"/>
      <c r="U317" s="1075"/>
      <c r="V317" s="1075"/>
      <c r="W317" s="1075"/>
      <c r="X317" s="1075"/>
      <c r="Y317" s="1075"/>
      <c r="Z317" s="1075"/>
      <c r="AA317" s="1075"/>
      <c r="AB317" s="1075"/>
      <c r="AC317" s="1075"/>
      <c r="AD317" s="1075"/>
      <c r="AE317" s="1075"/>
      <c r="AF317" s="1075"/>
      <c r="AG317" s="1075"/>
      <c r="AH317" s="1075"/>
      <c r="AI317" s="1075"/>
      <c r="AJ317" s="1075"/>
      <c r="AK317" s="1075"/>
      <c r="AL317" s="1075"/>
      <c r="AM317" s="1075"/>
      <c r="AN317" s="1075"/>
      <c r="AO317" s="1075"/>
      <c r="AP317" s="1075"/>
      <c r="AQ317" s="1075"/>
      <c r="AR317" s="1075"/>
      <c r="AS317" s="1075"/>
      <c r="AT317" s="1075"/>
      <c r="AU317" s="1075"/>
      <c r="AV317" s="1075"/>
      <c r="AW317" s="1075"/>
      <c r="AX317" s="1075"/>
      <c r="AY317" s="1075"/>
      <c r="AZ317" s="1075"/>
    </row>
    <row r="318" spans="1:52" ht="17.100000000000001" customHeight="1">
      <c r="A318" s="1075"/>
      <c r="B318" s="1075"/>
      <c r="C318" s="1075"/>
      <c r="D318" s="1075"/>
      <c r="E318" s="1075"/>
      <c r="F318" s="1075"/>
      <c r="G318" s="1075"/>
      <c r="H318" s="1075"/>
      <c r="I318" s="1075"/>
      <c r="J318" s="1075"/>
      <c r="K318" s="1075"/>
      <c r="L318" s="1075"/>
      <c r="M318" s="1075"/>
      <c r="N318" s="1075"/>
      <c r="O318" s="1075"/>
      <c r="P318" s="1075"/>
      <c r="Q318" s="1075"/>
      <c r="R318" s="1075"/>
      <c r="S318" s="1075"/>
      <c r="T318" s="1075"/>
      <c r="U318" s="1075"/>
      <c r="V318" s="1075"/>
      <c r="W318" s="1075"/>
      <c r="X318" s="1075"/>
      <c r="Y318" s="1075"/>
      <c r="Z318" s="1075"/>
      <c r="AA318" s="1075"/>
      <c r="AB318" s="1075"/>
      <c r="AC318" s="1075"/>
      <c r="AD318" s="1075"/>
      <c r="AE318" s="1075"/>
      <c r="AF318" s="1075"/>
      <c r="AG318" s="1075"/>
      <c r="AH318" s="1075"/>
      <c r="AI318" s="1075"/>
      <c r="AJ318" s="1075"/>
      <c r="AK318" s="1075"/>
      <c r="AL318" s="1075"/>
      <c r="AM318" s="1075"/>
      <c r="AN318" s="1075"/>
      <c r="AO318" s="1075"/>
      <c r="AP318" s="1075"/>
      <c r="AQ318" s="1075"/>
      <c r="AR318" s="1075"/>
      <c r="AS318" s="1075"/>
      <c r="AT318" s="1075"/>
      <c r="AU318" s="1075"/>
      <c r="AV318" s="1075"/>
      <c r="AW318" s="1075"/>
      <c r="AX318" s="1075"/>
      <c r="AY318" s="1075"/>
      <c r="AZ318" s="1075"/>
    </row>
    <row r="319" spans="1:52" ht="17.100000000000001" customHeight="1">
      <c r="A319" s="1075"/>
      <c r="B319" s="1075"/>
      <c r="C319" s="1075"/>
      <c r="D319" s="1075"/>
      <c r="E319" s="1075"/>
      <c r="F319" s="1075"/>
      <c r="G319" s="1075"/>
      <c r="H319" s="1075"/>
      <c r="I319" s="1075"/>
      <c r="J319" s="1075"/>
      <c r="K319" s="1075"/>
      <c r="L319" s="1075"/>
      <c r="M319" s="1075"/>
      <c r="N319" s="1075"/>
      <c r="O319" s="1075"/>
      <c r="P319" s="1075"/>
      <c r="Q319" s="1075"/>
      <c r="R319" s="1075"/>
      <c r="S319" s="1075"/>
      <c r="T319" s="1075"/>
      <c r="U319" s="1075"/>
      <c r="V319" s="1075"/>
      <c r="W319" s="1075"/>
      <c r="X319" s="1075"/>
      <c r="Y319" s="1075"/>
      <c r="Z319" s="1075"/>
      <c r="AA319" s="1075"/>
      <c r="AB319" s="1075"/>
      <c r="AC319" s="1075"/>
      <c r="AD319" s="1075"/>
      <c r="AE319" s="1075"/>
      <c r="AF319" s="1075"/>
      <c r="AG319" s="1075"/>
      <c r="AH319" s="1075"/>
      <c r="AI319" s="1075"/>
      <c r="AJ319" s="1075"/>
      <c r="AK319" s="1075"/>
      <c r="AL319" s="1075"/>
      <c r="AM319" s="1075"/>
      <c r="AN319" s="1075"/>
      <c r="AO319" s="1075"/>
      <c r="AP319" s="1075"/>
      <c r="AQ319" s="1075"/>
      <c r="AR319" s="1075"/>
      <c r="AS319" s="1075"/>
      <c r="AT319" s="1075"/>
      <c r="AU319" s="1075"/>
      <c r="AV319" s="1075"/>
      <c r="AW319" s="1075"/>
      <c r="AX319" s="1075"/>
      <c r="AY319" s="1075"/>
      <c r="AZ319" s="1075"/>
    </row>
    <row r="320" spans="1:52" ht="17.100000000000001" customHeight="1">
      <c r="A320" s="1075"/>
      <c r="B320" s="1075"/>
      <c r="C320" s="1075"/>
      <c r="D320" s="1075"/>
      <c r="E320" s="1075"/>
      <c r="F320" s="1075"/>
      <c r="G320" s="1075"/>
      <c r="H320" s="1075"/>
      <c r="I320" s="1075"/>
      <c r="J320" s="1075"/>
      <c r="K320" s="1075"/>
      <c r="L320" s="1075"/>
      <c r="M320" s="1075"/>
      <c r="N320" s="1075"/>
      <c r="O320" s="1075"/>
      <c r="P320" s="1075"/>
      <c r="Q320" s="1075"/>
      <c r="R320" s="1075"/>
      <c r="S320" s="1075"/>
      <c r="T320" s="1075"/>
      <c r="U320" s="1075"/>
      <c r="V320" s="1075"/>
      <c r="W320" s="1075"/>
      <c r="X320" s="1075"/>
      <c r="Y320" s="1075"/>
      <c r="Z320" s="1075"/>
      <c r="AA320" s="1075"/>
      <c r="AB320" s="1075"/>
      <c r="AC320" s="1075"/>
      <c r="AD320" s="1075"/>
      <c r="AE320" s="1075"/>
      <c r="AF320" s="1075"/>
      <c r="AG320" s="1075"/>
      <c r="AH320" s="1075"/>
      <c r="AI320" s="1075"/>
      <c r="AJ320" s="1075"/>
      <c r="AK320" s="1075"/>
      <c r="AL320" s="1075"/>
      <c r="AM320" s="1075"/>
      <c r="AN320" s="1075"/>
      <c r="AO320" s="1075"/>
      <c r="AP320" s="1075"/>
      <c r="AQ320" s="1075"/>
      <c r="AR320" s="1075"/>
      <c r="AS320" s="1075"/>
      <c r="AT320" s="1075"/>
      <c r="AU320" s="1075"/>
      <c r="AV320" s="1075"/>
      <c r="AW320" s="1075"/>
      <c r="AX320" s="1075"/>
      <c r="AY320" s="1075"/>
      <c r="AZ320" s="1075"/>
    </row>
    <row r="321" spans="1:52" ht="17.100000000000001" customHeight="1">
      <c r="A321" s="1075"/>
      <c r="B321" s="1075"/>
      <c r="C321" s="1075"/>
      <c r="D321" s="1075"/>
      <c r="E321" s="1075"/>
      <c r="F321" s="1075"/>
      <c r="G321" s="1075"/>
      <c r="H321" s="1075"/>
      <c r="I321" s="1075"/>
      <c r="J321" s="1075"/>
      <c r="K321" s="1075"/>
      <c r="L321" s="1075"/>
      <c r="M321" s="1075"/>
      <c r="N321" s="1075"/>
      <c r="O321" s="1075"/>
      <c r="P321" s="1075"/>
      <c r="Q321" s="1075"/>
      <c r="R321" s="1075"/>
      <c r="S321" s="1075"/>
      <c r="T321" s="1075"/>
      <c r="U321" s="1075"/>
      <c r="V321" s="1075"/>
      <c r="W321" s="1075"/>
      <c r="X321" s="1075"/>
      <c r="Y321" s="1075"/>
      <c r="Z321" s="1075"/>
      <c r="AA321" s="1075"/>
      <c r="AB321" s="1075"/>
      <c r="AC321" s="1075"/>
      <c r="AD321" s="1075"/>
      <c r="AE321" s="1075"/>
      <c r="AF321" s="1075"/>
      <c r="AG321" s="1075"/>
      <c r="AH321" s="1075"/>
      <c r="AI321" s="1075"/>
      <c r="AJ321" s="1075"/>
      <c r="AK321" s="1075"/>
      <c r="AL321" s="1075"/>
      <c r="AM321" s="1075"/>
      <c r="AN321" s="1075"/>
      <c r="AO321" s="1075"/>
      <c r="AP321" s="1075"/>
      <c r="AQ321" s="1075"/>
      <c r="AR321" s="1075"/>
      <c r="AS321" s="1075"/>
      <c r="AT321" s="1075"/>
      <c r="AU321" s="1075"/>
      <c r="AV321" s="1075"/>
      <c r="AW321" s="1075"/>
      <c r="AX321" s="1075"/>
      <c r="AY321" s="1075"/>
      <c r="AZ321" s="1075"/>
    </row>
    <row r="322" spans="1:52" ht="17.100000000000001" customHeight="1">
      <c r="A322" s="1075"/>
      <c r="B322" s="1075"/>
      <c r="C322" s="1075"/>
      <c r="D322" s="1075"/>
      <c r="E322" s="1075"/>
      <c r="F322" s="1075"/>
      <c r="G322" s="1075"/>
      <c r="H322" s="1075"/>
      <c r="I322" s="1075"/>
      <c r="J322" s="1075"/>
      <c r="K322" s="1075"/>
      <c r="L322" s="1075"/>
      <c r="M322" s="1075"/>
      <c r="N322" s="1075"/>
      <c r="O322" s="1075"/>
      <c r="P322" s="1075"/>
      <c r="Q322" s="1075"/>
      <c r="R322" s="1075"/>
      <c r="S322" s="1075"/>
      <c r="T322" s="1075"/>
      <c r="U322" s="1075"/>
      <c r="V322" s="1075"/>
      <c r="W322" s="1075"/>
      <c r="X322" s="1075"/>
      <c r="Y322" s="1075"/>
      <c r="Z322" s="1075"/>
      <c r="AA322" s="1075"/>
      <c r="AB322" s="1075"/>
      <c r="AC322" s="1075"/>
      <c r="AD322" s="1075"/>
      <c r="AE322" s="1075"/>
      <c r="AF322" s="1075"/>
      <c r="AG322" s="1075"/>
      <c r="AH322" s="1075"/>
      <c r="AI322" s="1075"/>
      <c r="AJ322" s="1075"/>
      <c r="AK322" s="1075"/>
      <c r="AL322" s="1075"/>
      <c r="AM322" s="1075"/>
      <c r="AN322" s="1075"/>
      <c r="AO322" s="1075"/>
      <c r="AP322" s="1075"/>
      <c r="AQ322" s="1075"/>
      <c r="AR322" s="1075"/>
      <c r="AS322" s="1075"/>
      <c r="AT322" s="1075"/>
      <c r="AU322" s="1075"/>
      <c r="AV322" s="1075"/>
      <c r="AW322" s="1075"/>
      <c r="AX322" s="1075"/>
      <c r="AY322" s="1075"/>
      <c r="AZ322" s="1075"/>
    </row>
    <row r="323" spans="1:52" ht="17.100000000000001" customHeight="1">
      <c r="A323" s="1075"/>
      <c r="B323" s="1075"/>
      <c r="C323" s="1075"/>
      <c r="D323" s="1075"/>
      <c r="E323" s="1075"/>
      <c r="F323" s="1075"/>
      <c r="G323" s="1075"/>
      <c r="H323" s="1075"/>
      <c r="I323" s="1075"/>
      <c r="J323" s="1075"/>
      <c r="K323" s="1075"/>
      <c r="L323" s="1075"/>
      <c r="M323" s="1075"/>
      <c r="N323" s="1075"/>
      <c r="O323" s="1075"/>
      <c r="P323" s="1075"/>
      <c r="Q323" s="1075"/>
      <c r="R323" s="1075"/>
      <c r="S323" s="1075"/>
      <c r="T323" s="1075"/>
      <c r="U323" s="1075"/>
      <c r="V323" s="1075"/>
      <c r="W323" s="1075"/>
      <c r="X323" s="1075"/>
      <c r="Y323" s="1075"/>
      <c r="Z323" s="1075"/>
      <c r="AA323" s="1075"/>
      <c r="AB323" s="1075"/>
      <c r="AC323" s="1075"/>
      <c r="AD323" s="1075"/>
      <c r="AE323" s="1075"/>
      <c r="AF323" s="1075"/>
      <c r="AG323" s="1075"/>
      <c r="AH323" s="1075"/>
      <c r="AI323" s="1075"/>
      <c r="AJ323" s="1075"/>
      <c r="AK323" s="1075"/>
      <c r="AL323" s="1075"/>
      <c r="AM323" s="1075"/>
      <c r="AN323" s="1075"/>
      <c r="AO323" s="1075"/>
      <c r="AP323" s="1075"/>
      <c r="AQ323" s="1075"/>
      <c r="AR323" s="1075"/>
      <c r="AS323" s="1075"/>
      <c r="AT323" s="1075"/>
      <c r="AU323" s="1075"/>
      <c r="AV323" s="1075"/>
      <c r="AW323" s="1075"/>
      <c r="AX323" s="1075"/>
      <c r="AY323" s="1075"/>
      <c r="AZ323" s="1075"/>
    </row>
    <row r="324" spans="1:52" ht="17.100000000000001" customHeight="1">
      <c r="A324" s="1075"/>
      <c r="B324" s="1075"/>
      <c r="C324" s="1075"/>
      <c r="D324" s="1075"/>
      <c r="E324" s="1075"/>
      <c r="F324" s="1075"/>
      <c r="G324" s="1075"/>
      <c r="H324" s="1075"/>
      <c r="I324" s="1075"/>
      <c r="J324" s="1075"/>
      <c r="K324" s="1075"/>
      <c r="L324" s="1075"/>
      <c r="M324" s="1075"/>
      <c r="N324" s="1075"/>
      <c r="O324" s="1075"/>
      <c r="P324" s="1075"/>
      <c r="Q324" s="1075"/>
      <c r="R324" s="1075"/>
      <c r="S324" s="1075"/>
      <c r="T324" s="1075"/>
      <c r="U324" s="1075"/>
      <c r="V324" s="1075"/>
      <c r="W324" s="1075"/>
      <c r="X324" s="1075"/>
      <c r="Y324" s="1075"/>
      <c r="Z324" s="1075"/>
      <c r="AA324" s="1075"/>
      <c r="AB324" s="1075"/>
      <c r="AC324" s="1075"/>
      <c r="AD324" s="1075"/>
      <c r="AE324" s="1075"/>
      <c r="AF324" s="1075"/>
      <c r="AG324" s="1075"/>
      <c r="AH324" s="1075"/>
      <c r="AI324" s="1075"/>
      <c r="AJ324" s="1075"/>
      <c r="AK324" s="1075"/>
      <c r="AL324" s="1075"/>
      <c r="AM324" s="1075"/>
      <c r="AN324" s="1075"/>
      <c r="AO324" s="1075"/>
      <c r="AP324" s="1075"/>
      <c r="AQ324" s="1075"/>
      <c r="AR324" s="1075"/>
      <c r="AS324" s="1075"/>
      <c r="AT324" s="1075"/>
      <c r="AU324" s="1075"/>
      <c r="AV324" s="1075"/>
      <c r="AW324" s="1075"/>
      <c r="AX324" s="1075"/>
      <c r="AY324" s="1075"/>
      <c r="AZ324" s="1075"/>
    </row>
    <row r="325" spans="1:52" ht="17.100000000000001" customHeight="1">
      <c r="A325" s="1075"/>
      <c r="B325" s="1075"/>
      <c r="C325" s="1075"/>
      <c r="D325" s="1075"/>
      <c r="E325" s="1075"/>
      <c r="F325" s="1075"/>
      <c r="G325" s="1075"/>
      <c r="H325" s="1075"/>
      <c r="I325" s="1075"/>
      <c r="J325" s="1075"/>
      <c r="K325" s="1075"/>
      <c r="L325" s="1075"/>
      <c r="M325" s="1075"/>
      <c r="N325" s="1075"/>
      <c r="O325" s="1075"/>
      <c r="P325" s="1075"/>
      <c r="Q325" s="1075"/>
      <c r="R325" s="1075"/>
      <c r="S325" s="1075"/>
      <c r="T325" s="1075"/>
      <c r="U325" s="1075"/>
      <c r="V325" s="1075"/>
      <c r="W325" s="1075"/>
      <c r="X325" s="1075"/>
      <c r="Y325" s="1075"/>
      <c r="Z325" s="1075"/>
      <c r="AA325" s="1075"/>
      <c r="AB325" s="1075"/>
      <c r="AC325" s="1075"/>
      <c r="AD325" s="1075"/>
      <c r="AE325" s="1075"/>
      <c r="AF325" s="1075"/>
      <c r="AG325" s="1075"/>
      <c r="AH325" s="1075"/>
      <c r="AI325" s="1075"/>
      <c r="AJ325" s="1075"/>
      <c r="AK325" s="1075"/>
      <c r="AL325" s="1075"/>
      <c r="AM325" s="1075"/>
      <c r="AN325" s="1075"/>
      <c r="AO325" s="1075"/>
      <c r="AP325" s="1075"/>
      <c r="AQ325" s="1075"/>
      <c r="AR325" s="1075"/>
      <c r="AS325" s="1075"/>
      <c r="AT325" s="1075"/>
      <c r="AU325" s="1075"/>
      <c r="AV325" s="1075"/>
      <c r="AW325" s="1075"/>
      <c r="AX325" s="1075"/>
      <c r="AY325" s="1075"/>
      <c r="AZ325" s="1075"/>
    </row>
    <row r="326" spans="1:52" ht="17.100000000000001" customHeight="1">
      <c r="A326" s="1075"/>
      <c r="B326" s="1075"/>
      <c r="C326" s="1075"/>
      <c r="D326" s="1075"/>
      <c r="E326" s="1075"/>
      <c r="F326" s="1075"/>
      <c r="G326" s="1075"/>
      <c r="H326" s="1075"/>
      <c r="I326" s="1075"/>
      <c r="J326" s="1075"/>
      <c r="K326" s="1075"/>
      <c r="L326" s="1075"/>
      <c r="M326" s="1075"/>
      <c r="N326" s="1075"/>
      <c r="O326" s="1075"/>
      <c r="P326" s="1075"/>
      <c r="Q326" s="1075"/>
      <c r="R326" s="1075"/>
      <c r="S326" s="1075"/>
      <c r="T326" s="1075"/>
      <c r="U326" s="1075"/>
      <c r="V326" s="1075"/>
      <c r="W326" s="1075"/>
      <c r="X326" s="1075"/>
      <c r="Y326" s="1075"/>
      <c r="Z326" s="1075"/>
      <c r="AA326" s="1075"/>
      <c r="AB326" s="1075"/>
      <c r="AC326" s="1075"/>
      <c r="AD326" s="1075"/>
      <c r="AE326" s="1075"/>
      <c r="AF326" s="1075"/>
      <c r="AG326" s="1075"/>
      <c r="AH326" s="1075"/>
      <c r="AI326" s="1075"/>
      <c r="AJ326" s="1075"/>
      <c r="AK326" s="1075"/>
      <c r="AL326" s="1075"/>
      <c r="AM326" s="1075"/>
      <c r="AN326" s="1075"/>
      <c r="AO326" s="1075"/>
      <c r="AP326" s="1075"/>
      <c r="AQ326" s="1075"/>
      <c r="AR326" s="1075"/>
      <c r="AS326" s="1075"/>
      <c r="AT326" s="1075"/>
      <c r="AU326" s="1075"/>
      <c r="AV326" s="1075"/>
      <c r="AW326" s="1075"/>
      <c r="AX326" s="1075"/>
      <c r="AY326" s="1075"/>
      <c r="AZ326" s="1075"/>
    </row>
    <row r="327" spans="1:52" ht="17.100000000000001" customHeight="1">
      <c r="A327" s="1075"/>
      <c r="B327" s="1075"/>
      <c r="C327" s="1075"/>
      <c r="D327" s="1075"/>
      <c r="E327" s="1075"/>
      <c r="F327" s="1075"/>
      <c r="G327" s="1075"/>
      <c r="H327" s="1075"/>
      <c r="I327" s="1075"/>
      <c r="J327" s="1075"/>
      <c r="K327" s="1075"/>
      <c r="L327" s="1075"/>
      <c r="M327" s="1075"/>
      <c r="N327" s="1075"/>
      <c r="O327" s="1075"/>
      <c r="P327" s="1075"/>
      <c r="Q327" s="1075"/>
      <c r="R327" s="1075"/>
      <c r="S327" s="1075"/>
      <c r="T327" s="1075"/>
      <c r="U327" s="1075"/>
      <c r="V327" s="1075"/>
      <c r="W327" s="1075"/>
      <c r="X327" s="1075"/>
      <c r="Y327" s="1075"/>
      <c r="Z327" s="1075"/>
      <c r="AA327" s="1075"/>
      <c r="AB327" s="1075"/>
      <c r="AC327" s="1075"/>
      <c r="AD327" s="1075"/>
      <c r="AE327" s="1075"/>
      <c r="AF327" s="1075"/>
      <c r="AG327" s="1075"/>
      <c r="AH327" s="1075"/>
      <c r="AI327" s="1075"/>
      <c r="AJ327" s="1075"/>
      <c r="AK327" s="1075"/>
      <c r="AL327" s="1075"/>
      <c r="AM327" s="1075"/>
      <c r="AN327" s="1075"/>
      <c r="AO327" s="1075"/>
      <c r="AP327" s="1075"/>
      <c r="AQ327" s="1075"/>
      <c r="AR327" s="1075"/>
      <c r="AS327" s="1075"/>
      <c r="AT327" s="1075"/>
      <c r="AU327" s="1075"/>
      <c r="AV327" s="1075"/>
      <c r="AW327" s="1075"/>
      <c r="AX327" s="1075"/>
      <c r="AY327" s="1075"/>
      <c r="AZ327" s="1075"/>
    </row>
    <row r="328" spans="1:52" ht="17.100000000000001" customHeight="1">
      <c r="A328" s="1075"/>
      <c r="B328" s="1075"/>
      <c r="C328" s="1075"/>
      <c r="D328" s="1075"/>
      <c r="E328" s="1075"/>
      <c r="F328" s="1075"/>
      <c r="G328" s="1075"/>
      <c r="H328" s="1075"/>
      <c r="I328" s="1075"/>
      <c r="J328" s="1075"/>
      <c r="K328" s="1075"/>
      <c r="L328" s="1075"/>
      <c r="M328" s="1075"/>
      <c r="N328" s="1075"/>
      <c r="O328" s="1075"/>
      <c r="P328" s="1075"/>
      <c r="Q328" s="1075"/>
      <c r="R328" s="1075"/>
      <c r="S328" s="1075"/>
      <c r="T328" s="1075"/>
      <c r="U328" s="1075"/>
      <c r="V328" s="1075"/>
      <c r="W328" s="1075"/>
      <c r="X328" s="1075"/>
      <c r="Y328" s="1075"/>
      <c r="Z328" s="1075"/>
      <c r="AA328" s="1075"/>
      <c r="AB328" s="1075"/>
      <c r="AC328" s="1075"/>
      <c r="AD328" s="1075"/>
      <c r="AE328" s="1075"/>
      <c r="AF328" s="1075"/>
      <c r="AG328" s="1075"/>
      <c r="AH328" s="1075"/>
      <c r="AI328" s="1075"/>
      <c r="AJ328" s="1075"/>
      <c r="AK328" s="1075"/>
      <c r="AL328" s="1075"/>
      <c r="AM328" s="1075"/>
      <c r="AN328" s="1075"/>
      <c r="AO328" s="1075"/>
      <c r="AP328" s="1075"/>
      <c r="AQ328" s="1075"/>
      <c r="AR328" s="1075"/>
      <c r="AS328" s="1075"/>
      <c r="AT328" s="1075"/>
      <c r="AU328" s="1075"/>
      <c r="AV328" s="1075"/>
      <c r="AW328" s="1075"/>
      <c r="AX328" s="1075"/>
      <c r="AY328" s="1075"/>
      <c r="AZ328" s="1075"/>
    </row>
    <row r="329" spans="1:52" ht="17.100000000000001" customHeight="1">
      <c r="A329" s="1075"/>
      <c r="B329" s="1075"/>
      <c r="C329" s="1075"/>
      <c r="D329" s="1075"/>
      <c r="E329" s="1075"/>
      <c r="F329" s="1075"/>
      <c r="G329" s="1075"/>
      <c r="H329" s="1075"/>
      <c r="I329" s="1075"/>
      <c r="J329" s="1075"/>
      <c r="K329" s="1075"/>
      <c r="L329" s="1075"/>
      <c r="M329" s="1075"/>
      <c r="N329" s="1075"/>
      <c r="O329" s="1075"/>
      <c r="P329" s="1075"/>
      <c r="Q329" s="1075"/>
      <c r="R329" s="1075"/>
      <c r="S329" s="1075"/>
      <c r="T329" s="1075"/>
      <c r="U329" s="1075"/>
      <c r="V329" s="1075"/>
      <c r="W329" s="1075"/>
      <c r="X329" s="1075"/>
      <c r="Y329" s="1075"/>
      <c r="Z329" s="1075"/>
      <c r="AA329" s="1075"/>
      <c r="AB329" s="1075"/>
      <c r="AC329" s="1075"/>
      <c r="AD329" s="1075"/>
      <c r="AE329" s="1075"/>
      <c r="AF329" s="1075"/>
      <c r="AG329" s="1075"/>
      <c r="AH329" s="1075"/>
      <c r="AI329" s="1075"/>
      <c r="AJ329" s="1075"/>
      <c r="AK329" s="1075"/>
      <c r="AL329" s="1075"/>
      <c r="AM329" s="1075"/>
      <c r="AN329" s="1075"/>
      <c r="AO329" s="1075"/>
      <c r="AP329" s="1075"/>
      <c r="AQ329" s="1075"/>
      <c r="AR329" s="1075"/>
      <c r="AS329" s="1075"/>
      <c r="AT329" s="1075"/>
      <c r="AU329" s="1075"/>
      <c r="AV329" s="1075"/>
      <c r="AW329" s="1075"/>
      <c r="AX329" s="1075"/>
      <c r="AY329" s="1075"/>
      <c r="AZ329" s="1075"/>
    </row>
    <row r="330" spans="1:52" ht="17.100000000000001" customHeight="1">
      <c r="A330" s="1075"/>
      <c r="B330" s="1075"/>
      <c r="C330" s="1075"/>
      <c r="D330" s="1075"/>
      <c r="E330" s="1075"/>
      <c r="F330" s="1075"/>
      <c r="G330" s="1075"/>
      <c r="H330" s="1075"/>
      <c r="I330" s="1075"/>
      <c r="J330" s="1075"/>
      <c r="K330" s="1075"/>
      <c r="L330" s="1075"/>
      <c r="M330" s="1075"/>
      <c r="N330" s="1075"/>
      <c r="O330" s="1075"/>
      <c r="P330" s="1075"/>
      <c r="Q330" s="1075"/>
      <c r="R330" s="1075"/>
      <c r="S330" s="1075"/>
      <c r="T330" s="1075"/>
      <c r="U330" s="1075"/>
      <c r="V330" s="1075"/>
      <c r="W330" s="1075"/>
      <c r="X330" s="1075"/>
      <c r="Y330" s="1075"/>
      <c r="Z330" s="1075"/>
      <c r="AA330" s="1075"/>
      <c r="AB330" s="1075"/>
      <c r="AC330" s="1075"/>
      <c r="AD330" s="1075"/>
      <c r="AE330" s="1075"/>
      <c r="AF330" s="1075"/>
      <c r="AG330" s="1075"/>
      <c r="AH330" s="1075"/>
      <c r="AI330" s="1075"/>
      <c r="AJ330" s="1075"/>
      <c r="AK330" s="1075"/>
      <c r="AL330" s="1075"/>
      <c r="AM330" s="1075"/>
      <c r="AN330" s="1075"/>
      <c r="AO330" s="1075"/>
      <c r="AP330" s="1075"/>
      <c r="AQ330" s="1075"/>
      <c r="AR330" s="1075"/>
      <c r="AS330" s="1075"/>
      <c r="AT330" s="1075"/>
      <c r="AU330" s="1075"/>
      <c r="AV330" s="1075"/>
      <c r="AW330" s="1075"/>
      <c r="AX330" s="1075"/>
      <c r="AY330" s="1075"/>
      <c r="AZ330" s="1075"/>
    </row>
    <row r="331" spans="1:52" ht="17.100000000000001" customHeight="1">
      <c r="A331" s="1075"/>
      <c r="B331" s="1075"/>
      <c r="C331" s="1075"/>
      <c r="D331" s="1075"/>
      <c r="E331" s="1075"/>
      <c r="F331" s="1075"/>
      <c r="G331" s="1075"/>
      <c r="H331" s="1075"/>
      <c r="I331" s="1075"/>
      <c r="J331" s="1075"/>
      <c r="K331" s="1075"/>
      <c r="L331" s="1075"/>
      <c r="M331" s="1075"/>
      <c r="N331" s="1075"/>
      <c r="O331" s="1075"/>
      <c r="P331" s="1075"/>
      <c r="Q331" s="1075"/>
      <c r="R331" s="1075"/>
      <c r="S331" s="1075"/>
      <c r="T331" s="1075"/>
      <c r="U331" s="1075"/>
      <c r="V331" s="1075"/>
      <c r="W331" s="1075"/>
      <c r="X331" s="1075"/>
      <c r="Y331" s="1075"/>
      <c r="Z331" s="1075"/>
      <c r="AA331" s="1075"/>
      <c r="AB331" s="1075"/>
      <c r="AC331" s="1075"/>
      <c r="AD331" s="1075"/>
      <c r="AE331" s="1075"/>
      <c r="AF331" s="1075"/>
      <c r="AG331" s="1075"/>
      <c r="AH331" s="1075"/>
      <c r="AI331" s="1075"/>
      <c r="AJ331" s="1075"/>
      <c r="AK331" s="1075"/>
      <c r="AL331" s="1075"/>
      <c r="AM331" s="1075"/>
      <c r="AN331" s="1075"/>
      <c r="AO331" s="1075"/>
      <c r="AP331" s="1075"/>
      <c r="AQ331" s="1075"/>
      <c r="AR331" s="1075"/>
      <c r="AS331" s="1075"/>
      <c r="AT331" s="1075"/>
      <c r="AU331" s="1075"/>
      <c r="AV331" s="1075"/>
      <c r="AW331" s="1075"/>
      <c r="AX331" s="1075"/>
      <c r="AY331" s="1075"/>
      <c r="AZ331" s="1075"/>
    </row>
    <row r="332" spans="1:52" ht="17.100000000000001" customHeight="1">
      <c r="A332" s="1075"/>
      <c r="B332" s="1075"/>
      <c r="C332" s="1075"/>
      <c r="D332" s="1075"/>
      <c r="E332" s="1075"/>
      <c r="F332" s="1075"/>
      <c r="G332" s="1075"/>
      <c r="H332" s="1075"/>
      <c r="I332" s="1075"/>
      <c r="J332" s="1075"/>
      <c r="K332" s="1075"/>
      <c r="L332" s="1075"/>
      <c r="M332" s="1075"/>
      <c r="N332" s="1075"/>
      <c r="O332" s="1075"/>
      <c r="P332" s="1075"/>
      <c r="Q332" s="1075"/>
      <c r="R332" s="1075"/>
      <c r="S332" s="1075"/>
      <c r="T332" s="1075"/>
      <c r="U332" s="1075"/>
      <c r="V332" s="1075"/>
      <c r="W332" s="1075"/>
      <c r="X332" s="1075"/>
      <c r="Y332" s="1075"/>
      <c r="Z332" s="1075"/>
      <c r="AA332" s="1075"/>
      <c r="AB332" s="1075"/>
      <c r="AC332" s="1075"/>
      <c r="AD332" s="1075"/>
      <c r="AE332" s="1075"/>
      <c r="AF332" s="1075"/>
      <c r="AG332" s="1075"/>
      <c r="AH332" s="1075"/>
      <c r="AI332" s="1075"/>
      <c r="AJ332" s="1075"/>
      <c r="AK332" s="1075"/>
      <c r="AL332" s="1075"/>
      <c r="AM332" s="1075"/>
      <c r="AN332" s="1075"/>
      <c r="AO332" s="1075"/>
      <c r="AP332" s="1075"/>
      <c r="AQ332" s="1075"/>
      <c r="AR332" s="1075"/>
      <c r="AS332" s="1075"/>
      <c r="AT332" s="1075"/>
      <c r="AU332" s="1075"/>
      <c r="AV332" s="1075"/>
      <c r="AW332" s="1075"/>
      <c r="AX332" s="1075"/>
      <c r="AY332" s="1075"/>
      <c r="AZ332" s="1075"/>
    </row>
    <row r="333" spans="1:52" ht="17.100000000000001" customHeight="1">
      <c r="A333" s="1075"/>
      <c r="B333" s="1075"/>
      <c r="C333" s="1075"/>
      <c r="D333" s="1075"/>
      <c r="E333" s="1075"/>
      <c r="F333" s="1075"/>
      <c r="G333" s="1075"/>
      <c r="H333" s="1075"/>
      <c r="I333" s="1075"/>
      <c r="J333" s="1075"/>
      <c r="K333" s="1075"/>
      <c r="L333" s="1075"/>
      <c r="M333" s="1075"/>
      <c r="N333" s="1075"/>
      <c r="O333" s="1075"/>
      <c r="P333" s="1075"/>
      <c r="Q333" s="1075"/>
      <c r="R333" s="1075"/>
      <c r="S333" s="1075"/>
      <c r="T333" s="1075"/>
      <c r="U333" s="1075"/>
      <c r="V333" s="1075"/>
      <c r="W333" s="1075"/>
      <c r="X333" s="1075"/>
      <c r="Y333" s="1075"/>
      <c r="Z333" s="1075"/>
      <c r="AA333" s="1075"/>
      <c r="AB333" s="1075"/>
      <c r="AC333" s="1075"/>
      <c r="AD333" s="1075"/>
      <c r="AE333" s="1075"/>
      <c r="AF333" s="1075"/>
      <c r="AG333" s="1075"/>
      <c r="AH333" s="1075"/>
      <c r="AI333" s="1075"/>
      <c r="AJ333" s="1075"/>
      <c r="AK333" s="1075"/>
      <c r="AL333" s="1075"/>
      <c r="AM333" s="1075"/>
      <c r="AN333" s="1075"/>
      <c r="AO333" s="1075"/>
      <c r="AP333" s="1075"/>
      <c r="AQ333" s="1075"/>
      <c r="AR333" s="1075"/>
      <c r="AS333" s="1075"/>
      <c r="AT333" s="1075"/>
      <c r="AU333" s="1075"/>
      <c r="AV333" s="1075"/>
      <c r="AW333" s="1075"/>
      <c r="AX333" s="1075"/>
      <c r="AY333" s="1075"/>
      <c r="AZ333" s="1075"/>
    </row>
    <row r="334" spans="1:52" ht="17.100000000000001" customHeight="1">
      <c r="A334" s="1075"/>
      <c r="B334" s="1075"/>
      <c r="C334" s="1075"/>
      <c r="D334" s="1075"/>
      <c r="E334" s="1075"/>
      <c r="F334" s="1075"/>
      <c r="G334" s="1075"/>
      <c r="H334" s="1075"/>
      <c r="I334" s="1075"/>
      <c r="J334" s="1075"/>
      <c r="K334" s="1075"/>
      <c r="L334" s="1075"/>
      <c r="M334" s="1075"/>
      <c r="N334" s="1075"/>
      <c r="O334" s="1075"/>
      <c r="P334" s="1075"/>
      <c r="Q334" s="1075"/>
      <c r="R334" s="1075"/>
      <c r="S334" s="1075"/>
      <c r="T334" s="1075"/>
      <c r="U334" s="1075"/>
      <c r="V334" s="1075"/>
      <c r="W334" s="1075"/>
      <c r="X334" s="1075"/>
      <c r="Y334" s="1075"/>
      <c r="Z334" s="1075"/>
      <c r="AA334" s="1075"/>
      <c r="AB334" s="1075"/>
      <c r="AC334" s="1075"/>
      <c r="AD334" s="1075"/>
      <c r="AE334" s="1075"/>
      <c r="AF334" s="1075"/>
      <c r="AG334" s="1075"/>
      <c r="AH334" s="1075"/>
      <c r="AI334" s="1075"/>
      <c r="AJ334" s="1075"/>
      <c r="AK334" s="1075"/>
      <c r="AL334" s="1075"/>
      <c r="AM334" s="1075"/>
      <c r="AN334" s="1075"/>
      <c r="AO334" s="1075"/>
      <c r="AP334" s="1075"/>
      <c r="AQ334" s="1075"/>
      <c r="AR334" s="1075"/>
      <c r="AS334" s="1075"/>
      <c r="AT334" s="1075"/>
      <c r="AU334" s="1075"/>
      <c r="AV334" s="1075"/>
      <c r="AW334" s="1075"/>
      <c r="AX334" s="1075"/>
      <c r="AY334" s="1075"/>
      <c r="AZ334" s="1075"/>
    </row>
    <row r="335" spans="1:52" ht="17.100000000000001" customHeight="1">
      <c r="A335" s="1075"/>
      <c r="B335" s="1075"/>
      <c r="C335" s="1075"/>
      <c r="D335" s="1075"/>
      <c r="E335" s="1075"/>
      <c r="F335" s="1075"/>
      <c r="G335" s="1075"/>
      <c r="H335" s="1075"/>
      <c r="I335" s="1075"/>
      <c r="J335" s="1075"/>
      <c r="K335" s="1075"/>
      <c r="L335" s="1075"/>
      <c r="M335" s="1075"/>
      <c r="N335" s="1075"/>
      <c r="O335" s="1075"/>
      <c r="P335" s="1075"/>
      <c r="Q335" s="1075"/>
      <c r="R335" s="1075"/>
      <c r="S335" s="1075"/>
      <c r="T335" s="1075"/>
      <c r="U335" s="1075"/>
      <c r="V335" s="1075"/>
      <c r="W335" s="1075"/>
      <c r="X335" s="1075"/>
      <c r="Y335" s="1075"/>
      <c r="Z335" s="1075"/>
      <c r="AA335" s="1075"/>
      <c r="AB335" s="1075"/>
      <c r="AC335" s="1075"/>
      <c r="AD335" s="1075"/>
      <c r="AE335" s="1075"/>
      <c r="AF335" s="1075"/>
      <c r="AG335" s="1075"/>
      <c r="AH335" s="1075"/>
      <c r="AI335" s="1075"/>
      <c r="AJ335" s="1075"/>
      <c r="AK335" s="1075"/>
      <c r="AL335" s="1075"/>
      <c r="AM335" s="1075"/>
      <c r="AN335" s="1075"/>
      <c r="AO335" s="1075"/>
      <c r="AP335" s="1075"/>
      <c r="AQ335" s="1075"/>
      <c r="AR335" s="1075"/>
      <c r="AS335" s="1075"/>
      <c r="AT335" s="1075"/>
      <c r="AU335" s="1075"/>
      <c r="AV335" s="1075"/>
      <c r="AW335" s="1075"/>
      <c r="AX335" s="1075"/>
      <c r="AY335" s="1075"/>
      <c r="AZ335" s="1075"/>
    </row>
    <row r="336" spans="1:52" ht="17.100000000000001" customHeight="1">
      <c r="A336" s="1075"/>
      <c r="B336" s="1075"/>
      <c r="C336" s="1075"/>
      <c r="D336" s="1075"/>
      <c r="E336" s="1075"/>
      <c r="F336" s="1075"/>
      <c r="G336" s="1075"/>
      <c r="H336" s="1075"/>
      <c r="I336" s="1075"/>
      <c r="J336" s="1075"/>
      <c r="K336" s="1075"/>
      <c r="L336" s="1075"/>
      <c r="M336" s="1075"/>
      <c r="N336" s="1075"/>
      <c r="O336" s="1075"/>
      <c r="P336" s="1075"/>
      <c r="Q336" s="1075"/>
      <c r="R336" s="1075"/>
      <c r="S336" s="1075"/>
      <c r="T336" s="1075"/>
      <c r="U336" s="1075"/>
      <c r="V336" s="1075"/>
      <c r="W336" s="1075"/>
      <c r="X336" s="1075"/>
      <c r="Y336" s="1075"/>
      <c r="Z336" s="1075"/>
      <c r="AA336" s="1075"/>
      <c r="AB336" s="1075"/>
      <c r="AC336" s="1075"/>
      <c r="AD336" s="1075"/>
      <c r="AE336" s="1075"/>
      <c r="AF336" s="1075"/>
      <c r="AG336" s="1075"/>
      <c r="AH336" s="1075"/>
      <c r="AI336" s="1075"/>
      <c r="AJ336" s="1075"/>
      <c r="AK336" s="1075"/>
      <c r="AL336" s="1075"/>
      <c r="AM336" s="1075"/>
      <c r="AN336" s="1075"/>
      <c r="AO336" s="1075"/>
      <c r="AP336" s="1075"/>
      <c r="AQ336" s="1075"/>
      <c r="AR336" s="1075"/>
      <c r="AS336" s="1075"/>
      <c r="AT336" s="1075"/>
      <c r="AU336" s="1075"/>
      <c r="AV336" s="1075"/>
      <c r="AW336" s="1075"/>
      <c r="AX336" s="1075"/>
      <c r="AY336" s="1075"/>
      <c r="AZ336" s="1075"/>
    </row>
    <row r="337" spans="1:52" ht="17.100000000000001" customHeight="1">
      <c r="A337" s="1075"/>
      <c r="B337" s="1075"/>
      <c r="C337" s="1075"/>
      <c r="D337" s="1075"/>
      <c r="E337" s="1075"/>
      <c r="F337" s="1075"/>
      <c r="G337" s="1075"/>
      <c r="H337" s="1075"/>
      <c r="I337" s="1075"/>
      <c r="J337" s="1075"/>
      <c r="K337" s="1075"/>
      <c r="L337" s="1075"/>
      <c r="M337" s="1075"/>
      <c r="N337" s="1075"/>
      <c r="O337" s="1075"/>
      <c r="P337" s="1075"/>
      <c r="Q337" s="1075"/>
      <c r="R337" s="1075"/>
      <c r="S337" s="1075"/>
      <c r="T337" s="1075"/>
      <c r="U337" s="1075"/>
      <c r="V337" s="1075"/>
      <c r="W337" s="1075"/>
      <c r="X337" s="1075"/>
      <c r="Y337" s="1075"/>
      <c r="Z337" s="1075"/>
      <c r="AA337" s="1075"/>
      <c r="AB337" s="1075"/>
      <c r="AC337" s="1075"/>
      <c r="AD337" s="1075"/>
      <c r="AE337" s="1075"/>
      <c r="AF337" s="1075"/>
      <c r="AG337" s="1075"/>
      <c r="AH337" s="1075"/>
      <c r="AI337" s="1075"/>
      <c r="AJ337" s="1075"/>
      <c r="AK337" s="1075"/>
      <c r="AL337" s="1075"/>
      <c r="AM337" s="1075"/>
      <c r="AN337" s="1075"/>
      <c r="AO337" s="1075"/>
      <c r="AP337" s="1075"/>
      <c r="AQ337" s="1075"/>
      <c r="AR337" s="1075"/>
      <c r="AS337" s="1075"/>
      <c r="AT337" s="1075"/>
      <c r="AU337" s="1075"/>
      <c r="AV337" s="1075"/>
      <c r="AW337" s="1075"/>
      <c r="AX337" s="1075"/>
      <c r="AY337" s="1075"/>
      <c r="AZ337" s="1075"/>
    </row>
    <row r="338" spans="1:52" ht="17.100000000000001" customHeight="1">
      <c r="A338" s="1075"/>
      <c r="B338" s="1075"/>
      <c r="C338" s="1075"/>
      <c r="D338" s="1075"/>
      <c r="E338" s="1075"/>
      <c r="F338" s="1075"/>
      <c r="G338" s="1075"/>
      <c r="H338" s="1075"/>
      <c r="I338" s="1075"/>
      <c r="J338" s="1075"/>
      <c r="K338" s="1075"/>
      <c r="L338" s="1075"/>
      <c r="M338" s="1075"/>
      <c r="N338" s="1075"/>
      <c r="O338" s="1075"/>
      <c r="P338" s="1075"/>
      <c r="Q338" s="1075"/>
      <c r="R338" s="1075"/>
      <c r="S338" s="1075"/>
      <c r="T338" s="1075"/>
      <c r="U338" s="1075"/>
      <c r="V338" s="1075"/>
      <c r="W338" s="1075"/>
      <c r="X338" s="1075"/>
      <c r="Y338" s="1075"/>
      <c r="Z338" s="1075"/>
      <c r="AA338" s="1075"/>
      <c r="AB338" s="1075"/>
      <c r="AC338" s="1075"/>
      <c r="AD338" s="1075"/>
      <c r="AE338" s="1075"/>
      <c r="AF338" s="1075"/>
      <c r="AG338" s="1075"/>
      <c r="AH338" s="1075"/>
      <c r="AI338" s="1075"/>
      <c r="AJ338" s="1075"/>
      <c r="AK338" s="1075"/>
      <c r="AL338" s="1075"/>
      <c r="AM338" s="1075"/>
      <c r="AN338" s="1075"/>
      <c r="AO338" s="1075"/>
      <c r="AP338" s="1075"/>
      <c r="AQ338" s="1075"/>
      <c r="AR338" s="1075"/>
      <c r="AS338" s="1075"/>
      <c r="AT338" s="1075"/>
      <c r="AU338" s="1075"/>
      <c r="AV338" s="1075"/>
      <c r="AW338" s="1075"/>
      <c r="AX338" s="1075"/>
      <c r="AY338" s="1075"/>
      <c r="AZ338" s="1075"/>
    </row>
    <row r="339" spans="1:52" ht="17.100000000000001" customHeight="1">
      <c r="A339" s="1075"/>
      <c r="B339" s="1075"/>
      <c r="C339" s="1075"/>
      <c r="D339" s="1075"/>
      <c r="E339" s="1075"/>
      <c r="F339" s="1075"/>
      <c r="G339" s="1075"/>
      <c r="H339" s="1075"/>
      <c r="I339" s="1075"/>
      <c r="J339" s="1075"/>
      <c r="K339" s="1075"/>
      <c r="L339" s="1075"/>
      <c r="M339" s="1075"/>
      <c r="N339" s="1075"/>
      <c r="O339" s="1075"/>
      <c r="P339" s="1075"/>
      <c r="Q339" s="1075"/>
      <c r="R339" s="1075"/>
      <c r="S339" s="1075"/>
      <c r="T339" s="1075"/>
      <c r="U339" s="1075"/>
      <c r="V339" s="1075"/>
      <c r="W339" s="1075"/>
      <c r="X339" s="1075"/>
      <c r="Y339" s="1075"/>
      <c r="Z339" s="1075"/>
      <c r="AA339" s="1075"/>
      <c r="AB339" s="1075"/>
      <c r="AC339" s="1075"/>
      <c r="AD339" s="1075"/>
      <c r="AE339" s="1075"/>
      <c r="AF339" s="1075"/>
      <c r="AG339" s="1075"/>
      <c r="AH339" s="1075"/>
      <c r="AI339" s="1075"/>
      <c r="AJ339" s="1075"/>
      <c r="AK339" s="1075"/>
      <c r="AL339" s="1075"/>
      <c r="AM339" s="1075"/>
      <c r="AN339" s="1075"/>
      <c r="AO339" s="1075"/>
      <c r="AP339" s="1075"/>
      <c r="AQ339" s="1075"/>
      <c r="AR339" s="1075"/>
      <c r="AS339" s="1075"/>
      <c r="AT339" s="1075"/>
      <c r="AU339" s="1075"/>
      <c r="AV339" s="1075"/>
      <c r="AW339" s="1075"/>
      <c r="AX339" s="1075"/>
      <c r="AY339" s="1075"/>
      <c r="AZ339" s="1075"/>
    </row>
    <row r="340" spans="1:52" ht="17.100000000000001" customHeight="1">
      <c r="A340" s="1075"/>
      <c r="B340" s="1075"/>
      <c r="C340" s="1075"/>
      <c r="D340" s="1075"/>
      <c r="E340" s="1075"/>
      <c r="F340" s="1075"/>
      <c r="G340" s="1075"/>
      <c r="H340" s="1075"/>
      <c r="I340" s="1075"/>
      <c r="J340" s="1075"/>
      <c r="K340" s="1075"/>
      <c r="L340" s="1075"/>
      <c r="M340" s="1075"/>
      <c r="N340" s="1075"/>
      <c r="O340" s="1075"/>
      <c r="P340" s="1075"/>
      <c r="Q340" s="1075"/>
      <c r="R340" s="1075"/>
      <c r="S340" s="1075"/>
      <c r="T340" s="1075"/>
      <c r="U340" s="1075"/>
      <c r="V340" s="1075"/>
      <c r="W340" s="1075"/>
      <c r="X340" s="1075"/>
      <c r="Y340" s="1075"/>
      <c r="Z340" s="1075"/>
      <c r="AA340" s="1075"/>
      <c r="AB340" s="1075"/>
      <c r="AC340" s="1075"/>
      <c r="AD340" s="1075"/>
      <c r="AE340" s="1075"/>
      <c r="AF340" s="1075"/>
      <c r="AG340" s="1075"/>
      <c r="AH340" s="1075"/>
      <c r="AI340" s="1075"/>
      <c r="AJ340" s="1075"/>
      <c r="AK340" s="1075"/>
      <c r="AL340" s="1075"/>
      <c r="AM340" s="1075"/>
      <c r="AN340" s="1075"/>
      <c r="AO340" s="1075"/>
      <c r="AP340" s="1075"/>
      <c r="AQ340" s="1075"/>
      <c r="AR340" s="1075"/>
      <c r="AS340" s="1075"/>
      <c r="AT340" s="1075"/>
      <c r="AU340" s="1075"/>
      <c r="AV340" s="1075"/>
      <c r="AW340" s="1075"/>
      <c r="AX340" s="1075"/>
      <c r="AY340" s="1075"/>
      <c r="AZ340" s="1075"/>
    </row>
    <row r="341" spans="1:52" ht="17.100000000000001" customHeight="1">
      <c r="A341" s="1075"/>
      <c r="B341" s="1075"/>
      <c r="C341" s="1075"/>
      <c r="D341" s="1075"/>
      <c r="E341" s="1075"/>
      <c r="F341" s="1075"/>
      <c r="G341" s="1075"/>
      <c r="H341" s="1075"/>
      <c r="I341" s="1075"/>
      <c r="J341" s="1075"/>
      <c r="K341" s="1075"/>
      <c r="L341" s="1075"/>
      <c r="M341" s="1075"/>
      <c r="N341" s="1075"/>
      <c r="O341" s="1075"/>
      <c r="P341" s="1075"/>
      <c r="Q341" s="1075"/>
      <c r="R341" s="1075"/>
      <c r="S341" s="1075"/>
      <c r="T341" s="1075"/>
      <c r="U341" s="1075"/>
      <c r="V341" s="1075"/>
      <c r="W341" s="1075"/>
      <c r="X341" s="1075"/>
      <c r="Y341" s="1075"/>
      <c r="Z341" s="1075"/>
      <c r="AA341" s="1075"/>
      <c r="AB341" s="1075"/>
      <c r="AC341" s="1075"/>
      <c r="AD341" s="1075"/>
      <c r="AE341" s="1075"/>
      <c r="AF341" s="1075"/>
      <c r="AG341" s="1075"/>
      <c r="AH341" s="1075"/>
      <c r="AI341" s="1075"/>
      <c r="AJ341" s="1075"/>
      <c r="AK341" s="1075"/>
      <c r="AL341" s="1075"/>
      <c r="AM341" s="1075"/>
      <c r="AN341" s="1075"/>
      <c r="AO341" s="1075"/>
      <c r="AP341" s="1075"/>
      <c r="AQ341" s="1075"/>
      <c r="AR341" s="1075"/>
      <c r="AS341" s="1075"/>
      <c r="AT341" s="1075"/>
      <c r="AU341" s="1075"/>
      <c r="AV341" s="1075"/>
      <c r="AW341" s="1075"/>
      <c r="AX341" s="1075"/>
      <c r="AY341" s="1075"/>
      <c r="AZ341" s="1075"/>
    </row>
    <row r="342" spans="1:52" ht="17.100000000000001" customHeight="1">
      <c r="A342" s="1075"/>
      <c r="B342" s="1075"/>
      <c r="C342" s="1075"/>
      <c r="D342" s="1075"/>
      <c r="E342" s="1075"/>
      <c r="F342" s="1075"/>
      <c r="G342" s="1075"/>
      <c r="H342" s="1075"/>
      <c r="I342" s="1075"/>
      <c r="J342" s="1075"/>
      <c r="K342" s="1075"/>
      <c r="L342" s="1075"/>
      <c r="M342" s="1075"/>
      <c r="N342" s="1075"/>
      <c r="O342" s="1075"/>
      <c r="P342" s="1075"/>
      <c r="Q342" s="1075"/>
      <c r="R342" s="1075"/>
      <c r="S342" s="1075"/>
      <c r="T342" s="1075"/>
      <c r="U342" s="1075"/>
      <c r="V342" s="1075"/>
      <c r="W342" s="1075"/>
      <c r="X342" s="1075"/>
      <c r="Y342" s="1075"/>
      <c r="Z342" s="1075"/>
      <c r="AA342" s="1075"/>
      <c r="AB342" s="1075"/>
      <c r="AC342" s="1075"/>
      <c r="AD342" s="1075"/>
      <c r="AE342" s="1075"/>
      <c r="AF342" s="1075"/>
      <c r="AG342" s="1075"/>
      <c r="AH342" s="1075"/>
      <c r="AI342" s="1075"/>
      <c r="AJ342" s="1075"/>
      <c r="AK342" s="1075"/>
      <c r="AL342" s="1075"/>
      <c r="AM342" s="1075"/>
      <c r="AN342" s="1075"/>
      <c r="AO342" s="1075"/>
      <c r="AP342" s="1075"/>
      <c r="AQ342" s="1075"/>
      <c r="AR342" s="1075"/>
      <c r="AS342" s="1075"/>
      <c r="AT342" s="1075"/>
      <c r="AU342" s="1075"/>
      <c r="AV342" s="1075"/>
      <c r="AW342" s="1075"/>
      <c r="AX342" s="1075"/>
      <c r="AY342" s="1075"/>
      <c r="AZ342" s="1075"/>
    </row>
    <row r="343" spans="1:52" ht="17.100000000000001" customHeight="1">
      <c r="A343" s="1075"/>
      <c r="B343" s="1075"/>
      <c r="C343" s="1075"/>
      <c r="D343" s="1075"/>
      <c r="E343" s="1075"/>
      <c r="F343" s="1075"/>
      <c r="G343" s="1075"/>
      <c r="H343" s="1075"/>
      <c r="I343" s="1075"/>
      <c r="J343" s="1075"/>
      <c r="K343" s="1075"/>
      <c r="L343" s="1075"/>
      <c r="M343" s="1075"/>
      <c r="N343" s="1075"/>
      <c r="O343" s="1075"/>
      <c r="P343" s="1075"/>
      <c r="Q343" s="1075"/>
      <c r="R343" s="1075"/>
      <c r="S343" s="1075"/>
      <c r="T343" s="1075"/>
      <c r="U343" s="1075"/>
      <c r="V343" s="1075"/>
      <c r="W343" s="1075"/>
      <c r="X343" s="1075"/>
      <c r="Y343" s="1075"/>
      <c r="Z343" s="1075"/>
      <c r="AA343" s="1075"/>
      <c r="AB343" s="1075"/>
      <c r="AC343" s="1075"/>
      <c r="AD343" s="1075"/>
      <c r="AE343" s="1075"/>
      <c r="AF343" s="1075"/>
      <c r="AG343" s="1075"/>
      <c r="AH343" s="1075"/>
      <c r="AI343" s="1075"/>
      <c r="AJ343" s="1075"/>
      <c r="AK343" s="1075"/>
      <c r="AL343" s="1075"/>
      <c r="AM343" s="1075"/>
      <c r="AN343" s="1075"/>
      <c r="AO343" s="1075"/>
      <c r="AP343" s="1075"/>
      <c r="AQ343" s="1075"/>
      <c r="AR343" s="1075"/>
      <c r="AS343" s="1075"/>
      <c r="AT343" s="1075"/>
      <c r="AU343" s="1075"/>
      <c r="AV343" s="1075"/>
      <c r="AW343" s="1075"/>
      <c r="AX343" s="1075"/>
      <c r="AY343" s="1075"/>
      <c r="AZ343" s="1075"/>
    </row>
    <row r="344" spans="1:52" ht="17.100000000000001" customHeight="1">
      <c r="A344" s="1075"/>
      <c r="B344" s="1075"/>
      <c r="C344" s="1075"/>
      <c r="D344" s="1075"/>
      <c r="E344" s="1075"/>
      <c r="F344" s="1075"/>
      <c r="G344" s="1075"/>
      <c r="H344" s="1075"/>
      <c r="I344" s="1075"/>
      <c r="J344" s="1075"/>
      <c r="K344" s="1075"/>
      <c r="L344" s="1075"/>
      <c r="M344" s="1075"/>
      <c r="N344" s="1075"/>
      <c r="O344" s="1075"/>
      <c r="P344" s="1075"/>
      <c r="Q344" s="1075"/>
      <c r="R344" s="1075"/>
      <c r="S344" s="1075"/>
      <c r="T344" s="1075"/>
      <c r="U344" s="1075"/>
      <c r="V344" s="1075"/>
      <c r="W344" s="1075"/>
      <c r="X344" s="1075"/>
      <c r="Y344" s="1075"/>
      <c r="Z344" s="1075"/>
      <c r="AA344" s="1075"/>
      <c r="AB344" s="1075"/>
      <c r="AC344" s="1075"/>
      <c r="AD344" s="1075"/>
      <c r="AE344" s="1075"/>
      <c r="AF344" s="1075"/>
      <c r="AG344" s="1075"/>
      <c r="AH344" s="1075"/>
      <c r="AI344" s="1075"/>
      <c r="AJ344" s="1075"/>
      <c r="AK344" s="1075"/>
      <c r="AL344" s="1075"/>
      <c r="AM344" s="1075"/>
      <c r="AN344" s="1075"/>
      <c r="AO344" s="1075"/>
      <c r="AP344" s="1075"/>
      <c r="AQ344" s="1075"/>
      <c r="AR344" s="1075"/>
      <c r="AS344" s="1075"/>
      <c r="AT344" s="1075"/>
      <c r="AU344" s="1075"/>
      <c r="AV344" s="1075"/>
      <c r="AW344" s="1075"/>
      <c r="AX344" s="1075"/>
      <c r="AY344" s="1075"/>
      <c r="AZ344" s="1075"/>
    </row>
    <row r="345" spans="1:52" ht="17.100000000000001" customHeight="1">
      <c r="A345" s="1075"/>
      <c r="B345" s="1075"/>
      <c r="C345" s="1075"/>
      <c r="D345" s="1075"/>
      <c r="E345" s="1075"/>
      <c r="F345" s="1075"/>
      <c r="G345" s="1075"/>
      <c r="H345" s="1075"/>
      <c r="I345" s="1075"/>
      <c r="J345" s="1075"/>
      <c r="K345" s="1075"/>
      <c r="L345" s="1075"/>
      <c r="M345" s="1075"/>
      <c r="N345" s="1075"/>
      <c r="O345" s="1075"/>
      <c r="P345" s="1075"/>
      <c r="Q345" s="1075"/>
      <c r="R345" s="1075"/>
      <c r="S345" s="1075"/>
      <c r="T345" s="1075"/>
      <c r="U345" s="1075"/>
      <c r="V345" s="1075"/>
      <c r="W345" s="1075"/>
      <c r="X345" s="1075"/>
      <c r="Y345" s="1075"/>
      <c r="Z345" s="1075"/>
      <c r="AA345" s="1075"/>
      <c r="AB345" s="1075"/>
      <c r="AC345" s="1075"/>
      <c r="AD345" s="1075"/>
      <c r="AE345" s="1075"/>
      <c r="AF345" s="1075"/>
      <c r="AG345" s="1075"/>
      <c r="AH345" s="1075"/>
      <c r="AI345" s="1075"/>
      <c r="AJ345" s="1075"/>
      <c r="AK345" s="1075"/>
      <c r="AL345" s="1075"/>
      <c r="AM345" s="1075"/>
      <c r="AN345" s="1075"/>
      <c r="AO345" s="1075"/>
      <c r="AP345" s="1075"/>
      <c r="AQ345" s="1075"/>
      <c r="AR345" s="1075"/>
      <c r="AS345" s="1075"/>
      <c r="AT345" s="1075"/>
      <c r="AU345" s="1075"/>
      <c r="AV345" s="1075"/>
      <c r="AW345" s="1075"/>
      <c r="AX345" s="1075"/>
      <c r="AY345" s="1075"/>
      <c r="AZ345" s="1075"/>
    </row>
    <row r="346" spans="1:52" ht="17.100000000000001" customHeight="1">
      <c r="A346" s="1075"/>
      <c r="B346" s="1075"/>
      <c r="C346" s="1075"/>
      <c r="D346" s="1075"/>
      <c r="E346" s="1075"/>
      <c r="F346" s="1075"/>
      <c r="G346" s="1075"/>
      <c r="H346" s="1075"/>
      <c r="I346" s="1075"/>
      <c r="J346" s="1075"/>
      <c r="K346" s="1075"/>
      <c r="L346" s="1075"/>
      <c r="M346" s="1075"/>
      <c r="N346" s="1075"/>
      <c r="O346" s="1075"/>
      <c r="P346" s="1075"/>
      <c r="Q346" s="1075"/>
      <c r="R346" s="1075"/>
      <c r="S346" s="1075"/>
      <c r="T346" s="1075"/>
      <c r="U346" s="1075"/>
      <c r="V346" s="1075"/>
      <c r="W346" s="1075"/>
      <c r="X346" s="1075"/>
      <c r="Y346" s="1075"/>
      <c r="Z346" s="1075"/>
      <c r="AA346" s="1075"/>
      <c r="AB346" s="1075"/>
      <c r="AC346" s="1075"/>
      <c r="AD346" s="1075"/>
      <c r="AE346" s="1075"/>
      <c r="AF346" s="1075"/>
      <c r="AG346" s="1075"/>
      <c r="AH346" s="1075"/>
      <c r="AI346" s="1075"/>
      <c r="AJ346" s="1075"/>
      <c r="AK346" s="1075"/>
      <c r="AL346" s="1075"/>
      <c r="AM346" s="1075"/>
      <c r="AN346" s="1075"/>
      <c r="AO346" s="1075"/>
      <c r="AP346" s="1075"/>
      <c r="AQ346" s="1075"/>
      <c r="AR346" s="1075"/>
      <c r="AS346" s="1075"/>
      <c r="AT346" s="1075"/>
      <c r="AU346" s="1075"/>
      <c r="AV346" s="1075"/>
      <c r="AW346" s="1075"/>
      <c r="AX346" s="1075"/>
      <c r="AY346" s="1075"/>
      <c r="AZ346" s="1075"/>
    </row>
    <row r="347" spans="1:52" ht="17.100000000000001" customHeight="1">
      <c r="A347" s="1075"/>
      <c r="B347" s="1075"/>
      <c r="C347" s="1075"/>
      <c r="D347" s="1075"/>
      <c r="E347" s="1075"/>
      <c r="F347" s="1075"/>
      <c r="G347" s="1075"/>
      <c r="H347" s="1075"/>
      <c r="I347" s="1075"/>
      <c r="J347" s="1075"/>
      <c r="K347" s="1075"/>
      <c r="L347" s="1075"/>
      <c r="M347" s="1075"/>
      <c r="N347" s="1075"/>
      <c r="O347" s="1075"/>
      <c r="P347" s="1075"/>
      <c r="Q347" s="1075"/>
      <c r="R347" s="1075"/>
      <c r="S347" s="1075"/>
      <c r="T347" s="1075"/>
      <c r="U347" s="1075"/>
      <c r="V347" s="1075"/>
      <c r="W347" s="1075"/>
      <c r="X347" s="1075"/>
      <c r="Y347" s="1075"/>
      <c r="Z347" s="1075"/>
      <c r="AA347" s="1075"/>
      <c r="AB347" s="1075"/>
      <c r="AC347" s="1075"/>
      <c r="AD347" s="1075"/>
      <c r="AE347" s="1075"/>
      <c r="AF347" s="1075"/>
      <c r="AG347" s="1075"/>
      <c r="AH347" s="1075"/>
      <c r="AI347" s="1075"/>
      <c r="AJ347" s="1075"/>
      <c r="AK347" s="1075"/>
      <c r="AL347" s="1075"/>
      <c r="AM347" s="1075"/>
      <c r="AN347" s="1075"/>
      <c r="AO347" s="1075"/>
      <c r="AP347" s="1075"/>
      <c r="AQ347" s="1075"/>
      <c r="AR347" s="1075"/>
      <c r="AS347" s="1075"/>
      <c r="AT347" s="1075"/>
      <c r="AU347" s="1075"/>
      <c r="AV347" s="1075"/>
      <c r="AW347" s="1075"/>
      <c r="AX347" s="1075"/>
      <c r="AY347" s="1075"/>
      <c r="AZ347" s="1075"/>
    </row>
    <row r="348" spans="1:52" ht="17.100000000000001" customHeight="1">
      <c r="A348" s="1075"/>
      <c r="B348" s="1075"/>
      <c r="C348" s="1075"/>
      <c r="D348" s="1075"/>
      <c r="E348" s="1075"/>
      <c r="F348" s="1075"/>
      <c r="G348" s="1075"/>
      <c r="H348" s="1075"/>
      <c r="I348" s="1075"/>
      <c r="J348" s="1075"/>
      <c r="K348" s="1075"/>
      <c r="L348" s="1075"/>
      <c r="M348" s="1075"/>
      <c r="N348" s="1075"/>
      <c r="O348" s="1075"/>
      <c r="P348" s="1075"/>
      <c r="Q348" s="1075"/>
      <c r="R348" s="1075"/>
      <c r="S348" s="1075"/>
      <c r="T348" s="1075"/>
      <c r="U348" s="1075"/>
      <c r="V348" s="1075"/>
      <c r="W348" s="1075"/>
      <c r="X348" s="1075"/>
      <c r="Y348" s="1075"/>
      <c r="Z348" s="1075"/>
      <c r="AA348" s="1075"/>
      <c r="AB348" s="1075"/>
      <c r="AC348" s="1075"/>
      <c r="AD348" s="1075"/>
      <c r="AE348" s="1075"/>
      <c r="AF348" s="1075"/>
      <c r="AG348" s="1075"/>
      <c r="AH348" s="1075"/>
      <c r="AI348" s="1075"/>
      <c r="AJ348" s="1075"/>
      <c r="AK348" s="1075"/>
      <c r="AL348" s="1075"/>
      <c r="AM348" s="1075"/>
      <c r="AN348" s="1075"/>
      <c r="AO348" s="1075"/>
      <c r="AP348" s="1075"/>
      <c r="AQ348" s="1075"/>
      <c r="AR348" s="1075"/>
      <c r="AS348" s="1075"/>
      <c r="AT348" s="1075"/>
      <c r="AU348" s="1075"/>
      <c r="AV348" s="1075"/>
      <c r="AW348" s="1075"/>
      <c r="AX348" s="1075"/>
      <c r="AY348" s="1075"/>
      <c r="AZ348" s="1075"/>
    </row>
    <row r="349" spans="1:52" ht="17.100000000000001" customHeight="1">
      <c r="A349" s="1075"/>
      <c r="B349" s="1075"/>
      <c r="C349" s="1075"/>
      <c r="D349" s="1075"/>
      <c r="E349" s="1075"/>
      <c r="F349" s="1075"/>
      <c r="G349" s="1075"/>
      <c r="H349" s="1075"/>
      <c r="I349" s="1075"/>
      <c r="J349" s="1075"/>
      <c r="K349" s="1075"/>
      <c r="L349" s="1075"/>
      <c r="M349" s="1075"/>
      <c r="N349" s="1075"/>
      <c r="O349" s="1075"/>
      <c r="P349" s="1075"/>
      <c r="Q349" s="1075"/>
      <c r="R349" s="1075"/>
      <c r="S349" s="1075"/>
      <c r="T349" s="1075"/>
      <c r="U349" s="1075"/>
      <c r="V349" s="1075"/>
      <c r="W349" s="1075"/>
      <c r="X349" s="1075"/>
      <c r="Y349" s="1075"/>
      <c r="Z349" s="1075"/>
      <c r="AA349" s="1075"/>
      <c r="AB349" s="1075"/>
      <c r="AC349" s="1075"/>
      <c r="AD349" s="1075"/>
      <c r="AE349" s="1075"/>
      <c r="AF349" s="1075"/>
      <c r="AG349" s="1075"/>
      <c r="AH349" s="1075"/>
      <c r="AI349" s="1075"/>
      <c r="AJ349" s="1075"/>
      <c r="AK349" s="1075"/>
      <c r="AL349" s="1075"/>
      <c r="AM349" s="1075"/>
      <c r="AN349" s="1075"/>
      <c r="AO349" s="1075"/>
      <c r="AP349" s="1075"/>
      <c r="AQ349" s="1075"/>
      <c r="AR349" s="1075"/>
      <c r="AS349" s="1075"/>
      <c r="AT349" s="1075"/>
      <c r="AU349" s="1075"/>
      <c r="AV349" s="1075"/>
      <c r="AW349" s="1075"/>
      <c r="AX349" s="1075"/>
      <c r="AY349" s="1075"/>
      <c r="AZ349" s="1075"/>
    </row>
    <row r="350" spans="1:52" ht="17.100000000000001" customHeight="1">
      <c r="A350" s="1075"/>
      <c r="B350" s="1075"/>
      <c r="C350" s="1075"/>
      <c r="D350" s="1075"/>
      <c r="E350" s="1075"/>
      <c r="F350" s="1075"/>
      <c r="G350" s="1075"/>
      <c r="H350" s="1075"/>
      <c r="I350" s="1075"/>
      <c r="J350" s="1075"/>
      <c r="K350" s="1075"/>
      <c r="L350" s="1075"/>
      <c r="M350" s="1075"/>
      <c r="N350" s="1075"/>
      <c r="O350" s="1075"/>
      <c r="P350" s="1075"/>
      <c r="Q350" s="1075"/>
      <c r="R350" s="1075"/>
      <c r="S350" s="1075"/>
      <c r="T350" s="1075"/>
      <c r="U350" s="1075"/>
      <c r="V350" s="1075"/>
      <c r="W350" s="1075"/>
      <c r="X350" s="1075"/>
      <c r="Y350" s="1075"/>
      <c r="Z350" s="1075"/>
      <c r="AA350" s="1075"/>
      <c r="AB350" s="1075"/>
      <c r="AC350" s="1075"/>
      <c r="AD350" s="1075"/>
      <c r="AE350" s="1075"/>
      <c r="AF350" s="1075"/>
      <c r="AG350" s="1075"/>
      <c r="AH350" s="1075"/>
      <c r="AI350" s="1075"/>
      <c r="AJ350" s="1075"/>
      <c r="AK350" s="1075"/>
      <c r="AL350" s="1075"/>
      <c r="AM350" s="1075"/>
      <c r="AN350" s="1075"/>
      <c r="AO350" s="1075"/>
      <c r="AP350" s="1075"/>
      <c r="AQ350" s="1075"/>
      <c r="AR350" s="1075"/>
      <c r="AS350" s="1075"/>
      <c r="AT350" s="1075"/>
      <c r="AU350" s="1075"/>
      <c r="AV350" s="1075"/>
      <c r="AW350" s="1075"/>
      <c r="AX350" s="1075"/>
      <c r="AY350" s="1075"/>
      <c r="AZ350" s="1075"/>
    </row>
    <row r="351" spans="1:52" ht="17.100000000000001" customHeight="1">
      <c r="A351" s="1075"/>
      <c r="B351" s="1075"/>
      <c r="C351" s="1075"/>
      <c r="D351" s="1075"/>
      <c r="E351" s="1075"/>
      <c r="F351" s="1075"/>
      <c r="G351" s="1075"/>
      <c r="H351" s="1075"/>
      <c r="I351" s="1075"/>
      <c r="J351" s="1075"/>
      <c r="K351" s="1075"/>
      <c r="L351" s="1075"/>
      <c r="M351" s="1075"/>
      <c r="N351" s="1075"/>
      <c r="O351" s="1075"/>
      <c r="P351" s="1075"/>
      <c r="Q351" s="1075"/>
      <c r="R351" s="1075"/>
      <c r="S351" s="1075"/>
      <c r="T351" s="1075"/>
      <c r="U351" s="1075"/>
      <c r="V351" s="1075"/>
      <c r="W351" s="1075"/>
      <c r="X351" s="1075"/>
      <c r="Y351" s="1075"/>
      <c r="Z351" s="1075"/>
      <c r="AA351" s="1075"/>
      <c r="AB351" s="1075"/>
      <c r="AC351" s="1075"/>
      <c r="AD351" s="1075"/>
      <c r="AE351" s="1075"/>
      <c r="AF351" s="1075"/>
      <c r="AG351" s="1075"/>
      <c r="AH351" s="1075"/>
      <c r="AI351" s="1075"/>
      <c r="AJ351" s="1075"/>
      <c r="AK351" s="1075"/>
      <c r="AL351" s="1075"/>
      <c r="AM351" s="1075"/>
      <c r="AN351" s="1075"/>
      <c r="AO351" s="1075"/>
      <c r="AP351" s="1075"/>
      <c r="AQ351" s="1075"/>
      <c r="AR351" s="1075"/>
      <c r="AS351" s="1075"/>
      <c r="AT351" s="1075"/>
      <c r="AU351" s="1075"/>
      <c r="AV351" s="1075"/>
      <c r="AW351" s="1075"/>
      <c r="AX351" s="1075"/>
      <c r="AY351" s="1075"/>
      <c r="AZ351" s="1075"/>
    </row>
    <row r="352" spans="1:52" ht="17.100000000000001" customHeight="1">
      <c r="A352" s="1075"/>
      <c r="B352" s="1075"/>
      <c r="C352" s="1075"/>
      <c r="D352" s="1075"/>
      <c r="E352" s="1075"/>
      <c r="F352" s="1075"/>
      <c r="G352" s="1075"/>
      <c r="H352" s="1075"/>
      <c r="I352" s="1075"/>
      <c r="J352" s="1075"/>
      <c r="K352" s="1075"/>
      <c r="L352" s="1075"/>
      <c r="M352" s="1075"/>
      <c r="N352" s="1075"/>
      <c r="O352" s="1075"/>
      <c r="P352" s="1075"/>
      <c r="Q352" s="1075"/>
      <c r="R352" s="1075"/>
      <c r="S352" s="1075"/>
      <c r="T352" s="1075"/>
      <c r="U352" s="1075"/>
      <c r="V352" s="1075"/>
      <c r="W352" s="1075"/>
      <c r="X352" s="1075"/>
      <c r="Y352" s="1075"/>
      <c r="Z352" s="1075"/>
      <c r="AA352" s="1075"/>
      <c r="AB352" s="1075"/>
      <c r="AC352" s="1075"/>
      <c r="AD352" s="1075"/>
      <c r="AE352" s="1075"/>
      <c r="AF352" s="1075"/>
      <c r="AG352" s="1075"/>
      <c r="AH352" s="1075"/>
      <c r="AI352" s="1075"/>
      <c r="AJ352" s="1075"/>
      <c r="AK352" s="1075"/>
      <c r="AL352" s="1075"/>
      <c r="AM352" s="1075"/>
      <c r="AN352" s="1075"/>
      <c r="AO352" s="1075"/>
      <c r="AP352" s="1075"/>
      <c r="AQ352" s="1075"/>
      <c r="AR352" s="1075"/>
      <c r="AS352" s="1075"/>
      <c r="AT352" s="1075"/>
      <c r="AU352" s="1075"/>
      <c r="AV352" s="1075"/>
      <c r="AW352" s="1075"/>
      <c r="AX352" s="1075"/>
      <c r="AY352" s="1075"/>
      <c r="AZ352" s="1075"/>
    </row>
    <row r="353" spans="1:52" ht="17.100000000000001" customHeight="1">
      <c r="A353" s="1075"/>
      <c r="B353" s="1075"/>
      <c r="C353" s="1075"/>
      <c r="D353" s="1075"/>
      <c r="E353" s="1075"/>
      <c r="F353" s="1075"/>
      <c r="G353" s="1075"/>
      <c r="H353" s="1075"/>
      <c r="I353" s="1075"/>
      <c r="J353" s="1075"/>
      <c r="K353" s="1075"/>
      <c r="L353" s="1075"/>
      <c r="M353" s="1075"/>
      <c r="N353" s="1075"/>
      <c r="O353" s="1075"/>
      <c r="P353" s="1075"/>
      <c r="Q353" s="1075"/>
      <c r="R353" s="1075"/>
      <c r="S353" s="1075"/>
      <c r="T353" s="1075"/>
      <c r="U353" s="1075"/>
      <c r="V353" s="1075"/>
      <c r="W353" s="1075"/>
      <c r="X353" s="1075"/>
      <c r="Y353" s="1075"/>
      <c r="Z353" s="1075"/>
      <c r="AA353" s="1075"/>
      <c r="AB353" s="1075"/>
      <c r="AC353" s="1075"/>
      <c r="AD353" s="1075"/>
      <c r="AE353" s="1075"/>
      <c r="AF353" s="1075"/>
      <c r="AG353" s="1075"/>
      <c r="AH353" s="1075"/>
      <c r="AI353" s="1075"/>
      <c r="AJ353" s="1075"/>
      <c r="AK353" s="1075"/>
      <c r="AL353" s="1075"/>
      <c r="AM353" s="1075"/>
      <c r="AN353" s="1075"/>
      <c r="AO353" s="1075"/>
      <c r="AP353" s="1075"/>
      <c r="AQ353" s="1075"/>
      <c r="AR353" s="1075"/>
      <c r="AS353" s="1075"/>
      <c r="AT353" s="1075"/>
      <c r="AU353" s="1075"/>
      <c r="AV353" s="1075"/>
      <c r="AW353" s="1075"/>
      <c r="AX353" s="1075"/>
      <c r="AY353" s="1075"/>
      <c r="AZ353" s="1075"/>
    </row>
    <row r="354" spans="1:52" ht="17.100000000000001" customHeight="1">
      <c r="A354" s="1075"/>
      <c r="B354" s="1075"/>
      <c r="C354" s="1075"/>
      <c r="D354" s="1075"/>
      <c r="E354" s="1075"/>
      <c r="F354" s="1075"/>
      <c r="G354" s="1075"/>
      <c r="H354" s="1075"/>
      <c r="I354" s="1075"/>
      <c r="J354" s="1075"/>
      <c r="K354" s="1075"/>
      <c r="L354" s="1075"/>
      <c r="M354" s="1075"/>
      <c r="N354" s="1075"/>
      <c r="O354" s="1075"/>
      <c r="P354" s="1075"/>
      <c r="Q354" s="1075"/>
      <c r="R354" s="1075"/>
      <c r="S354" s="1075"/>
      <c r="T354" s="1075"/>
      <c r="U354" s="1075"/>
      <c r="V354" s="1075"/>
      <c r="W354" s="1075"/>
      <c r="X354" s="1075"/>
      <c r="Y354" s="1075"/>
      <c r="Z354" s="1075"/>
      <c r="AA354" s="1075"/>
      <c r="AB354" s="1075"/>
      <c r="AC354" s="1075"/>
      <c r="AD354" s="1075"/>
      <c r="AE354" s="1075"/>
      <c r="AF354" s="1075"/>
      <c r="AG354" s="1075"/>
      <c r="AH354" s="1075"/>
      <c r="AI354" s="1075"/>
      <c r="AJ354" s="1075"/>
      <c r="AK354" s="1075"/>
      <c r="AL354" s="1075"/>
      <c r="AM354" s="1075"/>
      <c r="AN354" s="1075"/>
      <c r="AO354" s="1075"/>
      <c r="AP354" s="1075"/>
      <c r="AQ354" s="1075"/>
      <c r="AR354" s="1075"/>
      <c r="AS354" s="1075"/>
      <c r="AT354" s="1075"/>
      <c r="AU354" s="1075"/>
      <c r="AV354" s="1075"/>
      <c r="AW354" s="1075"/>
      <c r="AX354" s="1075"/>
      <c r="AY354" s="1075"/>
      <c r="AZ354" s="1075"/>
    </row>
  </sheetData>
  <phoneticPr fontId="64" type="noConversion"/>
  <pageMargins left="0.75" right="0.75" top="1" bottom="1" header="0.5" footer="0.5"/>
  <pageSetup paperSize="9" firstPageNumber="4294963191" orientation="portrait" horizontalDpi="1200" verticalDpi="1200" r:id="rId1"/>
  <headerFooter alignWithMargins="0"/>
  <drawing r:id="rId2"/>
  <legacyDrawing r:id="rId3"/>
  <controls>
    <mc:AlternateContent xmlns:mc="http://schemas.openxmlformats.org/markup-compatibility/2006">
      <mc:Choice Requires="x14">
        <control shapeId="11686" r:id="rId4" name="cbFormula22">
          <controlPr defaultSize="0" linkedCell="D108" listFillRange="SYSDATA!E2:F5" r:id="rId5">
            <anchor moveWithCells="1">
              <from>
                <xdr:col>2</xdr:col>
                <xdr:colOff>0</xdr:colOff>
                <xdr:row>107</xdr:row>
                <xdr:rowOff>0</xdr:rowOff>
              </from>
              <to>
                <xdr:col>8</xdr:col>
                <xdr:colOff>38100</xdr:colOff>
                <xdr:row>108</xdr:row>
                <xdr:rowOff>0</xdr:rowOff>
              </to>
            </anchor>
          </controlPr>
        </control>
      </mc:Choice>
      <mc:Fallback>
        <control shapeId="11686" r:id="rId4" name="cbFormula22"/>
      </mc:Fallback>
    </mc:AlternateContent>
    <mc:AlternateContent xmlns:mc="http://schemas.openxmlformats.org/markup-compatibility/2006">
      <mc:Choice Requires="x14">
        <control shapeId="11685" r:id="rId6" name="cbFormula21">
          <controlPr defaultSize="0" linkedCell="D106" listFillRange="SYSDATA!E2:F5" r:id="rId7">
            <anchor moveWithCells="1">
              <from>
                <xdr:col>2</xdr:col>
                <xdr:colOff>9525</xdr:colOff>
                <xdr:row>105</xdr:row>
                <xdr:rowOff>0</xdr:rowOff>
              </from>
              <to>
                <xdr:col>8</xdr:col>
                <xdr:colOff>47625</xdr:colOff>
                <xdr:row>106</xdr:row>
                <xdr:rowOff>0</xdr:rowOff>
              </to>
            </anchor>
          </controlPr>
        </control>
      </mc:Choice>
      <mc:Fallback>
        <control shapeId="11685" r:id="rId6" name="cbFormula21"/>
      </mc:Fallback>
    </mc:AlternateContent>
    <mc:AlternateContent xmlns:mc="http://schemas.openxmlformats.org/markup-compatibility/2006">
      <mc:Choice Requires="x14">
        <control shapeId="11682" r:id="rId8" name="cbFormula20">
          <controlPr defaultSize="0" linkedCell="D96" listFillRange="SYSDATA!E2:F5" r:id="rId9">
            <anchor moveWithCells="1">
              <from>
                <xdr:col>2</xdr:col>
                <xdr:colOff>9525</xdr:colOff>
                <xdr:row>95</xdr:row>
                <xdr:rowOff>0</xdr:rowOff>
              </from>
              <to>
                <xdr:col>8</xdr:col>
                <xdr:colOff>47625</xdr:colOff>
                <xdr:row>96</xdr:row>
                <xdr:rowOff>0</xdr:rowOff>
              </to>
            </anchor>
          </controlPr>
        </control>
      </mc:Choice>
      <mc:Fallback>
        <control shapeId="11682" r:id="rId8" name="cbFormula20"/>
      </mc:Fallback>
    </mc:AlternateContent>
    <mc:AlternateContent xmlns:mc="http://schemas.openxmlformats.org/markup-compatibility/2006">
      <mc:Choice Requires="x14">
        <control shapeId="11680" r:id="rId10" name="cbFormula19">
          <controlPr defaultSize="0" linkedCell="D65" listFillRange="SYSDATA!B2:C8" r:id="rId11">
            <anchor moveWithCells="1">
              <from>
                <xdr:col>2</xdr:col>
                <xdr:colOff>9525</xdr:colOff>
                <xdr:row>64</xdr:row>
                <xdr:rowOff>9525</xdr:rowOff>
              </from>
              <to>
                <xdr:col>8</xdr:col>
                <xdr:colOff>47625</xdr:colOff>
                <xdr:row>65</xdr:row>
                <xdr:rowOff>9525</xdr:rowOff>
              </to>
            </anchor>
          </controlPr>
        </control>
      </mc:Choice>
      <mc:Fallback>
        <control shapeId="11680" r:id="rId10" name="cbFormula19"/>
      </mc:Fallback>
    </mc:AlternateContent>
    <mc:AlternateContent xmlns:mc="http://schemas.openxmlformats.org/markup-compatibility/2006">
      <mc:Choice Requires="x14">
        <control shapeId="11678" r:id="rId12" name="cbFormula18">
          <controlPr defaultSize="0" linkedCell="D53" listFillRange="SYSDATA!B2:C8" r:id="rId13">
            <anchor moveWithCells="1">
              <from>
                <xdr:col>2</xdr:col>
                <xdr:colOff>9525</xdr:colOff>
                <xdr:row>52</xdr:row>
                <xdr:rowOff>9525</xdr:rowOff>
              </from>
              <to>
                <xdr:col>8</xdr:col>
                <xdr:colOff>47625</xdr:colOff>
                <xdr:row>53</xdr:row>
                <xdr:rowOff>9525</xdr:rowOff>
              </to>
            </anchor>
          </controlPr>
        </control>
      </mc:Choice>
      <mc:Fallback>
        <control shapeId="11678" r:id="rId12" name="cbFormula18"/>
      </mc:Fallback>
    </mc:AlternateContent>
    <mc:AlternateContent xmlns:mc="http://schemas.openxmlformats.org/markup-compatibility/2006">
      <mc:Choice Requires="x14">
        <control shapeId="11676" r:id="rId14" name="cbFormula17">
          <controlPr defaultSize="0" linkedCell="D47" listFillRange="SYSDATA!E2:F5" r:id="rId15">
            <anchor moveWithCells="1">
              <from>
                <xdr:col>1</xdr:col>
                <xdr:colOff>1571625</xdr:colOff>
                <xdr:row>46</xdr:row>
                <xdr:rowOff>0</xdr:rowOff>
              </from>
              <to>
                <xdr:col>8</xdr:col>
                <xdr:colOff>19050</xdr:colOff>
                <xdr:row>47</xdr:row>
                <xdr:rowOff>0</xdr:rowOff>
              </to>
            </anchor>
          </controlPr>
        </control>
      </mc:Choice>
      <mc:Fallback>
        <control shapeId="11676" r:id="rId14" name="cbFormula17"/>
      </mc:Fallback>
    </mc:AlternateContent>
    <mc:AlternateContent xmlns:mc="http://schemas.openxmlformats.org/markup-compatibility/2006">
      <mc:Choice Requires="x14">
        <control shapeId="11657" r:id="rId16" name="cbFormula2">
          <controlPr defaultSize="0" linkedCell="D50" listFillRange="SYSDATA!B2:C8" r:id="rId17">
            <anchor moveWithCells="1">
              <from>
                <xdr:col>1</xdr:col>
                <xdr:colOff>1581150</xdr:colOff>
                <xdr:row>49</xdr:row>
                <xdr:rowOff>9525</xdr:rowOff>
              </from>
              <to>
                <xdr:col>8</xdr:col>
                <xdr:colOff>28575</xdr:colOff>
                <xdr:row>50</xdr:row>
                <xdr:rowOff>9525</xdr:rowOff>
              </to>
            </anchor>
          </controlPr>
        </control>
      </mc:Choice>
      <mc:Fallback>
        <control shapeId="11657" r:id="rId16" name="cbFormula2"/>
      </mc:Fallback>
    </mc:AlternateContent>
    <mc:AlternateContent xmlns:mc="http://schemas.openxmlformats.org/markup-compatibility/2006">
      <mc:Choice Requires="x14">
        <control shapeId="11658" r:id="rId18" name="cbFormula3">
          <controlPr defaultSize="0" linkedCell="D56" listFillRange="SYSDATA!B2:C8" r:id="rId19">
            <anchor moveWithCells="1">
              <from>
                <xdr:col>2</xdr:col>
                <xdr:colOff>9525</xdr:colOff>
                <xdr:row>55</xdr:row>
                <xdr:rowOff>9525</xdr:rowOff>
              </from>
              <to>
                <xdr:col>8</xdr:col>
                <xdr:colOff>47625</xdr:colOff>
                <xdr:row>56</xdr:row>
                <xdr:rowOff>9525</xdr:rowOff>
              </to>
            </anchor>
          </controlPr>
        </control>
      </mc:Choice>
      <mc:Fallback>
        <control shapeId="11658" r:id="rId18" name="cbFormula3"/>
      </mc:Fallback>
    </mc:AlternateContent>
    <mc:AlternateContent xmlns:mc="http://schemas.openxmlformats.org/markup-compatibility/2006">
      <mc:Choice Requires="x14">
        <control shapeId="11659" r:id="rId20" name="cbFormula4">
          <controlPr defaultSize="0" linkedCell="D59" listFillRange="SYSDATA!B2:C8" r:id="rId21">
            <anchor moveWithCells="1">
              <from>
                <xdr:col>2</xdr:col>
                <xdr:colOff>9525</xdr:colOff>
                <xdr:row>58</xdr:row>
                <xdr:rowOff>9525</xdr:rowOff>
              </from>
              <to>
                <xdr:col>8</xdr:col>
                <xdr:colOff>47625</xdr:colOff>
                <xdr:row>59</xdr:row>
                <xdr:rowOff>9525</xdr:rowOff>
              </to>
            </anchor>
          </controlPr>
        </control>
      </mc:Choice>
      <mc:Fallback>
        <control shapeId="11659" r:id="rId20" name="cbFormula4"/>
      </mc:Fallback>
    </mc:AlternateContent>
    <mc:AlternateContent xmlns:mc="http://schemas.openxmlformats.org/markup-compatibility/2006">
      <mc:Choice Requires="x14">
        <control shapeId="11660" r:id="rId22" name="cbFormula5">
          <controlPr defaultSize="0" linkedCell="D62" listFillRange="SYSDATA!B2:C8" r:id="rId23">
            <anchor moveWithCells="1">
              <from>
                <xdr:col>2</xdr:col>
                <xdr:colOff>9525</xdr:colOff>
                <xdr:row>61</xdr:row>
                <xdr:rowOff>9525</xdr:rowOff>
              </from>
              <to>
                <xdr:col>8</xdr:col>
                <xdr:colOff>47625</xdr:colOff>
                <xdr:row>62</xdr:row>
                <xdr:rowOff>9525</xdr:rowOff>
              </to>
            </anchor>
          </controlPr>
        </control>
      </mc:Choice>
      <mc:Fallback>
        <control shapeId="11660" r:id="rId22" name="cbFormula5"/>
      </mc:Fallback>
    </mc:AlternateContent>
    <mc:AlternateContent xmlns:mc="http://schemas.openxmlformats.org/markup-compatibility/2006">
      <mc:Choice Requires="x14">
        <control shapeId="11661" r:id="rId24" name="cbFormula6">
          <controlPr defaultSize="0" linkedCell="D70" listFillRange="SYSDATA!E2:F5" r:id="rId25">
            <anchor moveWithCells="1">
              <from>
                <xdr:col>2</xdr:col>
                <xdr:colOff>9525</xdr:colOff>
                <xdr:row>69</xdr:row>
                <xdr:rowOff>0</xdr:rowOff>
              </from>
              <to>
                <xdr:col>8</xdr:col>
                <xdr:colOff>47625</xdr:colOff>
                <xdr:row>70</xdr:row>
                <xdr:rowOff>0</xdr:rowOff>
              </to>
            </anchor>
          </controlPr>
        </control>
      </mc:Choice>
      <mc:Fallback>
        <control shapeId="11661" r:id="rId24" name="cbFormula6"/>
      </mc:Fallback>
    </mc:AlternateContent>
    <mc:AlternateContent xmlns:mc="http://schemas.openxmlformats.org/markup-compatibility/2006">
      <mc:Choice Requires="x14">
        <control shapeId="11662" r:id="rId26" name="cbFormula7">
          <controlPr defaultSize="0" linkedCell="D75" listFillRange="SYSDATA!E2:F5" r:id="rId27">
            <anchor moveWithCells="1">
              <from>
                <xdr:col>2</xdr:col>
                <xdr:colOff>9525</xdr:colOff>
                <xdr:row>74</xdr:row>
                <xdr:rowOff>0</xdr:rowOff>
              </from>
              <to>
                <xdr:col>8</xdr:col>
                <xdr:colOff>47625</xdr:colOff>
                <xdr:row>75</xdr:row>
                <xdr:rowOff>0</xdr:rowOff>
              </to>
            </anchor>
          </controlPr>
        </control>
      </mc:Choice>
      <mc:Fallback>
        <control shapeId="11662" r:id="rId26" name="cbFormula7"/>
      </mc:Fallback>
    </mc:AlternateContent>
    <mc:AlternateContent xmlns:mc="http://schemas.openxmlformats.org/markup-compatibility/2006">
      <mc:Choice Requires="x14">
        <control shapeId="11663" r:id="rId28" name="cbFormula8">
          <controlPr defaultSize="0" linkedCell="D76" listFillRange="SYSDATA!E2:F5" r:id="rId29">
            <anchor moveWithCells="1">
              <from>
                <xdr:col>2</xdr:col>
                <xdr:colOff>9525</xdr:colOff>
                <xdr:row>75</xdr:row>
                <xdr:rowOff>0</xdr:rowOff>
              </from>
              <to>
                <xdr:col>8</xdr:col>
                <xdr:colOff>47625</xdr:colOff>
                <xdr:row>76</xdr:row>
                <xdr:rowOff>0</xdr:rowOff>
              </to>
            </anchor>
          </controlPr>
        </control>
      </mc:Choice>
      <mc:Fallback>
        <control shapeId="11663" r:id="rId28" name="cbFormula8"/>
      </mc:Fallback>
    </mc:AlternateContent>
    <mc:AlternateContent xmlns:mc="http://schemas.openxmlformats.org/markup-compatibility/2006">
      <mc:Choice Requires="x14">
        <control shapeId="11664" r:id="rId30" name="cbFormula9">
          <controlPr defaultSize="0" linkedCell="D77" listFillRange="SYSDATA!E2:F5" r:id="rId31">
            <anchor moveWithCells="1">
              <from>
                <xdr:col>2</xdr:col>
                <xdr:colOff>9525</xdr:colOff>
                <xdr:row>76</xdr:row>
                <xdr:rowOff>0</xdr:rowOff>
              </from>
              <to>
                <xdr:col>8</xdr:col>
                <xdr:colOff>47625</xdr:colOff>
                <xdr:row>77</xdr:row>
                <xdr:rowOff>0</xdr:rowOff>
              </to>
            </anchor>
          </controlPr>
        </control>
      </mc:Choice>
      <mc:Fallback>
        <control shapeId="11664" r:id="rId30" name="cbFormula9"/>
      </mc:Fallback>
    </mc:AlternateContent>
    <mc:AlternateContent xmlns:mc="http://schemas.openxmlformats.org/markup-compatibility/2006">
      <mc:Choice Requires="x14">
        <control shapeId="11666" r:id="rId32" name="cbFormula11">
          <controlPr defaultSize="0" linkedCell="D99" listFillRange="SYSDATA!E2:F5" r:id="rId33">
            <anchor moveWithCells="1">
              <from>
                <xdr:col>2</xdr:col>
                <xdr:colOff>9525</xdr:colOff>
                <xdr:row>98</xdr:row>
                <xdr:rowOff>0</xdr:rowOff>
              </from>
              <to>
                <xdr:col>8</xdr:col>
                <xdr:colOff>47625</xdr:colOff>
                <xdr:row>99</xdr:row>
                <xdr:rowOff>0</xdr:rowOff>
              </to>
            </anchor>
          </controlPr>
        </control>
      </mc:Choice>
      <mc:Fallback>
        <control shapeId="11666" r:id="rId32" name="cbFormula11"/>
      </mc:Fallback>
    </mc:AlternateContent>
    <mc:AlternateContent xmlns:mc="http://schemas.openxmlformats.org/markup-compatibility/2006">
      <mc:Choice Requires="x14">
        <control shapeId="11667" r:id="rId34" name="cbFormula12">
          <controlPr defaultSize="0" linkedCell="D100" listFillRange="SYSDATA!E2:F5" r:id="rId35">
            <anchor moveWithCells="1">
              <from>
                <xdr:col>2</xdr:col>
                <xdr:colOff>9525</xdr:colOff>
                <xdr:row>99</xdr:row>
                <xdr:rowOff>0</xdr:rowOff>
              </from>
              <to>
                <xdr:col>8</xdr:col>
                <xdr:colOff>47625</xdr:colOff>
                <xdr:row>100</xdr:row>
                <xdr:rowOff>0</xdr:rowOff>
              </to>
            </anchor>
          </controlPr>
        </control>
      </mc:Choice>
      <mc:Fallback>
        <control shapeId="11667" r:id="rId34" name="cbFormula12"/>
      </mc:Fallback>
    </mc:AlternateContent>
    <mc:AlternateContent xmlns:mc="http://schemas.openxmlformats.org/markup-compatibility/2006">
      <mc:Choice Requires="x14">
        <control shapeId="11668" r:id="rId36" name="cbFormula13">
          <controlPr defaultSize="0" linkedCell="D113" listFillRange="SYSDATA!E2:F5" r:id="rId37">
            <anchor moveWithCells="1">
              <from>
                <xdr:col>2</xdr:col>
                <xdr:colOff>9525</xdr:colOff>
                <xdr:row>112</xdr:row>
                <xdr:rowOff>0</xdr:rowOff>
              </from>
              <to>
                <xdr:col>8</xdr:col>
                <xdr:colOff>47625</xdr:colOff>
                <xdr:row>113</xdr:row>
                <xdr:rowOff>0</xdr:rowOff>
              </to>
            </anchor>
          </controlPr>
        </control>
      </mc:Choice>
      <mc:Fallback>
        <control shapeId="11668" r:id="rId36" name="cbFormula13"/>
      </mc:Fallback>
    </mc:AlternateContent>
    <mc:AlternateContent xmlns:mc="http://schemas.openxmlformats.org/markup-compatibility/2006">
      <mc:Choice Requires="x14">
        <control shapeId="11669" r:id="rId38" name="cbFormula14">
          <controlPr defaultSize="0" linkedCell="D114" listFillRange="SYSDATA!E2:F5" r:id="rId39">
            <anchor moveWithCells="1">
              <from>
                <xdr:col>2</xdr:col>
                <xdr:colOff>9525</xdr:colOff>
                <xdr:row>113</xdr:row>
                <xdr:rowOff>0</xdr:rowOff>
              </from>
              <to>
                <xdr:col>8</xdr:col>
                <xdr:colOff>47625</xdr:colOff>
                <xdr:row>114</xdr:row>
                <xdr:rowOff>0</xdr:rowOff>
              </to>
            </anchor>
          </controlPr>
        </control>
      </mc:Choice>
      <mc:Fallback>
        <control shapeId="11669" r:id="rId38" name="cbFormula14"/>
      </mc:Fallback>
    </mc:AlternateContent>
    <mc:AlternateContent xmlns:mc="http://schemas.openxmlformats.org/markup-compatibility/2006">
      <mc:Choice Requires="x14">
        <control shapeId="11670" r:id="rId40" name="cbFormula15">
          <controlPr defaultSize="0" linkedCell="D118" listFillRange="SYSDATA!B2:C8" r:id="rId41">
            <anchor moveWithCells="1">
              <from>
                <xdr:col>2</xdr:col>
                <xdr:colOff>0</xdr:colOff>
                <xdr:row>117</xdr:row>
                <xdr:rowOff>9525</xdr:rowOff>
              </from>
              <to>
                <xdr:col>8</xdr:col>
                <xdr:colOff>38100</xdr:colOff>
                <xdr:row>118</xdr:row>
                <xdr:rowOff>9525</xdr:rowOff>
              </to>
            </anchor>
          </controlPr>
        </control>
      </mc:Choice>
      <mc:Fallback>
        <control shapeId="11670" r:id="rId40" name="cbFormula15"/>
      </mc:Fallback>
    </mc:AlternateContent>
    <mc:AlternateContent xmlns:mc="http://schemas.openxmlformats.org/markup-compatibility/2006">
      <mc:Choice Requires="x14">
        <control shapeId="11671" r:id="rId42" name="cbFormula16">
          <controlPr defaultSize="0" linkedCell="D127" listFillRange="SYSDATA!B2:C8" r:id="rId43">
            <anchor moveWithCells="1">
              <from>
                <xdr:col>2</xdr:col>
                <xdr:colOff>9525</xdr:colOff>
                <xdr:row>126</xdr:row>
                <xdr:rowOff>0</xdr:rowOff>
              </from>
              <to>
                <xdr:col>8</xdr:col>
                <xdr:colOff>47625</xdr:colOff>
                <xdr:row>127</xdr:row>
                <xdr:rowOff>0</xdr:rowOff>
              </to>
            </anchor>
          </controlPr>
        </control>
      </mc:Choice>
      <mc:Fallback>
        <control shapeId="11671" r:id="rId42" name="cbFormula16"/>
      </mc:Fallback>
    </mc:AlternateContent>
    <mc:AlternateContent xmlns:mc="http://schemas.openxmlformats.org/markup-compatibility/2006">
      <mc:Choice Requires="x14">
        <control shapeId="10280" r:id="rId44" name="Drop Down 1064">
          <controlPr defaultSize="0" autoLine="0" autoPict="0">
            <anchor moveWithCells="1">
              <from>
                <xdr:col>1</xdr:col>
                <xdr:colOff>9525</xdr:colOff>
                <xdr:row>146</xdr:row>
                <xdr:rowOff>9525</xdr:rowOff>
              </from>
              <to>
                <xdr:col>2</xdr:col>
                <xdr:colOff>161925</xdr:colOff>
                <xdr:row>146</xdr:row>
                <xdr:rowOff>200025</xdr:rowOff>
              </to>
            </anchor>
          </controlPr>
        </control>
      </mc:Choice>
    </mc:AlternateContent>
    <mc:AlternateContent xmlns:mc="http://schemas.openxmlformats.org/markup-compatibility/2006">
      <mc:Choice Requires="x14">
        <control shapeId="10282" r:id="rId45" name="Drop Down 1066">
          <controlPr defaultSize="0" autoLine="0" autoPict="0">
            <anchor moveWithCells="1">
              <from>
                <xdr:col>1</xdr:col>
                <xdr:colOff>9525</xdr:colOff>
                <xdr:row>147</xdr:row>
                <xdr:rowOff>0</xdr:rowOff>
              </from>
              <to>
                <xdr:col>2</xdr:col>
                <xdr:colOff>161925</xdr:colOff>
                <xdr:row>147</xdr:row>
                <xdr:rowOff>190500</xdr:rowOff>
              </to>
            </anchor>
          </controlPr>
        </control>
      </mc:Choice>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0"/>
  </sheetPr>
  <dimension ref="A1:M153"/>
  <sheetViews>
    <sheetView showGridLines="0" workbookViewId="0">
      <selection activeCell="J4" sqref="J4"/>
    </sheetView>
  </sheetViews>
  <sheetFormatPr defaultRowHeight="14.25"/>
  <cols>
    <col min="1" max="1" width="2.375" style="1945" customWidth="1"/>
    <col min="2" max="2" width="22.5" style="293" customWidth="1"/>
    <col min="3" max="3" width="17.75" style="293" customWidth="1"/>
    <col min="4" max="9" width="9.625" style="293" customWidth="1"/>
    <col min="10" max="16384" width="9" style="293"/>
  </cols>
  <sheetData>
    <row r="1" spans="1:13" s="448" customFormat="1" ht="12" customHeight="1">
      <c r="A1" s="1942"/>
      <c r="B1" s="1939"/>
      <c r="C1" s="1939"/>
      <c r="D1" s="1939"/>
      <c r="E1" s="1939"/>
      <c r="F1" s="1939"/>
      <c r="G1" s="1939"/>
      <c r="H1" s="1939"/>
      <c r="I1" s="1939"/>
      <c r="J1" s="1939"/>
      <c r="K1" s="1939"/>
      <c r="L1" s="293"/>
      <c r="M1" s="293"/>
    </row>
    <row r="2" spans="1:13" s="448" customFormat="1">
      <c r="A2" s="1940"/>
      <c r="B2" s="259"/>
      <c r="C2" s="259"/>
      <c r="D2" s="259"/>
      <c r="E2" s="259"/>
      <c r="F2" s="259"/>
      <c r="G2" s="259"/>
      <c r="H2" s="259"/>
      <c r="I2" s="259"/>
      <c r="J2" s="259"/>
      <c r="K2" s="259"/>
      <c r="L2" s="293"/>
      <c r="M2" s="293"/>
    </row>
    <row r="3" spans="1:13" s="448" customFormat="1" ht="15.75" thickBot="1">
      <c r="A3" s="1940"/>
      <c r="B3" s="258"/>
      <c r="C3" s="258"/>
      <c r="D3" s="2546" t="s">
        <v>1052</v>
      </c>
      <c r="E3" s="2546"/>
      <c r="F3" s="2546"/>
      <c r="G3" s="2546"/>
      <c r="H3" s="260"/>
      <c r="I3" s="259"/>
      <c r="J3" s="293"/>
      <c r="K3" s="293"/>
      <c r="L3" s="293"/>
      <c r="M3" s="293"/>
    </row>
    <row r="4" spans="1:13" s="448" customFormat="1" ht="18" customHeight="1">
      <c r="A4" s="2009"/>
      <c r="B4" s="186" t="s">
        <v>133</v>
      </c>
      <c r="C4" s="290"/>
      <c r="D4" s="449"/>
      <c r="E4" s="450"/>
      <c r="F4" s="450"/>
      <c r="G4" s="450"/>
      <c r="H4" s="450"/>
      <c r="I4" s="450"/>
      <c r="J4" s="293"/>
      <c r="K4" s="293"/>
      <c r="L4" s="293"/>
      <c r="M4" s="293"/>
    </row>
    <row r="5" spans="1:13" s="1173" customFormat="1" ht="18" customHeight="1">
      <c r="A5" s="1943"/>
      <c r="B5" s="1170" t="s">
        <v>499</v>
      </c>
      <c r="C5" s="1170"/>
      <c r="D5" s="1170"/>
      <c r="E5" s="1170"/>
      <c r="F5" s="1170"/>
      <c r="G5" s="1170"/>
      <c r="H5" s="1170"/>
      <c r="I5" s="1170"/>
      <c r="J5" s="1171"/>
      <c r="K5" s="1171"/>
      <c r="L5" s="1172"/>
      <c r="M5" s="1172"/>
    </row>
    <row r="6" spans="1:13" s="448" customFormat="1" ht="18" customHeight="1">
      <c r="A6" s="1944"/>
      <c r="B6" s="1174"/>
      <c r="C6" s="1175" t="s">
        <v>1053</v>
      </c>
      <c r="D6" s="1966">
        <f>利润表!M3</f>
        <v>2019</v>
      </c>
      <c r="E6" s="1967" t="str">
        <f>利润表!N3</f>
        <v>2020E</v>
      </c>
      <c r="F6" s="1967" t="str">
        <f>利润表!O3</f>
        <v>2021E</v>
      </c>
      <c r="G6" s="1967" t="str">
        <f>利润表!P3</f>
        <v>2022E</v>
      </c>
      <c r="H6" s="1967" t="str">
        <f>利润表!Q3</f>
        <v>2023E</v>
      </c>
      <c r="I6" s="1968" t="str">
        <f>利润表!R3</f>
        <v>2024E</v>
      </c>
      <c r="J6" s="293"/>
      <c r="K6" s="293"/>
      <c r="L6" s="293"/>
      <c r="M6" s="293"/>
    </row>
    <row r="7" spans="1:13" s="448" customFormat="1" ht="18" customHeight="1">
      <c r="A7" s="1944"/>
      <c r="B7" s="1174"/>
      <c r="C7" s="1962" t="s">
        <v>501</v>
      </c>
      <c r="D7" s="1963"/>
      <c r="E7" s="1964">
        <f t="shared" ref="E7:I20" si="0">E45+E64</f>
        <v>0</v>
      </c>
      <c r="F7" s="1964">
        <f t="shared" si="0"/>
        <v>0</v>
      </c>
      <c r="G7" s="1964">
        <f t="shared" si="0"/>
        <v>0</v>
      </c>
      <c r="H7" s="1964">
        <f t="shared" si="0"/>
        <v>0</v>
      </c>
      <c r="I7" s="1965">
        <f t="shared" si="0"/>
        <v>0</v>
      </c>
      <c r="J7" s="293"/>
      <c r="K7" s="293"/>
      <c r="L7" s="293"/>
      <c r="M7" s="293"/>
    </row>
    <row r="8" spans="1:13" s="448" customFormat="1" ht="18" customHeight="1">
      <c r="A8" s="1944"/>
      <c r="B8" s="1174"/>
      <c r="C8" s="1954" t="s">
        <v>502</v>
      </c>
      <c r="D8" s="1953"/>
      <c r="E8" s="1949">
        <f t="shared" si="0"/>
        <v>0</v>
      </c>
      <c r="F8" s="1949">
        <f t="shared" si="0"/>
        <v>0</v>
      </c>
      <c r="G8" s="1949">
        <f t="shared" si="0"/>
        <v>0</v>
      </c>
      <c r="H8" s="1949">
        <f t="shared" si="0"/>
        <v>0</v>
      </c>
      <c r="I8" s="1950">
        <f t="shared" si="0"/>
        <v>0</v>
      </c>
      <c r="J8" s="293"/>
      <c r="K8" s="293"/>
      <c r="L8" s="293"/>
      <c r="M8" s="293"/>
    </row>
    <row r="9" spans="1:13" s="448" customFormat="1" ht="18" customHeight="1">
      <c r="A9" s="1944"/>
      <c r="B9" s="1174"/>
      <c r="C9" s="1954" t="s">
        <v>503</v>
      </c>
      <c r="D9" s="1953"/>
      <c r="E9" s="1949">
        <f t="shared" si="0"/>
        <v>0</v>
      </c>
      <c r="F9" s="1949">
        <f t="shared" si="0"/>
        <v>0</v>
      </c>
      <c r="G9" s="1949">
        <f t="shared" si="0"/>
        <v>0</v>
      </c>
      <c r="H9" s="1949">
        <f t="shared" si="0"/>
        <v>0</v>
      </c>
      <c r="I9" s="1950">
        <f t="shared" si="0"/>
        <v>0</v>
      </c>
      <c r="J9" s="293"/>
      <c r="K9" s="293"/>
      <c r="L9" s="293"/>
      <c r="M9" s="293"/>
    </row>
    <row r="10" spans="1:13" s="448" customFormat="1" ht="18" customHeight="1">
      <c r="A10" s="1944"/>
      <c r="B10" s="1174"/>
      <c r="C10" s="1954" t="s">
        <v>504</v>
      </c>
      <c r="D10" s="1953"/>
      <c r="E10" s="1949">
        <f t="shared" si="0"/>
        <v>0</v>
      </c>
      <c r="F10" s="1949">
        <f t="shared" si="0"/>
        <v>0</v>
      </c>
      <c r="G10" s="1949">
        <f t="shared" si="0"/>
        <v>0</v>
      </c>
      <c r="H10" s="1949">
        <f t="shared" si="0"/>
        <v>0</v>
      </c>
      <c r="I10" s="1950">
        <f t="shared" si="0"/>
        <v>0</v>
      </c>
      <c r="J10" s="293"/>
      <c r="K10" s="293"/>
      <c r="L10" s="293"/>
      <c r="M10" s="293"/>
    </row>
    <row r="11" spans="1:13" s="448" customFormat="1" ht="18" customHeight="1">
      <c r="A11" s="1944"/>
      <c r="B11" s="1174"/>
      <c r="C11" s="1954" t="s">
        <v>505</v>
      </c>
      <c r="D11" s="1953"/>
      <c r="E11" s="1949">
        <f t="shared" si="0"/>
        <v>0</v>
      </c>
      <c r="F11" s="1949">
        <f t="shared" si="0"/>
        <v>0</v>
      </c>
      <c r="G11" s="1949">
        <f t="shared" si="0"/>
        <v>0</v>
      </c>
      <c r="H11" s="1949">
        <f t="shared" si="0"/>
        <v>0</v>
      </c>
      <c r="I11" s="1950">
        <f t="shared" si="0"/>
        <v>0</v>
      </c>
      <c r="J11" s="293"/>
      <c r="K11" s="293"/>
      <c r="L11" s="293"/>
      <c r="M11" s="293"/>
    </row>
    <row r="12" spans="1:13" s="448" customFormat="1" ht="18" customHeight="1">
      <c r="A12" s="1944"/>
      <c r="B12" s="1174"/>
      <c r="C12" s="1954" t="s">
        <v>506</v>
      </c>
      <c r="D12" s="1953"/>
      <c r="E12" s="1949">
        <f t="shared" si="0"/>
        <v>0</v>
      </c>
      <c r="F12" s="1949">
        <f t="shared" si="0"/>
        <v>0</v>
      </c>
      <c r="G12" s="1949">
        <f t="shared" si="0"/>
        <v>0</v>
      </c>
      <c r="H12" s="1949">
        <f t="shared" si="0"/>
        <v>0</v>
      </c>
      <c r="I12" s="1950">
        <f t="shared" si="0"/>
        <v>0</v>
      </c>
      <c r="J12" s="293"/>
      <c r="K12" s="293"/>
      <c r="L12" s="293"/>
      <c r="M12" s="293"/>
    </row>
    <row r="13" spans="1:13" s="448" customFormat="1" ht="18" customHeight="1">
      <c r="A13" s="1944"/>
      <c r="B13" s="1174"/>
      <c r="C13" s="1954" t="s">
        <v>507</v>
      </c>
      <c r="D13" s="1953"/>
      <c r="E13" s="1949">
        <f t="shared" si="0"/>
        <v>0</v>
      </c>
      <c r="F13" s="1949">
        <f t="shared" si="0"/>
        <v>0</v>
      </c>
      <c r="G13" s="1949">
        <f t="shared" si="0"/>
        <v>0</v>
      </c>
      <c r="H13" s="1949">
        <f t="shared" si="0"/>
        <v>0</v>
      </c>
      <c r="I13" s="1950">
        <f t="shared" si="0"/>
        <v>0</v>
      </c>
      <c r="J13" s="293"/>
      <c r="K13" s="293"/>
      <c r="L13" s="293"/>
      <c r="M13" s="293"/>
    </row>
    <row r="14" spans="1:13" s="448" customFormat="1" ht="18" customHeight="1">
      <c r="A14" s="1944"/>
      <c r="B14" s="1174"/>
      <c r="C14" s="1954" t="s">
        <v>508</v>
      </c>
      <c r="D14" s="1953"/>
      <c r="E14" s="1949">
        <f t="shared" si="0"/>
        <v>0</v>
      </c>
      <c r="F14" s="1949">
        <f t="shared" si="0"/>
        <v>0</v>
      </c>
      <c r="G14" s="1949">
        <f t="shared" si="0"/>
        <v>0</v>
      </c>
      <c r="H14" s="1949">
        <f t="shared" si="0"/>
        <v>0</v>
      </c>
      <c r="I14" s="1950">
        <f t="shared" si="0"/>
        <v>0</v>
      </c>
      <c r="J14" s="293"/>
      <c r="K14" s="293"/>
      <c r="L14" s="293"/>
      <c r="M14" s="293"/>
    </row>
    <row r="15" spans="1:13" s="448" customFormat="1" ht="18" customHeight="1">
      <c r="A15" s="1944"/>
      <c r="B15" s="1174"/>
      <c r="C15" s="1954" t="s">
        <v>509</v>
      </c>
      <c r="D15" s="1953"/>
      <c r="E15" s="1949">
        <f t="shared" si="0"/>
        <v>0</v>
      </c>
      <c r="F15" s="1949">
        <f t="shared" si="0"/>
        <v>0</v>
      </c>
      <c r="G15" s="1949">
        <f t="shared" si="0"/>
        <v>0</v>
      </c>
      <c r="H15" s="1949">
        <f t="shared" si="0"/>
        <v>0</v>
      </c>
      <c r="I15" s="1950">
        <f t="shared" si="0"/>
        <v>0</v>
      </c>
      <c r="J15" s="293"/>
      <c r="K15" s="293"/>
      <c r="L15" s="293"/>
      <c r="M15" s="293"/>
    </row>
    <row r="16" spans="1:13" s="448" customFormat="1" ht="18" customHeight="1">
      <c r="A16" s="1944"/>
      <c r="B16" s="1174"/>
      <c r="C16" s="1954" t="s">
        <v>510</v>
      </c>
      <c r="D16" s="1953"/>
      <c r="E16" s="1949">
        <f t="shared" si="0"/>
        <v>0</v>
      </c>
      <c r="F16" s="1949">
        <f t="shared" si="0"/>
        <v>0</v>
      </c>
      <c r="G16" s="1949">
        <f t="shared" si="0"/>
        <v>0</v>
      </c>
      <c r="H16" s="1949">
        <f t="shared" si="0"/>
        <v>0</v>
      </c>
      <c r="I16" s="1950">
        <f t="shared" si="0"/>
        <v>0</v>
      </c>
      <c r="J16" s="293"/>
      <c r="K16" s="293"/>
      <c r="L16" s="293"/>
      <c r="M16" s="293"/>
    </row>
    <row r="17" spans="1:13" s="448" customFormat="1" ht="18" customHeight="1">
      <c r="A17" s="1944"/>
      <c r="B17" s="1174"/>
      <c r="C17" s="1954" t="s">
        <v>511</v>
      </c>
      <c r="D17" s="1953"/>
      <c r="E17" s="1949">
        <f t="shared" si="0"/>
        <v>0</v>
      </c>
      <c r="F17" s="1949">
        <f t="shared" si="0"/>
        <v>0</v>
      </c>
      <c r="G17" s="1949">
        <f t="shared" si="0"/>
        <v>0</v>
      </c>
      <c r="H17" s="1949">
        <f t="shared" si="0"/>
        <v>0</v>
      </c>
      <c r="I17" s="1950">
        <f t="shared" si="0"/>
        <v>0</v>
      </c>
      <c r="J17" s="293"/>
      <c r="K17" s="293"/>
      <c r="L17" s="293"/>
      <c r="M17" s="293"/>
    </row>
    <row r="18" spans="1:13" s="448" customFormat="1" ht="18" customHeight="1">
      <c r="A18" s="1944"/>
      <c r="B18" s="1174"/>
      <c r="C18" s="1954" t="s">
        <v>512</v>
      </c>
      <c r="D18" s="1953"/>
      <c r="E18" s="1949">
        <f t="shared" si="0"/>
        <v>0</v>
      </c>
      <c r="F18" s="1949">
        <f t="shared" si="0"/>
        <v>0</v>
      </c>
      <c r="G18" s="1949">
        <f t="shared" si="0"/>
        <v>0</v>
      </c>
      <c r="H18" s="1949">
        <f t="shared" si="0"/>
        <v>0</v>
      </c>
      <c r="I18" s="1950">
        <f t="shared" si="0"/>
        <v>0</v>
      </c>
      <c r="J18" s="293"/>
      <c r="K18" s="293"/>
      <c r="L18" s="293"/>
      <c r="M18" s="293"/>
    </row>
    <row r="19" spans="1:13" s="448" customFormat="1" ht="18" customHeight="1">
      <c r="A19" s="1944"/>
      <c r="B19" s="1174"/>
      <c r="C19" s="1954" t="s">
        <v>513</v>
      </c>
      <c r="D19" s="1953"/>
      <c r="E19" s="1949">
        <f t="shared" si="0"/>
        <v>0</v>
      </c>
      <c r="F19" s="1949">
        <f t="shared" si="0"/>
        <v>0</v>
      </c>
      <c r="G19" s="1949">
        <f t="shared" si="0"/>
        <v>0</v>
      </c>
      <c r="H19" s="1949">
        <f t="shared" si="0"/>
        <v>0</v>
      </c>
      <c r="I19" s="1950">
        <f t="shared" si="0"/>
        <v>0</v>
      </c>
      <c r="J19" s="293"/>
      <c r="K19" s="293"/>
      <c r="L19" s="293"/>
      <c r="M19" s="293"/>
    </row>
    <row r="20" spans="1:13" s="448" customFormat="1" ht="18" customHeight="1">
      <c r="A20" s="1944"/>
      <c r="B20" s="1174"/>
      <c r="C20" s="1954" t="s">
        <v>514</v>
      </c>
      <c r="D20" s="1953"/>
      <c r="E20" s="1949">
        <f t="shared" si="0"/>
        <v>0</v>
      </c>
      <c r="F20" s="1949">
        <f t="shared" si="0"/>
        <v>0</v>
      </c>
      <c r="G20" s="1949">
        <f t="shared" si="0"/>
        <v>0</v>
      </c>
      <c r="H20" s="1949">
        <f t="shared" si="0"/>
        <v>0</v>
      </c>
      <c r="I20" s="1950">
        <f t="shared" si="0"/>
        <v>0</v>
      </c>
      <c r="J20" s="293"/>
      <c r="K20" s="293"/>
      <c r="L20" s="293"/>
      <c r="M20" s="293"/>
    </row>
    <row r="21" spans="1:13" s="448" customFormat="1" ht="18" customHeight="1">
      <c r="A21" s="1944"/>
      <c r="B21" s="1174"/>
      <c r="C21" s="1955" t="s">
        <v>515</v>
      </c>
      <c r="D21" s="1956"/>
      <c r="E21" s="1957">
        <f t="shared" ref="E21:I22" si="1">E59+E78</f>
        <v>0</v>
      </c>
      <c r="F21" s="1957">
        <f t="shared" si="1"/>
        <v>0</v>
      </c>
      <c r="G21" s="1957">
        <f t="shared" si="1"/>
        <v>0</v>
      </c>
      <c r="H21" s="1957">
        <f t="shared" si="1"/>
        <v>0</v>
      </c>
      <c r="I21" s="1958">
        <f t="shared" si="1"/>
        <v>0</v>
      </c>
      <c r="J21" s="293"/>
      <c r="K21" s="293"/>
      <c r="L21" s="293"/>
      <c r="M21" s="293"/>
    </row>
    <row r="22" spans="1:13" s="448" customFormat="1" ht="18" customHeight="1">
      <c r="A22" s="1944"/>
      <c r="B22" s="1174"/>
      <c r="C22" s="1176" t="s">
        <v>516</v>
      </c>
      <c r="D22" s="1959">
        <f>SUM(D7:D21 )</f>
        <v>0</v>
      </c>
      <c r="E22" s="1960">
        <f t="shared" si="1"/>
        <v>0</v>
      </c>
      <c r="F22" s="1960">
        <f t="shared" si="1"/>
        <v>0</v>
      </c>
      <c r="G22" s="1960">
        <f t="shared" si="1"/>
        <v>0</v>
      </c>
      <c r="H22" s="1960">
        <f t="shared" si="1"/>
        <v>0</v>
      </c>
      <c r="I22" s="1961">
        <f t="shared" si="1"/>
        <v>0</v>
      </c>
      <c r="J22" s="293"/>
      <c r="K22" s="293"/>
      <c r="L22" s="293"/>
      <c r="M22" s="293"/>
    </row>
    <row r="23" spans="1:13" s="448" customFormat="1" ht="18" customHeight="1">
      <c r="A23" s="1944"/>
      <c r="B23" s="1174"/>
      <c r="C23" s="1177" t="s">
        <v>517</v>
      </c>
      <c r="D23" s="1178"/>
      <c r="E23" s="1178"/>
      <c r="F23" s="1178"/>
      <c r="G23" s="1178"/>
      <c r="H23" s="1178"/>
      <c r="I23" s="1178"/>
      <c r="J23" s="293"/>
      <c r="K23" s="293"/>
      <c r="L23" s="293"/>
      <c r="M23" s="293"/>
    </row>
    <row r="24" spans="1:13" s="448" customFormat="1" ht="18" customHeight="1">
      <c r="A24" s="1944"/>
      <c r="B24" s="1174"/>
      <c r="C24" s="1174"/>
      <c r="D24" s="1178"/>
      <c r="E24" s="1178"/>
      <c r="F24" s="1178"/>
      <c r="G24" s="1178"/>
      <c r="H24" s="1178"/>
      <c r="I24" s="1178"/>
      <c r="J24" s="293"/>
      <c r="K24" s="293"/>
      <c r="L24" s="293"/>
      <c r="M24" s="293"/>
    </row>
    <row r="25" spans="1:13" s="1173" customFormat="1" ht="18" customHeight="1">
      <c r="A25" s="1943"/>
      <c r="B25" s="1179" t="s">
        <v>518</v>
      </c>
      <c r="C25" s="1170"/>
      <c r="D25" s="1179"/>
      <c r="E25" s="1179"/>
      <c r="F25" s="1179"/>
      <c r="G25" s="1179"/>
      <c r="H25" s="1179"/>
      <c r="I25" s="1179"/>
      <c r="J25" s="1171"/>
      <c r="K25" s="1171"/>
      <c r="L25" s="1172"/>
      <c r="M25" s="1172"/>
    </row>
    <row r="26" spans="1:13" s="448" customFormat="1" ht="18" customHeight="1">
      <c r="A26" s="1944"/>
      <c r="B26" s="1174"/>
      <c r="C26" s="1175" t="s">
        <v>1054</v>
      </c>
      <c r="D26" s="1966">
        <f t="shared" ref="D26:I26" si="2">D6</f>
        <v>2019</v>
      </c>
      <c r="E26" s="1967" t="str">
        <f t="shared" si="2"/>
        <v>2020E</v>
      </c>
      <c r="F26" s="1967" t="str">
        <f t="shared" si="2"/>
        <v>2021E</v>
      </c>
      <c r="G26" s="1967" t="str">
        <f t="shared" si="2"/>
        <v>2022E</v>
      </c>
      <c r="H26" s="1967" t="str">
        <f t="shared" si="2"/>
        <v>2023E</v>
      </c>
      <c r="I26" s="1968" t="str">
        <f t="shared" si="2"/>
        <v>2024E</v>
      </c>
      <c r="J26" s="293"/>
      <c r="K26" s="293"/>
      <c r="L26" s="293"/>
      <c r="M26" s="293"/>
    </row>
    <row r="27" spans="1:13" s="448" customFormat="1" ht="18" customHeight="1">
      <c r="A27" s="1944"/>
      <c r="B27" s="1180"/>
      <c r="C27" s="1962" t="s">
        <v>501</v>
      </c>
      <c r="D27" s="1963"/>
      <c r="E27" s="1973"/>
      <c r="F27" s="1973"/>
      <c r="G27" s="1973"/>
      <c r="H27" s="1973"/>
      <c r="I27" s="1974"/>
      <c r="J27" s="293"/>
      <c r="K27" s="293"/>
      <c r="L27" s="293"/>
      <c r="M27" s="293"/>
    </row>
    <row r="28" spans="1:13" s="448" customFormat="1" ht="18" customHeight="1">
      <c r="A28" s="1944"/>
      <c r="B28" s="1180"/>
      <c r="C28" s="1954" t="s">
        <v>502</v>
      </c>
      <c r="D28" s="1953"/>
      <c r="E28" s="1969"/>
      <c r="F28" s="1969"/>
      <c r="G28" s="1969"/>
      <c r="H28" s="1969"/>
      <c r="I28" s="1970"/>
      <c r="J28" s="293"/>
      <c r="K28" s="293"/>
      <c r="L28" s="293"/>
      <c r="M28" s="293"/>
    </row>
    <row r="29" spans="1:13" s="448" customFormat="1" ht="18" customHeight="1">
      <c r="A29" s="1944"/>
      <c r="B29" s="1180"/>
      <c r="C29" s="1954" t="s">
        <v>503</v>
      </c>
      <c r="D29" s="1953"/>
      <c r="E29" s="1969"/>
      <c r="F29" s="1969"/>
      <c r="G29" s="1969"/>
      <c r="H29" s="1969"/>
      <c r="I29" s="1970"/>
      <c r="J29" s="293"/>
      <c r="K29" s="293"/>
      <c r="L29" s="293"/>
      <c r="M29" s="293"/>
    </row>
    <row r="30" spans="1:13" s="448" customFormat="1" ht="18" customHeight="1">
      <c r="A30" s="1944"/>
      <c r="B30" s="1180"/>
      <c r="C30" s="1954" t="s">
        <v>504</v>
      </c>
      <c r="D30" s="1953"/>
      <c r="E30" s="1969"/>
      <c r="F30" s="1969"/>
      <c r="G30" s="1969"/>
      <c r="H30" s="1969"/>
      <c r="I30" s="1970"/>
      <c r="J30" s="293"/>
      <c r="K30" s="293"/>
      <c r="L30" s="293"/>
      <c r="M30" s="293"/>
    </row>
    <row r="31" spans="1:13" s="448" customFormat="1" ht="18" customHeight="1">
      <c r="A31" s="1944"/>
      <c r="B31" s="1180"/>
      <c r="C31" s="1954" t="s">
        <v>505</v>
      </c>
      <c r="D31" s="1953"/>
      <c r="E31" s="1969"/>
      <c r="F31" s="1969"/>
      <c r="G31" s="1969"/>
      <c r="H31" s="1969"/>
      <c r="I31" s="1970"/>
      <c r="J31" s="293"/>
      <c r="K31" s="293"/>
      <c r="L31" s="293"/>
      <c r="M31" s="293"/>
    </row>
    <row r="32" spans="1:13" s="448" customFormat="1" ht="18" customHeight="1">
      <c r="A32" s="1944"/>
      <c r="B32" s="1180"/>
      <c r="C32" s="1954" t="s">
        <v>506</v>
      </c>
      <c r="D32" s="1953"/>
      <c r="E32" s="1969"/>
      <c r="F32" s="1969"/>
      <c r="G32" s="1969"/>
      <c r="H32" s="1969"/>
      <c r="I32" s="1970"/>
      <c r="J32" s="293"/>
      <c r="K32" s="293"/>
      <c r="L32" s="293"/>
      <c r="M32" s="293"/>
    </row>
    <row r="33" spans="1:13" s="448" customFormat="1" ht="18" customHeight="1">
      <c r="A33" s="1944"/>
      <c r="B33" s="1180"/>
      <c r="C33" s="1954" t="s">
        <v>507</v>
      </c>
      <c r="D33" s="1953"/>
      <c r="E33" s="1969"/>
      <c r="F33" s="1969"/>
      <c r="G33" s="1969"/>
      <c r="H33" s="1969"/>
      <c r="I33" s="1970"/>
      <c r="J33" s="293"/>
      <c r="K33" s="293"/>
      <c r="L33" s="293"/>
      <c r="M33" s="293"/>
    </row>
    <row r="34" spans="1:13" s="448" customFormat="1" ht="18" customHeight="1">
      <c r="A34" s="1944"/>
      <c r="B34" s="1180"/>
      <c r="C34" s="1954" t="s">
        <v>508</v>
      </c>
      <c r="D34" s="1953"/>
      <c r="E34" s="1969"/>
      <c r="F34" s="1969"/>
      <c r="G34" s="1969"/>
      <c r="H34" s="1969"/>
      <c r="I34" s="1970"/>
      <c r="J34" s="293"/>
      <c r="K34" s="293"/>
      <c r="L34" s="293"/>
      <c r="M34" s="293"/>
    </row>
    <row r="35" spans="1:13" s="448" customFormat="1" ht="18" customHeight="1">
      <c r="A35" s="1944"/>
      <c r="B35" s="1180"/>
      <c r="C35" s="1954" t="s">
        <v>509</v>
      </c>
      <c r="D35" s="1953"/>
      <c r="E35" s="1969"/>
      <c r="F35" s="1969"/>
      <c r="G35" s="1969"/>
      <c r="H35" s="1969"/>
      <c r="I35" s="1970"/>
      <c r="J35" s="293"/>
      <c r="K35" s="293"/>
      <c r="L35" s="293"/>
      <c r="M35" s="293"/>
    </row>
    <row r="36" spans="1:13" s="448" customFormat="1" ht="18" customHeight="1">
      <c r="A36" s="1944"/>
      <c r="B36" s="1180"/>
      <c r="C36" s="1954" t="s">
        <v>510</v>
      </c>
      <c r="D36" s="1953"/>
      <c r="E36" s="1969"/>
      <c r="F36" s="1969"/>
      <c r="G36" s="1969"/>
      <c r="H36" s="1969"/>
      <c r="I36" s="1970"/>
      <c r="J36" s="293"/>
      <c r="K36" s="293"/>
      <c r="L36" s="293"/>
      <c r="M36" s="293"/>
    </row>
    <row r="37" spans="1:13" s="448" customFormat="1" ht="18" customHeight="1">
      <c r="A37" s="1944"/>
      <c r="B37" s="1180"/>
      <c r="C37" s="1954" t="s">
        <v>511</v>
      </c>
      <c r="D37" s="1953"/>
      <c r="E37" s="1969"/>
      <c r="F37" s="1969"/>
      <c r="G37" s="1969"/>
      <c r="H37" s="1969"/>
      <c r="I37" s="1970"/>
      <c r="J37" s="293"/>
      <c r="K37" s="293"/>
      <c r="L37" s="293"/>
      <c r="M37" s="293"/>
    </row>
    <row r="38" spans="1:13" s="448" customFormat="1" ht="18" customHeight="1">
      <c r="A38" s="1944"/>
      <c r="B38" s="1180"/>
      <c r="C38" s="1954" t="s">
        <v>512</v>
      </c>
      <c r="D38" s="1953"/>
      <c r="E38" s="1969"/>
      <c r="F38" s="1969"/>
      <c r="G38" s="1969"/>
      <c r="H38" s="1969"/>
      <c r="I38" s="1970"/>
      <c r="J38" s="293"/>
      <c r="K38" s="293"/>
      <c r="L38" s="293"/>
      <c r="M38" s="293"/>
    </row>
    <row r="39" spans="1:13" s="448" customFormat="1" ht="18" customHeight="1">
      <c r="A39" s="1944"/>
      <c r="B39" s="1180"/>
      <c r="C39" s="1954" t="s">
        <v>513</v>
      </c>
      <c r="D39" s="1953"/>
      <c r="E39" s="1969"/>
      <c r="F39" s="1969"/>
      <c r="G39" s="1969"/>
      <c r="H39" s="1969"/>
      <c r="I39" s="1970"/>
      <c r="J39" s="293"/>
      <c r="K39" s="293"/>
      <c r="L39" s="293"/>
      <c r="M39" s="293"/>
    </row>
    <row r="40" spans="1:13" s="448" customFormat="1" ht="18" customHeight="1">
      <c r="A40" s="1944"/>
      <c r="B40" s="1180"/>
      <c r="C40" s="1954" t="s">
        <v>514</v>
      </c>
      <c r="D40" s="1953"/>
      <c r="E40" s="1969"/>
      <c r="F40" s="1969"/>
      <c r="G40" s="1969"/>
      <c r="H40" s="1969"/>
      <c r="I40" s="1970"/>
      <c r="J40" s="293"/>
      <c r="K40" s="293"/>
      <c r="L40" s="293"/>
      <c r="M40" s="293"/>
    </row>
    <row r="41" spans="1:13" s="448" customFormat="1" ht="18" customHeight="1">
      <c r="A41" s="1944"/>
      <c r="B41" s="1180"/>
      <c r="C41" s="1955" t="s">
        <v>515</v>
      </c>
      <c r="D41" s="1956"/>
      <c r="E41" s="1976"/>
      <c r="F41" s="1976"/>
      <c r="G41" s="1976"/>
      <c r="H41" s="1976"/>
      <c r="I41" s="1977"/>
      <c r="J41" s="293"/>
      <c r="K41" s="293"/>
      <c r="L41" s="293"/>
      <c r="M41" s="293"/>
    </row>
    <row r="42" spans="1:13" s="448" customFormat="1" ht="18" customHeight="1">
      <c r="A42" s="1944"/>
      <c r="B42" s="1180"/>
      <c r="C42" s="1176" t="s">
        <v>519</v>
      </c>
      <c r="D42" s="1959">
        <f t="shared" ref="D42:I42" si="3">SUM(D27:D41)</f>
        <v>0</v>
      </c>
      <c r="E42" s="1978">
        <f t="shared" si="3"/>
        <v>0</v>
      </c>
      <c r="F42" s="1978">
        <f t="shared" si="3"/>
        <v>0</v>
      </c>
      <c r="G42" s="1978">
        <f t="shared" si="3"/>
        <v>0</v>
      </c>
      <c r="H42" s="1978">
        <f t="shared" si="3"/>
        <v>0</v>
      </c>
      <c r="I42" s="1979">
        <f t="shared" si="3"/>
        <v>0</v>
      </c>
      <c r="J42" s="293"/>
      <c r="K42" s="293"/>
      <c r="L42" s="293"/>
      <c r="M42" s="293"/>
    </row>
    <row r="43" spans="1:13" s="448" customFormat="1" ht="18" customHeight="1">
      <c r="A43" s="1944"/>
      <c r="B43" s="1180"/>
      <c r="C43" s="1975"/>
      <c r="D43" s="1181"/>
      <c r="E43" s="1181"/>
      <c r="F43" s="1181"/>
      <c r="G43" s="1181"/>
      <c r="H43" s="1181"/>
      <c r="I43" s="1181"/>
      <c r="J43" s="293"/>
      <c r="K43" s="293"/>
      <c r="L43" s="293"/>
      <c r="M43" s="293"/>
    </row>
    <row r="44" spans="1:13" s="448" customFormat="1" ht="18" customHeight="1">
      <c r="A44" s="1944"/>
      <c r="B44" s="1180"/>
      <c r="C44" s="1175" t="s">
        <v>1055</v>
      </c>
      <c r="D44" s="1966">
        <f t="shared" ref="D44:I44" si="4">D26</f>
        <v>2019</v>
      </c>
      <c r="E44" s="1967" t="str">
        <f t="shared" si="4"/>
        <v>2020E</v>
      </c>
      <c r="F44" s="1967" t="str">
        <f t="shared" si="4"/>
        <v>2021E</v>
      </c>
      <c r="G44" s="1967" t="str">
        <f t="shared" si="4"/>
        <v>2022E</v>
      </c>
      <c r="H44" s="1967" t="str">
        <f t="shared" si="4"/>
        <v>2023E</v>
      </c>
      <c r="I44" s="1968" t="str">
        <f t="shared" si="4"/>
        <v>2024E</v>
      </c>
      <c r="J44" s="293"/>
      <c r="K44" s="293"/>
      <c r="L44" s="293"/>
      <c r="M44" s="293"/>
    </row>
    <row r="45" spans="1:13" s="448" customFormat="1" ht="18" customHeight="1">
      <c r="A45" s="1944"/>
      <c r="B45" s="1180"/>
      <c r="C45" s="1962" t="s">
        <v>501</v>
      </c>
      <c r="D45" s="1988"/>
      <c r="E45" s="1982"/>
      <c r="F45" s="1982"/>
      <c r="G45" s="1982"/>
      <c r="H45" s="1982"/>
      <c r="I45" s="1983"/>
      <c r="J45" s="293"/>
      <c r="K45" s="293"/>
      <c r="L45" s="293"/>
      <c r="M45" s="293"/>
    </row>
    <row r="46" spans="1:13" s="448" customFormat="1" ht="18" customHeight="1">
      <c r="A46" s="1944"/>
      <c r="B46" s="1174"/>
      <c r="C46" s="1954" t="s">
        <v>502</v>
      </c>
      <c r="D46" s="1989"/>
      <c r="E46" s="1980"/>
      <c r="F46" s="1980"/>
      <c r="G46" s="1980"/>
      <c r="H46" s="1980"/>
      <c r="I46" s="1981"/>
      <c r="J46" s="293"/>
      <c r="K46" s="293"/>
      <c r="L46" s="293"/>
      <c r="M46" s="293"/>
    </row>
    <row r="47" spans="1:13" s="448" customFormat="1" ht="18" customHeight="1">
      <c r="A47" s="1944"/>
      <c r="B47" s="1174"/>
      <c r="C47" s="1954" t="s">
        <v>503</v>
      </c>
      <c r="D47" s="1989"/>
      <c r="E47" s="1980"/>
      <c r="F47" s="1980"/>
      <c r="G47" s="1980"/>
      <c r="H47" s="1980"/>
      <c r="I47" s="1981"/>
      <c r="J47" s="293"/>
      <c r="K47" s="293"/>
      <c r="L47" s="293"/>
      <c r="M47" s="293"/>
    </row>
    <row r="48" spans="1:13" s="448" customFormat="1" ht="18" customHeight="1">
      <c r="A48" s="1944"/>
      <c r="B48" s="1174"/>
      <c r="C48" s="1954" t="s">
        <v>504</v>
      </c>
      <c r="D48" s="1989"/>
      <c r="E48" s="1980"/>
      <c r="F48" s="1980"/>
      <c r="G48" s="1980"/>
      <c r="H48" s="1980"/>
      <c r="I48" s="1981"/>
      <c r="J48" s="293"/>
      <c r="K48" s="293"/>
      <c r="L48" s="293"/>
      <c r="M48" s="293"/>
    </row>
    <row r="49" spans="1:13" s="448" customFormat="1" ht="18" customHeight="1">
      <c r="A49" s="1944"/>
      <c r="B49" s="1174"/>
      <c r="C49" s="1954" t="s">
        <v>505</v>
      </c>
      <c r="D49" s="1989"/>
      <c r="E49" s="1980"/>
      <c r="F49" s="1980"/>
      <c r="G49" s="1980"/>
      <c r="H49" s="1980"/>
      <c r="I49" s="1981"/>
      <c r="J49" s="293"/>
      <c r="K49" s="293"/>
      <c r="L49" s="293"/>
      <c r="M49" s="293"/>
    </row>
    <row r="50" spans="1:13" s="448" customFormat="1" ht="18" customHeight="1">
      <c r="A50" s="1944"/>
      <c r="B50" s="1174"/>
      <c r="C50" s="1954" t="s">
        <v>506</v>
      </c>
      <c r="D50" s="1989"/>
      <c r="E50" s="1980"/>
      <c r="F50" s="1980"/>
      <c r="G50" s="1980"/>
      <c r="H50" s="1980"/>
      <c r="I50" s="1981"/>
      <c r="J50" s="293"/>
      <c r="K50" s="293"/>
      <c r="L50" s="293"/>
      <c r="M50" s="293"/>
    </row>
    <row r="51" spans="1:13" s="448" customFormat="1" ht="18" customHeight="1">
      <c r="A51" s="1944"/>
      <c r="B51" s="1174"/>
      <c r="C51" s="1954" t="s">
        <v>507</v>
      </c>
      <c r="D51" s="1989"/>
      <c r="E51" s="1980"/>
      <c r="F51" s="1980"/>
      <c r="G51" s="1980"/>
      <c r="H51" s="1980"/>
      <c r="I51" s="1981"/>
      <c r="J51" s="293"/>
      <c r="K51" s="293"/>
      <c r="L51" s="293"/>
      <c r="M51" s="293"/>
    </row>
    <row r="52" spans="1:13" s="448" customFormat="1" ht="18" customHeight="1">
      <c r="A52" s="1944"/>
      <c r="B52" s="1174"/>
      <c r="C52" s="1954" t="s">
        <v>508</v>
      </c>
      <c r="D52" s="1989"/>
      <c r="E52" s="1980"/>
      <c r="F52" s="1980"/>
      <c r="G52" s="1980"/>
      <c r="H52" s="1980"/>
      <c r="I52" s="1981"/>
      <c r="J52" s="293"/>
      <c r="K52" s="293"/>
      <c r="L52" s="293"/>
      <c r="M52" s="293"/>
    </row>
    <row r="53" spans="1:13" s="448" customFormat="1" ht="18" customHeight="1">
      <c r="A53" s="1944"/>
      <c r="B53" s="1174"/>
      <c r="C53" s="1954" t="s">
        <v>509</v>
      </c>
      <c r="D53" s="1989"/>
      <c r="E53" s="1980"/>
      <c r="F53" s="1980"/>
      <c r="G53" s="1980"/>
      <c r="H53" s="1980"/>
      <c r="I53" s="1981"/>
      <c r="J53" s="293"/>
      <c r="K53" s="293"/>
      <c r="L53" s="293"/>
      <c r="M53" s="293"/>
    </row>
    <row r="54" spans="1:13" s="448" customFormat="1" ht="18" customHeight="1">
      <c r="A54" s="1944"/>
      <c r="B54" s="1174"/>
      <c r="C54" s="1954" t="s">
        <v>510</v>
      </c>
      <c r="D54" s="1989"/>
      <c r="E54" s="1980"/>
      <c r="F54" s="1980"/>
      <c r="G54" s="1980"/>
      <c r="H54" s="1980"/>
      <c r="I54" s="1981"/>
      <c r="J54" s="293"/>
      <c r="K54" s="293"/>
      <c r="L54" s="293"/>
      <c r="M54" s="293"/>
    </row>
    <row r="55" spans="1:13" s="448" customFormat="1" ht="18" customHeight="1">
      <c r="A55" s="1944"/>
      <c r="B55" s="1174"/>
      <c r="C55" s="1954" t="s">
        <v>511</v>
      </c>
      <c r="D55" s="1989"/>
      <c r="E55" s="1980"/>
      <c r="F55" s="1980"/>
      <c r="G55" s="1980"/>
      <c r="H55" s="1980"/>
      <c r="I55" s="1981"/>
      <c r="J55" s="293"/>
      <c r="K55" s="293"/>
      <c r="L55" s="293"/>
      <c r="M55" s="293"/>
    </row>
    <row r="56" spans="1:13" s="448" customFormat="1" ht="18" customHeight="1">
      <c r="A56" s="1944"/>
      <c r="B56" s="1174"/>
      <c r="C56" s="1954" t="s">
        <v>512</v>
      </c>
      <c r="D56" s="1989"/>
      <c r="E56" s="1980"/>
      <c r="F56" s="1980"/>
      <c r="G56" s="1980"/>
      <c r="H56" s="1980"/>
      <c r="I56" s="1981"/>
      <c r="J56" s="293"/>
      <c r="K56" s="293"/>
      <c r="L56" s="293"/>
      <c r="M56" s="293"/>
    </row>
    <row r="57" spans="1:13" s="448" customFormat="1" ht="18" customHeight="1">
      <c r="A57" s="1944"/>
      <c r="B57" s="1174"/>
      <c r="C57" s="1954" t="s">
        <v>513</v>
      </c>
      <c r="D57" s="1989"/>
      <c r="E57" s="1980"/>
      <c r="F57" s="1980"/>
      <c r="G57" s="1980"/>
      <c r="H57" s="1980"/>
      <c r="I57" s="1981"/>
      <c r="J57" s="293"/>
      <c r="K57" s="293"/>
      <c r="L57" s="293"/>
      <c r="M57" s="293"/>
    </row>
    <row r="58" spans="1:13" s="448" customFormat="1" ht="18" customHeight="1">
      <c r="A58" s="1944"/>
      <c r="B58" s="1174"/>
      <c r="C58" s="1954" t="s">
        <v>514</v>
      </c>
      <c r="D58" s="1989"/>
      <c r="E58" s="1980"/>
      <c r="F58" s="1980"/>
      <c r="G58" s="1980"/>
      <c r="H58" s="1980"/>
      <c r="I58" s="1981"/>
      <c r="J58" s="293"/>
      <c r="K58" s="293"/>
      <c r="L58" s="293"/>
      <c r="M58" s="293"/>
    </row>
    <row r="59" spans="1:13" s="448" customFormat="1" ht="18" customHeight="1">
      <c r="A59" s="1944"/>
      <c r="B59" s="1174"/>
      <c r="C59" s="1955" t="s">
        <v>515</v>
      </c>
      <c r="D59" s="1990"/>
      <c r="E59" s="1984"/>
      <c r="F59" s="1984"/>
      <c r="G59" s="1984"/>
      <c r="H59" s="1984"/>
      <c r="I59" s="1985"/>
      <c r="J59" s="293"/>
      <c r="K59" s="293"/>
      <c r="L59" s="293"/>
      <c r="M59" s="293"/>
    </row>
    <row r="60" spans="1:13" s="448" customFormat="1" ht="18" customHeight="1">
      <c r="A60" s="1944"/>
      <c r="B60" s="1174"/>
      <c r="C60" s="1176" t="s">
        <v>520</v>
      </c>
      <c r="D60" s="1991">
        <f t="shared" ref="D60:I60" si="5">SUM(D45:D59)</f>
        <v>0</v>
      </c>
      <c r="E60" s="1986">
        <f t="shared" si="5"/>
        <v>0</v>
      </c>
      <c r="F60" s="1986">
        <f t="shared" si="5"/>
        <v>0</v>
      </c>
      <c r="G60" s="1986">
        <f t="shared" si="5"/>
        <v>0</v>
      </c>
      <c r="H60" s="1986">
        <f t="shared" si="5"/>
        <v>0</v>
      </c>
      <c r="I60" s="1987">
        <f t="shared" si="5"/>
        <v>0</v>
      </c>
      <c r="J60" s="293"/>
      <c r="K60" s="293"/>
      <c r="L60" s="293"/>
      <c r="M60" s="293"/>
    </row>
    <row r="61" spans="1:13" s="448" customFormat="1" ht="18" customHeight="1">
      <c r="A61" s="1944"/>
      <c r="B61" s="1174"/>
      <c r="C61" s="1180"/>
      <c r="D61" s="1182"/>
      <c r="E61" s="1182"/>
      <c r="F61" s="1182"/>
      <c r="G61" s="1182"/>
      <c r="H61" s="1182"/>
      <c r="I61" s="1182"/>
      <c r="J61" s="293"/>
      <c r="K61" s="293"/>
      <c r="L61" s="293"/>
      <c r="M61" s="293"/>
    </row>
    <row r="62" spans="1:13" s="1173" customFormat="1" ht="18" customHeight="1">
      <c r="A62" s="1943"/>
      <c r="B62" s="1179" t="s">
        <v>521</v>
      </c>
      <c r="C62" s="1170"/>
      <c r="D62" s="1179"/>
      <c r="E62" s="1179"/>
      <c r="F62" s="1179"/>
      <c r="G62" s="1179"/>
      <c r="H62" s="1179"/>
      <c r="I62" s="1179"/>
      <c r="J62" s="1171"/>
      <c r="K62" s="1171"/>
      <c r="L62" s="1172"/>
      <c r="M62" s="1172"/>
    </row>
    <row r="63" spans="1:13" s="448" customFormat="1" ht="18" customHeight="1">
      <c r="A63" s="1944"/>
      <c r="B63" s="1174"/>
      <c r="C63" s="1175" t="s">
        <v>1056</v>
      </c>
      <c r="D63" s="1966">
        <f t="shared" ref="D63:I63" si="6">D44</f>
        <v>2019</v>
      </c>
      <c r="E63" s="1967" t="str">
        <f t="shared" si="6"/>
        <v>2020E</v>
      </c>
      <c r="F63" s="1967" t="str">
        <f t="shared" si="6"/>
        <v>2021E</v>
      </c>
      <c r="G63" s="1967" t="str">
        <f t="shared" si="6"/>
        <v>2022E</v>
      </c>
      <c r="H63" s="1967" t="str">
        <f t="shared" si="6"/>
        <v>2023E</v>
      </c>
      <c r="I63" s="1968" t="str">
        <f t="shared" si="6"/>
        <v>2024E</v>
      </c>
      <c r="J63" s="293"/>
      <c r="K63" s="293"/>
      <c r="L63" s="293"/>
      <c r="M63" s="293"/>
    </row>
    <row r="64" spans="1:13" s="448" customFormat="1" ht="18" customHeight="1">
      <c r="A64" s="1944"/>
      <c r="B64" s="1174"/>
      <c r="C64" s="1962" t="s">
        <v>501</v>
      </c>
      <c r="D64" s="1963"/>
      <c r="E64" s="1994"/>
      <c r="F64" s="1994"/>
      <c r="G64" s="1994"/>
      <c r="H64" s="1994"/>
      <c r="I64" s="1995"/>
      <c r="J64" s="293"/>
      <c r="K64" s="293"/>
      <c r="L64" s="293"/>
      <c r="M64" s="293"/>
    </row>
    <row r="65" spans="1:13" s="448" customFormat="1" ht="18" customHeight="1">
      <c r="A65" s="1944"/>
      <c r="B65" s="1174"/>
      <c r="C65" s="1954" t="s">
        <v>502</v>
      </c>
      <c r="D65" s="1953"/>
      <c r="E65" s="1992"/>
      <c r="F65" s="1992"/>
      <c r="G65" s="1992"/>
      <c r="H65" s="1992"/>
      <c r="I65" s="1993"/>
      <c r="J65" s="293"/>
      <c r="K65" s="293"/>
      <c r="L65" s="293"/>
      <c r="M65" s="293"/>
    </row>
    <row r="66" spans="1:13" s="448" customFormat="1" ht="18" customHeight="1">
      <c r="A66" s="1944"/>
      <c r="B66" s="1174"/>
      <c r="C66" s="1954" t="s">
        <v>503</v>
      </c>
      <c r="D66" s="1953"/>
      <c r="E66" s="1992"/>
      <c r="F66" s="1992"/>
      <c r="G66" s="1992"/>
      <c r="H66" s="1992"/>
      <c r="I66" s="1993"/>
      <c r="J66" s="293"/>
      <c r="K66" s="293"/>
      <c r="L66" s="293"/>
      <c r="M66" s="293"/>
    </row>
    <row r="67" spans="1:13" s="448" customFormat="1" ht="18" customHeight="1">
      <c r="A67" s="1944"/>
      <c r="B67" s="1174"/>
      <c r="C67" s="1954" t="s">
        <v>504</v>
      </c>
      <c r="D67" s="1953"/>
      <c r="E67" s="1992"/>
      <c r="F67" s="1992"/>
      <c r="G67" s="1992"/>
      <c r="H67" s="1992"/>
      <c r="I67" s="1993"/>
      <c r="J67" s="293"/>
      <c r="K67" s="293"/>
      <c r="L67" s="293"/>
      <c r="M67" s="293"/>
    </row>
    <row r="68" spans="1:13" s="448" customFormat="1" ht="18" customHeight="1">
      <c r="A68" s="1944"/>
      <c r="B68" s="1174"/>
      <c r="C68" s="1954" t="s">
        <v>505</v>
      </c>
      <c r="D68" s="1953"/>
      <c r="E68" s="1992"/>
      <c r="F68" s="1992"/>
      <c r="G68" s="1992"/>
      <c r="H68" s="1992"/>
      <c r="I68" s="1993"/>
      <c r="J68" s="293"/>
      <c r="K68" s="293"/>
      <c r="L68" s="293"/>
      <c r="M68" s="293"/>
    </row>
    <row r="69" spans="1:13" s="448" customFormat="1" ht="18" customHeight="1">
      <c r="A69" s="1944"/>
      <c r="B69" s="1174"/>
      <c r="C69" s="1954" t="s">
        <v>506</v>
      </c>
      <c r="D69" s="1953"/>
      <c r="E69" s="1992"/>
      <c r="F69" s="1992"/>
      <c r="G69" s="1992"/>
      <c r="H69" s="1992"/>
      <c r="I69" s="1993"/>
      <c r="J69" s="293"/>
      <c r="K69" s="293"/>
      <c r="L69" s="293"/>
      <c r="M69" s="293"/>
    </row>
    <row r="70" spans="1:13" s="448" customFormat="1" ht="18" customHeight="1">
      <c r="A70" s="1944"/>
      <c r="B70" s="1174"/>
      <c r="C70" s="1954" t="s">
        <v>507</v>
      </c>
      <c r="D70" s="1953"/>
      <c r="E70" s="1992"/>
      <c r="F70" s="1992"/>
      <c r="G70" s="1992"/>
      <c r="H70" s="1992"/>
      <c r="I70" s="1993"/>
      <c r="J70" s="293"/>
      <c r="K70" s="293"/>
      <c r="L70" s="293"/>
      <c r="M70" s="293"/>
    </row>
    <row r="71" spans="1:13" s="448" customFormat="1" ht="18" customHeight="1">
      <c r="A71" s="1944"/>
      <c r="B71" s="1174"/>
      <c r="C71" s="1954" t="s">
        <v>508</v>
      </c>
      <c r="D71" s="1953"/>
      <c r="E71" s="1992"/>
      <c r="F71" s="1992"/>
      <c r="G71" s="1992"/>
      <c r="H71" s="1992"/>
      <c r="I71" s="1993"/>
      <c r="J71" s="293"/>
      <c r="K71" s="293"/>
      <c r="L71" s="293"/>
      <c r="M71" s="293"/>
    </row>
    <row r="72" spans="1:13" s="448" customFormat="1" ht="18" customHeight="1">
      <c r="A72" s="1944"/>
      <c r="B72" s="1174"/>
      <c r="C72" s="1954" t="s">
        <v>509</v>
      </c>
      <c r="D72" s="1953"/>
      <c r="E72" s="1992"/>
      <c r="F72" s="1992"/>
      <c r="G72" s="1992"/>
      <c r="H72" s="1992"/>
      <c r="I72" s="1993"/>
      <c r="J72" s="293"/>
      <c r="K72" s="293"/>
      <c r="L72" s="293"/>
      <c r="M72" s="293"/>
    </row>
    <row r="73" spans="1:13" s="448" customFormat="1" ht="18" customHeight="1">
      <c r="A73" s="1944"/>
      <c r="B73" s="1174"/>
      <c r="C73" s="1954" t="s">
        <v>510</v>
      </c>
      <c r="D73" s="1953"/>
      <c r="E73" s="1992"/>
      <c r="F73" s="1992"/>
      <c r="G73" s="1992"/>
      <c r="H73" s="1992"/>
      <c r="I73" s="1993"/>
      <c r="J73" s="293"/>
      <c r="K73" s="293"/>
      <c r="L73" s="293"/>
      <c r="M73" s="293"/>
    </row>
    <row r="74" spans="1:13" s="448" customFormat="1" ht="18" customHeight="1">
      <c r="A74" s="1944"/>
      <c r="B74" s="1174"/>
      <c r="C74" s="1954" t="s">
        <v>511</v>
      </c>
      <c r="D74" s="1953"/>
      <c r="E74" s="1992"/>
      <c r="F74" s="1992"/>
      <c r="G74" s="1992"/>
      <c r="H74" s="1992"/>
      <c r="I74" s="1993"/>
      <c r="J74" s="293"/>
      <c r="K74" s="293"/>
      <c r="L74" s="293"/>
      <c r="M74" s="293"/>
    </row>
    <row r="75" spans="1:13" s="448" customFormat="1" ht="18" customHeight="1">
      <c r="A75" s="1944"/>
      <c r="B75" s="1174"/>
      <c r="C75" s="1954" t="s">
        <v>512</v>
      </c>
      <c r="D75" s="1953"/>
      <c r="E75" s="1992"/>
      <c r="F75" s="1992"/>
      <c r="G75" s="1992"/>
      <c r="H75" s="1992"/>
      <c r="I75" s="1993"/>
      <c r="J75" s="293"/>
      <c r="K75" s="293"/>
      <c r="L75" s="293"/>
      <c r="M75" s="293"/>
    </row>
    <row r="76" spans="1:13" s="448" customFormat="1" ht="18" customHeight="1">
      <c r="A76" s="1944"/>
      <c r="B76" s="1174"/>
      <c r="C76" s="1954" t="s">
        <v>513</v>
      </c>
      <c r="D76" s="1953"/>
      <c r="E76" s="1992"/>
      <c r="F76" s="1992"/>
      <c r="G76" s="1992"/>
      <c r="H76" s="1992"/>
      <c r="I76" s="1993"/>
      <c r="J76" s="293"/>
      <c r="K76" s="293"/>
      <c r="L76" s="293"/>
      <c r="M76" s="293"/>
    </row>
    <row r="77" spans="1:13" s="448" customFormat="1" ht="18" customHeight="1">
      <c r="A77" s="1944"/>
      <c r="B77" s="1174"/>
      <c r="C77" s="1954" t="s">
        <v>514</v>
      </c>
      <c r="D77" s="1953"/>
      <c r="E77" s="1992"/>
      <c r="F77" s="1992"/>
      <c r="G77" s="1992"/>
      <c r="H77" s="1992"/>
      <c r="I77" s="1993"/>
      <c r="J77" s="293"/>
      <c r="K77" s="293"/>
      <c r="L77" s="293"/>
      <c r="M77" s="293"/>
    </row>
    <row r="78" spans="1:13" s="448" customFormat="1" ht="18" customHeight="1">
      <c r="A78" s="1944"/>
      <c r="B78" s="1174"/>
      <c r="C78" s="1955" t="s">
        <v>515</v>
      </c>
      <c r="D78" s="1956"/>
      <c r="E78" s="1996"/>
      <c r="F78" s="1996"/>
      <c r="G78" s="1996"/>
      <c r="H78" s="1996"/>
      <c r="I78" s="1997"/>
      <c r="J78" s="293"/>
      <c r="K78" s="293"/>
      <c r="L78" s="293"/>
      <c r="M78" s="293"/>
    </row>
    <row r="79" spans="1:13" s="448" customFormat="1" ht="18" customHeight="1">
      <c r="A79" s="1944"/>
      <c r="B79" s="1174"/>
      <c r="C79" s="1176" t="s">
        <v>522</v>
      </c>
      <c r="D79" s="1959">
        <f t="shared" ref="D79:I79" si="7">SUM(D64:D78)</f>
        <v>0</v>
      </c>
      <c r="E79" s="1978">
        <f t="shared" si="7"/>
        <v>0</v>
      </c>
      <c r="F79" s="1978">
        <f t="shared" si="7"/>
        <v>0</v>
      </c>
      <c r="G79" s="1978">
        <f t="shared" si="7"/>
        <v>0</v>
      </c>
      <c r="H79" s="1978">
        <f t="shared" si="7"/>
        <v>0</v>
      </c>
      <c r="I79" s="1979">
        <f t="shared" si="7"/>
        <v>0</v>
      </c>
      <c r="J79" s="293"/>
      <c r="K79" s="293"/>
      <c r="L79" s="293"/>
      <c r="M79" s="293"/>
    </row>
    <row r="80" spans="1:13" s="448" customFormat="1" ht="18" customHeight="1">
      <c r="A80" s="1944"/>
      <c r="B80" s="1174"/>
      <c r="C80" s="1174"/>
      <c r="D80" s="1178"/>
      <c r="E80" s="1178"/>
      <c r="F80" s="1178"/>
      <c r="G80" s="1178"/>
      <c r="H80" s="1178"/>
      <c r="I80" s="1178"/>
      <c r="J80" s="293"/>
      <c r="K80" s="293"/>
      <c r="L80" s="293"/>
      <c r="M80" s="293"/>
    </row>
    <row r="81" spans="1:13" s="1173" customFormat="1" ht="18" customHeight="1">
      <c r="A81" s="1943"/>
      <c r="B81" s="1170" t="s">
        <v>523</v>
      </c>
      <c r="C81" s="1170"/>
      <c r="D81" s="1179"/>
      <c r="E81" s="1179"/>
      <c r="F81" s="1179"/>
      <c r="G81" s="1179"/>
      <c r="H81" s="1179"/>
      <c r="I81" s="1179"/>
      <c r="J81" s="1171"/>
      <c r="K81" s="1171"/>
      <c r="L81" s="1172"/>
      <c r="M81" s="1172"/>
    </row>
    <row r="82" spans="1:13" s="448" customFormat="1" ht="18" customHeight="1">
      <c r="A82" s="1941"/>
      <c r="B82" s="1184" t="s">
        <v>524</v>
      </c>
      <c r="C82" s="1183"/>
      <c r="D82" s="1185"/>
      <c r="E82" s="1186"/>
      <c r="F82" s="1187"/>
      <c r="G82" s="1187"/>
      <c r="H82" s="1187"/>
      <c r="I82" s="1187"/>
      <c r="J82" s="293"/>
      <c r="K82" s="293"/>
      <c r="L82" s="293"/>
      <c r="M82" s="293"/>
    </row>
    <row r="83" spans="1:13" s="448" customFormat="1" ht="18" customHeight="1">
      <c r="A83" s="1941"/>
      <c r="B83" s="1184" t="s">
        <v>525</v>
      </c>
      <c r="C83" s="1946">
        <v>15</v>
      </c>
      <c r="D83" s="1186"/>
      <c r="E83" s="1186"/>
      <c r="F83" s="1189"/>
      <c r="G83" s="1189"/>
      <c r="H83" s="1189"/>
      <c r="I83" s="1189"/>
      <c r="J83" s="293"/>
      <c r="K83" s="293"/>
      <c r="L83" s="293"/>
      <c r="M83" s="293"/>
    </row>
    <row r="84" spans="1:13" s="448" customFormat="1" ht="18" customHeight="1">
      <c r="A84" s="1941"/>
      <c r="B84" s="1184" t="s">
        <v>526</v>
      </c>
      <c r="C84" s="1946">
        <v>10</v>
      </c>
      <c r="D84" s="1186"/>
      <c r="E84" s="1186"/>
      <c r="F84" s="1189"/>
      <c r="G84" s="1189"/>
      <c r="H84" s="1189"/>
      <c r="I84" s="1189"/>
      <c r="J84" s="293"/>
      <c r="K84" s="293"/>
      <c r="L84" s="293"/>
      <c r="M84" s="293"/>
    </row>
    <row r="85" spans="1:13" s="448" customFormat="1" ht="18" customHeight="1">
      <c r="A85" s="1941"/>
      <c r="B85" s="1184" t="s">
        <v>527</v>
      </c>
      <c r="C85" s="1183"/>
      <c r="D85" s="1998">
        <f t="shared" ref="D85:I85" si="8">D63</f>
        <v>2019</v>
      </c>
      <c r="E85" s="1947" t="str">
        <f t="shared" si="8"/>
        <v>2020E</v>
      </c>
      <c r="F85" s="1947" t="str">
        <f t="shared" si="8"/>
        <v>2021E</v>
      </c>
      <c r="G85" s="1947" t="str">
        <f t="shared" si="8"/>
        <v>2022E</v>
      </c>
      <c r="H85" s="1947" t="str">
        <f t="shared" si="8"/>
        <v>2023E</v>
      </c>
      <c r="I85" s="1948" t="str">
        <f t="shared" si="8"/>
        <v>2024E</v>
      </c>
      <c r="J85" s="293"/>
      <c r="K85" s="293"/>
      <c r="L85" s="293"/>
      <c r="M85" s="293"/>
    </row>
    <row r="86" spans="1:13" s="448" customFormat="1" ht="18" customHeight="1">
      <c r="A86" s="1941"/>
      <c r="B86" s="1190"/>
      <c r="C86" s="1189" t="s">
        <v>500</v>
      </c>
      <c r="D86" s="1999">
        <f>资产负债!M177</f>
        <v>0</v>
      </c>
      <c r="E86" s="2000">
        <f>E22</f>
        <v>0</v>
      </c>
      <c r="F86" s="2000">
        <f>F22</f>
        <v>0</v>
      </c>
      <c r="G86" s="2000">
        <f>G22</f>
        <v>0</v>
      </c>
      <c r="H86" s="2000">
        <f>H22</f>
        <v>0</v>
      </c>
      <c r="I86" s="2001">
        <f>I22</f>
        <v>0</v>
      </c>
      <c r="J86" s="293"/>
      <c r="K86" s="293"/>
      <c r="L86" s="293"/>
      <c r="M86" s="293"/>
    </row>
    <row r="87" spans="1:13" s="448" customFormat="1" ht="18" customHeight="1">
      <c r="A87" s="1944"/>
      <c r="B87" s="1191" t="s">
        <v>528</v>
      </c>
      <c r="C87" s="1174"/>
      <c r="D87" s="1192"/>
      <c r="E87" s="1192"/>
      <c r="F87" s="1193"/>
      <c r="G87" s="1193"/>
      <c r="H87" s="1193"/>
      <c r="I87" s="1193"/>
      <c r="J87" s="293"/>
      <c r="K87" s="293"/>
      <c r="L87" s="293"/>
      <c r="M87" s="293"/>
    </row>
    <row r="88" spans="1:13" s="448" customFormat="1" ht="18" customHeight="1">
      <c r="A88" s="1944"/>
      <c r="B88" s="1184" t="str">
        <f>D85 &amp; "年底固定资产原值"</f>
        <v>2019年底固定资产原值</v>
      </c>
      <c r="C88" s="1194">
        <f>资产负债!M170</f>
        <v>1083.3706432399999</v>
      </c>
      <c r="D88" s="1207">
        <f t="shared" ref="D88:I88" si="9">$C$88/$C$83</f>
        <v>72.224709549333326</v>
      </c>
      <c r="E88" s="1195">
        <f t="shared" si="9"/>
        <v>72.224709549333326</v>
      </c>
      <c r="F88" s="1195">
        <f t="shared" si="9"/>
        <v>72.224709549333326</v>
      </c>
      <c r="G88" s="1195">
        <f t="shared" si="9"/>
        <v>72.224709549333326</v>
      </c>
      <c r="H88" s="1195">
        <f t="shared" si="9"/>
        <v>72.224709549333326</v>
      </c>
      <c r="I88" s="1196">
        <f t="shared" si="9"/>
        <v>72.224709549333326</v>
      </c>
      <c r="J88" s="293"/>
      <c r="K88" s="293"/>
      <c r="L88" s="293"/>
      <c r="M88" s="293"/>
    </row>
    <row r="89" spans="1:13" s="448" customFormat="1" ht="18" customHeight="1">
      <c r="A89" s="1944"/>
      <c r="B89" s="1184" t="str">
        <f>LEFT(E85,4) &amp; "年新增固定资产"</f>
        <v>2020年新增固定资产</v>
      </c>
      <c r="C89" s="1194">
        <f>E86</f>
        <v>0</v>
      </c>
      <c r="D89" s="1197"/>
      <c r="E89" s="1182">
        <f>$C$89/$C$84</f>
        <v>0</v>
      </c>
      <c r="F89" s="1182">
        <f>$C$89/$C$84</f>
        <v>0</v>
      </c>
      <c r="G89" s="1182">
        <f>$C$89/$C$84</f>
        <v>0</v>
      </c>
      <c r="H89" s="1182">
        <f>$C$89/$C$84</f>
        <v>0</v>
      </c>
      <c r="I89" s="1198">
        <f>$C$89/$C$84</f>
        <v>0</v>
      </c>
      <c r="J89" s="293"/>
      <c r="K89" s="293"/>
      <c r="L89" s="293"/>
      <c r="M89" s="293"/>
    </row>
    <row r="90" spans="1:13" s="448" customFormat="1" ht="18" customHeight="1">
      <c r="A90" s="1944"/>
      <c r="B90" s="1184" t="str">
        <f>LEFT(F85,4) &amp; "年新增固定资产"</f>
        <v>2021年新增固定资产</v>
      </c>
      <c r="C90" s="1194">
        <f>F86</f>
        <v>0</v>
      </c>
      <c r="D90" s="1197"/>
      <c r="E90" s="1199"/>
      <c r="F90" s="1182">
        <f>$C$90/$C$84</f>
        <v>0</v>
      </c>
      <c r="G90" s="1182">
        <f>$C$90/$C$84</f>
        <v>0</v>
      </c>
      <c r="H90" s="1182">
        <f>$C$90/$C$84</f>
        <v>0</v>
      </c>
      <c r="I90" s="1198">
        <f>$C$90/$C$84</f>
        <v>0</v>
      </c>
      <c r="J90" s="293"/>
      <c r="K90" s="293"/>
      <c r="L90" s="293"/>
      <c r="M90" s="293"/>
    </row>
    <row r="91" spans="1:13" s="448" customFormat="1" ht="18" customHeight="1">
      <c r="A91" s="1944"/>
      <c r="B91" s="1184" t="str">
        <f>LEFT(G85,4) &amp; "年新增固定资产"</f>
        <v>2022年新增固定资产</v>
      </c>
      <c r="C91" s="1194">
        <f>G86</f>
        <v>0</v>
      </c>
      <c r="D91" s="1197"/>
      <c r="E91" s="1199"/>
      <c r="F91" s="1199"/>
      <c r="G91" s="1182">
        <f>$C$91/$C$84</f>
        <v>0</v>
      </c>
      <c r="H91" s="1182">
        <f>$C$91/$C$84</f>
        <v>0</v>
      </c>
      <c r="I91" s="1198">
        <f>$C$91/$C$84</f>
        <v>0</v>
      </c>
      <c r="J91" s="293"/>
      <c r="K91" s="293"/>
      <c r="L91" s="293"/>
      <c r="M91" s="293"/>
    </row>
    <row r="92" spans="1:13" s="448" customFormat="1" ht="18" customHeight="1">
      <c r="A92" s="1944"/>
      <c r="B92" s="1184" t="str">
        <f>LEFT(H85,4) &amp; "年新增固定资产"</f>
        <v>2023年新增固定资产</v>
      </c>
      <c r="C92" s="1194">
        <f>H86</f>
        <v>0</v>
      </c>
      <c r="D92" s="1197"/>
      <c r="E92" s="1199"/>
      <c r="F92" s="1199"/>
      <c r="G92" s="1199"/>
      <c r="H92" s="1182">
        <f>$C$92/$C$84</f>
        <v>0</v>
      </c>
      <c r="I92" s="1198">
        <f>$C$92/$C$84</f>
        <v>0</v>
      </c>
      <c r="J92" s="293"/>
      <c r="K92" s="293"/>
      <c r="L92" s="293"/>
      <c r="M92" s="293"/>
    </row>
    <row r="93" spans="1:13" s="448" customFormat="1" ht="18" customHeight="1">
      <c r="A93" s="1944"/>
      <c r="B93" s="1184" t="str">
        <f>LEFT(I85,4) &amp; "年新增固定资产"</f>
        <v>2024年新增固定资产</v>
      </c>
      <c r="C93" s="1194">
        <f>I86</f>
        <v>0</v>
      </c>
      <c r="D93" s="1200"/>
      <c r="E93" s="1201"/>
      <c r="F93" s="1201"/>
      <c r="G93" s="1201"/>
      <c r="H93" s="1201"/>
      <c r="I93" s="1202">
        <f>$C$93/$C$84</f>
        <v>0</v>
      </c>
      <c r="J93" s="293"/>
      <c r="K93" s="293"/>
      <c r="L93" s="293"/>
      <c r="M93" s="293"/>
    </row>
    <row r="94" spans="1:13" s="448" customFormat="1" ht="18" customHeight="1">
      <c r="A94" s="1944"/>
      <c r="B94" s="1184"/>
      <c r="C94" s="1194"/>
      <c r="D94" s="1182"/>
      <c r="E94" s="1182"/>
      <c r="F94" s="1182"/>
      <c r="G94" s="1182"/>
      <c r="H94" s="1182"/>
      <c r="I94" s="1182"/>
      <c r="J94" s="293"/>
      <c r="K94" s="293"/>
      <c r="L94" s="293"/>
      <c r="M94" s="293"/>
    </row>
    <row r="95" spans="1:13" s="448" customFormat="1" ht="18" customHeight="1">
      <c r="A95" s="1944"/>
      <c r="B95" s="1203"/>
      <c r="C95" s="1178" t="s">
        <v>529</v>
      </c>
      <c r="D95" s="2002" t="s">
        <v>86</v>
      </c>
      <c r="E95" s="1978">
        <f>SUM(E88:E93)</f>
        <v>72.224709549333326</v>
      </c>
      <c r="F95" s="1978">
        <f>SUM(F88:F93)</f>
        <v>72.224709549333326</v>
      </c>
      <c r="G95" s="1978">
        <f>SUM(G88:G93)</f>
        <v>72.224709549333326</v>
      </c>
      <c r="H95" s="1978">
        <f>SUM(H88:H93)</f>
        <v>72.224709549333326</v>
      </c>
      <c r="I95" s="1979">
        <f>SUM(I88:I93)</f>
        <v>72.224709549333326</v>
      </c>
      <c r="J95" s="293"/>
      <c r="K95" s="293"/>
      <c r="L95" s="293"/>
      <c r="M95" s="293"/>
    </row>
    <row r="96" spans="1:13" s="448" customFormat="1" ht="18" customHeight="1">
      <c r="A96" s="1944"/>
      <c r="B96" s="1174"/>
      <c r="C96" s="1174"/>
      <c r="D96" s="1178"/>
      <c r="E96" s="1178"/>
      <c r="F96" s="1178"/>
      <c r="G96" s="1178"/>
      <c r="H96" s="1178"/>
      <c r="I96" s="1178"/>
      <c r="J96" s="293"/>
      <c r="K96" s="293"/>
      <c r="L96" s="293"/>
      <c r="M96" s="293"/>
    </row>
    <row r="97" spans="1:13" s="448" customFormat="1" ht="18" customHeight="1" thickBot="1">
      <c r="A97" s="1944"/>
      <c r="B97" s="1174"/>
      <c r="C97" s="1174"/>
      <c r="D97" s="1178"/>
      <c r="E97" s="1178"/>
      <c r="F97" s="1178"/>
      <c r="G97" s="1178"/>
      <c r="H97" s="1178"/>
      <c r="I97" s="1178"/>
      <c r="J97" s="293"/>
      <c r="K97" s="293"/>
      <c r="L97" s="293"/>
      <c r="M97" s="293"/>
    </row>
    <row r="98" spans="1:13" s="1173" customFormat="1" ht="18" customHeight="1">
      <c r="A98" s="2010"/>
      <c r="B98" s="186" t="s">
        <v>533</v>
      </c>
      <c r="C98" s="1204"/>
      <c r="D98" s="1205"/>
      <c r="E98" s="1206"/>
      <c r="F98" s="1206"/>
      <c r="G98" s="1206"/>
      <c r="H98" s="1206"/>
      <c r="I98" s="1206"/>
      <c r="J98" s="1172"/>
      <c r="K98" s="1172"/>
      <c r="L98" s="1172"/>
      <c r="M98" s="1172"/>
    </row>
    <row r="99" spans="1:13" s="1173" customFormat="1" ht="18" customHeight="1">
      <c r="A99" s="1943"/>
      <c r="B99" s="1170" t="s">
        <v>1057</v>
      </c>
      <c r="C99" s="1170"/>
      <c r="D99" s="1179"/>
      <c r="E99" s="1179"/>
      <c r="F99" s="1179"/>
      <c r="G99" s="1179"/>
      <c r="H99" s="1179"/>
      <c r="I99" s="1179"/>
      <c r="J99" s="1171"/>
      <c r="K99" s="1171"/>
      <c r="L99" s="1172"/>
      <c r="M99" s="1172"/>
    </row>
    <row r="100" spans="1:13" s="448" customFormat="1" ht="18" customHeight="1">
      <c r="A100" s="1944"/>
      <c r="B100" s="1174"/>
      <c r="C100" s="1175" t="s">
        <v>1058</v>
      </c>
      <c r="D100" s="1966">
        <f t="shared" ref="D100:I100" si="10">D85</f>
        <v>2019</v>
      </c>
      <c r="E100" s="1967" t="str">
        <f t="shared" si="10"/>
        <v>2020E</v>
      </c>
      <c r="F100" s="1967" t="str">
        <f t="shared" si="10"/>
        <v>2021E</v>
      </c>
      <c r="G100" s="1967" t="str">
        <f t="shared" si="10"/>
        <v>2022E</v>
      </c>
      <c r="H100" s="1967" t="str">
        <f t="shared" si="10"/>
        <v>2023E</v>
      </c>
      <c r="I100" s="1968" t="str">
        <f t="shared" si="10"/>
        <v>2024E</v>
      </c>
      <c r="J100" s="293"/>
      <c r="K100" s="293"/>
      <c r="L100" s="293"/>
      <c r="M100" s="293"/>
    </row>
    <row r="101" spans="1:13" s="448" customFormat="1" ht="18" customHeight="1">
      <c r="A101" s="1944"/>
      <c r="B101" s="1174"/>
      <c r="C101" s="1962" t="s">
        <v>501</v>
      </c>
      <c r="D101" s="1963"/>
      <c r="E101" s="1994"/>
      <c r="F101" s="1994"/>
      <c r="G101" s="1994"/>
      <c r="H101" s="1994"/>
      <c r="I101" s="1995"/>
      <c r="J101" s="293"/>
      <c r="K101" s="293"/>
      <c r="L101" s="293"/>
      <c r="M101" s="293"/>
    </row>
    <row r="102" spans="1:13" s="448" customFormat="1" ht="18" customHeight="1">
      <c r="A102" s="1944"/>
      <c r="B102" s="1174"/>
      <c r="C102" s="1954" t="s">
        <v>502</v>
      </c>
      <c r="D102" s="1953"/>
      <c r="E102" s="1992"/>
      <c r="F102" s="1992"/>
      <c r="G102" s="1992"/>
      <c r="H102" s="1992"/>
      <c r="I102" s="1993"/>
      <c r="J102" s="293"/>
      <c r="K102" s="293"/>
      <c r="L102" s="293"/>
      <c r="M102" s="293"/>
    </row>
    <row r="103" spans="1:13" s="448" customFormat="1" ht="18" customHeight="1">
      <c r="A103" s="1944"/>
      <c r="B103" s="1174"/>
      <c r="C103" s="1954" t="s">
        <v>503</v>
      </c>
      <c r="D103" s="1953"/>
      <c r="E103" s="1992"/>
      <c r="F103" s="1992"/>
      <c r="G103" s="1992"/>
      <c r="H103" s="1992"/>
      <c r="I103" s="1993"/>
      <c r="J103" s="293"/>
      <c r="K103" s="293"/>
      <c r="L103" s="293"/>
      <c r="M103" s="293"/>
    </row>
    <row r="104" spans="1:13" s="448" customFormat="1" ht="18" customHeight="1">
      <c r="A104" s="1944"/>
      <c r="B104" s="1174"/>
      <c r="C104" s="1954" t="s">
        <v>504</v>
      </c>
      <c r="D104" s="1953"/>
      <c r="E104" s="1992"/>
      <c r="F104" s="1992"/>
      <c r="G104" s="1992"/>
      <c r="H104" s="1992"/>
      <c r="I104" s="1993"/>
      <c r="J104" s="293"/>
      <c r="K104" s="293"/>
      <c r="L104" s="293"/>
      <c r="M104" s="293"/>
    </row>
    <row r="105" spans="1:13" s="448" customFormat="1" ht="18" customHeight="1">
      <c r="A105" s="1944"/>
      <c r="B105" s="1174"/>
      <c r="C105" s="1954" t="s">
        <v>505</v>
      </c>
      <c r="D105" s="1953"/>
      <c r="E105" s="1992"/>
      <c r="F105" s="1992"/>
      <c r="G105" s="1992"/>
      <c r="H105" s="1992"/>
      <c r="I105" s="1993"/>
      <c r="J105" s="293"/>
      <c r="K105" s="293"/>
      <c r="L105" s="293"/>
      <c r="M105" s="293"/>
    </row>
    <row r="106" spans="1:13" s="448" customFormat="1" ht="18" customHeight="1">
      <c r="A106" s="1944"/>
      <c r="B106" s="1174"/>
      <c r="C106" s="1954" t="s">
        <v>506</v>
      </c>
      <c r="D106" s="1953"/>
      <c r="E106" s="1992"/>
      <c r="F106" s="1992"/>
      <c r="G106" s="1992"/>
      <c r="H106" s="1992"/>
      <c r="I106" s="1993"/>
      <c r="J106" s="293"/>
      <c r="K106" s="293"/>
      <c r="L106" s="293"/>
      <c r="M106" s="293"/>
    </row>
    <row r="107" spans="1:13" s="448" customFormat="1" ht="18" customHeight="1">
      <c r="A107" s="1944"/>
      <c r="B107" s="1174"/>
      <c r="C107" s="1954" t="s">
        <v>507</v>
      </c>
      <c r="D107" s="1953"/>
      <c r="E107" s="1992"/>
      <c r="F107" s="1992"/>
      <c r="G107" s="1992"/>
      <c r="H107" s="1992"/>
      <c r="I107" s="1993"/>
      <c r="J107" s="293"/>
      <c r="K107" s="293"/>
      <c r="L107" s="293"/>
      <c r="M107" s="293"/>
    </row>
    <row r="108" spans="1:13" s="448" customFormat="1" ht="18" customHeight="1">
      <c r="A108" s="1944"/>
      <c r="B108" s="1174"/>
      <c r="C108" s="1954" t="s">
        <v>508</v>
      </c>
      <c r="D108" s="1953"/>
      <c r="E108" s="1992"/>
      <c r="F108" s="1992"/>
      <c r="G108" s="1992"/>
      <c r="H108" s="1992"/>
      <c r="I108" s="1993"/>
      <c r="J108" s="293"/>
      <c r="K108" s="293"/>
      <c r="L108" s="293"/>
      <c r="M108" s="293"/>
    </row>
    <row r="109" spans="1:13" s="448" customFormat="1" ht="18" customHeight="1">
      <c r="A109" s="1944"/>
      <c r="B109" s="1174"/>
      <c r="C109" s="1954" t="s">
        <v>509</v>
      </c>
      <c r="D109" s="1953"/>
      <c r="E109" s="1992"/>
      <c r="F109" s="1992"/>
      <c r="G109" s="1992"/>
      <c r="H109" s="1992"/>
      <c r="I109" s="1993"/>
      <c r="J109" s="293"/>
      <c r="K109" s="293"/>
      <c r="L109" s="293"/>
      <c r="M109" s="293"/>
    </row>
    <row r="110" spans="1:13" s="448" customFormat="1" ht="18" customHeight="1">
      <c r="A110" s="1944"/>
      <c r="B110" s="1174"/>
      <c r="C110" s="1954" t="s">
        <v>510</v>
      </c>
      <c r="D110" s="1953"/>
      <c r="E110" s="1992"/>
      <c r="F110" s="1992"/>
      <c r="G110" s="1992"/>
      <c r="H110" s="1992"/>
      <c r="I110" s="1993"/>
      <c r="J110" s="293"/>
      <c r="K110" s="293"/>
      <c r="L110" s="293"/>
      <c r="M110" s="293"/>
    </row>
    <row r="111" spans="1:13" s="448" customFormat="1" ht="18" customHeight="1">
      <c r="A111" s="1944"/>
      <c r="B111" s="1174"/>
      <c r="C111" s="1954" t="s">
        <v>511</v>
      </c>
      <c r="D111" s="1953"/>
      <c r="E111" s="1992"/>
      <c r="F111" s="1992"/>
      <c r="G111" s="1992"/>
      <c r="H111" s="1992"/>
      <c r="I111" s="1993"/>
      <c r="J111" s="293"/>
      <c r="K111" s="293"/>
      <c r="L111" s="293"/>
      <c r="M111" s="293"/>
    </row>
    <row r="112" spans="1:13" s="448" customFormat="1" ht="18" customHeight="1">
      <c r="A112" s="1944"/>
      <c r="B112" s="1174"/>
      <c r="C112" s="1954" t="s">
        <v>512</v>
      </c>
      <c r="D112" s="1953"/>
      <c r="E112" s="1992"/>
      <c r="F112" s="1992"/>
      <c r="G112" s="1992"/>
      <c r="H112" s="1992"/>
      <c r="I112" s="1993"/>
      <c r="J112" s="293"/>
      <c r="K112" s="293"/>
      <c r="L112" s="293"/>
      <c r="M112" s="293"/>
    </row>
    <row r="113" spans="1:13" s="448" customFormat="1" ht="18" customHeight="1">
      <c r="A113" s="1944"/>
      <c r="B113" s="1174"/>
      <c r="C113" s="1954" t="s">
        <v>513</v>
      </c>
      <c r="D113" s="1953"/>
      <c r="E113" s="1992"/>
      <c r="F113" s="1992"/>
      <c r="G113" s="1992"/>
      <c r="H113" s="1992"/>
      <c r="I113" s="1993"/>
      <c r="J113" s="293"/>
      <c r="K113" s="293"/>
      <c r="L113" s="293"/>
      <c r="M113" s="293"/>
    </row>
    <row r="114" spans="1:13" s="448" customFormat="1" ht="18" customHeight="1">
      <c r="A114" s="1944"/>
      <c r="B114" s="1174"/>
      <c r="C114" s="1954" t="s">
        <v>514</v>
      </c>
      <c r="D114" s="1953"/>
      <c r="E114" s="1992"/>
      <c r="F114" s="1992"/>
      <c r="G114" s="1992"/>
      <c r="H114" s="1992"/>
      <c r="I114" s="1993"/>
      <c r="J114" s="293"/>
      <c r="K114" s="293"/>
      <c r="L114" s="293"/>
      <c r="M114" s="293"/>
    </row>
    <row r="115" spans="1:13" s="448" customFormat="1" ht="18" customHeight="1">
      <c r="A115" s="1944"/>
      <c r="B115" s="1174"/>
      <c r="C115" s="1955" t="s">
        <v>515</v>
      </c>
      <c r="D115" s="1956"/>
      <c r="E115" s="1996"/>
      <c r="F115" s="1996"/>
      <c r="G115" s="1996"/>
      <c r="H115" s="1996"/>
      <c r="I115" s="1997"/>
      <c r="J115" s="293"/>
      <c r="K115" s="293"/>
      <c r="L115" s="293"/>
      <c r="M115" s="293"/>
    </row>
    <row r="116" spans="1:13" s="448" customFormat="1" ht="18" customHeight="1">
      <c r="A116" s="1944"/>
      <c r="B116" s="1174"/>
      <c r="C116" s="1175" t="s">
        <v>1059</v>
      </c>
      <c r="D116" s="2003">
        <f t="shared" ref="D116:I116" si="11">SUM(D101:D115)</f>
        <v>0</v>
      </c>
      <c r="E116" s="1960">
        <f t="shared" si="11"/>
        <v>0</v>
      </c>
      <c r="F116" s="1960">
        <f t="shared" si="11"/>
        <v>0</v>
      </c>
      <c r="G116" s="1960">
        <f t="shared" si="11"/>
        <v>0</v>
      </c>
      <c r="H116" s="1960">
        <f t="shared" si="11"/>
        <v>0</v>
      </c>
      <c r="I116" s="1961">
        <f t="shared" si="11"/>
        <v>0</v>
      </c>
      <c r="J116" s="293"/>
      <c r="K116" s="293"/>
      <c r="L116" s="293"/>
      <c r="M116" s="293"/>
    </row>
    <row r="117" spans="1:13" ht="18" customHeight="1">
      <c r="A117" s="1944"/>
      <c r="B117" s="1174"/>
      <c r="C117" s="1174"/>
      <c r="D117" s="1178"/>
      <c r="E117" s="1178"/>
      <c r="F117" s="1178"/>
      <c r="G117" s="1178"/>
      <c r="H117" s="1178"/>
      <c r="I117" s="1178"/>
    </row>
    <row r="118" spans="1:13" s="1173" customFormat="1" ht="18" customHeight="1">
      <c r="A118" s="1943"/>
      <c r="B118" s="1170" t="s">
        <v>1060</v>
      </c>
      <c r="C118" s="1170"/>
      <c r="D118" s="1179"/>
      <c r="E118" s="1179"/>
      <c r="F118" s="1179"/>
      <c r="G118" s="1179"/>
      <c r="H118" s="1179"/>
      <c r="I118" s="1179"/>
      <c r="J118" s="1171"/>
      <c r="K118" s="1171"/>
      <c r="L118" s="1172"/>
      <c r="M118" s="1172"/>
    </row>
    <row r="119" spans="1:13" s="448" customFormat="1" ht="18" customHeight="1">
      <c r="A119" s="1944"/>
      <c r="B119" s="1174"/>
      <c r="C119" s="1175" t="s">
        <v>1061</v>
      </c>
      <c r="D119" s="1966">
        <f t="shared" ref="D119:I119" si="12">D100</f>
        <v>2019</v>
      </c>
      <c r="E119" s="1967" t="str">
        <f t="shared" si="12"/>
        <v>2020E</v>
      </c>
      <c r="F119" s="1967" t="str">
        <f t="shared" si="12"/>
        <v>2021E</v>
      </c>
      <c r="G119" s="1967" t="str">
        <f t="shared" si="12"/>
        <v>2022E</v>
      </c>
      <c r="H119" s="1967" t="str">
        <f t="shared" si="12"/>
        <v>2023E</v>
      </c>
      <c r="I119" s="1968" t="str">
        <f t="shared" si="12"/>
        <v>2024E</v>
      </c>
      <c r="J119" s="293"/>
      <c r="K119" s="293"/>
      <c r="L119" s="293"/>
      <c r="M119" s="293"/>
    </row>
    <row r="120" spans="1:13" s="448" customFormat="1" ht="18" customHeight="1">
      <c r="A120" s="1944"/>
      <c r="B120" s="1174"/>
      <c r="C120" s="1962" t="s">
        <v>501</v>
      </c>
      <c r="D120" s="1963"/>
      <c r="E120" s="1994"/>
      <c r="F120" s="1994"/>
      <c r="G120" s="1994"/>
      <c r="H120" s="1994"/>
      <c r="I120" s="1995"/>
      <c r="J120" s="293"/>
      <c r="K120" s="293"/>
      <c r="L120" s="293"/>
      <c r="M120" s="293"/>
    </row>
    <row r="121" spans="1:13" s="448" customFormat="1" ht="18" customHeight="1">
      <c r="A121" s="1944"/>
      <c r="B121" s="1174"/>
      <c r="C121" s="1954" t="s">
        <v>502</v>
      </c>
      <c r="D121" s="1953"/>
      <c r="E121" s="1992"/>
      <c r="F121" s="1992"/>
      <c r="G121" s="1992"/>
      <c r="H121" s="1992"/>
      <c r="I121" s="1993"/>
      <c r="J121" s="293"/>
      <c r="K121" s="293"/>
      <c r="L121" s="293"/>
      <c r="M121" s="293"/>
    </row>
    <row r="122" spans="1:13" s="448" customFormat="1" ht="18" customHeight="1">
      <c r="A122" s="1944"/>
      <c r="B122" s="1174"/>
      <c r="C122" s="1954" t="s">
        <v>503</v>
      </c>
      <c r="D122" s="1953"/>
      <c r="E122" s="1992"/>
      <c r="F122" s="1992"/>
      <c r="G122" s="1992"/>
      <c r="H122" s="1992"/>
      <c r="I122" s="1993"/>
      <c r="J122" s="293"/>
      <c r="K122" s="293"/>
      <c r="L122" s="293"/>
      <c r="M122" s="293"/>
    </row>
    <row r="123" spans="1:13" s="448" customFormat="1" ht="18" customHeight="1">
      <c r="A123" s="1944"/>
      <c r="B123" s="1174"/>
      <c r="C123" s="1954" t="s">
        <v>504</v>
      </c>
      <c r="D123" s="1953"/>
      <c r="E123" s="1992"/>
      <c r="F123" s="1992"/>
      <c r="G123" s="1992"/>
      <c r="H123" s="1992"/>
      <c r="I123" s="1993"/>
      <c r="J123" s="293"/>
      <c r="K123" s="293"/>
      <c r="L123" s="293"/>
      <c r="M123" s="293"/>
    </row>
    <row r="124" spans="1:13" s="448" customFormat="1" ht="18" customHeight="1">
      <c r="A124" s="1944"/>
      <c r="B124" s="1174"/>
      <c r="C124" s="1954" t="s">
        <v>505</v>
      </c>
      <c r="D124" s="1953"/>
      <c r="E124" s="1992"/>
      <c r="F124" s="1992"/>
      <c r="G124" s="1992"/>
      <c r="H124" s="1992"/>
      <c r="I124" s="1993"/>
      <c r="J124" s="293"/>
      <c r="K124" s="293"/>
      <c r="L124" s="293"/>
      <c r="M124" s="293"/>
    </row>
    <row r="125" spans="1:13" s="448" customFormat="1" ht="18" customHeight="1">
      <c r="A125" s="1944"/>
      <c r="B125" s="1174"/>
      <c r="C125" s="1954" t="s">
        <v>506</v>
      </c>
      <c r="D125" s="1953"/>
      <c r="E125" s="1992"/>
      <c r="F125" s="1992"/>
      <c r="G125" s="1992"/>
      <c r="H125" s="1992"/>
      <c r="I125" s="1993"/>
      <c r="J125" s="293"/>
      <c r="K125" s="293"/>
      <c r="L125" s="293"/>
      <c r="M125" s="293"/>
    </row>
    <row r="126" spans="1:13" s="448" customFormat="1" ht="18" customHeight="1">
      <c r="A126" s="1944"/>
      <c r="B126" s="1174"/>
      <c r="C126" s="1954" t="s">
        <v>507</v>
      </c>
      <c r="D126" s="1953"/>
      <c r="E126" s="1992"/>
      <c r="F126" s="1992"/>
      <c r="G126" s="1992"/>
      <c r="H126" s="1992"/>
      <c r="I126" s="1993"/>
      <c r="J126" s="293"/>
      <c r="K126" s="293"/>
      <c r="L126" s="293"/>
      <c r="M126" s="293"/>
    </row>
    <row r="127" spans="1:13" s="448" customFormat="1" ht="18" customHeight="1">
      <c r="A127" s="1944"/>
      <c r="B127" s="1174"/>
      <c r="C127" s="1954" t="s">
        <v>508</v>
      </c>
      <c r="D127" s="1953"/>
      <c r="E127" s="1992"/>
      <c r="F127" s="1992"/>
      <c r="G127" s="1992"/>
      <c r="H127" s="1992"/>
      <c r="I127" s="1993"/>
      <c r="J127" s="293"/>
      <c r="K127" s="293"/>
      <c r="L127" s="293"/>
      <c r="M127" s="293"/>
    </row>
    <row r="128" spans="1:13" s="448" customFormat="1" ht="18" customHeight="1">
      <c r="A128" s="1944"/>
      <c r="B128" s="1174"/>
      <c r="C128" s="1954" t="s">
        <v>509</v>
      </c>
      <c r="D128" s="1953"/>
      <c r="E128" s="1992"/>
      <c r="F128" s="1992"/>
      <c r="G128" s="1992"/>
      <c r="H128" s="1992"/>
      <c r="I128" s="1993"/>
      <c r="J128" s="293"/>
      <c r="K128" s="293"/>
      <c r="L128" s="293"/>
      <c r="M128" s="293"/>
    </row>
    <row r="129" spans="1:13" s="448" customFormat="1" ht="18" customHeight="1">
      <c r="A129" s="1944"/>
      <c r="B129" s="1174"/>
      <c r="C129" s="1954" t="s">
        <v>510</v>
      </c>
      <c r="D129" s="1953"/>
      <c r="E129" s="1992"/>
      <c r="F129" s="1992"/>
      <c r="G129" s="1992"/>
      <c r="H129" s="1992"/>
      <c r="I129" s="1993"/>
      <c r="J129" s="293"/>
      <c r="K129" s="293"/>
      <c r="L129" s="293"/>
      <c r="M129" s="293"/>
    </row>
    <row r="130" spans="1:13" s="448" customFormat="1" ht="18" customHeight="1">
      <c r="A130" s="1944"/>
      <c r="B130" s="1174"/>
      <c r="C130" s="1954" t="s">
        <v>511</v>
      </c>
      <c r="D130" s="1953"/>
      <c r="E130" s="1992"/>
      <c r="F130" s="1992"/>
      <c r="G130" s="1992"/>
      <c r="H130" s="1992"/>
      <c r="I130" s="1993"/>
      <c r="J130" s="293"/>
      <c r="K130" s="293"/>
      <c r="L130" s="293"/>
      <c r="M130" s="293"/>
    </row>
    <row r="131" spans="1:13" s="448" customFormat="1" ht="18" customHeight="1">
      <c r="A131" s="1944"/>
      <c r="B131" s="1174"/>
      <c r="C131" s="1954" t="s">
        <v>512</v>
      </c>
      <c r="D131" s="1953"/>
      <c r="E131" s="1992"/>
      <c r="F131" s="1992"/>
      <c r="G131" s="1992"/>
      <c r="H131" s="1992"/>
      <c r="I131" s="1993"/>
      <c r="J131" s="293"/>
      <c r="K131" s="293"/>
      <c r="L131" s="293"/>
      <c r="M131" s="293"/>
    </row>
    <row r="132" spans="1:13" s="448" customFormat="1" ht="18" customHeight="1">
      <c r="A132" s="1944"/>
      <c r="B132" s="1174"/>
      <c r="C132" s="1954" t="s">
        <v>513</v>
      </c>
      <c r="D132" s="1953"/>
      <c r="E132" s="1992"/>
      <c r="F132" s="1992"/>
      <c r="G132" s="1992"/>
      <c r="H132" s="1992"/>
      <c r="I132" s="1993"/>
      <c r="J132" s="293"/>
      <c r="K132" s="293"/>
      <c r="L132" s="293"/>
      <c r="M132" s="293"/>
    </row>
    <row r="133" spans="1:13" s="448" customFormat="1" ht="18" customHeight="1">
      <c r="A133" s="1944"/>
      <c r="B133" s="1174"/>
      <c r="C133" s="1954" t="s">
        <v>514</v>
      </c>
      <c r="D133" s="1953"/>
      <c r="E133" s="1992"/>
      <c r="F133" s="1992"/>
      <c r="G133" s="1992"/>
      <c r="H133" s="1992"/>
      <c r="I133" s="1993"/>
      <c r="J133" s="293"/>
      <c r="K133" s="293"/>
      <c r="L133" s="293"/>
      <c r="M133" s="293"/>
    </row>
    <row r="134" spans="1:13" s="448" customFormat="1" ht="18" customHeight="1">
      <c r="A134" s="1944"/>
      <c r="B134" s="1174"/>
      <c r="C134" s="1955" t="s">
        <v>515</v>
      </c>
      <c r="D134" s="1956"/>
      <c r="E134" s="1996"/>
      <c r="F134" s="1996"/>
      <c r="G134" s="1996"/>
      <c r="H134" s="1996"/>
      <c r="I134" s="1997"/>
      <c r="J134" s="293"/>
      <c r="K134" s="293"/>
      <c r="L134" s="293"/>
      <c r="M134" s="293"/>
    </row>
    <row r="135" spans="1:13" s="448" customFormat="1" ht="18" customHeight="1">
      <c r="A135" s="1944"/>
      <c r="B135" s="1174"/>
      <c r="C135" s="1176" t="s">
        <v>1062</v>
      </c>
      <c r="D135" s="2003">
        <f t="shared" ref="D135:I135" si="13">SUM(D120:D134)</f>
        <v>0</v>
      </c>
      <c r="E135" s="1960">
        <f t="shared" si="13"/>
        <v>0</v>
      </c>
      <c r="F135" s="1960">
        <f t="shared" si="13"/>
        <v>0</v>
      </c>
      <c r="G135" s="1960">
        <f t="shared" si="13"/>
        <v>0</v>
      </c>
      <c r="H135" s="1960">
        <f t="shared" si="13"/>
        <v>0</v>
      </c>
      <c r="I135" s="1961">
        <f t="shared" si="13"/>
        <v>0</v>
      </c>
      <c r="J135" s="293"/>
      <c r="K135" s="293"/>
      <c r="L135" s="293"/>
      <c r="M135" s="293"/>
    </row>
    <row r="136" spans="1:13" ht="18" customHeight="1">
      <c r="A136" s="1944"/>
      <c r="B136" s="1174"/>
      <c r="C136" s="1174"/>
      <c r="D136" s="1178"/>
      <c r="E136" s="1178"/>
      <c r="F136" s="1178"/>
      <c r="G136" s="1178"/>
      <c r="H136" s="1178"/>
      <c r="I136" s="1178"/>
    </row>
    <row r="137" spans="1:13" s="1173" customFormat="1" ht="18" customHeight="1">
      <c r="A137" s="1943"/>
      <c r="B137" s="1170" t="s">
        <v>1063</v>
      </c>
      <c r="C137" s="1170"/>
      <c r="D137" s="1179"/>
      <c r="E137" s="1179"/>
      <c r="F137" s="1179"/>
      <c r="G137" s="1179"/>
      <c r="H137" s="1179"/>
      <c r="I137" s="1179"/>
      <c r="J137" s="1171"/>
      <c r="K137" s="1171"/>
      <c r="L137" s="1172"/>
      <c r="M137" s="1172"/>
    </row>
    <row r="138" spans="1:13" s="448" customFormat="1" ht="18" customHeight="1">
      <c r="A138" s="1944"/>
      <c r="B138" s="1184" t="s">
        <v>524</v>
      </c>
      <c r="C138" s="1183"/>
      <c r="D138" s="1185"/>
      <c r="E138" s="1186"/>
      <c r="F138" s="1187"/>
      <c r="G138" s="1187"/>
      <c r="H138" s="1187"/>
      <c r="I138" s="1187"/>
      <c r="J138" s="293"/>
      <c r="K138" s="293"/>
      <c r="L138" s="293"/>
      <c r="M138" s="293"/>
    </row>
    <row r="139" spans="1:13" s="448" customFormat="1" ht="18" customHeight="1">
      <c r="A139" s="1944"/>
      <c r="B139" s="1184" t="s">
        <v>1064</v>
      </c>
      <c r="C139" s="1188">
        <v>15</v>
      </c>
      <c r="D139" s="1186"/>
      <c r="E139" s="1186"/>
      <c r="F139" s="1189"/>
      <c r="G139" s="1189"/>
      <c r="H139" s="1189"/>
      <c r="I139" s="1189"/>
      <c r="J139" s="293"/>
      <c r="K139" s="293"/>
      <c r="L139" s="293"/>
      <c r="M139" s="293"/>
    </row>
    <row r="140" spans="1:13" s="448" customFormat="1" ht="18" customHeight="1">
      <c r="A140" s="1944"/>
      <c r="B140" s="1184" t="s">
        <v>1065</v>
      </c>
      <c r="C140" s="1188">
        <v>10</v>
      </c>
      <c r="D140" s="1186"/>
      <c r="E140" s="1186"/>
      <c r="F140" s="1189"/>
      <c r="G140" s="1189"/>
      <c r="H140" s="1189"/>
      <c r="I140" s="1189"/>
      <c r="J140" s="293"/>
      <c r="K140" s="293"/>
      <c r="L140" s="293"/>
      <c r="M140" s="293"/>
    </row>
    <row r="141" spans="1:13" s="448" customFormat="1" ht="18" customHeight="1">
      <c r="A141" s="1944"/>
      <c r="B141" s="1184"/>
      <c r="C141" s="1183"/>
      <c r="D141" s="1998">
        <f t="shared" ref="D141:I141" si="14">D119</f>
        <v>2019</v>
      </c>
      <c r="E141" s="1947" t="str">
        <f t="shared" si="14"/>
        <v>2020E</v>
      </c>
      <c r="F141" s="1947" t="str">
        <f t="shared" si="14"/>
        <v>2021E</v>
      </c>
      <c r="G141" s="1947" t="str">
        <f t="shared" si="14"/>
        <v>2022E</v>
      </c>
      <c r="H141" s="1947" t="str">
        <f t="shared" si="14"/>
        <v>2023E</v>
      </c>
      <c r="I141" s="1948" t="str">
        <f t="shared" si="14"/>
        <v>2024E</v>
      </c>
      <c r="J141" s="293"/>
      <c r="K141" s="293"/>
      <c r="L141" s="293"/>
      <c r="M141" s="293"/>
    </row>
    <row r="142" spans="1:13" s="448" customFormat="1" ht="18" customHeight="1">
      <c r="A142" s="1944"/>
      <c r="B142" s="1190"/>
      <c r="C142" s="1189" t="s">
        <v>1066</v>
      </c>
      <c r="D142" s="2004">
        <f>D135</f>
        <v>0</v>
      </c>
      <c r="E142" s="1951">
        <f>E116-E135</f>
        <v>0</v>
      </c>
      <c r="F142" s="1951">
        <f>F116-F135</f>
        <v>0</v>
      </c>
      <c r="G142" s="1951">
        <f>G116-G135</f>
        <v>0</v>
      </c>
      <c r="H142" s="1951">
        <f>H116-H135</f>
        <v>0</v>
      </c>
      <c r="I142" s="1952">
        <f>I116-I135</f>
        <v>0</v>
      </c>
      <c r="J142" s="293"/>
      <c r="K142" s="293"/>
      <c r="L142" s="293"/>
      <c r="M142" s="293"/>
    </row>
    <row r="143" spans="1:13" s="448" customFormat="1" ht="18" customHeight="1">
      <c r="A143" s="1944"/>
      <c r="B143" s="1191" t="s">
        <v>528</v>
      </c>
      <c r="C143" s="1174"/>
      <c r="D143" s="1192"/>
      <c r="E143" s="1192"/>
      <c r="F143" s="1193"/>
      <c r="G143" s="1193"/>
      <c r="H143" s="1193"/>
      <c r="I143" s="1193"/>
      <c r="J143" s="293"/>
      <c r="K143" s="293"/>
      <c r="L143" s="293"/>
      <c r="M143" s="293"/>
    </row>
    <row r="144" spans="1:13" s="448" customFormat="1" ht="18" customHeight="1">
      <c r="A144" s="1944"/>
      <c r="B144" s="1184" t="str">
        <f>D141&amp;"年底投资性房地产原值"</f>
        <v>2019年底投资性房地产原值</v>
      </c>
      <c r="C144" s="1194">
        <f>资产负债!M165</f>
        <v>0</v>
      </c>
      <c r="D144" s="1207">
        <f t="shared" ref="D144:I144" si="15">$C$144/$C$139</f>
        <v>0</v>
      </c>
      <c r="E144" s="1195">
        <f t="shared" si="15"/>
        <v>0</v>
      </c>
      <c r="F144" s="1195">
        <f t="shared" si="15"/>
        <v>0</v>
      </c>
      <c r="G144" s="1195">
        <f t="shared" si="15"/>
        <v>0</v>
      </c>
      <c r="H144" s="1195">
        <f t="shared" si="15"/>
        <v>0</v>
      </c>
      <c r="I144" s="1196">
        <f t="shared" si="15"/>
        <v>0</v>
      </c>
      <c r="J144" s="293"/>
      <c r="K144" s="293"/>
      <c r="L144" s="293"/>
      <c r="M144" s="293"/>
    </row>
    <row r="145" spans="1:13" s="448" customFormat="1" ht="18" customHeight="1">
      <c r="A145" s="1944"/>
      <c r="B145" s="1184" t="str">
        <f>LEFT(E141,4)&amp;"年投资性房地产净增"</f>
        <v>2020年投资性房地产净增</v>
      </c>
      <c r="C145" s="1194">
        <f>E142</f>
        <v>0</v>
      </c>
      <c r="D145" s="1197"/>
      <c r="E145" s="1182">
        <f>$C$145/$C$140</f>
        <v>0</v>
      </c>
      <c r="F145" s="1182">
        <f>$C$145/$C$140</f>
        <v>0</v>
      </c>
      <c r="G145" s="1182">
        <f>$C$145/$C$140</f>
        <v>0</v>
      </c>
      <c r="H145" s="1182">
        <f>$C$145/$C$140</f>
        <v>0</v>
      </c>
      <c r="I145" s="1198">
        <f>$C$145/$C$140</f>
        <v>0</v>
      </c>
      <c r="J145" s="293"/>
      <c r="K145" s="293"/>
      <c r="L145" s="293"/>
      <c r="M145" s="293"/>
    </row>
    <row r="146" spans="1:13" s="448" customFormat="1" ht="18" customHeight="1">
      <c r="A146" s="1944"/>
      <c r="B146" s="1184" t="str">
        <f>LEFT(F141,4)&amp;"年投资性房地产净增"</f>
        <v>2021年投资性房地产净增</v>
      </c>
      <c r="C146" s="1194">
        <f>F142</f>
        <v>0</v>
      </c>
      <c r="D146" s="1197"/>
      <c r="E146" s="1199"/>
      <c r="F146" s="1182">
        <f>$C$146/$C$140</f>
        <v>0</v>
      </c>
      <c r="G146" s="1182">
        <f>$C$146/$C$140</f>
        <v>0</v>
      </c>
      <c r="H146" s="1182">
        <f>$C$146/$C$140</f>
        <v>0</v>
      </c>
      <c r="I146" s="1198">
        <f>$C$146/$C$140</f>
        <v>0</v>
      </c>
      <c r="J146" s="293"/>
      <c r="K146" s="293"/>
      <c r="L146" s="293"/>
      <c r="M146" s="293"/>
    </row>
    <row r="147" spans="1:13" s="448" customFormat="1" ht="18" customHeight="1">
      <c r="A147" s="1944"/>
      <c r="B147" s="1184" t="str">
        <f>LEFT(G141,4)&amp;"年投资性房地产净增"</f>
        <v>2022年投资性房地产净增</v>
      </c>
      <c r="C147" s="1194">
        <f>G142</f>
        <v>0</v>
      </c>
      <c r="D147" s="1197"/>
      <c r="E147" s="1199"/>
      <c r="F147" s="1199"/>
      <c r="G147" s="1182">
        <f>$C$147/$C$140</f>
        <v>0</v>
      </c>
      <c r="H147" s="1182">
        <f>$C$147/$C$140</f>
        <v>0</v>
      </c>
      <c r="I147" s="1198">
        <f>$C$147/$C$140</f>
        <v>0</v>
      </c>
      <c r="J147" s="293"/>
      <c r="K147" s="293"/>
      <c r="L147" s="293"/>
      <c r="M147" s="293"/>
    </row>
    <row r="148" spans="1:13" s="448" customFormat="1" ht="18" customHeight="1">
      <c r="A148" s="1944"/>
      <c r="B148" s="1184" t="str">
        <f>LEFT(H141,4)&amp;"年投资性房地产净增"</f>
        <v>2023年投资性房地产净增</v>
      </c>
      <c r="C148" s="1194">
        <f>H142</f>
        <v>0</v>
      </c>
      <c r="D148" s="1197"/>
      <c r="E148" s="1199"/>
      <c r="F148" s="1199"/>
      <c r="G148" s="1199"/>
      <c r="H148" s="1182">
        <f>$C$148/$C$140</f>
        <v>0</v>
      </c>
      <c r="I148" s="1198">
        <f>$C$148/$C$140</f>
        <v>0</v>
      </c>
      <c r="J148" s="293"/>
      <c r="K148" s="293"/>
      <c r="L148" s="293"/>
      <c r="M148" s="293"/>
    </row>
    <row r="149" spans="1:13" s="448" customFormat="1" ht="18" customHeight="1">
      <c r="A149" s="1944"/>
      <c r="B149" s="1184" t="str">
        <f>LEFT(I141,4)&amp;"年投资性房地产净增"</f>
        <v>2024年投资性房地产净增</v>
      </c>
      <c r="C149" s="1194">
        <f>I142</f>
        <v>0</v>
      </c>
      <c r="D149" s="1200"/>
      <c r="E149" s="1201"/>
      <c r="F149" s="1201"/>
      <c r="G149" s="1201"/>
      <c r="H149" s="1201"/>
      <c r="I149" s="1202">
        <f>$C$149/$C$140</f>
        <v>0</v>
      </c>
      <c r="J149" s="293"/>
      <c r="K149" s="293"/>
      <c r="L149" s="293"/>
      <c r="M149" s="293"/>
    </row>
    <row r="150" spans="1:13" s="448" customFormat="1" ht="18" customHeight="1">
      <c r="A150" s="1944"/>
      <c r="B150" s="1184"/>
      <c r="C150" s="1194"/>
      <c r="D150" s="1182"/>
      <c r="E150" s="1182"/>
      <c r="F150" s="1182"/>
      <c r="G150" s="1182"/>
      <c r="H150" s="1182"/>
      <c r="I150" s="1182"/>
      <c r="J150" s="293"/>
      <c r="K150" s="293"/>
      <c r="L150" s="293"/>
      <c r="M150" s="293"/>
    </row>
    <row r="151" spans="1:13" s="448" customFormat="1" ht="18" customHeight="1">
      <c r="A151" s="1944"/>
      <c r="B151" s="1191"/>
      <c r="C151" s="1191" t="s">
        <v>529</v>
      </c>
      <c r="D151" s="2005" t="s">
        <v>86</v>
      </c>
      <c r="E151" s="2006">
        <f>SUM(E144:E149)</f>
        <v>0</v>
      </c>
      <c r="F151" s="2006">
        <f>SUM(F144:F149)</f>
        <v>0</v>
      </c>
      <c r="G151" s="2006">
        <f>SUM(G144:G149)</f>
        <v>0</v>
      </c>
      <c r="H151" s="2006">
        <f>SUM(H144:H149)</f>
        <v>0</v>
      </c>
      <c r="I151" s="2007">
        <f>SUM(I144:I149)</f>
        <v>0</v>
      </c>
      <c r="J151" s="293"/>
      <c r="K151" s="293"/>
      <c r="L151" s="293"/>
      <c r="M151" s="293"/>
    </row>
    <row r="152" spans="1:13" s="448" customFormat="1" ht="18" customHeight="1">
      <c r="A152" s="1944"/>
      <c r="B152" s="1191"/>
      <c r="C152" s="1191" t="s">
        <v>1067</v>
      </c>
      <c r="D152" s="2008"/>
      <c r="E152" s="1971">
        <f>D152+E151</f>
        <v>0</v>
      </c>
      <c r="F152" s="1971">
        <f>E152+F151</f>
        <v>0</v>
      </c>
      <c r="G152" s="1971">
        <f>F152+G151</f>
        <v>0</v>
      </c>
      <c r="H152" s="1971">
        <f>G152+H151</f>
        <v>0</v>
      </c>
      <c r="I152" s="1972">
        <f>H152+I151</f>
        <v>0</v>
      </c>
      <c r="J152" s="293"/>
      <c r="K152" s="293"/>
      <c r="L152" s="293"/>
      <c r="M152" s="293"/>
    </row>
    <row r="153" spans="1:13" ht="18" customHeight="1"/>
  </sheetData>
  <mergeCells count="1">
    <mergeCell ref="D3:G3"/>
  </mergeCells>
  <phoneticPr fontId="64" type="noConversion"/>
  <pageMargins left="0.75" right="0.75" top="1" bottom="1" header="0.5" footer="0.5"/>
  <pageSetup paperSize="9" firstPageNumber="4294963191" orientation="portrait" copies="0"/>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0"/>
  </sheetPr>
  <dimension ref="A1:AQ340"/>
  <sheetViews>
    <sheetView showGridLines="0" workbookViewId="0">
      <pane xSplit="8" ySplit="3" topLeftCell="I4" activePane="bottomRight" state="frozen"/>
      <selection pane="topRight" activeCell="I1" sqref="I1"/>
      <selection pane="bottomLeft" activeCell="A4" sqref="A4"/>
      <selection pane="bottomRight" activeCell="S3" sqref="S3"/>
    </sheetView>
  </sheetViews>
  <sheetFormatPr defaultRowHeight="17.100000000000001" customHeight="1"/>
  <cols>
    <col min="1" max="1" width="2.375" style="7" customWidth="1"/>
    <col min="2" max="2" width="23.625" style="8" customWidth="1"/>
    <col min="3" max="8" width="2.625" style="8" customWidth="1"/>
    <col min="9" max="17" width="9.625" style="256" customWidth="1"/>
    <col min="18" max="18" width="9.625" style="257" customWidth="1"/>
    <col min="19" max="16384" width="9" style="7"/>
  </cols>
  <sheetData>
    <row r="1" spans="1:43" customFormat="1" ht="12" customHeight="1" thickBot="1">
      <c r="A1" s="64"/>
      <c r="B1" s="261"/>
      <c r="C1" s="261"/>
      <c r="D1" s="261"/>
      <c r="E1" s="261"/>
      <c r="F1" s="261"/>
      <c r="G1" s="261"/>
      <c r="H1" s="261"/>
      <c r="I1" s="65"/>
      <c r="J1" s="65"/>
      <c r="K1" s="65"/>
      <c r="L1" s="65"/>
      <c r="M1" s="65"/>
      <c r="N1" s="66"/>
      <c r="O1" s="66"/>
      <c r="P1" s="66"/>
      <c r="Q1" s="66"/>
      <c r="R1" s="2410"/>
      <c r="S1" s="39"/>
      <c r="T1" s="39"/>
      <c r="U1" s="39"/>
      <c r="V1" s="39"/>
      <c r="W1" s="39"/>
      <c r="X1" s="39"/>
      <c r="Y1" s="39"/>
      <c r="Z1" s="39"/>
      <c r="AA1" s="39"/>
      <c r="AB1" s="39"/>
      <c r="AC1" s="39"/>
      <c r="AD1" s="39"/>
      <c r="AE1" s="39"/>
      <c r="AF1" s="39"/>
      <c r="AG1" s="39"/>
      <c r="AH1" s="39"/>
      <c r="AI1" s="39"/>
      <c r="AJ1" s="39"/>
      <c r="AK1" s="39"/>
      <c r="AL1" s="39"/>
      <c r="AM1" s="39"/>
      <c r="AN1" s="39"/>
      <c r="AO1" s="39"/>
      <c r="AP1" s="39"/>
      <c r="AQ1" s="39"/>
    </row>
    <row r="2" spans="1:43" customFormat="1" ht="18" customHeight="1">
      <c r="A2" s="67"/>
      <c r="B2" s="263" t="s">
        <v>213</v>
      </c>
      <c r="C2" s="181"/>
      <c r="D2" s="181"/>
      <c r="E2" s="181"/>
      <c r="F2" s="181"/>
      <c r="G2" s="181"/>
      <c r="H2" s="181"/>
      <c r="I2" s="174">
        <f>J2-1</f>
        <v>2015</v>
      </c>
      <c r="J2" s="174">
        <f>K2-1</f>
        <v>2016</v>
      </c>
      <c r="K2" s="174">
        <f>L2-1</f>
        <v>2017</v>
      </c>
      <c r="L2" s="174">
        <f>M2-1</f>
        <v>2018</v>
      </c>
      <c r="M2" s="174">
        <f>公司说明!$B$1</f>
        <v>2019</v>
      </c>
      <c r="N2" s="174">
        <f>M3+1</f>
        <v>2020</v>
      </c>
      <c r="O2" s="174">
        <f>N2+1</f>
        <v>2021</v>
      </c>
      <c r="P2" s="174">
        <f>O2+1</f>
        <v>2022</v>
      </c>
      <c r="Q2" s="174">
        <f>P2+1</f>
        <v>2023</v>
      </c>
      <c r="R2" s="174">
        <f>Q2+1</f>
        <v>2024</v>
      </c>
      <c r="S2" s="2418"/>
      <c r="T2" s="40"/>
      <c r="U2" s="40"/>
      <c r="V2" s="40"/>
      <c r="W2" s="40"/>
      <c r="X2" s="40"/>
      <c r="Y2" s="40"/>
      <c r="Z2" s="40"/>
      <c r="AA2" s="40"/>
      <c r="AB2" s="40"/>
      <c r="AC2" s="40"/>
      <c r="AD2" s="40"/>
      <c r="AE2" s="40"/>
      <c r="AF2" s="40"/>
      <c r="AG2" s="40"/>
      <c r="AH2" s="40"/>
      <c r="AI2" s="40"/>
      <c r="AJ2" s="40"/>
      <c r="AK2" s="40"/>
      <c r="AL2" s="40"/>
      <c r="AM2" s="40"/>
      <c r="AN2" s="40"/>
      <c r="AO2" s="40"/>
      <c r="AP2" s="40"/>
      <c r="AQ2" s="40"/>
    </row>
    <row r="3" spans="1:43" customFormat="1" ht="18" customHeight="1">
      <c r="A3" s="68"/>
      <c r="B3" s="2173"/>
      <c r="C3" s="1208"/>
      <c r="D3" s="1208"/>
      <c r="E3" s="1208"/>
      <c r="F3" s="1208"/>
      <c r="G3" s="1208"/>
      <c r="H3" s="1209"/>
      <c r="I3" s="1210">
        <f>利润表!I3</f>
        <v>2015</v>
      </c>
      <c r="J3" s="1211">
        <f>利润表!J3</f>
        <v>2016</v>
      </c>
      <c r="K3" s="1211">
        <f>利润表!K3</f>
        <v>2017</v>
      </c>
      <c r="L3" s="1211">
        <f>利润表!L3</f>
        <v>2018</v>
      </c>
      <c r="M3" s="1211">
        <f>利润表!M3</f>
        <v>2019</v>
      </c>
      <c r="N3" s="1211" t="str">
        <f>利润表!N3</f>
        <v>2020E</v>
      </c>
      <c r="O3" s="1211" t="str">
        <f>利润表!O3</f>
        <v>2021E</v>
      </c>
      <c r="P3" s="1211" t="str">
        <f>利润表!P3</f>
        <v>2022E</v>
      </c>
      <c r="Q3" s="1211" t="str">
        <f>利润表!Q3</f>
        <v>2023E</v>
      </c>
      <c r="R3" s="2411" t="str">
        <f>利润表!R3</f>
        <v>2024E</v>
      </c>
      <c r="S3" s="2418"/>
      <c r="T3" s="40"/>
      <c r="U3" s="40"/>
      <c r="V3" s="40"/>
      <c r="W3" s="40"/>
      <c r="X3" s="40"/>
      <c r="Y3" s="40"/>
      <c r="Z3" s="40"/>
      <c r="AA3" s="40"/>
      <c r="AB3" s="40"/>
      <c r="AC3" s="40"/>
      <c r="AD3" s="40"/>
      <c r="AE3" s="40"/>
      <c r="AF3" s="40"/>
      <c r="AG3" s="40"/>
      <c r="AH3" s="40"/>
      <c r="AI3" s="40"/>
      <c r="AJ3" s="40"/>
      <c r="AK3" s="40"/>
      <c r="AL3" s="40"/>
      <c r="AM3" s="40"/>
      <c r="AN3" s="40"/>
      <c r="AO3" s="40"/>
      <c r="AP3" s="40"/>
      <c r="AQ3" s="40"/>
    </row>
    <row r="4" spans="1:43" customFormat="1" ht="18" customHeight="1">
      <c r="A4" s="69"/>
      <c r="B4" s="1765" t="s">
        <v>530</v>
      </c>
      <c r="C4" s="1213"/>
      <c r="D4" s="1213"/>
      <c r="E4" s="1213"/>
      <c r="F4" s="1213"/>
      <c r="G4" s="1213"/>
      <c r="H4" s="1214"/>
      <c r="I4" s="1215">
        <v>669.73022946000003</v>
      </c>
      <c r="J4" s="1216">
        <v>324.22314002999997</v>
      </c>
      <c r="K4" s="1216">
        <v>338.57562458000001</v>
      </c>
      <c r="L4" s="1216">
        <v>493.60045350000001</v>
      </c>
      <c r="M4" s="1216">
        <v>1881.24535322</v>
      </c>
      <c r="N4" s="1217">
        <f ca="1">N100</f>
        <v>414.35373085000003</v>
      </c>
      <c r="O4" s="1217">
        <f ca="1">O100</f>
        <v>414.35373085000003</v>
      </c>
      <c r="P4" s="1217">
        <f ca="1">P100</f>
        <v>414.35373085000003</v>
      </c>
      <c r="Q4" s="1217">
        <f ca="1">Q100</f>
        <v>414.35373085000003</v>
      </c>
      <c r="R4" s="2412">
        <f ca="1">R100</f>
        <v>414.35373085000003</v>
      </c>
      <c r="S4" s="2418"/>
      <c r="T4" s="40"/>
      <c r="U4" s="40"/>
      <c r="V4" s="40"/>
      <c r="W4" s="40"/>
      <c r="X4" s="40"/>
      <c r="Y4" s="40"/>
      <c r="Z4" s="40"/>
      <c r="AA4" s="40"/>
      <c r="AB4" s="40"/>
      <c r="AC4" s="40"/>
      <c r="AD4" s="40"/>
      <c r="AE4" s="40"/>
      <c r="AF4" s="40"/>
      <c r="AG4" s="40"/>
      <c r="AH4" s="40"/>
      <c r="AI4" s="40"/>
      <c r="AJ4" s="40"/>
      <c r="AK4" s="40"/>
      <c r="AL4" s="40"/>
      <c r="AM4" s="40"/>
      <c r="AN4" s="40"/>
      <c r="AO4" s="40"/>
      <c r="AP4" s="40"/>
      <c r="AQ4" s="40"/>
    </row>
    <row r="5" spans="1:43" customFormat="1" ht="18" customHeight="1">
      <c r="A5" s="69"/>
      <c r="B5" s="1765" t="s">
        <v>214</v>
      </c>
      <c r="C5" s="1213"/>
      <c r="D5" s="1213"/>
      <c r="E5" s="1213"/>
      <c r="F5" s="1213"/>
      <c r="G5" s="1213"/>
      <c r="H5" s="1214"/>
      <c r="I5" s="1215">
        <v>0</v>
      </c>
      <c r="J5" s="1216">
        <v>0</v>
      </c>
      <c r="K5" s="1216">
        <v>1.0483</v>
      </c>
      <c r="L5" s="1216">
        <v>1.1487692700000001</v>
      </c>
      <c r="M5" s="1216">
        <v>676.86063799999999</v>
      </c>
      <c r="N5" s="1217">
        <f>N104</f>
        <v>1352.57250673</v>
      </c>
      <c r="O5" s="1217">
        <f>O104</f>
        <v>2028.2843754599999</v>
      </c>
      <c r="P5" s="1217">
        <f>P104</f>
        <v>2703.9962441899997</v>
      </c>
      <c r="Q5" s="1217">
        <f>Q104</f>
        <v>3379.7081129199996</v>
      </c>
      <c r="R5" s="2412">
        <f>R104</f>
        <v>4055.4199816499995</v>
      </c>
      <c r="S5" s="2418"/>
      <c r="T5" s="40"/>
      <c r="U5" s="40"/>
      <c r="V5" s="40"/>
      <c r="W5" s="40"/>
      <c r="X5" s="40"/>
      <c r="Y5" s="40"/>
      <c r="Z5" s="40"/>
      <c r="AA5" s="40"/>
      <c r="AB5" s="40"/>
      <c r="AC5" s="40"/>
      <c r="AD5" s="40"/>
      <c r="AE5" s="40"/>
      <c r="AF5" s="40"/>
      <c r="AG5" s="40"/>
      <c r="AH5" s="40"/>
      <c r="AI5" s="40"/>
      <c r="AJ5" s="40"/>
      <c r="AK5" s="40"/>
      <c r="AL5" s="40"/>
      <c r="AM5" s="40"/>
      <c r="AN5" s="40"/>
      <c r="AO5" s="40"/>
      <c r="AP5" s="40"/>
      <c r="AQ5" s="40"/>
    </row>
    <row r="6" spans="1:43" customFormat="1" ht="18" customHeight="1">
      <c r="A6" s="69"/>
      <c r="B6" s="1765" t="s">
        <v>1420</v>
      </c>
      <c r="C6" s="1213"/>
      <c r="D6" s="1213"/>
      <c r="E6" s="1213"/>
      <c r="F6" s="1213"/>
      <c r="G6" s="1213"/>
      <c r="H6" s="1214"/>
      <c r="I6" s="1215">
        <v>0</v>
      </c>
      <c r="J6" s="1215">
        <v>0</v>
      </c>
      <c r="K6" s="1215">
        <v>0</v>
      </c>
      <c r="L6" s="1215">
        <v>0</v>
      </c>
      <c r="M6" s="1215">
        <v>0</v>
      </c>
      <c r="N6" s="1217">
        <f>N108</f>
        <v>0</v>
      </c>
      <c r="O6" s="1217">
        <f t="shared" ref="O6:R6" si="0">O108</f>
        <v>0</v>
      </c>
      <c r="P6" s="1217">
        <f t="shared" si="0"/>
        <v>0</v>
      </c>
      <c r="Q6" s="1217">
        <f t="shared" si="0"/>
        <v>0</v>
      </c>
      <c r="R6" s="2412">
        <f t="shared" si="0"/>
        <v>0</v>
      </c>
      <c r="S6" s="2418"/>
      <c r="T6" s="40"/>
      <c r="U6" s="40"/>
      <c r="V6" s="40"/>
      <c r="W6" s="40"/>
      <c r="X6" s="40"/>
      <c r="Y6" s="40"/>
      <c r="Z6" s="40"/>
      <c r="AA6" s="40"/>
      <c r="AB6" s="40"/>
      <c r="AC6" s="40"/>
      <c r="AD6" s="40"/>
      <c r="AE6" s="40"/>
      <c r="AF6" s="40"/>
      <c r="AG6" s="40"/>
      <c r="AH6" s="40"/>
      <c r="AI6" s="40"/>
      <c r="AJ6" s="40"/>
      <c r="AK6" s="40"/>
      <c r="AL6" s="40"/>
      <c r="AM6" s="40"/>
      <c r="AN6" s="40"/>
      <c r="AO6" s="40"/>
      <c r="AP6" s="40"/>
      <c r="AQ6" s="40"/>
    </row>
    <row r="7" spans="1:43" customFormat="1" ht="18" customHeight="1">
      <c r="A7" s="69"/>
      <c r="B7" s="1766" t="s">
        <v>531</v>
      </c>
      <c r="C7" s="1219"/>
      <c r="D7" s="1219"/>
      <c r="E7" s="1219"/>
      <c r="F7" s="1219"/>
      <c r="G7" s="1219"/>
      <c r="H7" s="1220"/>
      <c r="I7" s="1215">
        <v>1634.33176303</v>
      </c>
      <c r="J7" s="1215">
        <v>2137.78180449</v>
      </c>
      <c r="K7" s="1215">
        <v>2511.3960870700002</v>
      </c>
      <c r="L7" s="1215">
        <v>2808.4926688400001</v>
      </c>
      <c r="M7" s="1215">
        <v>3134.4389875899997</v>
      </c>
      <c r="N7" s="1217">
        <f t="shared" ref="N7" si="1">N8+N11+N12</f>
        <v>2980.7602065722731</v>
      </c>
      <c r="O7" s="1217">
        <f t="shared" ref="O7:R7" si="2">O8+O11+O12</f>
        <v>3039.9996469481107</v>
      </c>
      <c r="P7" s="1217">
        <f t="shared" si="2"/>
        <v>3049.1746957530345</v>
      </c>
      <c r="Q7" s="1217">
        <f t="shared" si="2"/>
        <v>3022.6990388918239</v>
      </c>
      <c r="R7" s="2412">
        <f t="shared" si="2"/>
        <v>3037.2124281229826</v>
      </c>
      <c r="S7" s="2418"/>
      <c r="T7" s="40"/>
      <c r="U7" s="40"/>
      <c r="V7" s="40"/>
      <c r="W7" s="40"/>
      <c r="X7" s="40"/>
      <c r="Y7" s="40"/>
      <c r="Z7" s="40"/>
      <c r="AA7" s="40"/>
      <c r="AB7" s="40"/>
      <c r="AC7" s="40"/>
      <c r="AD7" s="40"/>
      <c r="AE7" s="40"/>
      <c r="AF7" s="40"/>
      <c r="AG7" s="40"/>
      <c r="AH7" s="40"/>
      <c r="AI7" s="40"/>
      <c r="AJ7" s="40"/>
      <c r="AK7" s="40"/>
      <c r="AL7" s="40"/>
      <c r="AM7" s="40"/>
      <c r="AN7" s="40"/>
      <c r="AO7" s="40"/>
      <c r="AP7" s="40"/>
      <c r="AQ7" s="40"/>
    </row>
    <row r="8" spans="1:43" customFormat="1" ht="18" customHeight="1">
      <c r="A8" s="69"/>
      <c r="B8" s="1824" t="s">
        <v>1583</v>
      </c>
      <c r="C8" s="1221"/>
      <c r="D8" s="1221"/>
      <c r="E8" s="1221"/>
      <c r="F8" s="1221"/>
      <c r="G8" s="1221"/>
      <c r="H8" s="1222"/>
      <c r="I8" s="1215">
        <v>1613.55359034</v>
      </c>
      <c r="J8" s="1215">
        <v>2031.2111591600001</v>
      </c>
      <c r="K8" s="1215">
        <v>2444.1294572800002</v>
      </c>
      <c r="L8" s="1215">
        <v>2667.5450547800001</v>
      </c>
      <c r="M8" s="1215">
        <v>3046.8483388699997</v>
      </c>
      <c r="N8" s="1217">
        <f>N112</f>
        <v>2893.1695578522731</v>
      </c>
      <c r="O8" s="1217">
        <f t="shared" ref="O8:R8" si="3">O112</f>
        <v>2952.4089982281107</v>
      </c>
      <c r="P8" s="1217">
        <f t="shared" si="3"/>
        <v>2961.5840470330345</v>
      </c>
      <c r="Q8" s="1217">
        <f t="shared" si="3"/>
        <v>2935.1083901718239</v>
      </c>
      <c r="R8" s="2412">
        <f t="shared" si="3"/>
        <v>2949.6217794029826</v>
      </c>
      <c r="S8" s="2418"/>
      <c r="T8" s="40"/>
      <c r="U8" s="40"/>
      <c r="V8" s="40"/>
      <c r="W8" s="40"/>
      <c r="X8" s="40"/>
      <c r="Y8" s="40"/>
      <c r="Z8" s="40"/>
      <c r="AA8" s="40"/>
      <c r="AB8" s="40"/>
      <c r="AC8" s="40"/>
      <c r="AD8" s="40"/>
      <c r="AE8" s="40"/>
      <c r="AF8" s="40"/>
      <c r="AG8" s="40"/>
      <c r="AH8" s="40"/>
      <c r="AI8" s="40"/>
      <c r="AJ8" s="40"/>
      <c r="AK8" s="40"/>
      <c r="AL8" s="40"/>
      <c r="AM8" s="40"/>
      <c r="AN8" s="40"/>
      <c r="AO8" s="40"/>
      <c r="AP8" s="40"/>
      <c r="AQ8" s="40"/>
    </row>
    <row r="9" spans="1:43" customFormat="1" ht="18" customHeight="1">
      <c r="A9" s="69"/>
      <c r="B9" s="1824" t="s">
        <v>1584</v>
      </c>
      <c r="C9" s="1221"/>
      <c r="D9" s="1221"/>
      <c r="E9" s="1221"/>
      <c r="F9" s="1221"/>
      <c r="G9" s="1221"/>
      <c r="H9" s="1222"/>
      <c r="I9" s="1215">
        <v>793.24519485999997</v>
      </c>
      <c r="J9" s="1215">
        <v>1083.8048486</v>
      </c>
      <c r="K9" s="1215">
        <v>1491.43400034</v>
      </c>
      <c r="L9" s="1215">
        <v>1528.2312614300001</v>
      </c>
      <c r="M9" s="1215">
        <v>1414.6908505000001</v>
      </c>
      <c r="N9" s="1217">
        <f>N118</f>
        <v>1414.6908505000001</v>
      </c>
      <c r="O9" s="1217">
        <f t="shared" ref="O9:R9" si="4">O118</f>
        <v>1414.6908505000001</v>
      </c>
      <c r="P9" s="1217">
        <f t="shared" si="4"/>
        <v>1414.6908505000001</v>
      </c>
      <c r="Q9" s="1217">
        <f t="shared" si="4"/>
        <v>1414.6908505000001</v>
      </c>
      <c r="R9" s="2412">
        <f t="shared" si="4"/>
        <v>1414.6908505000001</v>
      </c>
      <c r="S9" s="2418"/>
      <c r="T9" s="2522"/>
      <c r="U9" s="40"/>
      <c r="V9" s="40"/>
      <c r="W9" s="40"/>
      <c r="X9" s="40"/>
      <c r="Y9" s="40"/>
      <c r="Z9" s="40"/>
      <c r="AA9" s="40"/>
      <c r="AB9" s="40"/>
      <c r="AC9" s="40"/>
      <c r="AD9" s="40"/>
      <c r="AE9" s="40"/>
      <c r="AF9" s="40"/>
      <c r="AG9" s="40"/>
      <c r="AH9" s="40"/>
      <c r="AI9" s="40"/>
      <c r="AJ9" s="40"/>
      <c r="AK9" s="40"/>
      <c r="AL9" s="40"/>
      <c r="AM9" s="40"/>
      <c r="AN9" s="40"/>
      <c r="AO9" s="40"/>
      <c r="AP9" s="40"/>
      <c r="AQ9" s="40"/>
    </row>
    <row r="10" spans="1:43" customFormat="1" ht="18" customHeight="1">
      <c r="A10" s="69"/>
      <c r="B10" s="1824" t="s">
        <v>1450</v>
      </c>
      <c r="C10" s="1223"/>
      <c r="D10" s="1223"/>
      <c r="E10" s="1223"/>
      <c r="F10" s="1223"/>
      <c r="G10" s="1223"/>
      <c r="H10" s="1224"/>
      <c r="I10" s="1215">
        <v>820.30839548000006</v>
      </c>
      <c r="J10" s="1215">
        <v>947.40631055999995</v>
      </c>
      <c r="K10" s="1215">
        <v>952.6954569400001</v>
      </c>
      <c r="L10" s="1215">
        <v>1139.31379335</v>
      </c>
      <c r="M10" s="1215">
        <v>1632.1574883699998</v>
      </c>
      <c r="N10" s="1217">
        <f>N114</f>
        <v>1478.4787073522732</v>
      </c>
      <c r="O10" s="1217">
        <f t="shared" ref="O10:R10" si="5">O114</f>
        <v>1537.7181477281106</v>
      </c>
      <c r="P10" s="1217">
        <f t="shared" si="5"/>
        <v>1546.8931965330344</v>
      </c>
      <c r="Q10" s="1217">
        <f t="shared" si="5"/>
        <v>1520.4175396718235</v>
      </c>
      <c r="R10" s="2412">
        <f t="shared" si="5"/>
        <v>1534.9309289029825</v>
      </c>
      <c r="S10" s="2418"/>
      <c r="T10" s="40"/>
      <c r="U10" s="40"/>
      <c r="V10" s="40"/>
      <c r="W10" s="40"/>
      <c r="X10" s="40"/>
      <c r="Y10" s="40"/>
      <c r="Z10" s="40"/>
      <c r="AA10" s="40"/>
      <c r="AB10" s="40"/>
      <c r="AC10" s="40"/>
      <c r="AD10" s="40"/>
      <c r="AE10" s="40"/>
      <c r="AF10" s="40"/>
      <c r="AG10" s="40"/>
      <c r="AH10" s="40"/>
      <c r="AI10" s="40"/>
      <c r="AJ10" s="40"/>
      <c r="AK10" s="40"/>
      <c r="AL10" s="40"/>
      <c r="AM10" s="40"/>
      <c r="AN10" s="40"/>
      <c r="AO10" s="40"/>
      <c r="AP10" s="40"/>
      <c r="AQ10" s="40"/>
    </row>
    <row r="11" spans="1:43" customFormat="1" ht="18" customHeight="1">
      <c r="A11" s="69"/>
      <c r="B11" s="1237" t="s">
        <v>1068</v>
      </c>
      <c r="C11" s="1223"/>
      <c r="D11" s="1223"/>
      <c r="E11" s="1223"/>
      <c r="F11" s="1223"/>
      <c r="G11" s="1223"/>
      <c r="H11" s="1224"/>
      <c r="I11" s="1215">
        <v>0.91748722999999999</v>
      </c>
      <c r="J11" s="1215">
        <v>11.285195980000001</v>
      </c>
      <c r="K11" s="1215">
        <v>27.37005577</v>
      </c>
      <c r="L11" s="1215">
        <v>105.32755451999999</v>
      </c>
      <c r="M11" s="1215">
        <v>27.10925413</v>
      </c>
      <c r="N11" s="1217">
        <f>N120</f>
        <v>27.10925413</v>
      </c>
      <c r="O11" s="1217">
        <f t="shared" ref="O11:R11" si="6">O120</f>
        <v>27.10925413</v>
      </c>
      <c r="P11" s="1217">
        <f t="shared" si="6"/>
        <v>27.10925413</v>
      </c>
      <c r="Q11" s="1217">
        <f t="shared" si="6"/>
        <v>27.10925413</v>
      </c>
      <c r="R11" s="2412">
        <f t="shared" si="6"/>
        <v>27.10925413</v>
      </c>
      <c r="S11" s="2418"/>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row>
    <row r="12" spans="1:43" customFormat="1" ht="18" customHeight="1">
      <c r="A12" s="69"/>
      <c r="B12" s="1237" t="s">
        <v>1451</v>
      </c>
      <c r="C12" s="1221"/>
      <c r="D12" s="1221"/>
      <c r="E12" s="1221"/>
      <c r="F12" s="1221"/>
      <c r="G12" s="1221"/>
      <c r="H12" s="1222"/>
      <c r="I12" s="1215">
        <v>19.860685459999999</v>
      </c>
      <c r="J12" s="1215">
        <v>95.285449349999993</v>
      </c>
      <c r="K12" s="1215">
        <v>39.896574020000003</v>
      </c>
      <c r="L12" s="1215">
        <v>35.62005954</v>
      </c>
      <c r="M12" s="1215">
        <v>60.481394590000001</v>
      </c>
      <c r="N12" s="1217">
        <f>N124</f>
        <v>60.481394590000001</v>
      </c>
      <c r="O12" s="1217">
        <f t="shared" ref="O12:R12" si="7">O124</f>
        <v>60.481394590000001</v>
      </c>
      <c r="P12" s="1217">
        <f t="shared" si="7"/>
        <v>60.481394590000001</v>
      </c>
      <c r="Q12" s="1217">
        <f t="shared" si="7"/>
        <v>60.481394590000001</v>
      </c>
      <c r="R12" s="2412">
        <f t="shared" si="7"/>
        <v>60.481394590000001</v>
      </c>
      <c r="S12" s="2418"/>
      <c r="T12" s="40"/>
      <c r="U12" s="40"/>
      <c r="V12" s="40"/>
      <c r="W12" s="40"/>
      <c r="X12" s="40"/>
      <c r="Y12" s="40"/>
      <c r="Z12" s="40"/>
      <c r="AA12" s="40"/>
      <c r="AB12" s="40"/>
      <c r="AC12" s="40"/>
      <c r="AD12" s="40"/>
      <c r="AE12" s="40"/>
      <c r="AF12" s="40"/>
      <c r="AG12" s="40"/>
      <c r="AH12" s="40"/>
      <c r="AI12" s="40"/>
      <c r="AJ12" s="40"/>
      <c r="AK12" s="40"/>
      <c r="AL12" s="40"/>
      <c r="AM12" s="40"/>
      <c r="AN12" s="40"/>
      <c r="AO12" s="40"/>
      <c r="AP12" s="40"/>
      <c r="AQ12" s="40"/>
    </row>
    <row r="13" spans="1:43" customFormat="1" ht="18" customHeight="1">
      <c r="A13" s="69"/>
      <c r="B13" s="1766" t="s">
        <v>532</v>
      </c>
      <c r="C13" s="1221"/>
      <c r="D13" s="1221"/>
      <c r="E13" s="1221"/>
      <c r="F13" s="1221"/>
      <c r="G13" s="1221"/>
      <c r="H13" s="1222"/>
      <c r="I13" s="1215">
        <v>438.15737182999999</v>
      </c>
      <c r="J13" s="1216">
        <v>477.89344679000004</v>
      </c>
      <c r="K13" s="1216">
        <v>478.93054676999998</v>
      </c>
      <c r="L13" s="1216">
        <v>780.10735330999989</v>
      </c>
      <c r="M13" s="1216">
        <v>909.17846889999998</v>
      </c>
      <c r="N13" s="1217">
        <f>N126</f>
        <v>722.73878965999995</v>
      </c>
      <c r="O13" s="1217">
        <f>O126</f>
        <v>804.00820395666653</v>
      </c>
      <c r="P13" s="1217">
        <f>P126</f>
        <v>811.97515417222212</v>
      </c>
      <c r="Q13" s="1217">
        <f>Q126</f>
        <v>779.57404926296294</v>
      </c>
      <c r="R13" s="2412">
        <f>R126</f>
        <v>798.51913579728387</v>
      </c>
      <c r="S13" s="2418"/>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row>
    <row r="14" spans="1:43" customFormat="1" ht="18" customHeight="1">
      <c r="A14" s="69"/>
      <c r="B14" s="1766" t="s">
        <v>1421</v>
      </c>
      <c r="C14" s="1221"/>
      <c r="D14" s="1221"/>
      <c r="E14" s="1221"/>
      <c r="F14" s="1221"/>
      <c r="G14" s="1221"/>
      <c r="H14" s="1222"/>
      <c r="I14" s="1215">
        <v>0</v>
      </c>
      <c r="J14" s="1215">
        <v>0</v>
      </c>
      <c r="K14" s="1215">
        <v>0</v>
      </c>
      <c r="L14" s="1215">
        <v>0</v>
      </c>
      <c r="M14" s="1215">
        <v>0</v>
      </c>
      <c r="N14" s="1217">
        <f>N131</f>
        <v>0</v>
      </c>
      <c r="O14" s="1217">
        <f t="shared" ref="O14:R14" si="8">O131</f>
        <v>0</v>
      </c>
      <c r="P14" s="1217">
        <f t="shared" si="8"/>
        <v>0</v>
      </c>
      <c r="Q14" s="1217">
        <f t="shared" si="8"/>
        <v>0</v>
      </c>
      <c r="R14" s="2412">
        <f t="shared" si="8"/>
        <v>0</v>
      </c>
      <c r="S14" s="2418"/>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row>
    <row r="15" spans="1:43" customFormat="1" ht="18" customHeight="1">
      <c r="A15" s="69"/>
      <c r="B15" s="1765" t="s">
        <v>131</v>
      </c>
      <c r="C15" s="1213"/>
      <c r="D15" s="1213"/>
      <c r="E15" s="1213"/>
      <c r="F15" s="1213"/>
      <c r="G15" s="1213"/>
      <c r="H15" s="1214"/>
      <c r="I15" s="1215">
        <v>1391.75044985</v>
      </c>
      <c r="J15" s="1216">
        <v>1578.95726167</v>
      </c>
      <c r="K15" s="1216">
        <v>1191.2970027000001</v>
      </c>
      <c r="L15" s="1216">
        <v>891.43359971000007</v>
      </c>
      <c r="M15" s="1216">
        <v>142.89985096000001</v>
      </c>
      <c r="N15" s="1217">
        <f>N136</f>
        <v>142.89985096000001</v>
      </c>
      <c r="O15" s="1217">
        <f>O136</f>
        <v>142.89985096000001</v>
      </c>
      <c r="P15" s="1217">
        <f>P136</f>
        <v>142.89985096000001</v>
      </c>
      <c r="Q15" s="1217">
        <f>Q136</f>
        <v>142.89985096000001</v>
      </c>
      <c r="R15" s="2412">
        <f>R136</f>
        <v>142.89985096000001</v>
      </c>
      <c r="S15" s="2418"/>
      <c r="T15" s="40"/>
      <c r="U15" s="40"/>
      <c r="V15" s="40"/>
      <c r="W15" s="40"/>
      <c r="X15" s="40"/>
      <c r="Y15" s="40"/>
      <c r="Z15" s="40"/>
      <c r="AA15" s="40"/>
      <c r="AB15" s="40"/>
      <c r="AC15" s="40"/>
      <c r="AD15" s="40"/>
      <c r="AE15" s="40"/>
      <c r="AF15" s="40"/>
      <c r="AG15" s="40"/>
      <c r="AH15" s="40"/>
      <c r="AI15" s="40"/>
      <c r="AJ15" s="40"/>
      <c r="AK15" s="40"/>
      <c r="AL15" s="40"/>
      <c r="AM15" s="40"/>
      <c r="AN15" s="40"/>
      <c r="AO15" s="40"/>
      <c r="AP15" s="40"/>
      <c r="AQ15" s="40"/>
    </row>
    <row r="16" spans="1:43" customFormat="1" ht="18" customHeight="1">
      <c r="A16" s="69"/>
      <c r="B16" s="1765" t="s">
        <v>1422</v>
      </c>
      <c r="C16" s="1213"/>
      <c r="D16" s="1213"/>
      <c r="E16" s="1213"/>
      <c r="F16" s="1213"/>
      <c r="G16" s="1213"/>
      <c r="H16" s="1214"/>
      <c r="I16" s="1215">
        <v>0</v>
      </c>
      <c r="J16" s="1215">
        <v>0</v>
      </c>
      <c r="K16" s="1215">
        <v>0</v>
      </c>
      <c r="L16" s="1215">
        <v>39.183475670000007</v>
      </c>
      <c r="M16" s="1215">
        <v>0</v>
      </c>
      <c r="N16" s="1217">
        <f>N138</f>
        <v>0</v>
      </c>
      <c r="O16" s="1217">
        <f>O138</f>
        <v>0</v>
      </c>
      <c r="P16" s="1217">
        <f>P138</f>
        <v>0</v>
      </c>
      <c r="Q16" s="1217">
        <f>Q138</f>
        <v>0</v>
      </c>
      <c r="R16" s="2412">
        <f>R138</f>
        <v>0</v>
      </c>
      <c r="S16" s="2418"/>
      <c r="T16" s="40"/>
      <c r="U16" s="40"/>
      <c r="V16" s="40"/>
      <c r="W16" s="40"/>
      <c r="X16" s="40"/>
      <c r="Y16" s="40"/>
      <c r="Z16" s="40"/>
      <c r="AA16" s="40"/>
      <c r="AB16" s="40"/>
      <c r="AC16" s="40"/>
      <c r="AD16" s="40"/>
      <c r="AE16" s="40"/>
      <c r="AF16" s="40"/>
      <c r="AG16" s="40"/>
      <c r="AH16" s="40"/>
      <c r="AI16" s="40"/>
      <c r="AJ16" s="40"/>
      <c r="AK16" s="40"/>
      <c r="AL16" s="40"/>
      <c r="AM16" s="40"/>
      <c r="AN16" s="40"/>
      <c r="AO16" s="40"/>
      <c r="AP16" s="40"/>
      <c r="AQ16" s="40"/>
    </row>
    <row r="17" spans="1:43" customFormat="1" ht="18" customHeight="1">
      <c r="A17" s="69"/>
      <c r="B17" s="301" t="s">
        <v>1365</v>
      </c>
      <c r="C17" s="1225"/>
      <c r="D17" s="1225"/>
      <c r="E17" s="1225"/>
      <c r="F17" s="1225"/>
      <c r="G17" s="1225"/>
      <c r="H17" s="1226"/>
      <c r="I17" s="1227">
        <v>4133.9698141700001</v>
      </c>
      <c r="J17" s="1228">
        <v>4518.8556529799998</v>
      </c>
      <c r="K17" s="1228">
        <v>4521.2475611199998</v>
      </c>
      <c r="L17" s="1228">
        <v>5013.9663203</v>
      </c>
      <c r="M17" s="1228">
        <v>6744.6232986699997</v>
      </c>
      <c r="N17" s="1229">
        <f ca="1">N140</f>
        <v>5613.3250847722729</v>
      </c>
      <c r="O17" s="1229">
        <f ca="1">O140</f>
        <v>6429.5458081747774</v>
      </c>
      <c r="P17" s="1229">
        <f ca="1">P140</f>
        <v>7122.3996759252559</v>
      </c>
      <c r="Q17" s="1229">
        <f ca="1">Q140</f>
        <v>7739.234782884786</v>
      </c>
      <c r="R17" s="2413">
        <f ca="1">R140</f>
        <v>8448.405127380267</v>
      </c>
      <c r="S17" s="2418"/>
      <c r="T17" s="40"/>
      <c r="U17" s="40"/>
      <c r="V17" s="40"/>
      <c r="W17" s="40"/>
      <c r="X17" s="40"/>
      <c r="Y17" s="40"/>
      <c r="Z17" s="40"/>
      <c r="AA17" s="40"/>
      <c r="AB17" s="40"/>
      <c r="AC17" s="40"/>
      <c r="AD17" s="40"/>
      <c r="AE17" s="40"/>
      <c r="AF17" s="40"/>
      <c r="AG17" s="40"/>
      <c r="AH17" s="40"/>
      <c r="AI17" s="40"/>
      <c r="AJ17" s="40"/>
      <c r="AK17" s="40"/>
      <c r="AL17" s="40"/>
      <c r="AM17" s="40"/>
      <c r="AN17" s="40"/>
      <c r="AO17" s="40"/>
      <c r="AP17" s="40"/>
      <c r="AQ17" s="40"/>
    </row>
    <row r="18" spans="1:43" customFormat="1" ht="18" customHeight="1">
      <c r="A18" s="69"/>
      <c r="B18" s="2174"/>
      <c r="C18" s="1213"/>
      <c r="D18" s="1213"/>
      <c r="E18" s="1213"/>
      <c r="F18" s="1213"/>
      <c r="G18" s="1213"/>
      <c r="H18" s="1214"/>
      <c r="I18" s="1215"/>
      <c r="J18" s="1216"/>
      <c r="K18" s="1216"/>
      <c r="L18" s="1216"/>
      <c r="M18" s="1216"/>
      <c r="N18" s="1217"/>
      <c r="O18" s="1217"/>
      <c r="P18" s="1217"/>
      <c r="Q18" s="1217"/>
      <c r="R18" s="2412"/>
      <c r="S18" s="2418"/>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row>
    <row r="19" spans="1:43" customFormat="1" ht="18" customHeight="1">
      <c r="A19" s="69"/>
      <c r="B19" s="2174" t="s">
        <v>1423</v>
      </c>
      <c r="C19" s="1213"/>
      <c r="D19" s="1213"/>
      <c r="E19" s="1213"/>
      <c r="F19" s="1213"/>
      <c r="G19" s="1213"/>
      <c r="H19" s="1214"/>
      <c r="I19" s="1215">
        <v>0</v>
      </c>
      <c r="J19" s="1215">
        <v>0</v>
      </c>
      <c r="K19" s="1215">
        <v>0</v>
      </c>
      <c r="L19" s="1215">
        <v>0</v>
      </c>
      <c r="M19" s="1215">
        <v>0</v>
      </c>
      <c r="N19" s="1217">
        <f>N142</f>
        <v>0</v>
      </c>
      <c r="O19" s="1217">
        <f t="shared" ref="O19:R19" si="9">O142</f>
        <v>0</v>
      </c>
      <c r="P19" s="1217">
        <f t="shared" si="9"/>
        <v>0</v>
      </c>
      <c r="Q19" s="1217">
        <f t="shared" si="9"/>
        <v>0</v>
      </c>
      <c r="R19" s="2412">
        <f t="shared" si="9"/>
        <v>0</v>
      </c>
      <c r="S19" s="2418"/>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row>
    <row r="20" spans="1:43" customFormat="1" ht="18" customHeight="1">
      <c r="A20" s="69"/>
      <c r="B20" s="2174" t="s">
        <v>1424</v>
      </c>
      <c r="C20" s="1213"/>
      <c r="D20" s="1213"/>
      <c r="E20" s="1213"/>
      <c r="F20" s="1213"/>
      <c r="G20" s="1213"/>
      <c r="H20" s="1214"/>
      <c r="I20" s="1215">
        <v>0</v>
      </c>
      <c r="J20" s="1215">
        <v>0</v>
      </c>
      <c r="K20" s="1215">
        <v>0</v>
      </c>
      <c r="L20" s="1215">
        <v>0</v>
      </c>
      <c r="M20" s="1215">
        <v>0</v>
      </c>
      <c r="N20" s="1217">
        <f>N146</f>
        <v>0</v>
      </c>
      <c r="O20" s="1217">
        <f t="shared" ref="O20:R20" si="10">O146</f>
        <v>0</v>
      </c>
      <c r="P20" s="1217">
        <f t="shared" si="10"/>
        <v>0</v>
      </c>
      <c r="Q20" s="1217">
        <f t="shared" si="10"/>
        <v>0</v>
      </c>
      <c r="R20" s="2412">
        <f t="shared" si="10"/>
        <v>0</v>
      </c>
      <c r="S20" s="2418"/>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row>
    <row r="21" spans="1:43" customFormat="1" ht="18" customHeight="1">
      <c r="A21" s="69"/>
      <c r="B21" s="1765" t="s">
        <v>239</v>
      </c>
      <c r="C21" s="1213"/>
      <c r="D21" s="1213"/>
      <c r="E21" s="1213"/>
      <c r="F21" s="1213"/>
      <c r="G21" s="1213"/>
      <c r="H21" s="1214"/>
      <c r="I21" s="1215">
        <v>0</v>
      </c>
      <c r="J21" s="1216">
        <v>0</v>
      </c>
      <c r="K21" s="1216">
        <v>0</v>
      </c>
      <c r="L21" s="1216">
        <v>0</v>
      </c>
      <c r="M21" s="1216">
        <v>0</v>
      </c>
      <c r="N21" s="1217">
        <f t="shared" ref="N21:R23" si="11">N150</f>
        <v>0</v>
      </c>
      <c r="O21" s="1217">
        <f t="shared" si="11"/>
        <v>0</v>
      </c>
      <c r="P21" s="1217">
        <f t="shared" si="11"/>
        <v>0</v>
      </c>
      <c r="Q21" s="1217">
        <f t="shared" si="11"/>
        <v>0</v>
      </c>
      <c r="R21" s="2412">
        <f t="shared" si="11"/>
        <v>0</v>
      </c>
      <c r="S21" s="2418"/>
      <c r="T21" s="40"/>
      <c r="U21" s="40"/>
      <c r="V21" s="40"/>
      <c r="W21" s="40"/>
      <c r="X21" s="40"/>
      <c r="Y21" s="40"/>
      <c r="Z21" s="40"/>
      <c r="AA21" s="40"/>
      <c r="AB21" s="40"/>
      <c r="AC21" s="40"/>
      <c r="AD21" s="40"/>
      <c r="AE21" s="40"/>
      <c r="AF21" s="40"/>
      <c r="AG21" s="40"/>
      <c r="AH21" s="40"/>
      <c r="AI21" s="40"/>
      <c r="AJ21" s="40"/>
      <c r="AK21" s="40"/>
      <c r="AL21" s="40"/>
      <c r="AM21" s="40"/>
      <c r="AN21" s="40"/>
      <c r="AO21" s="40"/>
      <c r="AP21" s="40"/>
      <c r="AQ21" s="40"/>
    </row>
    <row r="22" spans="1:43" customFormat="1" ht="18" customHeight="1">
      <c r="A22" s="69"/>
      <c r="B22" s="1765" t="s">
        <v>241</v>
      </c>
      <c r="C22" s="1213"/>
      <c r="D22" s="1213"/>
      <c r="E22" s="1213"/>
      <c r="F22" s="1213"/>
      <c r="G22" s="1213"/>
      <c r="H22" s="1214"/>
      <c r="I22" s="1215">
        <v>0</v>
      </c>
      <c r="J22" s="1216">
        <v>0</v>
      </c>
      <c r="K22" s="1216">
        <v>0</v>
      </c>
      <c r="L22" s="1216">
        <v>0</v>
      </c>
      <c r="M22" s="1216">
        <v>0</v>
      </c>
      <c r="N22" s="1217">
        <f t="shared" si="11"/>
        <v>0</v>
      </c>
      <c r="O22" s="1217">
        <f t="shared" si="11"/>
        <v>0</v>
      </c>
      <c r="P22" s="1217">
        <f t="shared" si="11"/>
        <v>0</v>
      </c>
      <c r="Q22" s="1217">
        <f t="shared" si="11"/>
        <v>0</v>
      </c>
      <c r="R22" s="2412">
        <f t="shared" si="11"/>
        <v>0</v>
      </c>
      <c r="S22" s="2418"/>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row>
    <row r="23" spans="1:43" customFormat="1" ht="18" customHeight="1">
      <c r="A23" s="69"/>
      <c r="B23" s="1765" t="s">
        <v>243</v>
      </c>
      <c r="C23" s="1213"/>
      <c r="D23" s="1213"/>
      <c r="E23" s="1213"/>
      <c r="F23" s="1213"/>
      <c r="G23" s="1213"/>
      <c r="H23" s="1214"/>
      <c r="I23" s="1215">
        <v>0</v>
      </c>
      <c r="J23" s="1216">
        <v>0</v>
      </c>
      <c r="K23" s="1216">
        <v>0</v>
      </c>
      <c r="L23" s="1216">
        <v>0</v>
      </c>
      <c r="M23" s="1216">
        <v>0</v>
      </c>
      <c r="N23" s="1217">
        <f t="shared" si="11"/>
        <v>0</v>
      </c>
      <c r="O23" s="1217">
        <f t="shared" si="11"/>
        <v>0</v>
      </c>
      <c r="P23" s="1217">
        <f t="shared" si="11"/>
        <v>0</v>
      </c>
      <c r="Q23" s="1217">
        <f t="shared" si="11"/>
        <v>0</v>
      </c>
      <c r="R23" s="2412">
        <f t="shared" si="11"/>
        <v>0</v>
      </c>
      <c r="S23" s="2418"/>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row>
    <row r="24" spans="1:43" customFormat="1" ht="18" customHeight="1">
      <c r="A24" s="69"/>
      <c r="B24" s="1765" t="s">
        <v>1357</v>
      </c>
      <c r="C24" s="1213"/>
      <c r="D24" s="1213"/>
      <c r="E24" s="1213"/>
      <c r="F24" s="1213"/>
      <c r="G24" s="1213"/>
      <c r="H24" s="1214"/>
      <c r="I24" s="1215">
        <v>9.956988990000001</v>
      </c>
      <c r="J24" s="1216">
        <v>10.789091990000001</v>
      </c>
      <c r="K24" s="1216">
        <v>12.473437300000001</v>
      </c>
      <c r="L24" s="1216">
        <v>13.930983509999999</v>
      </c>
      <c r="M24" s="1216">
        <v>0</v>
      </c>
      <c r="N24" s="1217">
        <f>N154</f>
        <v>0</v>
      </c>
      <c r="O24" s="1217">
        <f>O154</f>
        <v>0</v>
      </c>
      <c r="P24" s="1217">
        <f>P154</f>
        <v>0</v>
      </c>
      <c r="Q24" s="1217">
        <f>Q154</f>
        <v>0</v>
      </c>
      <c r="R24" s="2412">
        <f>R154</f>
        <v>0</v>
      </c>
      <c r="S24" s="2418"/>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row>
    <row r="25" spans="1:43" customFormat="1" ht="18" customHeight="1">
      <c r="A25" s="69"/>
      <c r="B25" s="1765" t="s">
        <v>1425</v>
      </c>
      <c r="C25" s="1213"/>
      <c r="D25" s="1213"/>
      <c r="E25" s="1213"/>
      <c r="F25" s="1213"/>
      <c r="G25" s="1213"/>
      <c r="H25" s="1214"/>
      <c r="I25" s="1215">
        <v>0</v>
      </c>
      <c r="J25" s="1215">
        <v>0</v>
      </c>
      <c r="K25" s="1215">
        <v>0</v>
      </c>
      <c r="L25" s="1215">
        <v>0</v>
      </c>
      <c r="M25" s="1215">
        <v>0</v>
      </c>
      <c r="N25" s="1217">
        <f>N161</f>
        <v>0</v>
      </c>
      <c r="O25" s="1217">
        <f t="shared" ref="O25:R25" si="12">O161</f>
        <v>0</v>
      </c>
      <c r="P25" s="1217">
        <f t="shared" si="12"/>
        <v>0</v>
      </c>
      <c r="Q25" s="1217">
        <f t="shared" si="12"/>
        <v>0</v>
      </c>
      <c r="R25" s="2412">
        <f t="shared" si="12"/>
        <v>0</v>
      </c>
      <c r="S25" s="2418"/>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row>
    <row r="26" spans="1:43" customFormat="1" ht="18" customHeight="1">
      <c r="A26" s="69"/>
      <c r="B26" s="1765" t="s">
        <v>1426</v>
      </c>
      <c r="C26" s="1213"/>
      <c r="D26" s="1213"/>
      <c r="E26" s="1213"/>
      <c r="F26" s="1213"/>
      <c r="G26" s="1213"/>
      <c r="H26" s="1214"/>
      <c r="I26" s="1215">
        <v>0</v>
      </c>
      <c r="J26" s="1215">
        <v>0</v>
      </c>
      <c r="K26" s="1215">
        <v>0</v>
      </c>
      <c r="L26" s="1215">
        <v>0</v>
      </c>
      <c r="M26" s="1215">
        <v>0</v>
      </c>
      <c r="N26" s="1217">
        <f>N162</f>
        <v>0</v>
      </c>
      <c r="O26" s="1217">
        <f t="shared" ref="O26:R26" si="13">O162</f>
        <v>0</v>
      </c>
      <c r="P26" s="1217">
        <f t="shared" si="13"/>
        <v>0</v>
      </c>
      <c r="Q26" s="1217">
        <f t="shared" si="13"/>
        <v>0</v>
      </c>
      <c r="R26" s="2412">
        <f t="shared" si="13"/>
        <v>0</v>
      </c>
      <c r="S26" s="2418"/>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row>
    <row r="27" spans="1:43" customFormat="1" ht="18" customHeight="1">
      <c r="A27" s="69"/>
      <c r="B27" s="1765" t="s">
        <v>533</v>
      </c>
      <c r="C27" s="1231"/>
      <c r="D27" s="1231"/>
      <c r="E27" s="1231"/>
      <c r="F27" s="1231"/>
      <c r="G27" s="1231"/>
      <c r="H27" s="1232"/>
      <c r="I27" s="1215">
        <v>0</v>
      </c>
      <c r="J27" s="1216">
        <v>0</v>
      </c>
      <c r="K27" s="1216">
        <v>0</v>
      </c>
      <c r="L27" s="1216">
        <v>0</v>
      </c>
      <c r="M27" s="1216">
        <v>0</v>
      </c>
      <c r="N27" s="1217">
        <f>N164</f>
        <v>0</v>
      </c>
      <c r="O27" s="1217">
        <f>O164</f>
        <v>0</v>
      </c>
      <c r="P27" s="1217">
        <f>P164</f>
        <v>0</v>
      </c>
      <c r="Q27" s="1217">
        <f>Q164</f>
        <v>0</v>
      </c>
      <c r="R27" s="2412">
        <f>R164</f>
        <v>0</v>
      </c>
      <c r="S27" s="2418"/>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row>
    <row r="28" spans="1:43" customFormat="1" ht="18" customHeight="1">
      <c r="A28" s="69"/>
      <c r="B28" s="1765" t="s">
        <v>133</v>
      </c>
      <c r="C28" s="1213"/>
      <c r="D28" s="1213"/>
      <c r="E28" s="1213"/>
      <c r="F28" s="1213"/>
      <c r="G28" s="1213"/>
      <c r="H28" s="1214"/>
      <c r="I28" s="1215">
        <v>398.13824625000001</v>
      </c>
      <c r="J28" s="1215">
        <v>695.03143979999993</v>
      </c>
      <c r="K28" s="1215">
        <v>807.77802025999995</v>
      </c>
      <c r="L28" s="1215">
        <v>1109.4689702400001</v>
      </c>
      <c r="M28" s="1215">
        <v>1083.3706432399999</v>
      </c>
      <c r="N28" s="1885">
        <f>N169</f>
        <v>1011.1459336906667</v>
      </c>
      <c r="O28" s="1885">
        <f t="shared" ref="O28:R28" si="14">O169</f>
        <v>938.92122414133325</v>
      </c>
      <c r="P28" s="1885">
        <f t="shared" si="14"/>
        <v>866.69651459199997</v>
      </c>
      <c r="Q28" s="1885">
        <f t="shared" si="14"/>
        <v>794.47180504266657</v>
      </c>
      <c r="R28" s="2414">
        <f t="shared" si="14"/>
        <v>722.24709549333329</v>
      </c>
      <c r="S28" s="2418"/>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row>
    <row r="29" spans="1:43" customFormat="1" ht="18" customHeight="1">
      <c r="A29" s="69"/>
      <c r="B29" s="2175" t="s">
        <v>534</v>
      </c>
      <c r="C29" s="1233"/>
      <c r="D29" s="1233"/>
      <c r="E29" s="1233"/>
      <c r="F29" s="1233"/>
      <c r="G29" s="1233"/>
      <c r="H29" s="1234"/>
      <c r="I29" s="1215">
        <v>124.76727926000001</v>
      </c>
      <c r="J29" s="1215">
        <v>75.284940739999996</v>
      </c>
      <c r="K29" s="1215">
        <v>118.91541266</v>
      </c>
      <c r="L29" s="1215">
        <v>57.110811829999996</v>
      </c>
      <c r="M29" s="1215">
        <v>206.89492759999999</v>
      </c>
      <c r="N29" s="1217">
        <f>N188</f>
        <v>206.89492759999999</v>
      </c>
      <c r="O29" s="1217">
        <f>O188</f>
        <v>206.89492759999999</v>
      </c>
      <c r="P29" s="1217">
        <f>P188</f>
        <v>206.89492759999999</v>
      </c>
      <c r="Q29" s="1217">
        <f>Q188</f>
        <v>206.89492759999999</v>
      </c>
      <c r="R29" s="2412">
        <f>R188</f>
        <v>206.89492759999999</v>
      </c>
      <c r="S29" s="2418"/>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row>
    <row r="30" spans="1:43" customFormat="1" ht="18" customHeight="1">
      <c r="A30" s="69"/>
      <c r="B30" s="1765" t="s">
        <v>535</v>
      </c>
      <c r="C30" s="1213"/>
      <c r="D30" s="1213"/>
      <c r="E30" s="1213"/>
      <c r="F30" s="1213"/>
      <c r="G30" s="1213"/>
      <c r="H30" s="1214"/>
      <c r="I30" s="1215">
        <v>97.834604999999996</v>
      </c>
      <c r="J30" s="1216">
        <v>138.49364126</v>
      </c>
      <c r="K30" s="1216">
        <v>193.29465583999999</v>
      </c>
      <c r="L30" s="1216">
        <v>199.30719199999999</v>
      </c>
      <c r="M30" s="1216">
        <v>216.91654491999998</v>
      </c>
      <c r="N30" s="1217">
        <f>N192</f>
        <v>216.91654491999998</v>
      </c>
      <c r="O30" s="1217">
        <f>O192</f>
        <v>216.91654491999998</v>
      </c>
      <c r="P30" s="1217">
        <f>P192</f>
        <v>216.91654491999998</v>
      </c>
      <c r="Q30" s="1217">
        <f>Q192</f>
        <v>216.91654491999998</v>
      </c>
      <c r="R30" s="2412">
        <f>R192</f>
        <v>216.91654491999998</v>
      </c>
      <c r="S30" s="2418"/>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row>
    <row r="31" spans="1:43" customFormat="1" ht="18" customHeight="1">
      <c r="A31" s="69"/>
      <c r="B31" s="1824" t="s">
        <v>1356</v>
      </c>
      <c r="C31" s="1235"/>
      <c r="D31" s="1235"/>
      <c r="E31" s="1235"/>
      <c r="F31" s="1235"/>
      <c r="G31" s="1235"/>
      <c r="H31" s="1236"/>
      <c r="I31" s="1215">
        <v>97.834604999999996</v>
      </c>
      <c r="J31" s="1216">
        <v>138.49364126</v>
      </c>
      <c r="K31" s="1216">
        <v>193.29465583999999</v>
      </c>
      <c r="L31" s="1216">
        <v>199.30719199999999</v>
      </c>
      <c r="M31" s="1216">
        <v>216.91654491999998</v>
      </c>
      <c r="N31" s="1217">
        <f>N196</f>
        <v>216.91654491999998</v>
      </c>
      <c r="O31" s="1217">
        <f>O196</f>
        <v>216.91654491999998</v>
      </c>
      <c r="P31" s="1217">
        <f>P196</f>
        <v>216.91654491999998</v>
      </c>
      <c r="Q31" s="1217">
        <f>Q196</f>
        <v>216.91654491999998</v>
      </c>
      <c r="R31" s="2412">
        <f>R196</f>
        <v>216.91654491999998</v>
      </c>
      <c r="S31" s="2418"/>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row>
    <row r="32" spans="1:43" customFormat="1" ht="18" customHeight="1">
      <c r="A32" s="69"/>
      <c r="B32" s="1237" t="s">
        <v>1069</v>
      </c>
      <c r="C32" s="1235"/>
      <c r="D32" s="1235"/>
      <c r="E32" s="1235"/>
      <c r="F32" s="1235"/>
      <c r="G32" s="1235"/>
      <c r="H32" s="1236"/>
      <c r="I32" s="1215">
        <v>0</v>
      </c>
      <c r="J32" s="1216">
        <v>0</v>
      </c>
      <c r="K32" s="1216">
        <v>0</v>
      </c>
      <c r="L32" s="1216">
        <v>0</v>
      </c>
      <c r="M32" s="1216">
        <v>0</v>
      </c>
      <c r="N32" s="1217">
        <f>N202</f>
        <v>0</v>
      </c>
      <c r="O32" s="1217">
        <f>O202</f>
        <v>0</v>
      </c>
      <c r="P32" s="1217">
        <f>P202</f>
        <v>0</v>
      </c>
      <c r="Q32" s="1217">
        <f>Q202</f>
        <v>0</v>
      </c>
      <c r="R32" s="2412">
        <f>R202</f>
        <v>0</v>
      </c>
      <c r="S32" s="2418"/>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row>
    <row r="33" spans="1:43" customFormat="1" ht="18" customHeight="1">
      <c r="A33" s="69"/>
      <c r="B33" s="1237" t="s">
        <v>1070</v>
      </c>
      <c r="C33" s="1235"/>
      <c r="D33" s="1235"/>
      <c r="E33" s="1235"/>
      <c r="F33" s="1235"/>
      <c r="G33" s="1235"/>
      <c r="H33" s="1236"/>
      <c r="I33" s="1215">
        <v>0</v>
      </c>
      <c r="J33" s="1216">
        <v>0</v>
      </c>
      <c r="K33" s="1216">
        <v>0</v>
      </c>
      <c r="L33" s="1216">
        <v>0</v>
      </c>
      <c r="M33" s="1216">
        <v>0</v>
      </c>
      <c r="N33" s="1217">
        <f>N205</f>
        <v>0</v>
      </c>
      <c r="O33" s="1217">
        <f>O205</f>
        <v>0</v>
      </c>
      <c r="P33" s="1217">
        <f>P205</f>
        <v>0</v>
      </c>
      <c r="Q33" s="1217">
        <f>Q205</f>
        <v>0</v>
      </c>
      <c r="R33" s="2412">
        <f>R205</f>
        <v>0</v>
      </c>
      <c r="S33" s="2418"/>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row>
    <row r="34" spans="1:43" customFormat="1" ht="18" customHeight="1">
      <c r="A34" s="69"/>
      <c r="B34" s="1765" t="s">
        <v>278</v>
      </c>
      <c r="C34" s="1231"/>
      <c r="D34" s="1231"/>
      <c r="E34" s="1231"/>
      <c r="F34" s="1231"/>
      <c r="G34" s="1231"/>
      <c r="H34" s="1232"/>
      <c r="I34" s="1215">
        <v>1.4592001799999998</v>
      </c>
      <c r="J34" s="1216">
        <v>1.70606024</v>
      </c>
      <c r="K34" s="1216">
        <v>0.21440000000000001</v>
      </c>
      <c r="L34" s="1216">
        <v>0.20480000000000001</v>
      </c>
      <c r="M34" s="1216">
        <v>0.34623199999999998</v>
      </c>
      <c r="N34" s="1217">
        <f t="shared" ref="N34:R36" si="15">N209</f>
        <v>0.34623199999999998</v>
      </c>
      <c r="O34" s="1217">
        <f t="shared" si="15"/>
        <v>0.34623199999999998</v>
      </c>
      <c r="P34" s="1217">
        <f t="shared" si="15"/>
        <v>0.34623199999999998</v>
      </c>
      <c r="Q34" s="1217">
        <f t="shared" si="15"/>
        <v>0.34623199999999998</v>
      </c>
      <c r="R34" s="2412">
        <f t="shared" si="15"/>
        <v>0.34623199999999998</v>
      </c>
      <c r="S34" s="2418"/>
      <c r="T34" s="40"/>
      <c r="U34" s="40"/>
      <c r="V34" s="40"/>
      <c r="W34" s="40"/>
      <c r="X34" s="40"/>
      <c r="Y34" s="40"/>
      <c r="Z34" s="40"/>
      <c r="AA34" s="40"/>
      <c r="AB34" s="40"/>
      <c r="AC34" s="40"/>
      <c r="AD34" s="40"/>
      <c r="AE34" s="40"/>
      <c r="AF34" s="40"/>
      <c r="AG34" s="40"/>
      <c r="AH34" s="40"/>
      <c r="AI34" s="40"/>
      <c r="AJ34" s="40"/>
      <c r="AK34" s="40"/>
      <c r="AL34" s="40"/>
      <c r="AM34" s="40"/>
      <c r="AN34" s="40"/>
      <c r="AO34" s="40"/>
      <c r="AP34" s="40"/>
      <c r="AQ34" s="40"/>
    </row>
    <row r="35" spans="1:43" customFormat="1" ht="18" customHeight="1">
      <c r="A35" s="69"/>
      <c r="B35" s="1765" t="s">
        <v>280</v>
      </c>
      <c r="C35" s="1231"/>
      <c r="D35" s="1231"/>
      <c r="E35" s="1231"/>
      <c r="F35" s="1231"/>
      <c r="G35" s="1231"/>
      <c r="H35" s="1232"/>
      <c r="I35" s="1215">
        <v>52.646084479999999</v>
      </c>
      <c r="J35" s="1216">
        <v>47.431610499999998</v>
      </c>
      <c r="K35" s="1216">
        <v>43.395113119999998</v>
      </c>
      <c r="L35" s="1216">
        <v>57.691854509999999</v>
      </c>
      <c r="M35" s="1216">
        <v>41.033468759999998</v>
      </c>
      <c r="N35" s="1217">
        <f t="shared" si="15"/>
        <v>41.033468759999998</v>
      </c>
      <c r="O35" s="1217">
        <f t="shared" si="15"/>
        <v>41.033468759999998</v>
      </c>
      <c r="P35" s="1217">
        <f t="shared" si="15"/>
        <v>41.033468759999998</v>
      </c>
      <c r="Q35" s="1217">
        <f t="shared" si="15"/>
        <v>41.033468759999998</v>
      </c>
      <c r="R35" s="2412">
        <f t="shared" si="15"/>
        <v>41.033468759999998</v>
      </c>
      <c r="S35" s="2418"/>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row>
    <row r="36" spans="1:43" customFormat="1" ht="18" customHeight="1">
      <c r="A36" s="69"/>
      <c r="B36" s="1765" t="s">
        <v>282</v>
      </c>
      <c r="C36" s="1231"/>
      <c r="D36" s="1231"/>
      <c r="E36" s="1231"/>
      <c r="F36" s="1231"/>
      <c r="G36" s="1231"/>
      <c r="H36" s="1232"/>
      <c r="I36" s="1215">
        <v>16.214799899999999</v>
      </c>
      <c r="J36" s="1216">
        <v>8.9241661999999984</v>
      </c>
      <c r="K36" s="1216">
        <v>6.0463205999999996</v>
      </c>
      <c r="L36" s="1216">
        <v>4.2368642699999999</v>
      </c>
      <c r="M36" s="1216">
        <v>11.921826429999999</v>
      </c>
      <c r="N36" s="1217">
        <f t="shared" si="15"/>
        <v>11.921826429999999</v>
      </c>
      <c r="O36" s="1217">
        <f t="shared" si="15"/>
        <v>11.921826429999999</v>
      </c>
      <c r="P36" s="1217">
        <f t="shared" si="15"/>
        <v>11.921826429999999</v>
      </c>
      <c r="Q36" s="1217">
        <f t="shared" si="15"/>
        <v>11.921826429999999</v>
      </c>
      <c r="R36" s="2412">
        <f t="shared" si="15"/>
        <v>11.921826429999999</v>
      </c>
      <c r="S36" s="2418"/>
      <c r="T36" s="40"/>
      <c r="U36" s="40"/>
      <c r="V36" s="40"/>
      <c r="W36" s="40"/>
      <c r="X36" s="40"/>
      <c r="Y36" s="40"/>
      <c r="Z36" s="40"/>
      <c r="AA36" s="40"/>
      <c r="AB36" s="40"/>
      <c r="AC36" s="40"/>
      <c r="AD36" s="40"/>
      <c r="AE36" s="40"/>
      <c r="AF36" s="40"/>
      <c r="AG36" s="40"/>
      <c r="AH36" s="40"/>
      <c r="AI36" s="40"/>
      <c r="AJ36" s="40"/>
      <c r="AK36" s="40"/>
      <c r="AL36" s="40"/>
      <c r="AM36" s="40"/>
      <c r="AN36" s="40"/>
      <c r="AO36" s="40"/>
      <c r="AP36" s="40"/>
      <c r="AQ36" s="40"/>
    </row>
    <row r="37" spans="1:43" customFormat="1" ht="18" customHeight="1">
      <c r="A37" s="69"/>
      <c r="B37" s="1765" t="s">
        <v>1585</v>
      </c>
      <c r="C37" s="1231"/>
      <c r="D37" s="1231"/>
      <c r="E37" s="1231"/>
      <c r="F37" s="1231"/>
      <c r="G37" s="1231"/>
      <c r="H37" s="1232"/>
      <c r="I37" s="1215">
        <v>0</v>
      </c>
      <c r="J37" s="1215">
        <v>0</v>
      </c>
      <c r="K37" s="1215">
        <v>0</v>
      </c>
      <c r="L37" s="1215">
        <v>0</v>
      </c>
      <c r="M37" s="1215">
        <v>0</v>
      </c>
      <c r="N37" s="1217">
        <f>N213</f>
        <v>0</v>
      </c>
      <c r="O37" s="1217">
        <f>O213</f>
        <v>0</v>
      </c>
      <c r="P37" s="1217">
        <f>P213</f>
        <v>0</v>
      </c>
      <c r="Q37" s="1217">
        <f>Q213</f>
        <v>0</v>
      </c>
      <c r="R37" s="2412">
        <f>R213</f>
        <v>0</v>
      </c>
      <c r="S37" s="2418"/>
      <c r="T37" s="40"/>
      <c r="U37" s="40"/>
      <c r="V37" s="40"/>
      <c r="W37" s="40"/>
      <c r="X37" s="40"/>
      <c r="Y37" s="40"/>
      <c r="Z37" s="40"/>
      <c r="AA37" s="40"/>
      <c r="AB37" s="40"/>
      <c r="AC37" s="40"/>
      <c r="AD37" s="40"/>
      <c r="AE37" s="40"/>
      <c r="AF37" s="40"/>
      <c r="AG37" s="40"/>
      <c r="AH37" s="40"/>
      <c r="AI37" s="40"/>
      <c r="AJ37" s="40"/>
      <c r="AK37" s="40"/>
      <c r="AL37" s="40"/>
      <c r="AM37" s="40"/>
      <c r="AN37" s="40"/>
      <c r="AO37" s="40"/>
      <c r="AP37" s="40"/>
      <c r="AQ37" s="40"/>
    </row>
    <row r="38" spans="1:43" customFormat="1" ht="18" customHeight="1">
      <c r="A38" s="69"/>
      <c r="B38" s="301" t="s">
        <v>1071</v>
      </c>
      <c r="C38" s="1225"/>
      <c r="D38" s="1225"/>
      <c r="E38" s="1225"/>
      <c r="F38" s="1225"/>
      <c r="G38" s="1225"/>
      <c r="H38" s="1226"/>
      <c r="I38" s="1227">
        <v>701.01720405999993</v>
      </c>
      <c r="J38" s="1228">
        <v>977.66095072999997</v>
      </c>
      <c r="K38" s="1228">
        <v>1182.11735978</v>
      </c>
      <c r="L38" s="1228">
        <v>1441.9514763599998</v>
      </c>
      <c r="M38" s="1228">
        <v>1560.4836429500001</v>
      </c>
      <c r="N38" s="1229">
        <f t="shared" ref="N38:R39" si="16">N215</f>
        <v>1488.2589334006668</v>
      </c>
      <c r="O38" s="1229">
        <f t="shared" si="16"/>
        <v>1416.0342238513333</v>
      </c>
      <c r="P38" s="1229">
        <f t="shared" si="16"/>
        <v>1343.809514302</v>
      </c>
      <c r="Q38" s="1229">
        <f t="shared" si="16"/>
        <v>1271.5848047526667</v>
      </c>
      <c r="R38" s="2413">
        <f t="shared" si="16"/>
        <v>1199.3600952033332</v>
      </c>
      <c r="S38" s="2418"/>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row>
    <row r="39" spans="1:43" customFormat="1" ht="18" customHeight="1">
      <c r="A39" s="69"/>
      <c r="B39" s="2174" t="s">
        <v>1366</v>
      </c>
      <c r="C39" s="1238"/>
      <c r="D39" s="1238"/>
      <c r="E39" s="1238"/>
      <c r="F39" s="1238"/>
      <c r="G39" s="1238"/>
      <c r="H39" s="1239"/>
      <c r="I39" s="1227">
        <v>4834.9870182299992</v>
      </c>
      <c r="J39" s="1228">
        <v>5496.5166037099998</v>
      </c>
      <c r="K39" s="1228">
        <v>5703.3649208999996</v>
      </c>
      <c r="L39" s="1228">
        <v>6455.91779666</v>
      </c>
      <c r="M39" s="1228">
        <v>8305.1069416200007</v>
      </c>
      <c r="N39" s="1229">
        <f t="shared" ca="1" si="16"/>
        <v>7101.58401817294</v>
      </c>
      <c r="O39" s="1229">
        <f t="shared" ca="1" si="16"/>
        <v>7845.5800320261105</v>
      </c>
      <c r="P39" s="1229">
        <f t="shared" ca="1" si="16"/>
        <v>8466.209190227255</v>
      </c>
      <c r="Q39" s="1229">
        <f t="shared" ca="1" si="16"/>
        <v>9010.8195876374521</v>
      </c>
      <c r="R39" s="2413">
        <f t="shared" ca="1" si="16"/>
        <v>9647.7652225836009</v>
      </c>
      <c r="S39" s="2418"/>
      <c r="T39" s="40"/>
      <c r="U39" s="40"/>
      <c r="V39" s="40"/>
      <c r="W39" s="40"/>
      <c r="X39" s="40"/>
      <c r="Y39" s="40"/>
      <c r="Z39" s="40"/>
      <c r="AA39" s="40"/>
      <c r="AB39" s="40"/>
      <c r="AC39" s="40"/>
      <c r="AD39" s="40"/>
      <c r="AE39" s="40"/>
      <c r="AF39" s="40"/>
      <c r="AG39" s="40"/>
      <c r="AH39" s="40"/>
      <c r="AI39" s="40"/>
      <c r="AJ39" s="40"/>
      <c r="AK39" s="40"/>
      <c r="AL39" s="40"/>
      <c r="AM39" s="40"/>
      <c r="AN39" s="40"/>
      <c r="AO39" s="40"/>
      <c r="AP39" s="40"/>
      <c r="AQ39" s="40"/>
    </row>
    <row r="40" spans="1:43" customFormat="1" ht="18" customHeight="1">
      <c r="A40" s="69"/>
      <c r="B40" s="2176"/>
      <c r="C40" s="1238"/>
      <c r="D40" s="1238"/>
      <c r="E40" s="1238"/>
      <c r="F40" s="1238"/>
      <c r="G40" s="1238"/>
      <c r="H40" s="1239"/>
      <c r="I40" s="1215"/>
      <c r="J40" s="1216"/>
      <c r="K40" s="1216"/>
      <c r="L40" s="1216"/>
      <c r="M40" s="1216"/>
      <c r="N40" s="1217"/>
      <c r="O40" s="1217"/>
      <c r="P40" s="1217"/>
      <c r="Q40" s="1217"/>
      <c r="R40" s="2412"/>
      <c r="S40" s="2418"/>
      <c r="T40" s="40"/>
      <c r="U40" s="40"/>
      <c r="V40" s="40"/>
      <c r="W40" s="40"/>
      <c r="X40" s="40"/>
      <c r="Y40" s="40"/>
      <c r="Z40" s="40"/>
      <c r="AA40" s="40"/>
      <c r="AB40" s="40"/>
      <c r="AC40" s="40"/>
      <c r="AD40" s="40"/>
      <c r="AE40" s="40"/>
      <c r="AF40" s="40"/>
      <c r="AG40" s="40"/>
      <c r="AH40" s="40"/>
      <c r="AI40" s="40"/>
      <c r="AJ40" s="40"/>
      <c r="AK40" s="40"/>
      <c r="AL40" s="40"/>
      <c r="AM40" s="40"/>
      <c r="AN40" s="40"/>
      <c r="AO40" s="40"/>
      <c r="AP40" s="40"/>
      <c r="AQ40" s="40"/>
    </row>
    <row r="41" spans="1:43" customFormat="1" ht="18" customHeight="1">
      <c r="A41" s="69"/>
      <c r="B41" s="1765" t="s">
        <v>1358</v>
      </c>
      <c r="C41" s="1213"/>
      <c r="D41" s="1213"/>
      <c r="E41" s="1213"/>
      <c r="F41" s="1213"/>
      <c r="G41" s="1213"/>
      <c r="H41" s="1214"/>
      <c r="I41" s="1215">
        <v>0</v>
      </c>
      <c r="J41" s="1216">
        <v>0</v>
      </c>
      <c r="K41" s="1216">
        <v>0</v>
      </c>
      <c r="L41" s="1216">
        <v>15.408259220000001</v>
      </c>
      <c r="M41" s="1216">
        <v>19.904745179999999</v>
      </c>
      <c r="N41" s="1217">
        <f ca="1">N220</f>
        <v>406.07146899461708</v>
      </c>
      <c r="O41" s="1217">
        <f ca="1">O220</f>
        <v>2792.1473543858401</v>
      </c>
      <c r="P41" s="1217">
        <f ca="1">P220</f>
        <v>5045.317770403537</v>
      </c>
      <c r="Q41" s="1217">
        <f ca="1">Q220</f>
        <v>7224.5732224116018</v>
      </c>
      <c r="R41" s="2412">
        <f ca="1">R220</f>
        <v>9497.94091867524</v>
      </c>
      <c r="S41" s="2418"/>
      <c r="T41" s="40"/>
      <c r="U41" s="40"/>
      <c r="V41" s="40"/>
      <c r="W41" s="40"/>
      <c r="X41" s="40"/>
      <c r="Y41" s="40"/>
      <c r="Z41" s="40"/>
      <c r="AA41" s="40"/>
      <c r="AB41" s="40"/>
      <c r="AC41" s="40"/>
      <c r="AD41" s="40"/>
      <c r="AE41" s="40"/>
      <c r="AF41" s="40"/>
      <c r="AG41" s="40"/>
      <c r="AH41" s="40"/>
      <c r="AI41" s="40"/>
      <c r="AJ41" s="40"/>
      <c r="AK41" s="40"/>
      <c r="AL41" s="40"/>
      <c r="AM41" s="40"/>
      <c r="AN41" s="40"/>
      <c r="AO41" s="40"/>
      <c r="AP41" s="40"/>
      <c r="AQ41" s="40"/>
    </row>
    <row r="42" spans="1:43" customFormat="1" ht="18" customHeight="1">
      <c r="A42" s="69"/>
      <c r="B42" s="1767" t="s">
        <v>538</v>
      </c>
      <c r="C42" s="1235"/>
      <c r="D42" s="1235"/>
      <c r="E42" s="1235"/>
      <c r="F42" s="1235"/>
      <c r="G42" s="1235"/>
      <c r="H42" s="1236"/>
      <c r="I42" s="1215">
        <v>0</v>
      </c>
      <c r="J42" s="1216">
        <v>0</v>
      </c>
      <c r="K42" s="1216">
        <v>0</v>
      </c>
      <c r="L42" s="1216">
        <v>15.408259220000001</v>
      </c>
      <c r="M42" s="1216">
        <v>19.904745179999999</v>
      </c>
      <c r="N42" s="1217">
        <f ca="1">N41-N43</f>
        <v>406.07146899461708</v>
      </c>
      <c r="O42" s="1217">
        <f ca="1">O41-O43</f>
        <v>2792.1473543858401</v>
      </c>
      <c r="P42" s="1217">
        <f ca="1">P41-P43</f>
        <v>5045.317770403537</v>
      </c>
      <c r="Q42" s="1217">
        <f ca="1">Q41-Q43</f>
        <v>7224.5732224116018</v>
      </c>
      <c r="R42" s="2412">
        <f ca="1">R41-R43</f>
        <v>9497.94091867524</v>
      </c>
      <c r="S42" s="2418"/>
      <c r="T42" s="40"/>
      <c r="U42" s="40"/>
      <c r="V42" s="40"/>
      <c r="W42" s="40"/>
      <c r="X42" s="40"/>
      <c r="Y42" s="40"/>
      <c r="Z42" s="40"/>
      <c r="AA42" s="40"/>
      <c r="AB42" s="40"/>
      <c r="AC42" s="40"/>
      <c r="AD42" s="40"/>
      <c r="AE42" s="40"/>
      <c r="AF42" s="40"/>
      <c r="AG42" s="40"/>
      <c r="AH42" s="40"/>
      <c r="AI42" s="40"/>
      <c r="AJ42" s="40"/>
      <c r="AK42" s="40"/>
      <c r="AL42" s="40"/>
      <c r="AM42" s="40"/>
      <c r="AN42" s="40"/>
      <c r="AO42" s="40"/>
      <c r="AP42" s="40"/>
      <c r="AQ42" s="40"/>
    </row>
    <row r="43" spans="1:43" customFormat="1" ht="18" customHeight="1">
      <c r="A43" s="69"/>
      <c r="B43" s="1240" t="s">
        <v>1072</v>
      </c>
      <c r="C43" s="1235"/>
      <c r="D43" s="1235"/>
      <c r="E43" s="1235"/>
      <c r="F43" s="1235"/>
      <c r="G43" s="1235"/>
      <c r="H43" s="1236"/>
      <c r="I43" s="1215">
        <v>0</v>
      </c>
      <c r="J43" s="1216">
        <v>0</v>
      </c>
      <c r="K43" s="1216">
        <v>0</v>
      </c>
      <c r="L43" s="1216">
        <v>0</v>
      </c>
      <c r="M43" s="1216">
        <v>0</v>
      </c>
      <c r="N43" s="1217">
        <f>N222</f>
        <v>0</v>
      </c>
      <c r="O43" s="1217">
        <f>O222</f>
        <v>0</v>
      </c>
      <c r="P43" s="1217">
        <f>P222</f>
        <v>0</v>
      </c>
      <c r="Q43" s="1217">
        <f>Q222</f>
        <v>0</v>
      </c>
      <c r="R43" s="2412">
        <f>R222</f>
        <v>0</v>
      </c>
      <c r="S43" s="2418"/>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row>
    <row r="44" spans="1:43" customFormat="1" ht="18" customHeight="1">
      <c r="A44" s="69"/>
      <c r="B44" s="1765" t="s">
        <v>285</v>
      </c>
      <c r="C44" s="1231"/>
      <c r="D44" s="1231"/>
      <c r="E44" s="1231"/>
      <c r="F44" s="1231"/>
      <c r="G44" s="1231"/>
      <c r="H44" s="1232"/>
      <c r="I44" s="1215">
        <v>0</v>
      </c>
      <c r="J44" s="1215">
        <v>0</v>
      </c>
      <c r="K44" s="1215">
        <v>0</v>
      </c>
      <c r="L44" s="1215">
        <v>4.7604624800000002</v>
      </c>
      <c r="M44" s="1215">
        <v>2.34126849</v>
      </c>
      <c r="N44" s="1217">
        <f>N224</f>
        <v>2.34126849</v>
      </c>
      <c r="O44" s="1217">
        <f>O224</f>
        <v>2.34126849</v>
      </c>
      <c r="P44" s="1217">
        <f>P224</f>
        <v>2.34126849</v>
      </c>
      <c r="Q44" s="1217">
        <f>Q224</f>
        <v>2.34126849</v>
      </c>
      <c r="R44" s="2412">
        <f>R224</f>
        <v>2.34126849</v>
      </c>
      <c r="S44" s="2418"/>
      <c r="T44" s="40"/>
      <c r="U44" s="40"/>
      <c r="V44" s="40"/>
      <c r="W44" s="40"/>
      <c r="X44" s="40"/>
      <c r="Y44" s="40"/>
      <c r="Z44" s="40"/>
      <c r="AA44" s="40"/>
      <c r="AB44" s="40"/>
      <c r="AC44" s="40"/>
      <c r="AD44" s="40"/>
      <c r="AE44" s="40"/>
      <c r="AF44" s="40"/>
      <c r="AG44" s="40"/>
      <c r="AH44" s="40"/>
      <c r="AI44" s="40"/>
      <c r="AJ44" s="40"/>
      <c r="AK44" s="40"/>
      <c r="AL44" s="40"/>
      <c r="AM44" s="40"/>
      <c r="AN44" s="40"/>
      <c r="AO44" s="40"/>
      <c r="AP44" s="40"/>
      <c r="AQ44" s="40"/>
    </row>
    <row r="45" spans="1:43" customFormat="1" ht="18" customHeight="1">
      <c r="A45" s="69"/>
      <c r="B45" s="1765" t="s">
        <v>1359</v>
      </c>
      <c r="C45" s="1213"/>
      <c r="D45" s="1213"/>
      <c r="E45" s="1213"/>
      <c r="F45" s="1213"/>
      <c r="G45" s="1213"/>
      <c r="H45" s="1214"/>
      <c r="I45" s="1215">
        <v>519.87802891000001</v>
      </c>
      <c r="J45" s="1215">
        <v>569.5903721200001</v>
      </c>
      <c r="K45" s="1215">
        <v>639.04140025000015</v>
      </c>
      <c r="L45" s="1215">
        <v>795.23880104999989</v>
      </c>
      <c r="M45" s="1215">
        <v>799.48492441000008</v>
      </c>
      <c r="N45" s="1217">
        <f>N226</f>
        <v>799.48492441000008</v>
      </c>
      <c r="O45" s="1217">
        <f>O226</f>
        <v>799.48492441000008</v>
      </c>
      <c r="P45" s="1217">
        <f>P226</f>
        <v>799.48492441000008</v>
      </c>
      <c r="Q45" s="1217">
        <f>Q226</f>
        <v>799.48492441000008</v>
      </c>
      <c r="R45" s="2412">
        <f>R226</f>
        <v>799.48492441000008</v>
      </c>
      <c r="S45" s="2418"/>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row>
    <row r="46" spans="1:43" customFormat="1" ht="18" customHeight="1">
      <c r="A46" s="69"/>
      <c r="B46" s="1767" t="s">
        <v>1427</v>
      </c>
      <c r="C46" s="1235"/>
      <c r="D46" s="1235"/>
      <c r="E46" s="1235"/>
      <c r="F46" s="1235"/>
      <c r="G46" s="1235"/>
      <c r="H46" s="1236"/>
      <c r="I46" s="1215">
        <v>429.52178062000002</v>
      </c>
      <c r="J46" s="1215">
        <v>468.11900284000001</v>
      </c>
      <c r="K46" s="1215">
        <v>555.71689436000008</v>
      </c>
      <c r="L46" s="1215">
        <v>636.92868659999999</v>
      </c>
      <c r="M46" s="1215">
        <v>702.22246912000003</v>
      </c>
      <c r="N46" s="1217"/>
      <c r="O46" s="1217"/>
      <c r="P46" s="1217"/>
      <c r="Q46" s="1217"/>
      <c r="R46" s="2412"/>
      <c r="S46" s="2418"/>
      <c r="T46" s="40"/>
      <c r="U46" s="40"/>
      <c r="V46" s="40"/>
      <c r="W46" s="40"/>
      <c r="X46" s="40"/>
      <c r="Y46" s="40"/>
      <c r="Z46" s="40"/>
      <c r="AA46" s="40"/>
      <c r="AB46" s="40"/>
      <c r="AC46" s="40"/>
      <c r="AD46" s="40"/>
      <c r="AE46" s="40"/>
      <c r="AF46" s="40"/>
      <c r="AG46" s="40"/>
      <c r="AH46" s="40"/>
      <c r="AI46" s="40"/>
      <c r="AJ46" s="40"/>
      <c r="AK46" s="40"/>
      <c r="AL46" s="40"/>
      <c r="AM46" s="40"/>
      <c r="AN46" s="40"/>
      <c r="AO46" s="40"/>
      <c r="AP46" s="40"/>
      <c r="AQ46" s="40"/>
    </row>
    <row r="47" spans="1:43" customFormat="1" ht="18" customHeight="1">
      <c r="A47" s="69"/>
      <c r="B47" s="1240" t="s">
        <v>1073</v>
      </c>
      <c r="C47" s="1235"/>
      <c r="D47" s="1235"/>
      <c r="E47" s="1235"/>
      <c r="F47" s="1235"/>
      <c r="G47" s="1235"/>
      <c r="H47" s="1236"/>
      <c r="I47" s="1215">
        <v>22.653368789999998</v>
      </c>
      <c r="J47" s="1216">
        <v>26.343489959999999</v>
      </c>
      <c r="K47" s="1216">
        <v>19.232752489999999</v>
      </c>
      <c r="L47" s="1216">
        <v>30.855743019999998</v>
      </c>
      <c r="M47" s="1216">
        <v>16.542658929999998</v>
      </c>
      <c r="N47" s="1217"/>
      <c r="O47" s="1217"/>
      <c r="P47" s="1217"/>
      <c r="Q47" s="1217"/>
      <c r="R47" s="2412"/>
      <c r="S47" s="2418"/>
      <c r="T47" s="40"/>
      <c r="U47" s="40"/>
      <c r="V47" s="40"/>
      <c r="W47" s="40"/>
      <c r="X47" s="40"/>
      <c r="Y47" s="40"/>
      <c r="Z47" s="40"/>
      <c r="AA47" s="40"/>
      <c r="AB47" s="40"/>
      <c r="AC47" s="40"/>
      <c r="AD47" s="40"/>
      <c r="AE47" s="40"/>
      <c r="AF47" s="40"/>
      <c r="AG47" s="40"/>
      <c r="AH47" s="40"/>
      <c r="AI47" s="40"/>
      <c r="AJ47" s="40"/>
      <c r="AK47" s="40"/>
      <c r="AL47" s="40"/>
      <c r="AM47" s="40"/>
      <c r="AN47" s="40"/>
      <c r="AO47" s="40"/>
      <c r="AP47" s="40"/>
      <c r="AQ47" s="40"/>
    </row>
    <row r="48" spans="1:43" customFormat="1" ht="18" customHeight="1">
      <c r="A48" s="69"/>
      <c r="B48" s="1240" t="s">
        <v>1074</v>
      </c>
      <c r="C48" s="1235"/>
      <c r="D48" s="1235"/>
      <c r="E48" s="1235"/>
      <c r="F48" s="1235"/>
      <c r="G48" s="1235"/>
      <c r="H48" s="1236"/>
      <c r="I48" s="1215">
        <v>19.419103249999999</v>
      </c>
      <c r="J48" s="1216">
        <v>26.46342581</v>
      </c>
      <c r="K48" s="1216">
        <v>31.113679530000002</v>
      </c>
      <c r="L48" s="1216">
        <v>39.94930411</v>
      </c>
      <c r="M48" s="1216">
        <v>49.422076409999995</v>
      </c>
      <c r="N48" s="1217"/>
      <c r="O48" s="1217"/>
      <c r="P48" s="1217"/>
      <c r="Q48" s="1217"/>
      <c r="R48" s="2412"/>
      <c r="S48" s="2418"/>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row>
    <row r="49" spans="1:43" customFormat="1" ht="18" customHeight="1">
      <c r="A49" s="69"/>
      <c r="B49" s="1240" t="s">
        <v>1075</v>
      </c>
      <c r="C49" s="1235"/>
      <c r="D49" s="1235"/>
      <c r="E49" s="1235"/>
      <c r="F49" s="1235"/>
      <c r="G49" s="1235"/>
      <c r="H49" s="1236"/>
      <c r="I49" s="1215">
        <v>48.283776250000003</v>
      </c>
      <c r="J49" s="1216">
        <v>48.664453510000001</v>
      </c>
      <c r="K49" s="1216">
        <v>32.978073870000003</v>
      </c>
      <c r="L49" s="1216">
        <v>87.505067319999995</v>
      </c>
      <c r="M49" s="1216">
        <v>31.297719949999998</v>
      </c>
      <c r="N49" s="1217"/>
      <c r="O49" s="1217"/>
      <c r="P49" s="1217"/>
      <c r="Q49" s="1217"/>
      <c r="R49" s="2412"/>
      <c r="S49" s="2418"/>
      <c r="T49" s="40"/>
      <c r="U49" s="40"/>
      <c r="V49" s="40"/>
      <c r="W49" s="40"/>
      <c r="X49" s="40"/>
      <c r="Y49" s="40"/>
      <c r="Z49" s="40"/>
      <c r="AA49" s="40"/>
      <c r="AB49" s="40"/>
      <c r="AC49" s="40"/>
      <c r="AD49" s="40"/>
      <c r="AE49" s="40"/>
      <c r="AF49" s="40"/>
      <c r="AG49" s="40"/>
      <c r="AH49" s="40"/>
      <c r="AI49" s="40"/>
      <c r="AJ49" s="40"/>
      <c r="AK49" s="40"/>
      <c r="AL49" s="40"/>
      <c r="AM49" s="40"/>
      <c r="AN49" s="40"/>
      <c r="AO49" s="40"/>
      <c r="AP49" s="40"/>
      <c r="AQ49" s="40"/>
    </row>
    <row r="50" spans="1:43" customFormat="1" ht="18" customHeight="1">
      <c r="A50" s="69"/>
      <c r="B50" s="1765" t="s">
        <v>1470</v>
      </c>
      <c r="C50" s="1235"/>
      <c r="D50" s="1235"/>
      <c r="E50" s="1235"/>
      <c r="F50" s="1235"/>
      <c r="G50" s="1235"/>
      <c r="H50" s="1236"/>
      <c r="I50" s="1215">
        <v>0</v>
      </c>
      <c r="J50" s="1215">
        <v>0</v>
      </c>
      <c r="K50" s="1215">
        <v>0</v>
      </c>
      <c r="L50" s="1215">
        <v>0</v>
      </c>
      <c r="M50" s="1215">
        <v>0</v>
      </c>
      <c r="N50" s="1217">
        <f>N229</f>
        <v>0</v>
      </c>
      <c r="O50" s="1217">
        <f t="shared" ref="O50:R50" si="17">O229</f>
        <v>0</v>
      </c>
      <c r="P50" s="1217">
        <f t="shared" si="17"/>
        <v>0</v>
      </c>
      <c r="Q50" s="1217">
        <f t="shared" si="17"/>
        <v>0</v>
      </c>
      <c r="R50" s="2412">
        <f t="shared" si="17"/>
        <v>0</v>
      </c>
      <c r="S50" s="2418"/>
      <c r="T50" s="40"/>
      <c r="U50" s="40"/>
      <c r="V50" s="40"/>
      <c r="W50" s="40"/>
      <c r="X50" s="40"/>
      <c r="Y50" s="40"/>
      <c r="Z50" s="40"/>
      <c r="AA50" s="40"/>
      <c r="AB50" s="40"/>
      <c r="AC50" s="40"/>
      <c r="AD50" s="40"/>
      <c r="AE50" s="40"/>
      <c r="AF50" s="40"/>
      <c r="AG50" s="40"/>
      <c r="AH50" s="40"/>
      <c r="AI50" s="40"/>
      <c r="AJ50" s="40"/>
      <c r="AK50" s="40"/>
      <c r="AL50" s="40"/>
      <c r="AM50" s="40"/>
      <c r="AN50" s="40"/>
      <c r="AO50" s="40"/>
      <c r="AP50" s="40"/>
      <c r="AQ50" s="40"/>
    </row>
    <row r="51" spans="1:43" customFormat="1" ht="18" customHeight="1">
      <c r="A51" s="240"/>
      <c r="B51" s="1766" t="s">
        <v>293</v>
      </c>
      <c r="C51" s="1219"/>
      <c r="D51" s="1219"/>
      <c r="E51" s="1219"/>
      <c r="F51" s="1219"/>
      <c r="G51" s="1219"/>
      <c r="H51" s="1220"/>
      <c r="I51" s="1215">
        <v>27.483712260000001</v>
      </c>
      <c r="J51" s="1215">
        <v>68.734864459999997</v>
      </c>
      <c r="K51" s="1215">
        <v>21.087462640000002</v>
      </c>
      <c r="L51" s="1215">
        <v>54.192978179999997</v>
      </c>
      <c r="M51" s="1215">
        <v>39.801671069999998</v>
      </c>
      <c r="N51" s="1217">
        <f>N230</f>
        <v>39.801671069999998</v>
      </c>
      <c r="O51" s="1217">
        <f t="shared" ref="O51:R51" si="18">O230</f>
        <v>39.801671069999998</v>
      </c>
      <c r="P51" s="1217">
        <f t="shared" si="18"/>
        <v>39.801671069999998</v>
      </c>
      <c r="Q51" s="1217">
        <f t="shared" si="18"/>
        <v>39.801671069999998</v>
      </c>
      <c r="R51" s="2412">
        <f t="shared" si="18"/>
        <v>39.801671069999998</v>
      </c>
      <c r="S51" s="2418"/>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row>
    <row r="52" spans="1:43" customFormat="1" ht="18" customHeight="1">
      <c r="A52" s="240"/>
      <c r="B52" s="1766" t="s">
        <v>294</v>
      </c>
      <c r="C52" s="1219"/>
      <c r="D52" s="1219"/>
      <c r="E52" s="1219"/>
      <c r="F52" s="1219"/>
      <c r="G52" s="1219"/>
      <c r="H52" s="1220"/>
      <c r="I52" s="1215">
        <v>0</v>
      </c>
      <c r="J52" s="1216">
        <v>0</v>
      </c>
      <c r="K52" s="1216">
        <v>0</v>
      </c>
      <c r="L52" s="1216">
        <v>15.541912</v>
      </c>
      <c r="M52" s="1216">
        <v>0</v>
      </c>
      <c r="N52" s="1217">
        <f>N231</f>
        <v>0</v>
      </c>
      <c r="O52" s="1217">
        <f>O231</f>
        <v>0</v>
      </c>
      <c r="P52" s="1217">
        <f>P231</f>
        <v>0</v>
      </c>
      <c r="Q52" s="1217">
        <f>Q231</f>
        <v>0</v>
      </c>
      <c r="R52" s="2412">
        <f>R231</f>
        <v>0</v>
      </c>
      <c r="S52" s="2418"/>
      <c r="T52" s="40"/>
      <c r="U52" s="40"/>
      <c r="V52" s="40"/>
      <c r="W52" s="40"/>
      <c r="X52" s="40"/>
      <c r="Y52" s="40"/>
      <c r="Z52" s="40"/>
      <c r="AA52" s="40"/>
      <c r="AB52" s="40"/>
      <c r="AC52" s="40"/>
      <c r="AD52" s="40"/>
      <c r="AE52" s="40"/>
      <c r="AF52" s="40"/>
      <c r="AG52" s="40"/>
      <c r="AH52" s="40"/>
      <c r="AI52" s="40"/>
      <c r="AJ52" s="40"/>
      <c r="AK52" s="40"/>
      <c r="AL52" s="40"/>
      <c r="AM52" s="40"/>
      <c r="AN52" s="40"/>
      <c r="AO52" s="40"/>
      <c r="AP52" s="40"/>
      <c r="AQ52" s="40"/>
    </row>
    <row r="53" spans="1:43" customFormat="1" ht="18" customHeight="1">
      <c r="A53" s="240"/>
      <c r="B53" s="1766" t="s">
        <v>1428</v>
      </c>
      <c r="C53" s="1219"/>
      <c r="D53" s="1219"/>
      <c r="E53" s="1219"/>
      <c r="F53" s="1219"/>
      <c r="G53" s="1219"/>
      <c r="H53" s="1220"/>
      <c r="I53" s="1215">
        <v>0</v>
      </c>
      <c r="J53" s="1215">
        <v>0</v>
      </c>
      <c r="K53" s="1215">
        <v>0</v>
      </c>
      <c r="L53" s="1215">
        <v>0</v>
      </c>
      <c r="M53" s="1215">
        <v>0</v>
      </c>
      <c r="N53" s="1217">
        <f>N233</f>
        <v>0</v>
      </c>
      <c r="O53" s="1217">
        <f>O233</f>
        <v>0</v>
      </c>
      <c r="P53" s="1217">
        <f>P233</f>
        <v>0</v>
      </c>
      <c r="Q53" s="1217">
        <f>Q233</f>
        <v>0</v>
      </c>
      <c r="R53" s="2412">
        <f>R233</f>
        <v>0</v>
      </c>
      <c r="S53" s="2418"/>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row>
    <row r="54" spans="1:43" customFormat="1" ht="18" customHeight="1">
      <c r="A54" s="69"/>
      <c r="B54" s="2174" t="s">
        <v>1076</v>
      </c>
      <c r="C54" s="1225"/>
      <c r="D54" s="1225"/>
      <c r="E54" s="1225"/>
      <c r="F54" s="1225"/>
      <c r="G54" s="1225"/>
      <c r="H54" s="1226"/>
      <c r="I54" s="1227">
        <v>547.36174116999996</v>
      </c>
      <c r="J54" s="1228">
        <v>638.32523658000002</v>
      </c>
      <c r="K54" s="1228">
        <v>660.12886288999994</v>
      </c>
      <c r="L54" s="1228">
        <v>885.14241292999998</v>
      </c>
      <c r="M54" s="1228">
        <v>861.53260914999998</v>
      </c>
      <c r="N54" s="1229">
        <f ca="1">N235</f>
        <v>1247.699332964617</v>
      </c>
      <c r="O54" s="1229">
        <f ca="1">O235</f>
        <v>3633.77521835584</v>
      </c>
      <c r="P54" s="1229">
        <f ca="1">P235</f>
        <v>5886.9456343735374</v>
      </c>
      <c r="Q54" s="1229">
        <f ca="1">Q235</f>
        <v>8066.2010863816022</v>
      </c>
      <c r="R54" s="2413">
        <f ca="1">R235</f>
        <v>10339.568782645239</v>
      </c>
      <c r="S54" s="2418"/>
      <c r="T54" s="40"/>
      <c r="U54" s="40"/>
      <c r="V54" s="40"/>
      <c r="W54" s="40"/>
      <c r="X54" s="40"/>
      <c r="Y54" s="40"/>
      <c r="Z54" s="40"/>
      <c r="AA54" s="40"/>
      <c r="AB54" s="40"/>
      <c r="AC54" s="40"/>
      <c r="AD54" s="40"/>
      <c r="AE54" s="40"/>
      <c r="AF54" s="40"/>
      <c r="AG54" s="40"/>
      <c r="AH54" s="40"/>
      <c r="AI54" s="40"/>
      <c r="AJ54" s="40"/>
      <c r="AK54" s="40"/>
      <c r="AL54" s="40"/>
      <c r="AM54" s="40"/>
      <c r="AN54" s="40"/>
      <c r="AO54" s="40"/>
      <c r="AP54" s="40"/>
      <c r="AQ54" s="40"/>
    </row>
    <row r="55" spans="1:43" customFormat="1" ht="18" customHeight="1">
      <c r="A55" s="69"/>
      <c r="B55" s="2174"/>
      <c r="C55" s="1225"/>
      <c r="D55" s="1225"/>
      <c r="E55" s="1225"/>
      <c r="F55" s="1225"/>
      <c r="G55" s="1225"/>
      <c r="H55" s="1225"/>
      <c r="I55" s="1227"/>
      <c r="J55" s="1228"/>
      <c r="K55" s="1228"/>
      <c r="L55" s="1228"/>
      <c r="M55" s="1228"/>
      <c r="N55" s="1229"/>
      <c r="O55" s="1229"/>
      <c r="P55" s="1229"/>
      <c r="Q55" s="1229"/>
      <c r="R55" s="2413"/>
      <c r="S55" s="2418"/>
      <c r="T55" s="40"/>
      <c r="U55" s="40"/>
      <c r="V55" s="40"/>
      <c r="W55" s="40"/>
      <c r="X55" s="40"/>
      <c r="Y55" s="40"/>
      <c r="Z55" s="40"/>
      <c r="AA55" s="40"/>
      <c r="AB55" s="40"/>
      <c r="AC55" s="40"/>
      <c r="AD55" s="40"/>
      <c r="AE55" s="40"/>
      <c r="AF55" s="40"/>
      <c r="AG55" s="40"/>
      <c r="AH55" s="40"/>
      <c r="AI55" s="40"/>
      <c r="AJ55" s="40"/>
      <c r="AK55" s="40"/>
      <c r="AL55" s="40"/>
      <c r="AM55" s="40"/>
      <c r="AN55" s="40"/>
      <c r="AO55" s="40"/>
      <c r="AP55" s="40"/>
      <c r="AQ55" s="40"/>
    </row>
    <row r="56" spans="1:43" customFormat="1" ht="18" customHeight="1">
      <c r="A56" s="69"/>
      <c r="B56" s="1765" t="s">
        <v>1360</v>
      </c>
      <c r="C56" s="1213"/>
      <c r="D56" s="1213"/>
      <c r="E56" s="1213"/>
      <c r="F56" s="1213"/>
      <c r="G56" s="1213"/>
      <c r="H56" s="1213"/>
      <c r="I56" s="1216">
        <v>0</v>
      </c>
      <c r="J56" s="1216">
        <v>0</v>
      </c>
      <c r="K56" s="1216">
        <v>0</v>
      </c>
      <c r="L56" s="1216">
        <v>0</v>
      </c>
      <c r="M56" s="1216">
        <v>0</v>
      </c>
      <c r="N56" s="1217">
        <f>N237</f>
        <v>0</v>
      </c>
      <c r="O56" s="1217">
        <f>O237</f>
        <v>0</v>
      </c>
      <c r="P56" s="1217">
        <f>P237</f>
        <v>0</v>
      </c>
      <c r="Q56" s="1217">
        <f>Q237</f>
        <v>0</v>
      </c>
      <c r="R56" s="2412">
        <f>R237</f>
        <v>0</v>
      </c>
      <c r="S56" s="2418"/>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row>
    <row r="57" spans="1:43" customFormat="1" ht="18" customHeight="1">
      <c r="A57" s="69"/>
      <c r="B57" s="1765" t="s">
        <v>540</v>
      </c>
      <c r="C57" s="1213"/>
      <c r="D57" s="1213"/>
      <c r="E57" s="1213"/>
      <c r="F57" s="1213"/>
      <c r="G57" s="1213"/>
      <c r="H57" s="1213"/>
      <c r="I57" s="1216">
        <v>0</v>
      </c>
      <c r="J57" s="1216">
        <v>0</v>
      </c>
      <c r="K57" s="1216">
        <v>0</v>
      </c>
      <c r="L57" s="1216">
        <v>0</v>
      </c>
      <c r="M57" s="1216">
        <v>889.64500905999989</v>
      </c>
      <c r="N57" s="1217">
        <f>N244</f>
        <v>889.64500905999989</v>
      </c>
      <c r="O57" s="1217">
        <f>O244</f>
        <v>889.64500905999989</v>
      </c>
      <c r="P57" s="1217">
        <f>P244</f>
        <v>889.64500905999989</v>
      </c>
      <c r="Q57" s="1217">
        <f>Q244</f>
        <v>889.64500905999989</v>
      </c>
      <c r="R57" s="2412">
        <f>R244</f>
        <v>889.64500905999989</v>
      </c>
      <c r="S57" s="2418"/>
      <c r="T57" s="40"/>
      <c r="U57" s="40"/>
      <c r="V57" s="40"/>
      <c r="W57" s="40"/>
      <c r="X57" s="40"/>
      <c r="Y57" s="40"/>
      <c r="Z57" s="40"/>
      <c r="AA57" s="40"/>
      <c r="AB57" s="40"/>
      <c r="AC57" s="40"/>
      <c r="AD57" s="40"/>
      <c r="AE57" s="40"/>
      <c r="AF57" s="40"/>
      <c r="AG57" s="40"/>
      <c r="AH57" s="40"/>
      <c r="AI57" s="40"/>
      <c r="AJ57" s="40"/>
      <c r="AK57" s="40"/>
      <c r="AL57" s="40"/>
      <c r="AM57" s="40"/>
      <c r="AN57" s="40"/>
      <c r="AO57" s="40"/>
      <c r="AP57" s="40"/>
      <c r="AQ57" s="40"/>
    </row>
    <row r="58" spans="1:43" customFormat="1" ht="18" customHeight="1">
      <c r="A58" s="69"/>
      <c r="B58" s="1765" t="s">
        <v>307</v>
      </c>
      <c r="C58" s="1213"/>
      <c r="D58" s="1213"/>
      <c r="E58" s="1213"/>
      <c r="F58" s="1213"/>
      <c r="G58" s="1213"/>
      <c r="H58" s="1213"/>
      <c r="I58" s="1216">
        <v>19.085265039999999</v>
      </c>
      <c r="J58" s="1216">
        <v>16.740403010000001</v>
      </c>
      <c r="K58" s="1216">
        <v>14.39554098</v>
      </c>
      <c r="L58" s="1216">
        <v>15.05067895</v>
      </c>
      <c r="M58" s="1216">
        <v>24.685816920000001</v>
      </c>
      <c r="N58" s="1217">
        <f>N252</f>
        <v>24.685816920000001</v>
      </c>
      <c r="O58" s="1217">
        <f>O252</f>
        <v>24.685816920000001</v>
      </c>
      <c r="P58" s="1217">
        <f>P252</f>
        <v>24.685816920000001</v>
      </c>
      <c r="Q58" s="1217">
        <f>Q252</f>
        <v>24.685816920000001</v>
      </c>
      <c r="R58" s="2412">
        <f>R252</f>
        <v>24.685816920000001</v>
      </c>
      <c r="S58" s="2418"/>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row>
    <row r="59" spans="1:43" customFormat="1" ht="18" customHeight="1">
      <c r="A59" s="69"/>
      <c r="B59" s="1767" t="s">
        <v>541</v>
      </c>
      <c r="C59" s="1235"/>
      <c r="D59" s="1235"/>
      <c r="E59" s="1235"/>
      <c r="F59" s="1235"/>
      <c r="G59" s="1235"/>
      <c r="H59" s="1235"/>
      <c r="I59" s="1216">
        <v>0</v>
      </c>
      <c r="J59" s="1216">
        <v>0</v>
      </c>
      <c r="K59" s="1216">
        <v>0</v>
      </c>
      <c r="L59" s="1216">
        <v>0</v>
      </c>
      <c r="M59" s="1216">
        <v>0</v>
      </c>
      <c r="N59" s="1217"/>
      <c r="O59" s="1217"/>
      <c r="P59" s="1217"/>
      <c r="Q59" s="1217"/>
      <c r="R59" s="2412"/>
      <c r="S59" s="2418"/>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row>
    <row r="60" spans="1:43" customFormat="1" ht="18" customHeight="1">
      <c r="A60" s="69"/>
      <c r="B60" s="1240" t="s">
        <v>1077</v>
      </c>
      <c r="C60" s="1235"/>
      <c r="D60" s="1235"/>
      <c r="E60" s="1235"/>
      <c r="F60" s="1235"/>
      <c r="G60" s="1235"/>
      <c r="H60" s="1235"/>
      <c r="I60" s="1216">
        <v>0</v>
      </c>
      <c r="J60" s="1216">
        <v>0</v>
      </c>
      <c r="K60" s="1216">
        <v>0</v>
      </c>
      <c r="L60" s="1216">
        <v>0</v>
      </c>
      <c r="M60" s="1216">
        <v>0</v>
      </c>
      <c r="N60" s="1217"/>
      <c r="O60" s="1217"/>
      <c r="P60" s="1217"/>
      <c r="Q60" s="1217"/>
      <c r="R60" s="2412"/>
      <c r="S60" s="2418"/>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row>
    <row r="61" spans="1:43" customFormat="1" ht="18" customHeight="1">
      <c r="A61" s="69"/>
      <c r="B61" s="1240" t="s">
        <v>1078</v>
      </c>
      <c r="C61" s="1235"/>
      <c r="D61" s="1235"/>
      <c r="E61" s="1235"/>
      <c r="F61" s="1235"/>
      <c r="G61" s="1235"/>
      <c r="H61" s="1235"/>
      <c r="I61" s="1216">
        <v>19.085265039999999</v>
      </c>
      <c r="J61" s="1216">
        <v>16.740403010000001</v>
      </c>
      <c r="K61" s="1216">
        <v>14.39554098</v>
      </c>
      <c r="L61" s="1216">
        <v>15.05067895</v>
      </c>
      <c r="M61" s="1216">
        <v>24.685816920000001</v>
      </c>
      <c r="N61" s="1241"/>
      <c r="O61" s="1241"/>
      <c r="P61" s="1241"/>
      <c r="Q61" s="1241"/>
      <c r="R61" s="2415"/>
      <c r="S61" s="2418"/>
      <c r="T61" s="40"/>
      <c r="U61" s="40"/>
      <c r="V61" s="40"/>
      <c r="W61" s="40"/>
      <c r="X61" s="40"/>
      <c r="Y61" s="40"/>
      <c r="Z61" s="40"/>
      <c r="AA61" s="40"/>
      <c r="AB61" s="40"/>
      <c r="AC61" s="40"/>
      <c r="AD61" s="40"/>
      <c r="AE61" s="40"/>
      <c r="AF61" s="40"/>
      <c r="AG61" s="40"/>
      <c r="AH61" s="40"/>
      <c r="AI61" s="40"/>
      <c r="AJ61" s="40"/>
      <c r="AK61" s="40"/>
      <c r="AL61" s="40"/>
      <c r="AM61" s="40"/>
      <c r="AN61" s="40"/>
      <c r="AO61" s="40"/>
      <c r="AP61" s="40"/>
      <c r="AQ61" s="40"/>
    </row>
    <row r="62" spans="1:43" customFormat="1" ht="18" customHeight="1">
      <c r="A62" s="69"/>
      <c r="B62" s="1765" t="s">
        <v>309</v>
      </c>
      <c r="C62" s="1231"/>
      <c r="D62" s="1231"/>
      <c r="E62" s="1231"/>
      <c r="F62" s="1231"/>
      <c r="G62" s="1231"/>
      <c r="H62" s="1231"/>
      <c r="I62" s="1216">
        <v>0</v>
      </c>
      <c r="J62" s="1216">
        <v>0</v>
      </c>
      <c r="K62" s="1216">
        <v>0</v>
      </c>
      <c r="L62" s="1216">
        <v>0</v>
      </c>
      <c r="M62" s="1216">
        <v>0</v>
      </c>
      <c r="N62" s="1217">
        <f>N254</f>
        <v>0</v>
      </c>
      <c r="O62" s="1217">
        <f>O254</f>
        <v>0</v>
      </c>
      <c r="P62" s="1217">
        <f>P254</f>
        <v>0</v>
      </c>
      <c r="Q62" s="1217">
        <f>Q254</f>
        <v>0</v>
      </c>
      <c r="R62" s="2412">
        <f>R254</f>
        <v>0</v>
      </c>
      <c r="S62" s="2418"/>
      <c r="T62" s="40"/>
      <c r="U62" s="40"/>
      <c r="V62" s="40"/>
      <c r="W62" s="40"/>
      <c r="X62" s="40"/>
      <c r="Y62" s="40"/>
      <c r="Z62" s="40"/>
      <c r="AA62" s="40"/>
      <c r="AB62" s="40"/>
      <c r="AC62" s="40"/>
      <c r="AD62" s="40"/>
      <c r="AE62" s="40"/>
      <c r="AF62" s="40"/>
      <c r="AG62" s="40"/>
      <c r="AH62" s="40"/>
      <c r="AI62" s="40"/>
      <c r="AJ62" s="40"/>
      <c r="AK62" s="40"/>
      <c r="AL62" s="40"/>
      <c r="AM62" s="40"/>
      <c r="AN62" s="40"/>
      <c r="AO62" s="40"/>
      <c r="AP62" s="40"/>
      <c r="AQ62" s="40"/>
    </row>
    <row r="63" spans="1:43" customFormat="1" ht="18" customHeight="1">
      <c r="A63" s="69"/>
      <c r="B63" s="1765" t="s">
        <v>1586</v>
      </c>
      <c r="C63" s="1231"/>
      <c r="D63" s="1231"/>
      <c r="E63" s="1231"/>
      <c r="F63" s="1231"/>
      <c r="G63" s="1231"/>
      <c r="H63" s="1231"/>
      <c r="I63" s="1216">
        <v>0</v>
      </c>
      <c r="J63" s="1216">
        <v>0</v>
      </c>
      <c r="K63" s="1216">
        <v>0</v>
      </c>
      <c r="L63" s="1216">
        <v>0</v>
      </c>
      <c r="M63" s="1216">
        <v>0</v>
      </c>
      <c r="N63" s="1217">
        <f>N256</f>
        <v>9.2370555648813024E-14</v>
      </c>
      <c r="O63" s="1217">
        <f>O256</f>
        <v>9.2370555648813024E-14</v>
      </c>
      <c r="P63" s="1217">
        <f>P256</f>
        <v>9.2370555648813024E-14</v>
      </c>
      <c r="Q63" s="1217">
        <f>Q256</f>
        <v>9.2370555648813024E-14</v>
      </c>
      <c r="R63" s="2412">
        <f>R256</f>
        <v>9.2370555648813024E-14</v>
      </c>
      <c r="S63" s="2418"/>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row>
    <row r="64" spans="1:43" customFormat="1" ht="18" customHeight="1">
      <c r="A64" s="69"/>
      <c r="B64" s="2174" t="s">
        <v>1361</v>
      </c>
      <c r="C64" s="1225"/>
      <c r="D64" s="1225"/>
      <c r="E64" s="1225"/>
      <c r="F64" s="1225"/>
      <c r="G64" s="1225"/>
      <c r="H64" s="1225"/>
      <c r="I64" s="1228">
        <v>19.085265039999999</v>
      </c>
      <c r="J64" s="1228">
        <v>16.740403010000001</v>
      </c>
      <c r="K64" s="1228">
        <v>14.39554098</v>
      </c>
      <c r="L64" s="1228">
        <v>15.05067895</v>
      </c>
      <c r="M64" s="1228">
        <v>914.33082597999999</v>
      </c>
      <c r="N64" s="1229">
        <f>N258</f>
        <v>914.33082597999999</v>
      </c>
      <c r="O64" s="1229">
        <f>O258</f>
        <v>914.33082597999999</v>
      </c>
      <c r="P64" s="1229">
        <f>P258</f>
        <v>914.33082597999999</v>
      </c>
      <c r="Q64" s="1229">
        <f>Q258</f>
        <v>914.33082597999999</v>
      </c>
      <c r="R64" s="2413">
        <f>R258</f>
        <v>914.33082597999999</v>
      </c>
      <c r="S64" s="2418"/>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row>
    <row r="65" spans="1:43" customFormat="1" ht="18" customHeight="1">
      <c r="A65" s="69"/>
      <c r="B65" s="2174" t="s">
        <v>1367</v>
      </c>
      <c r="C65" s="1238"/>
      <c r="D65" s="1238"/>
      <c r="E65" s="1238"/>
      <c r="F65" s="1238"/>
      <c r="G65" s="1238"/>
      <c r="H65" s="1238"/>
      <c r="I65" s="1228">
        <v>566.44700621000004</v>
      </c>
      <c r="J65" s="1228">
        <v>655.06563959000005</v>
      </c>
      <c r="K65" s="1228">
        <v>674.52440387000001</v>
      </c>
      <c r="L65" s="1228">
        <v>900.19309188</v>
      </c>
      <c r="M65" s="1228">
        <v>1775.8634351300002</v>
      </c>
      <c r="N65" s="1229">
        <f ca="1">N260</f>
        <v>2162.0301589446171</v>
      </c>
      <c r="O65" s="1229">
        <f ca="1">O260</f>
        <v>4548.1060443358401</v>
      </c>
      <c r="P65" s="1229">
        <f ca="1">P260</f>
        <v>6801.276460353537</v>
      </c>
      <c r="Q65" s="1229">
        <f ca="1">Q260</f>
        <v>8980.5319123616027</v>
      </c>
      <c r="R65" s="2413">
        <f ca="1">R260</f>
        <v>11253.899608625239</v>
      </c>
      <c r="S65" s="2418"/>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row>
    <row r="66" spans="1:43" customFormat="1" ht="18" customHeight="1">
      <c r="A66" s="69"/>
      <c r="B66" s="2176"/>
      <c r="C66" s="1238"/>
      <c r="D66" s="1238"/>
      <c r="E66" s="1238"/>
      <c r="F66" s="1238"/>
      <c r="G66" s="1238"/>
      <c r="H66" s="1238"/>
      <c r="I66" s="1216"/>
      <c r="J66" s="1216"/>
      <c r="K66" s="1216"/>
      <c r="L66" s="1216"/>
      <c r="M66" s="1216"/>
      <c r="N66" s="1217"/>
      <c r="O66" s="1217"/>
      <c r="P66" s="1217"/>
      <c r="Q66" s="1217"/>
      <c r="R66" s="2412"/>
      <c r="S66" s="2418"/>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row>
    <row r="67" spans="1:43" customFormat="1" ht="18" customHeight="1">
      <c r="A67" s="69"/>
      <c r="B67" s="1765" t="s">
        <v>1362</v>
      </c>
      <c r="C67" s="1213"/>
      <c r="D67" s="1213"/>
      <c r="E67" s="1213"/>
      <c r="F67" s="1213"/>
      <c r="G67" s="1213"/>
      <c r="H67" s="1213"/>
      <c r="I67" s="1216">
        <v>402</v>
      </c>
      <c r="J67" s="1216">
        <v>402</v>
      </c>
      <c r="K67" s="1216">
        <v>402</v>
      </c>
      <c r="L67" s="1216">
        <v>522.6</v>
      </c>
      <c r="M67" s="1216">
        <v>522.6</v>
      </c>
      <c r="N67" s="1217">
        <f>N265</f>
        <v>522.6</v>
      </c>
      <c r="O67" s="1217">
        <f>O265</f>
        <v>522.6</v>
      </c>
      <c r="P67" s="1217">
        <f>P265</f>
        <v>522.6</v>
      </c>
      <c r="Q67" s="1217">
        <f>Q265</f>
        <v>522.6</v>
      </c>
      <c r="R67" s="2412">
        <f>R265</f>
        <v>522.6</v>
      </c>
      <c r="S67" s="2418"/>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row>
    <row r="68" spans="1:43" customFormat="1" ht="18" customHeight="1">
      <c r="A68" s="69"/>
      <c r="B68" s="1765" t="s">
        <v>1139</v>
      </c>
      <c r="C68" s="1213"/>
      <c r="D68" s="1213"/>
      <c r="E68" s="1213"/>
      <c r="F68" s="1213"/>
      <c r="G68" s="1213"/>
      <c r="H68" s="1213"/>
      <c r="I68" s="1216">
        <v>0</v>
      </c>
      <c r="J68" s="1216">
        <v>0</v>
      </c>
      <c r="K68" s="1216">
        <v>0</v>
      </c>
      <c r="L68" s="1216">
        <v>0</v>
      </c>
      <c r="M68" s="1216">
        <v>207.44708469999998</v>
      </c>
      <c r="N68" s="1217">
        <f>N276</f>
        <v>0</v>
      </c>
      <c r="O68" s="1217">
        <f>O276</f>
        <v>0</v>
      </c>
      <c r="P68" s="1217">
        <f>P276</f>
        <v>0</v>
      </c>
      <c r="Q68" s="1217">
        <f>Q276</f>
        <v>0</v>
      </c>
      <c r="R68" s="2412">
        <f>R276</f>
        <v>0</v>
      </c>
      <c r="S68" s="2418"/>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row>
    <row r="69" spans="1:43" customFormat="1" ht="18" customHeight="1">
      <c r="A69" s="69"/>
      <c r="B69" s="1765" t="s">
        <v>144</v>
      </c>
      <c r="C69" s="1213"/>
      <c r="D69" s="1213"/>
      <c r="E69" s="1213"/>
      <c r="F69" s="1213"/>
      <c r="G69" s="1213"/>
      <c r="H69" s="1213"/>
      <c r="I69" s="1216">
        <v>1511.8309422100001</v>
      </c>
      <c r="J69" s="1216">
        <v>1511.8056089300001</v>
      </c>
      <c r="K69" s="1216">
        <v>1511.8056089300001</v>
      </c>
      <c r="L69" s="1216">
        <v>1391.01031685</v>
      </c>
      <c r="M69" s="1216">
        <v>1391.01031685</v>
      </c>
      <c r="N69" s="1217">
        <f>N278</f>
        <v>1391.01031685</v>
      </c>
      <c r="O69" s="1217">
        <f>O278</f>
        <v>1391.01031685</v>
      </c>
      <c r="P69" s="1217">
        <f>P278</f>
        <v>1391.01031685</v>
      </c>
      <c r="Q69" s="1217">
        <f>Q278</f>
        <v>1391.01031685</v>
      </c>
      <c r="R69" s="2412">
        <f>R278</f>
        <v>1391.01031685</v>
      </c>
      <c r="S69" s="2418"/>
      <c r="T69" s="40"/>
      <c r="U69" s="40"/>
      <c r="V69" s="40"/>
      <c r="W69" s="40"/>
      <c r="X69" s="40"/>
      <c r="Y69" s="40"/>
      <c r="Z69" s="40"/>
      <c r="AA69" s="40"/>
      <c r="AB69" s="40"/>
      <c r="AC69" s="40"/>
      <c r="AD69" s="40"/>
      <c r="AE69" s="40"/>
      <c r="AF69" s="40"/>
      <c r="AG69" s="40"/>
      <c r="AH69" s="40"/>
      <c r="AI69" s="40"/>
      <c r="AJ69" s="40"/>
      <c r="AK69" s="40"/>
      <c r="AL69" s="40"/>
      <c r="AM69" s="40"/>
      <c r="AN69" s="40"/>
      <c r="AO69" s="40"/>
      <c r="AP69" s="40"/>
      <c r="AQ69" s="40"/>
    </row>
    <row r="70" spans="1:43" customFormat="1" ht="18" customHeight="1">
      <c r="A70" s="69"/>
      <c r="B70" s="1767" t="s">
        <v>542</v>
      </c>
      <c r="C70" s="1235"/>
      <c r="D70" s="1235"/>
      <c r="E70" s="1235"/>
      <c r="F70" s="1235"/>
      <c r="G70" s="1235"/>
      <c r="H70" s="1235"/>
      <c r="I70" s="1216">
        <v>0</v>
      </c>
      <c r="J70" s="1216">
        <v>0</v>
      </c>
      <c r="K70" s="1216">
        <v>0</v>
      </c>
      <c r="L70" s="1216">
        <v>0</v>
      </c>
      <c r="M70" s="1216">
        <v>0</v>
      </c>
      <c r="N70" s="1217">
        <f>N290</f>
        <v>0</v>
      </c>
      <c r="O70" s="1217">
        <f>O290</f>
        <v>0</v>
      </c>
      <c r="P70" s="1217">
        <f>P290</f>
        <v>0</v>
      </c>
      <c r="Q70" s="1217">
        <f>Q290</f>
        <v>0</v>
      </c>
      <c r="R70" s="2412">
        <f>R290</f>
        <v>0</v>
      </c>
      <c r="S70" s="2418"/>
      <c r="T70" s="40"/>
      <c r="U70" s="40"/>
      <c r="V70" s="40"/>
      <c r="W70" s="40"/>
      <c r="X70" s="40"/>
      <c r="Y70" s="40"/>
      <c r="Z70" s="40"/>
      <c r="AA70" s="40"/>
      <c r="AB70" s="40"/>
      <c r="AC70" s="40"/>
      <c r="AD70" s="40"/>
      <c r="AE70" s="40"/>
      <c r="AF70" s="40"/>
      <c r="AG70" s="40"/>
      <c r="AH70" s="40"/>
      <c r="AI70" s="40"/>
      <c r="AJ70" s="40"/>
      <c r="AK70" s="40"/>
      <c r="AL70" s="40"/>
      <c r="AM70" s="40"/>
      <c r="AN70" s="40"/>
      <c r="AO70" s="40"/>
      <c r="AP70" s="40"/>
      <c r="AQ70" s="40"/>
    </row>
    <row r="71" spans="1:43" customFormat="1" ht="18" customHeight="1">
      <c r="A71" s="69"/>
      <c r="B71" s="1765" t="s">
        <v>1140</v>
      </c>
      <c r="C71" s="1235"/>
      <c r="D71" s="1235"/>
      <c r="E71" s="1235"/>
      <c r="F71" s="1235"/>
      <c r="G71" s="1235"/>
      <c r="H71" s="1235"/>
      <c r="I71" s="1216">
        <v>0</v>
      </c>
      <c r="J71" s="1216">
        <v>5.1555380900000003</v>
      </c>
      <c r="K71" s="1216">
        <v>8.8457204300000001</v>
      </c>
      <c r="L71" s="1216">
        <v>25.982193670000001</v>
      </c>
      <c r="M71" s="1216">
        <v>67.738098900000011</v>
      </c>
      <c r="N71" s="1217">
        <f>N292</f>
        <v>67.738098900000011</v>
      </c>
      <c r="O71" s="1217">
        <f>O292</f>
        <v>67.738098900000011</v>
      </c>
      <c r="P71" s="1217">
        <f>P292</f>
        <v>67.738098900000011</v>
      </c>
      <c r="Q71" s="1217">
        <f>Q292</f>
        <v>67.738098900000011</v>
      </c>
      <c r="R71" s="2412">
        <f>R292</f>
        <v>67.738098900000011</v>
      </c>
      <c r="S71" s="2418"/>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row>
    <row r="72" spans="1:43" customFormat="1" ht="18" customHeight="1">
      <c r="A72" s="69"/>
      <c r="B72" s="1765" t="s">
        <v>145</v>
      </c>
      <c r="C72" s="1213"/>
      <c r="D72" s="1213"/>
      <c r="E72" s="1213"/>
      <c r="F72" s="1213"/>
      <c r="G72" s="1213"/>
      <c r="H72" s="1213"/>
      <c r="I72" s="1216">
        <v>206.53784146000001</v>
      </c>
      <c r="J72" s="1216">
        <v>206.53784146000001</v>
      </c>
      <c r="K72" s="1216">
        <v>206.53784146000001</v>
      </c>
      <c r="L72" s="1216">
        <v>206.53784146000001</v>
      </c>
      <c r="M72" s="1216">
        <v>266.64553011999999</v>
      </c>
      <c r="N72" s="1217">
        <f ca="1">N295</f>
        <v>179.65046189506444</v>
      </c>
      <c r="O72" s="1217">
        <f ca="1">O295</f>
        <v>76.301849774120527</v>
      </c>
      <c r="P72" s="1217">
        <f ca="1">P295</f>
        <v>-26.44642462466885</v>
      </c>
      <c r="Q72" s="1217">
        <f ca="1">Q295</f>
        <v>-129.32710700269374</v>
      </c>
      <c r="R72" s="2412">
        <f ca="1">R295</f>
        <v>-232.31962996861313</v>
      </c>
      <c r="S72" s="2418"/>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row>
    <row r="73" spans="1:43" customFormat="1" ht="18" customHeight="1">
      <c r="A73" s="69"/>
      <c r="B73" s="1765" t="s">
        <v>146</v>
      </c>
      <c r="C73" s="1213"/>
      <c r="D73" s="1213"/>
      <c r="E73" s="1213"/>
      <c r="F73" s="1213"/>
      <c r="G73" s="1213"/>
      <c r="H73" s="1213"/>
      <c r="I73" s="1216">
        <v>2148.1731365000001</v>
      </c>
      <c r="J73" s="1216">
        <v>2714.50903182</v>
      </c>
      <c r="K73" s="1216">
        <v>2897.7010442300002</v>
      </c>
      <c r="L73" s="1216">
        <v>3407.7585355000001</v>
      </c>
      <c r="M73" s="1216">
        <v>4069.5436421499999</v>
      </c>
      <c r="N73" s="1217">
        <f ca="1">N301</f>
        <v>2771.3624537316136</v>
      </c>
      <c r="O73" s="1217">
        <f ca="1">O301</f>
        <v>1229.1460173049136</v>
      </c>
      <c r="P73" s="1217">
        <f ca="1">P301</f>
        <v>-304.11189821363701</v>
      </c>
      <c r="Q73" s="1217">
        <f ca="1">Q301</f>
        <v>-1839.3456676667531</v>
      </c>
      <c r="R73" s="2412">
        <f ca="1">R301</f>
        <v>-3376.248374799542</v>
      </c>
      <c r="S73" s="2418"/>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row>
    <row r="74" spans="1:43" customFormat="1" ht="18" customHeight="1">
      <c r="A74" s="69"/>
      <c r="B74" s="1765" t="s">
        <v>1429</v>
      </c>
      <c r="C74" s="1213"/>
      <c r="D74" s="1213"/>
      <c r="E74" s="1213"/>
      <c r="F74" s="1213"/>
      <c r="G74" s="1213"/>
      <c r="H74" s="1213"/>
      <c r="I74" s="1216">
        <v>0</v>
      </c>
      <c r="J74" s="1216">
        <v>0</v>
      </c>
      <c r="K74" s="1216">
        <v>0</v>
      </c>
      <c r="L74" s="1216">
        <v>0</v>
      </c>
      <c r="M74" s="1216">
        <v>0</v>
      </c>
      <c r="N74" s="1217">
        <f t="shared" ref="N74:R75" si="19">N313</f>
        <v>0</v>
      </c>
      <c r="O74" s="1217">
        <f t="shared" si="19"/>
        <v>0</v>
      </c>
      <c r="P74" s="1217">
        <f t="shared" si="19"/>
        <v>0</v>
      </c>
      <c r="Q74" s="1217">
        <f t="shared" si="19"/>
        <v>0</v>
      </c>
      <c r="R74" s="2412">
        <f t="shared" si="19"/>
        <v>0</v>
      </c>
      <c r="S74" s="2418"/>
      <c r="T74" s="40"/>
      <c r="U74" s="40"/>
      <c r="V74" s="40"/>
      <c r="W74" s="40"/>
      <c r="X74" s="40"/>
      <c r="Y74" s="40"/>
      <c r="Z74" s="40"/>
      <c r="AA74" s="40"/>
      <c r="AB74" s="40"/>
      <c r="AC74" s="40"/>
      <c r="AD74" s="40"/>
      <c r="AE74" s="40"/>
      <c r="AF74" s="40"/>
      <c r="AG74" s="40"/>
      <c r="AH74" s="40"/>
      <c r="AI74" s="40"/>
      <c r="AJ74" s="40"/>
      <c r="AK74" s="40"/>
      <c r="AL74" s="40"/>
      <c r="AM74" s="40"/>
      <c r="AN74" s="40"/>
      <c r="AO74" s="40"/>
      <c r="AP74" s="40"/>
      <c r="AQ74" s="40"/>
    </row>
    <row r="75" spans="1:43" customFormat="1" ht="18" customHeight="1">
      <c r="A75" s="69"/>
      <c r="B75" s="1765" t="s">
        <v>1079</v>
      </c>
      <c r="C75" s="1213"/>
      <c r="D75" s="1213"/>
      <c r="E75" s="1213"/>
      <c r="F75" s="1213"/>
      <c r="G75" s="1213"/>
      <c r="H75" s="1213"/>
      <c r="I75" s="1228">
        <v>4268.5419201700006</v>
      </c>
      <c r="J75" s="1228">
        <v>4840.0080202999998</v>
      </c>
      <c r="K75" s="1228">
        <v>5026.8902150499989</v>
      </c>
      <c r="L75" s="1228">
        <v>5553.8888874800004</v>
      </c>
      <c r="M75" s="1228">
        <v>6524.9846727200002</v>
      </c>
      <c r="N75" s="1229">
        <f t="shared" ca="1" si="19"/>
        <v>4932.3613313766782</v>
      </c>
      <c r="O75" s="1229">
        <f t="shared" ca="1" si="19"/>
        <v>3286.7962828290338</v>
      </c>
      <c r="P75" s="1229">
        <f t="shared" ca="1" si="19"/>
        <v>1650.790092911694</v>
      </c>
      <c r="Q75" s="1229">
        <f t="shared" ca="1" si="19"/>
        <v>12.675641080553021</v>
      </c>
      <c r="R75" s="2413">
        <f t="shared" ca="1" si="19"/>
        <v>-1627.2195890181551</v>
      </c>
      <c r="S75" s="2418"/>
      <c r="T75" s="40"/>
      <c r="U75" s="40"/>
      <c r="V75" s="40"/>
      <c r="W75" s="40"/>
      <c r="X75" s="40"/>
      <c r="Y75" s="40"/>
      <c r="Z75" s="40"/>
      <c r="AA75" s="40"/>
      <c r="AB75" s="40"/>
      <c r="AC75" s="40"/>
      <c r="AD75" s="40"/>
      <c r="AE75" s="40"/>
      <c r="AF75" s="40"/>
      <c r="AG75" s="40"/>
      <c r="AH75" s="40"/>
      <c r="AI75" s="40"/>
      <c r="AJ75" s="40"/>
      <c r="AK75" s="40"/>
      <c r="AL75" s="40"/>
      <c r="AM75" s="40"/>
      <c r="AN75" s="40"/>
      <c r="AO75" s="40"/>
      <c r="AP75" s="40"/>
      <c r="AQ75" s="40"/>
    </row>
    <row r="76" spans="1:43" customFormat="1" ht="18" customHeight="1">
      <c r="A76" s="69"/>
      <c r="B76" s="1765" t="s">
        <v>543</v>
      </c>
      <c r="C76" s="1213"/>
      <c r="D76" s="1213"/>
      <c r="E76" s="1213"/>
      <c r="F76" s="1213"/>
      <c r="G76" s="1213"/>
      <c r="H76" s="1213"/>
      <c r="I76" s="1216">
        <v>-1.9081500000000002E-3</v>
      </c>
      <c r="J76" s="1216">
        <v>1.44294382</v>
      </c>
      <c r="K76" s="1216">
        <v>1.9503019799999999</v>
      </c>
      <c r="L76" s="1216">
        <v>1.8358173</v>
      </c>
      <c r="M76" s="1216">
        <v>4.2588337699999999</v>
      </c>
      <c r="N76" s="1217">
        <f ca="1">N316</f>
        <v>7.1925278516444759</v>
      </c>
      <c r="O76" s="1217">
        <f ca="1">O316</f>
        <v>10.67770486123591</v>
      </c>
      <c r="P76" s="1217">
        <f ca="1">P316</f>
        <v>14.142636962024939</v>
      </c>
      <c r="Q76" s="1217">
        <f ca="1">Q316</f>
        <v>17.612034195297589</v>
      </c>
      <c r="R76" s="2412">
        <f ca="1">R316</f>
        <v>21.085202976515294</v>
      </c>
      <c r="S76" s="2418"/>
      <c r="T76" s="40"/>
      <c r="U76" s="40"/>
      <c r="V76" s="40"/>
      <c r="W76" s="40"/>
      <c r="X76" s="40"/>
      <c r="Y76" s="40"/>
      <c r="Z76" s="40"/>
      <c r="AA76" s="40"/>
      <c r="AB76" s="40"/>
      <c r="AC76" s="40"/>
      <c r="AD76" s="40"/>
      <c r="AE76" s="40"/>
      <c r="AF76" s="40"/>
      <c r="AG76" s="40"/>
      <c r="AH76" s="40"/>
      <c r="AI76" s="40"/>
      <c r="AJ76" s="40"/>
      <c r="AK76" s="40"/>
      <c r="AL76" s="40"/>
      <c r="AM76" s="40"/>
      <c r="AN76" s="40"/>
      <c r="AO76" s="40"/>
      <c r="AP76" s="40"/>
      <c r="AQ76" s="40"/>
    </row>
    <row r="77" spans="1:43" customFormat="1" ht="18" customHeight="1">
      <c r="A77" s="69"/>
      <c r="B77" s="2174" t="s">
        <v>1363</v>
      </c>
      <c r="C77" s="1238"/>
      <c r="D77" s="1238"/>
      <c r="E77" s="1238"/>
      <c r="F77" s="1238"/>
      <c r="G77" s="1238"/>
      <c r="H77" s="1238"/>
      <c r="I77" s="1216">
        <v>4268.5400120200002</v>
      </c>
      <c r="J77" s="1216">
        <v>4841.4509641200002</v>
      </c>
      <c r="K77" s="1216">
        <v>5028.8405170299993</v>
      </c>
      <c r="L77" s="1216">
        <v>5555.7247047800001</v>
      </c>
      <c r="M77" s="1216">
        <v>6529.2435064900001</v>
      </c>
      <c r="N77" s="1217">
        <f ca="1">N319</f>
        <v>4939.5538592283228</v>
      </c>
      <c r="O77" s="1217">
        <f ca="1">O319</f>
        <v>3297.4739876902695</v>
      </c>
      <c r="P77" s="1217">
        <f ca="1">P319</f>
        <v>1664.9327298737189</v>
      </c>
      <c r="Q77" s="1217">
        <f ca="1">Q319</f>
        <v>30.28767527585061</v>
      </c>
      <c r="R77" s="2412">
        <f ca="1">R319</f>
        <v>-1606.1343860416398</v>
      </c>
      <c r="S77" s="2418"/>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row>
    <row r="78" spans="1:43" customFormat="1" ht="18" customHeight="1">
      <c r="A78" s="69"/>
      <c r="B78" s="2174" t="s">
        <v>1364</v>
      </c>
      <c r="C78" s="1238"/>
      <c r="D78" s="1238"/>
      <c r="E78" s="1238"/>
      <c r="F78" s="1238"/>
      <c r="G78" s="1238"/>
      <c r="H78" s="1238"/>
      <c r="I78" s="1228">
        <v>4834.9870182299992</v>
      </c>
      <c r="J78" s="1228">
        <v>5496.5166037099998</v>
      </c>
      <c r="K78" s="1228">
        <v>5703.3649208999996</v>
      </c>
      <c r="L78" s="1228">
        <v>6455.91779666</v>
      </c>
      <c r="M78" s="1228">
        <v>8305.1069416200007</v>
      </c>
      <c r="N78" s="1229">
        <f ca="1">N65+N77</f>
        <v>7101.58401817294</v>
      </c>
      <c r="O78" s="1229">
        <f ca="1">O65+O77</f>
        <v>7845.5800320261096</v>
      </c>
      <c r="P78" s="1229">
        <f ca="1">P65+P77</f>
        <v>8466.209190227255</v>
      </c>
      <c r="Q78" s="1229">
        <f ca="1">Q65+Q77</f>
        <v>9010.8195876374539</v>
      </c>
      <c r="R78" s="2413">
        <f ca="1">R65+R77</f>
        <v>9647.7652225835991</v>
      </c>
      <c r="S78" s="2418"/>
      <c r="T78" s="40"/>
      <c r="U78" s="40"/>
      <c r="V78" s="40"/>
      <c r="W78" s="40"/>
      <c r="X78" s="40"/>
      <c r="Y78" s="40"/>
      <c r="Z78" s="40"/>
      <c r="AA78" s="40"/>
      <c r="AB78" s="40"/>
      <c r="AC78" s="40"/>
      <c r="AD78" s="40"/>
      <c r="AE78" s="40"/>
      <c r="AF78" s="40"/>
      <c r="AG78" s="40"/>
      <c r="AH78" s="40"/>
      <c r="AI78" s="40"/>
      <c r="AJ78" s="40"/>
      <c r="AK78" s="40"/>
      <c r="AL78" s="40"/>
      <c r="AM78" s="40"/>
      <c r="AN78" s="40"/>
      <c r="AO78" s="40"/>
      <c r="AP78" s="40"/>
      <c r="AQ78" s="40"/>
    </row>
    <row r="79" spans="1:43" customFormat="1" ht="18" customHeight="1">
      <c r="A79" s="69"/>
      <c r="B79" s="2174"/>
      <c r="C79" s="1213"/>
      <c r="D79" s="1213"/>
      <c r="E79" s="1213"/>
      <c r="F79" s="1213"/>
      <c r="G79" s="1213"/>
      <c r="H79" s="1214"/>
      <c r="I79" s="1236"/>
      <c r="J79" s="1242"/>
      <c r="K79" s="1242"/>
      <c r="L79" s="1242"/>
      <c r="M79" s="1242"/>
      <c r="N79" s="1242"/>
      <c r="O79" s="1242"/>
      <c r="P79" s="1242"/>
      <c r="Q79" s="1242"/>
      <c r="R79" s="2416"/>
      <c r="S79" s="2418"/>
      <c r="T79" s="40"/>
      <c r="U79" s="40"/>
      <c r="V79" s="40"/>
      <c r="W79" s="40"/>
      <c r="X79" s="40"/>
      <c r="Y79" s="40"/>
      <c r="Z79" s="40"/>
      <c r="AA79" s="40"/>
      <c r="AB79" s="40"/>
      <c r="AC79" s="40"/>
      <c r="AD79" s="40"/>
      <c r="AE79" s="40"/>
      <c r="AF79" s="40"/>
      <c r="AG79" s="40"/>
      <c r="AH79" s="40"/>
      <c r="AI79" s="40"/>
      <c r="AJ79" s="40"/>
      <c r="AK79" s="40"/>
      <c r="AL79" s="40"/>
      <c r="AM79" s="40"/>
      <c r="AN79" s="40"/>
      <c r="AO79" s="40"/>
      <c r="AP79" s="40"/>
      <c r="AQ79" s="40"/>
    </row>
    <row r="80" spans="1:43" customFormat="1" ht="18" customHeight="1" thickBot="1">
      <c r="A80" s="70"/>
      <c r="B80" s="2177" t="s">
        <v>544</v>
      </c>
      <c r="C80" s="1243"/>
      <c r="D80" s="1243"/>
      <c r="E80" s="1243"/>
      <c r="F80" s="1243"/>
      <c r="G80" s="1243"/>
      <c r="H80" s="1244"/>
      <c r="I80" s="1689">
        <f t="shared" ref="I80:R80" si="20">I216-I260-I319</f>
        <v>0</v>
      </c>
      <c r="J80" s="1689">
        <f t="shared" si="20"/>
        <v>0</v>
      </c>
      <c r="K80" s="1689">
        <f t="shared" si="20"/>
        <v>0</v>
      </c>
      <c r="L80" s="1689">
        <f t="shared" si="20"/>
        <v>0</v>
      </c>
      <c r="M80" s="1689">
        <f t="shared" si="20"/>
        <v>0</v>
      </c>
      <c r="N80" s="1689">
        <f t="shared" ca="1" si="20"/>
        <v>0</v>
      </c>
      <c r="O80" s="1689">
        <f t="shared" ca="1" si="20"/>
        <v>0</v>
      </c>
      <c r="P80" s="1689">
        <f t="shared" ca="1" si="20"/>
        <v>0</v>
      </c>
      <c r="Q80" s="1689">
        <f t="shared" ca="1" si="20"/>
        <v>-1.2860823517257813E-12</v>
      </c>
      <c r="R80" s="2417">
        <f t="shared" ca="1" si="20"/>
        <v>0</v>
      </c>
      <c r="S80" s="2418"/>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row>
    <row r="81" spans="1:43" customFormat="1" ht="18" customHeight="1" thickBot="1">
      <c r="A81" s="70"/>
      <c r="B81" s="1245"/>
      <c r="C81" s="1245"/>
      <c r="D81" s="1245"/>
      <c r="E81" s="1245"/>
      <c r="F81" s="1245"/>
      <c r="G81" s="1245"/>
      <c r="H81" s="1245"/>
      <c r="I81" s="1246"/>
      <c r="J81" s="1246"/>
      <c r="K81" s="1246"/>
      <c r="L81" s="1246"/>
      <c r="M81" s="1246"/>
      <c r="N81" s="1247"/>
      <c r="O81" s="1247"/>
      <c r="P81" s="1247"/>
      <c r="Q81" s="1247"/>
      <c r="R81" s="1248"/>
      <c r="S81" s="40"/>
      <c r="T81" s="40"/>
      <c r="U81" s="40"/>
      <c r="V81" s="40"/>
      <c r="W81" s="40"/>
      <c r="X81" s="40"/>
      <c r="Y81" s="40"/>
      <c r="Z81" s="40"/>
      <c r="AA81" s="40"/>
      <c r="AB81" s="40"/>
      <c r="AC81" s="40"/>
      <c r="AD81" s="40"/>
      <c r="AE81" s="40"/>
      <c r="AF81" s="40"/>
      <c r="AG81" s="40"/>
      <c r="AH81" s="40"/>
      <c r="AI81" s="40"/>
      <c r="AJ81" s="40"/>
      <c r="AK81" s="40"/>
      <c r="AL81" s="40"/>
      <c r="AM81" s="40"/>
      <c r="AN81" s="40"/>
      <c r="AO81" s="40"/>
      <c r="AP81" s="40"/>
      <c r="AQ81" s="40"/>
    </row>
    <row r="82" spans="1:43" customFormat="1" ht="18" hidden="1" customHeight="1">
      <c r="A82" s="243"/>
      <c r="B82" s="426" t="s">
        <v>545</v>
      </c>
      <c r="C82" s="1249"/>
      <c r="D82" s="1249"/>
      <c r="E82" s="1249"/>
      <c r="F82" s="1249"/>
      <c r="G82" s="1249"/>
      <c r="H82" s="1249"/>
      <c r="I82" s="1250"/>
      <c r="J82" s="1250"/>
      <c r="K82" s="1250"/>
      <c r="L82" s="1250"/>
      <c r="M82" s="1251"/>
      <c r="N82" s="1247"/>
      <c r="O82" s="1247"/>
      <c r="P82" s="1247"/>
      <c r="Q82" s="1247"/>
      <c r="R82" s="1247"/>
      <c r="S82" s="40"/>
      <c r="T82" s="40"/>
      <c r="U82" s="40"/>
      <c r="V82" s="40"/>
      <c r="W82" s="40"/>
      <c r="X82" s="40"/>
      <c r="Y82" s="40"/>
      <c r="Z82" s="40"/>
      <c r="AA82" s="40"/>
      <c r="AB82" s="40"/>
      <c r="AC82" s="40"/>
      <c r="AD82" s="40"/>
      <c r="AE82" s="40"/>
      <c r="AF82" s="40"/>
      <c r="AG82" s="40"/>
      <c r="AH82" s="40"/>
      <c r="AI82" s="40"/>
      <c r="AJ82" s="40"/>
      <c r="AK82" s="40"/>
      <c r="AL82" s="40"/>
      <c r="AM82" s="40"/>
      <c r="AN82" s="40"/>
      <c r="AO82" s="40"/>
      <c r="AP82" s="40"/>
      <c r="AQ82" s="40"/>
    </row>
    <row r="83" spans="1:43" customFormat="1" ht="18" hidden="1" customHeight="1">
      <c r="A83" s="243"/>
      <c r="B83" s="1252"/>
      <c r="C83" s="1253"/>
      <c r="D83" s="1253"/>
      <c r="E83" s="1253"/>
      <c r="F83" s="1253"/>
      <c r="G83" s="1253"/>
      <c r="H83" s="1254"/>
      <c r="I83" s="1255">
        <f>I3</f>
        <v>2015</v>
      </c>
      <c r="J83" s="1256">
        <f>J3</f>
        <v>2016</v>
      </c>
      <c r="K83" s="1256">
        <f>K3</f>
        <v>2017</v>
      </c>
      <c r="L83" s="1256">
        <f>L3</f>
        <v>2018</v>
      </c>
      <c r="M83" s="1257">
        <f>M3</f>
        <v>2019</v>
      </c>
      <c r="N83" s="1247"/>
      <c r="O83" s="1247"/>
      <c r="P83" s="1247"/>
      <c r="Q83" s="1247"/>
      <c r="R83" s="1247"/>
      <c r="S83" s="40"/>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row>
    <row r="84" spans="1:43" customFormat="1" ht="18" hidden="1" customHeight="1">
      <c r="A84" s="243"/>
      <c r="B84" s="1258" t="s">
        <v>546</v>
      </c>
      <c r="C84" s="1259"/>
      <c r="D84" s="1259"/>
      <c r="E84" s="1259"/>
      <c r="F84" s="1259"/>
      <c r="G84" s="1259"/>
      <c r="H84" s="1260"/>
      <c r="I84" s="1261">
        <v>0</v>
      </c>
      <c r="J84" s="1262">
        <v>0</v>
      </c>
      <c r="K84" s="1262">
        <v>0</v>
      </c>
      <c r="L84" s="1262">
        <v>0</v>
      </c>
      <c r="M84" s="1263">
        <v>0</v>
      </c>
      <c r="N84" s="1247"/>
      <c r="O84" s="1247"/>
      <c r="P84" s="1247"/>
      <c r="Q84" s="1247"/>
      <c r="R84" s="1247"/>
      <c r="S84" s="40"/>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row>
    <row r="85" spans="1:43" customFormat="1" ht="18" hidden="1" customHeight="1">
      <c r="A85" s="243"/>
      <c r="B85" s="1221" t="s">
        <v>547</v>
      </c>
      <c r="C85" s="1223"/>
      <c r="D85" s="1223"/>
      <c r="E85" s="1223"/>
      <c r="F85" s="1223"/>
      <c r="G85" s="1223"/>
      <c r="H85" s="1224"/>
      <c r="I85" s="1215">
        <v>2.4605061699999999</v>
      </c>
      <c r="J85" s="1264">
        <v>0</v>
      </c>
      <c r="K85" s="1264">
        <v>0</v>
      </c>
      <c r="L85" s="1264">
        <v>0</v>
      </c>
      <c r="M85" s="1265">
        <v>0</v>
      </c>
      <c r="N85" s="1247"/>
      <c r="O85" s="1247"/>
      <c r="P85" s="1247"/>
      <c r="Q85" s="1247"/>
      <c r="R85" s="1247"/>
      <c r="S85" s="40"/>
      <c r="T85" s="40"/>
      <c r="U85" s="40"/>
      <c r="V85" s="40"/>
      <c r="W85" s="40"/>
      <c r="X85" s="40"/>
      <c r="Y85" s="40"/>
      <c r="Z85" s="40"/>
      <c r="AA85" s="40"/>
      <c r="AB85" s="40"/>
      <c r="AC85" s="40"/>
      <c r="AD85" s="40"/>
      <c r="AE85" s="40"/>
      <c r="AF85" s="40"/>
      <c r="AG85" s="40"/>
      <c r="AH85" s="40"/>
      <c r="AI85" s="40"/>
      <c r="AJ85" s="40"/>
      <c r="AK85" s="40"/>
      <c r="AL85" s="40"/>
      <c r="AM85" s="40"/>
      <c r="AN85" s="40"/>
      <c r="AO85" s="40"/>
      <c r="AP85" s="40"/>
      <c r="AQ85" s="40"/>
    </row>
    <row r="86" spans="1:43" customFormat="1" ht="18" hidden="1" customHeight="1">
      <c r="A86" s="243"/>
      <c r="B86" s="1221" t="s">
        <v>548</v>
      </c>
      <c r="C86" s="1223"/>
      <c r="D86" s="1223"/>
      <c r="E86" s="1223"/>
      <c r="F86" s="1223"/>
      <c r="G86" s="1223"/>
      <c r="H86" s="1224"/>
      <c r="I86" s="1215">
        <v>0</v>
      </c>
      <c r="J86" s="1264">
        <v>0</v>
      </c>
      <c r="K86" s="1264">
        <v>0</v>
      </c>
      <c r="L86" s="1264">
        <v>0</v>
      </c>
      <c r="M86" s="1265">
        <v>0</v>
      </c>
      <c r="N86" s="1247"/>
      <c r="O86" s="1247"/>
      <c r="P86" s="1247"/>
      <c r="Q86" s="1247"/>
      <c r="R86" s="1247"/>
      <c r="S86" s="40"/>
      <c r="T86" s="40"/>
      <c r="U86" s="40"/>
      <c r="V86" s="40"/>
      <c r="W86" s="40"/>
      <c r="X86" s="40"/>
      <c r="Y86" s="40"/>
      <c r="Z86" s="40"/>
      <c r="AA86" s="40"/>
      <c r="AB86" s="40"/>
      <c r="AC86" s="40"/>
      <c r="AD86" s="40"/>
      <c r="AE86" s="40"/>
      <c r="AF86" s="40"/>
      <c r="AG86" s="40"/>
      <c r="AH86" s="40"/>
      <c r="AI86" s="40"/>
      <c r="AJ86" s="40"/>
      <c r="AK86" s="40"/>
      <c r="AL86" s="40"/>
      <c r="AM86" s="40"/>
      <c r="AN86" s="40"/>
      <c r="AO86" s="40"/>
      <c r="AP86" s="40"/>
      <c r="AQ86" s="40"/>
    </row>
    <row r="87" spans="1:43" customFormat="1" ht="18" hidden="1" customHeight="1" thickBot="1">
      <c r="A87" s="243"/>
      <c r="B87" s="1266" t="s">
        <v>549</v>
      </c>
      <c r="C87" s="1267"/>
      <c r="D87" s="1267"/>
      <c r="E87" s="1267"/>
      <c r="F87" s="1267"/>
      <c r="G87" s="1267"/>
      <c r="H87" s="1268"/>
      <c r="I87" s="1215">
        <v>0</v>
      </c>
      <c r="J87" s="1269">
        <v>0</v>
      </c>
      <c r="K87" s="1269">
        <v>0</v>
      </c>
      <c r="L87" s="1269">
        <v>0</v>
      </c>
      <c r="M87" s="1270">
        <v>0</v>
      </c>
      <c r="N87" s="1247"/>
      <c r="O87" s="1247"/>
      <c r="P87" s="1247"/>
      <c r="Q87" s="1247"/>
      <c r="R87" s="1247"/>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row>
    <row r="88" spans="1:43" customFormat="1" ht="18" hidden="1" customHeight="1">
      <c r="A88" s="243"/>
      <c r="B88" s="1266" t="s">
        <v>550</v>
      </c>
      <c r="C88" s="1267"/>
      <c r="D88" s="1267"/>
      <c r="E88" s="1267"/>
      <c r="F88" s="1267"/>
      <c r="G88" s="1267"/>
      <c r="H88" s="1267"/>
      <c r="I88" s="1271">
        <v>10</v>
      </c>
      <c r="J88" s="1272"/>
      <c r="K88" s="1272"/>
      <c r="L88" s="1272"/>
      <c r="M88" s="1272"/>
      <c r="N88" s="1247"/>
      <c r="O88" s="1247"/>
      <c r="P88" s="1247"/>
      <c r="Q88" s="1247"/>
      <c r="R88" s="1247"/>
      <c r="S88" s="40"/>
      <c r="T88" s="40"/>
      <c r="U88" s="40"/>
      <c r="V88" s="40"/>
      <c r="W88" s="40"/>
      <c r="X88" s="40"/>
      <c r="Y88" s="40"/>
      <c r="Z88" s="40"/>
      <c r="AA88" s="40"/>
      <c r="AB88" s="40"/>
      <c r="AC88" s="40"/>
      <c r="AD88" s="40"/>
      <c r="AE88" s="40"/>
      <c r="AF88" s="40"/>
      <c r="AG88" s="40"/>
      <c r="AH88" s="40"/>
      <c r="AI88" s="40"/>
      <c r="AJ88" s="40"/>
      <c r="AK88" s="40"/>
      <c r="AL88" s="40"/>
      <c r="AM88" s="40"/>
      <c r="AN88" s="40"/>
      <c r="AO88" s="40"/>
      <c r="AP88" s="40"/>
      <c r="AQ88" s="40"/>
    </row>
    <row r="89" spans="1:43" customFormat="1" ht="18" hidden="1" customHeight="1">
      <c r="A89" s="243"/>
      <c r="B89" s="1266" t="s">
        <v>551</v>
      </c>
      <c r="C89" s="1267"/>
      <c r="D89" s="1267"/>
      <c r="E89" s="1267"/>
      <c r="F89" s="1267"/>
      <c r="G89" s="1267"/>
      <c r="H89" s="1267"/>
      <c r="I89" s="1271">
        <v>95.872509700000009</v>
      </c>
      <c r="J89" s="1272"/>
      <c r="K89" s="1272"/>
      <c r="L89" s="1272"/>
      <c r="M89" s="1272"/>
      <c r="N89" s="1247"/>
      <c r="O89" s="1247"/>
      <c r="P89" s="1247"/>
      <c r="Q89" s="1247"/>
      <c r="R89" s="1247"/>
      <c r="S89" s="40"/>
      <c r="T89" s="40"/>
      <c r="U89" s="40"/>
      <c r="V89" s="40"/>
      <c r="W89" s="40"/>
      <c r="X89" s="40"/>
      <c r="Y89" s="40"/>
      <c r="Z89" s="40"/>
      <c r="AA89" s="40"/>
      <c r="AB89" s="40"/>
      <c r="AC89" s="40"/>
      <c r="AD89" s="40"/>
      <c r="AE89" s="40"/>
      <c r="AF89" s="40"/>
      <c r="AG89" s="40"/>
      <c r="AH89" s="40"/>
      <c r="AI89" s="40"/>
      <c r="AJ89" s="40"/>
      <c r="AK89" s="40"/>
      <c r="AL89" s="40"/>
      <c r="AM89" s="40"/>
      <c r="AN89" s="40"/>
      <c r="AO89" s="40"/>
      <c r="AP89" s="40"/>
      <c r="AQ89" s="40"/>
    </row>
    <row r="90" spans="1:43" customFormat="1" ht="18" hidden="1" customHeight="1">
      <c r="A90" s="243"/>
      <c r="B90" s="1266" t="s">
        <v>552</v>
      </c>
      <c r="C90" s="1267"/>
      <c r="D90" s="1267"/>
      <c r="E90" s="1267"/>
      <c r="F90" s="1267"/>
      <c r="G90" s="1267"/>
      <c r="H90" s="1267"/>
      <c r="I90" s="1271">
        <v>9.1173099999999998</v>
      </c>
      <c r="J90" s="1272"/>
      <c r="K90" s="1272"/>
      <c r="L90" s="1272"/>
      <c r="M90" s="1272"/>
      <c r="N90" s="1247"/>
      <c r="O90" s="1247"/>
      <c r="P90" s="1247"/>
      <c r="Q90" s="1247"/>
      <c r="R90" s="1247"/>
      <c r="S90" s="40"/>
      <c r="T90" s="40"/>
      <c r="U90" s="40"/>
      <c r="V90" s="40"/>
      <c r="W90" s="40"/>
      <c r="X90" s="40"/>
      <c r="Y90" s="40"/>
      <c r="Z90" s="40"/>
      <c r="AA90" s="40"/>
      <c r="AB90" s="40"/>
      <c r="AC90" s="40"/>
      <c r="AD90" s="40"/>
      <c r="AE90" s="40"/>
      <c r="AF90" s="40"/>
      <c r="AG90" s="40"/>
      <c r="AH90" s="40"/>
      <c r="AI90" s="40"/>
      <c r="AJ90" s="40"/>
      <c r="AK90" s="40"/>
      <c r="AL90" s="40"/>
      <c r="AM90" s="40"/>
      <c r="AN90" s="40"/>
      <c r="AO90" s="40"/>
      <c r="AP90" s="40"/>
      <c r="AQ90" s="40"/>
    </row>
    <row r="91" spans="1:43" customFormat="1" ht="18" hidden="1" customHeight="1">
      <c r="A91" s="243"/>
      <c r="B91" s="1266" t="s">
        <v>553</v>
      </c>
      <c r="C91" s="1267"/>
      <c r="D91" s="1267"/>
      <c r="E91" s="1267"/>
      <c r="F91" s="1267"/>
      <c r="G91" s="1267"/>
      <c r="H91" s="1267"/>
      <c r="I91" s="1271">
        <v>0</v>
      </c>
      <c r="J91" s="1272"/>
      <c r="K91" s="1272"/>
      <c r="L91" s="1272"/>
      <c r="M91" s="1272"/>
      <c r="N91" s="1247"/>
      <c r="O91" s="1247"/>
      <c r="P91" s="1247"/>
      <c r="Q91" s="1247"/>
      <c r="R91" s="1247"/>
      <c r="S91" s="40"/>
      <c r="T91" s="40"/>
      <c r="U91" s="40"/>
      <c r="V91" s="40"/>
      <c r="W91" s="40"/>
      <c r="X91" s="40"/>
      <c r="Y91" s="40"/>
      <c r="Z91" s="40"/>
      <c r="AA91" s="40"/>
      <c r="AB91" s="40"/>
      <c r="AC91" s="40"/>
      <c r="AD91" s="40"/>
      <c r="AE91" s="40"/>
      <c r="AF91" s="40"/>
      <c r="AG91" s="40"/>
      <c r="AH91" s="40"/>
      <c r="AI91" s="40"/>
      <c r="AJ91" s="40"/>
      <c r="AK91" s="40"/>
      <c r="AL91" s="40"/>
      <c r="AM91" s="40"/>
      <c r="AN91" s="40"/>
      <c r="AO91" s="40"/>
      <c r="AP91" s="40"/>
      <c r="AQ91" s="40"/>
    </row>
    <row r="92" spans="1:43" customFormat="1" ht="18" hidden="1" customHeight="1">
      <c r="A92" s="243"/>
      <c r="B92" s="1266" t="s">
        <v>554</v>
      </c>
      <c r="C92" s="1267"/>
      <c r="D92" s="1267"/>
      <c r="E92" s="1267"/>
      <c r="F92" s="1267"/>
      <c r="G92" s="1267"/>
      <c r="H92" s="1267"/>
      <c r="I92" s="1271">
        <v>0</v>
      </c>
      <c r="J92" s="1272"/>
      <c r="K92" s="1272"/>
      <c r="L92" s="1272"/>
      <c r="M92" s="1272"/>
      <c r="N92" s="1247"/>
      <c r="O92" s="1247"/>
      <c r="P92" s="1247"/>
      <c r="Q92" s="1247"/>
      <c r="R92" s="1247"/>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row>
    <row r="93" spans="1:43" customFormat="1" ht="18" hidden="1" customHeight="1">
      <c r="A93" s="243"/>
      <c r="B93" s="1266" t="s">
        <v>555</v>
      </c>
      <c r="C93" s="1267"/>
      <c r="D93" s="1267"/>
      <c r="E93" s="1267"/>
      <c r="F93" s="1267"/>
      <c r="G93" s="1267"/>
      <c r="H93" s="1267"/>
      <c r="I93" s="1271">
        <v>402</v>
      </c>
      <c r="J93" s="1272"/>
      <c r="K93" s="1272"/>
      <c r="L93" s="1272"/>
      <c r="M93" s="1272"/>
      <c r="N93" s="1247"/>
      <c r="O93" s="1247"/>
      <c r="P93" s="1247"/>
      <c r="Q93" s="1247"/>
      <c r="R93" s="1247"/>
      <c r="S93" s="40"/>
      <c r="T93" s="40"/>
      <c r="U93" s="40"/>
      <c r="V93" s="40"/>
      <c r="W93" s="40"/>
      <c r="X93" s="40"/>
      <c r="Y93" s="40"/>
      <c r="Z93" s="40"/>
      <c r="AA93" s="40"/>
      <c r="AB93" s="40"/>
      <c r="AC93" s="40"/>
      <c r="AD93" s="40"/>
      <c r="AE93" s="40"/>
      <c r="AF93" s="40"/>
      <c r="AG93" s="40"/>
      <c r="AH93" s="40"/>
      <c r="AI93" s="40"/>
      <c r="AJ93" s="40"/>
      <c r="AK93" s="40"/>
      <c r="AL93" s="40"/>
      <c r="AM93" s="40"/>
      <c r="AN93" s="40"/>
      <c r="AO93" s="40"/>
      <c r="AP93" s="40"/>
      <c r="AQ93" s="40"/>
    </row>
    <row r="94" spans="1:43" customFormat="1" ht="18" hidden="1" customHeight="1">
      <c r="A94" s="243"/>
      <c r="B94" s="1266" t="s">
        <v>556</v>
      </c>
      <c r="C94" s="1267"/>
      <c r="D94" s="1267"/>
      <c r="E94" s="1267"/>
      <c r="F94" s="1267"/>
      <c r="G94" s="1267"/>
      <c r="H94" s="1267"/>
      <c r="I94" s="1271">
        <v>1511.8309422100001</v>
      </c>
      <c r="J94" s="1272"/>
      <c r="K94" s="1272"/>
      <c r="L94" s="1272"/>
      <c r="M94" s="1272"/>
      <c r="N94" s="1247"/>
      <c r="O94" s="1247"/>
      <c r="P94" s="1247"/>
      <c r="Q94" s="1247"/>
      <c r="R94" s="1247"/>
      <c r="S94" s="40"/>
      <c r="T94" s="40"/>
      <c r="U94" s="40"/>
      <c r="V94" s="40"/>
      <c r="W94" s="40"/>
      <c r="X94" s="40"/>
      <c r="Y94" s="40"/>
      <c r="Z94" s="40"/>
      <c r="AA94" s="40"/>
      <c r="AB94" s="40"/>
      <c r="AC94" s="40"/>
      <c r="AD94" s="40"/>
      <c r="AE94" s="40"/>
      <c r="AF94" s="40"/>
      <c r="AG94" s="40"/>
      <c r="AH94" s="40"/>
      <c r="AI94" s="40"/>
      <c r="AJ94" s="40"/>
      <c r="AK94" s="40"/>
      <c r="AL94" s="40"/>
      <c r="AM94" s="40"/>
      <c r="AN94" s="40"/>
      <c r="AO94" s="40"/>
      <c r="AP94" s="40"/>
      <c r="AQ94" s="40"/>
    </row>
    <row r="95" spans="1:43" customFormat="1" ht="18" hidden="1" customHeight="1">
      <c r="A95" s="243"/>
      <c r="B95" s="1266" t="s">
        <v>557</v>
      </c>
      <c r="C95" s="1267"/>
      <c r="D95" s="1267"/>
      <c r="E95" s="1267"/>
      <c r="F95" s="1267"/>
      <c r="G95" s="1267"/>
      <c r="H95" s="1267"/>
      <c r="I95" s="1271">
        <v>206.53784146000001</v>
      </c>
      <c r="J95" s="1272"/>
      <c r="K95" s="1272"/>
      <c r="L95" s="1272"/>
      <c r="M95" s="1272"/>
      <c r="N95" s="1247"/>
      <c r="O95" s="1247"/>
      <c r="P95" s="1247"/>
      <c r="Q95" s="1247"/>
      <c r="R95" s="1247"/>
      <c r="S95" s="40"/>
      <c r="T95" s="40"/>
      <c r="U95" s="40"/>
      <c r="V95" s="40"/>
      <c r="W95" s="40"/>
      <c r="X95" s="40"/>
      <c r="Y95" s="40"/>
      <c r="Z95" s="40"/>
      <c r="AA95" s="40"/>
      <c r="AB95" s="40"/>
      <c r="AC95" s="40"/>
      <c r="AD95" s="40"/>
      <c r="AE95" s="40"/>
      <c r="AF95" s="40"/>
      <c r="AG95" s="40"/>
      <c r="AH95" s="40"/>
      <c r="AI95" s="40"/>
      <c r="AJ95" s="40"/>
      <c r="AK95" s="40"/>
      <c r="AL95" s="40"/>
      <c r="AM95" s="40"/>
      <c r="AN95" s="40"/>
      <c r="AO95" s="40"/>
      <c r="AP95" s="40"/>
      <c r="AQ95" s="40"/>
    </row>
    <row r="96" spans="1:43" customFormat="1" ht="18" hidden="1" customHeight="1" thickBot="1">
      <c r="A96" s="243"/>
      <c r="B96" s="1273" t="s">
        <v>558</v>
      </c>
      <c r="C96" s="1274"/>
      <c r="D96" s="1274"/>
      <c r="E96" s="1274"/>
      <c r="F96" s="1274"/>
      <c r="G96" s="1274"/>
      <c r="H96" s="1274"/>
      <c r="I96" s="1275">
        <v>1681.7785615499999</v>
      </c>
      <c r="J96" s="1272"/>
      <c r="K96" s="1272"/>
      <c r="L96" s="1272"/>
      <c r="M96" s="1272"/>
      <c r="N96" s="1247"/>
      <c r="O96" s="1247"/>
      <c r="P96" s="1247"/>
      <c r="Q96" s="1247"/>
      <c r="R96" s="1247"/>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row>
    <row r="97" spans="1:43" customFormat="1" ht="18" hidden="1" customHeight="1" thickBot="1">
      <c r="A97" s="70"/>
      <c r="B97" s="1276"/>
      <c r="C97" s="1277"/>
      <c r="D97" s="1277"/>
      <c r="E97" s="1277"/>
      <c r="F97" s="1277"/>
      <c r="G97" s="1277"/>
      <c r="H97" s="1277"/>
      <c r="I97" s="1278"/>
      <c r="J97" s="1278"/>
      <c r="K97" s="1278"/>
      <c r="L97" s="1278"/>
      <c r="M97" s="1278"/>
      <c r="N97" s="1247"/>
      <c r="O97" s="1247"/>
      <c r="P97" s="1247"/>
      <c r="Q97" s="1247"/>
      <c r="R97" s="1247"/>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row>
    <row r="98" spans="1:43" customFormat="1" ht="18" customHeight="1">
      <c r="A98" s="70"/>
      <c r="B98" s="264" t="s">
        <v>559</v>
      </c>
      <c r="C98" s="1279"/>
      <c r="D98" s="1279"/>
      <c r="E98" s="1279"/>
      <c r="F98" s="1279"/>
      <c r="G98" s="1279"/>
      <c r="H98" s="1279"/>
      <c r="I98" s="1280"/>
      <c r="J98" s="1281"/>
      <c r="K98" s="1281"/>
      <c r="L98" s="1281"/>
      <c r="M98" s="1281"/>
      <c r="N98" s="1282">
        <f>M99+1</f>
        <v>2020</v>
      </c>
      <c r="O98" s="1282">
        <f>N98+1</f>
        <v>2021</v>
      </c>
      <c r="P98" s="1282">
        <f>O98+1</f>
        <v>2022</v>
      </c>
      <c r="Q98" s="1282"/>
      <c r="R98" s="1282"/>
      <c r="S98" s="2418"/>
      <c r="T98" s="40"/>
      <c r="U98" s="40"/>
      <c r="V98" s="40"/>
      <c r="W98" s="40"/>
      <c r="X98" s="40"/>
      <c r="Y98" s="40"/>
      <c r="Z98" s="40"/>
      <c r="AA98" s="40"/>
      <c r="AB98" s="40"/>
      <c r="AC98" s="40"/>
      <c r="AD98" s="40"/>
      <c r="AE98" s="40"/>
      <c r="AF98" s="40"/>
      <c r="AG98" s="40"/>
      <c r="AH98" s="40"/>
      <c r="AI98" s="40"/>
      <c r="AJ98" s="40"/>
      <c r="AK98" s="40"/>
      <c r="AL98" s="40"/>
      <c r="AM98" s="40"/>
      <c r="AN98" s="40"/>
      <c r="AO98" s="40"/>
      <c r="AP98" s="40"/>
      <c r="AQ98" s="40"/>
    </row>
    <row r="99" spans="1:43" customFormat="1" ht="18" customHeight="1">
      <c r="A99" s="68"/>
      <c r="B99" s="2173"/>
      <c r="C99" s="1208"/>
      <c r="D99" s="1208"/>
      <c r="E99" s="1208"/>
      <c r="F99" s="1208"/>
      <c r="G99" s="1208"/>
      <c r="H99" s="1209"/>
      <c r="I99" s="1283">
        <f>利润表!I3</f>
        <v>2015</v>
      </c>
      <c r="J99" s="1284">
        <f>利润表!J3</f>
        <v>2016</v>
      </c>
      <c r="K99" s="1284">
        <f>利润表!K3</f>
        <v>2017</v>
      </c>
      <c r="L99" s="1284">
        <f>利润表!L3</f>
        <v>2018</v>
      </c>
      <c r="M99" s="1284">
        <f>利润表!M3</f>
        <v>2019</v>
      </c>
      <c r="N99" s="1284" t="str">
        <f>利润表!N3</f>
        <v>2020E</v>
      </c>
      <c r="O99" s="1284" t="str">
        <f>利润表!O3</f>
        <v>2021E</v>
      </c>
      <c r="P99" s="1284" t="str">
        <f>利润表!P3</f>
        <v>2022E</v>
      </c>
      <c r="Q99" s="1284" t="str">
        <f>利润表!Q3</f>
        <v>2023E</v>
      </c>
      <c r="R99" s="2419" t="str">
        <f>利润表!R3</f>
        <v>2024E</v>
      </c>
      <c r="S99" s="2418"/>
      <c r="T99" s="40"/>
      <c r="U99" s="40"/>
      <c r="V99" s="40"/>
      <c r="W99" s="40"/>
      <c r="X99" s="40"/>
      <c r="Y99" s="40"/>
      <c r="Z99" s="40"/>
      <c r="AA99" s="40"/>
      <c r="AB99" s="40"/>
      <c r="AC99" s="40"/>
      <c r="AD99" s="40"/>
      <c r="AE99" s="40"/>
      <c r="AF99" s="40"/>
      <c r="AG99" s="40"/>
      <c r="AH99" s="40"/>
      <c r="AI99" s="40"/>
      <c r="AJ99" s="40"/>
      <c r="AK99" s="40"/>
      <c r="AL99" s="40"/>
      <c r="AM99" s="40"/>
      <c r="AN99" s="40"/>
      <c r="AO99" s="40"/>
      <c r="AP99" s="40"/>
      <c r="AQ99" s="40"/>
    </row>
    <row r="100" spans="1:43" customFormat="1" ht="18" customHeight="1">
      <c r="A100" s="71"/>
      <c r="B100" s="919" t="s">
        <v>530</v>
      </c>
      <c r="C100" s="1285"/>
      <c r="D100" s="1285"/>
      <c r="E100" s="1285"/>
      <c r="F100" s="1285"/>
      <c r="G100" s="1285"/>
      <c r="H100" s="1286"/>
      <c r="I100" s="1287">
        <f>I4</f>
        <v>669.73022946000003</v>
      </c>
      <c r="J100" s="1288">
        <f>J4</f>
        <v>324.22314002999997</v>
      </c>
      <c r="K100" s="1288">
        <f>K4</f>
        <v>338.57562458000001</v>
      </c>
      <c r="L100" s="1288">
        <f>L4</f>
        <v>493.60045350000001</v>
      </c>
      <c r="M100" s="1288">
        <f>M4</f>
        <v>1881.24535322</v>
      </c>
      <c r="N100" s="1289">
        <f ca="1">IF(ISERROR(现金流量!N72), 0,现金流量!N72)</f>
        <v>414.35373085000003</v>
      </c>
      <c r="O100" s="1289">
        <f ca="1">IF(ISERROR(现金流量!O72), 0,现金流量!O72)</f>
        <v>414.35373085000003</v>
      </c>
      <c r="P100" s="1289">
        <f ca="1">IF(ISERROR(现金流量!P72), 0,现金流量!P72)</f>
        <v>414.35373085000003</v>
      </c>
      <c r="Q100" s="1289">
        <f ca="1">IF(ISERROR(现金流量!Q72), 0,现金流量!Q72)</f>
        <v>414.35373085000003</v>
      </c>
      <c r="R100" s="2420">
        <f ca="1">IF(ISERROR(现金流量!R72), 0,现金流量!R72)</f>
        <v>414.35373085000003</v>
      </c>
      <c r="S100" s="2418"/>
      <c r="T100" s="40"/>
      <c r="U100" s="40"/>
      <c r="V100" s="40"/>
      <c r="W100" s="40"/>
      <c r="X100" s="40"/>
      <c r="Y100" s="40"/>
      <c r="Z100" s="40"/>
      <c r="AA100" s="40"/>
      <c r="AB100" s="40"/>
      <c r="AC100" s="40"/>
      <c r="AD100" s="40"/>
      <c r="AE100" s="40"/>
      <c r="AF100" s="40"/>
      <c r="AG100" s="40"/>
      <c r="AH100" s="40"/>
      <c r="AI100" s="40"/>
      <c r="AJ100" s="40"/>
      <c r="AK100" s="40"/>
      <c r="AL100" s="40"/>
      <c r="AM100" s="40"/>
      <c r="AN100" s="40"/>
      <c r="AO100" s="40"/>
      <c r="AP100" s="40"/>
      <c r="AQ100" s="40"/>
    </row>
    <row r="101" spans="1:43" customFormat="1" ht="18" customHeight="1">
      <c r="A101" s="71"/>
      <c r="B101" s="1768" t="s">
        <v>1080</v>
      </c>
      <c r="C101" s="1290">
        <v>101</v>
      </c>
      <c r="D101" s="1290">
        <v>6</v>
      </c>
      <c r="E101" s="1290">
        <v>6</v>
      </c>
      <c r="F101" s="1290">
        <f>利润表!N43*资产负债!N102</f>
        <v>414.35373084999998</v>
      </c>
      <c r="G101" s="1290">
        <f>资产负债!N101/利润表!N43</f>
        <v>6.4964549714771169E-2</v>
      </c>
      <c r="H101" s="1291">
        <f>N101</f>
        <v>414.35373085000003</v>
      </c>
      <c r="I101" s="1287">
        <f>现金流量!I64</f>
        <v>721.47893023999995</v>
      </c>
      <c r="J101" s="1288">
        <f>现金流量!J64</f>
        <v>728.13876163999998</v>
      </c>
      <c r="K101" s="1288">
        <f>现金流量!K64</f>
        <v>271.70928752999998</v>
      </c>
      <c r="L101" s="1288">
        <f>现金流量!L64</f>
        <v>304.64462457999997</v>
      </c>
      <c r="M101" s="1288">
        <f>现金流量!M64</f>
        <v>414.35373085000003</v>
      </c>
      <c r="N101" s="1893">
        <f>M101</f>
        <v>414.35373085000003</v>
      </c>
      <c r="O101" s="1893">
        <f t="shared" ref="O101:R101" si="21">N101</f>
        <v>414.35373085000003</v>
      </c>
      <c r="P101" s="1893">
        <f t="shared" si="21"/>
        <v>414.35373085000003</v>
      </c>
      <c r="Q101" s="1893">
        <f t="shared" si="21"/>
        <v>414.35373085000003</v>
      </c>
      <c r="R101" s="2421">
        <f t="shared" si="21"/>
        <v>414.35373085000003</v>
      </c>
      <c r="S101" s="2418"/>
      <c r="T101" s="40"/>
      <c r="U101" s="40"/>
      <c r="V101" s="40"/>
      <c r="W101" s="40"/>
      <c r="X101" s="40"/>
      <c r="Y101" s="40"/>
      <c r="Z101" s="40"/>
      <c r="AA101" s="40"/>
      <c r="AB101" s="40"/>
      <c r="AC101" s="40"/>
      <c r="AD101" s="40"/>
      <c r="AE101" s="40"/>
      <c r="AF101" s="40"/>
      <c r="AG101" s="40"/>
      <c r="AH101" s="40"/>
      <c r="AI101" s="40"/>
      <c r="AJ101" s="40"/>
      <c r="AK101" s="40"/>
      <c r="AL101" s="40"/>
      <c r="AM101" s="40"/>
      <c r="AN101" s="40"/>
      <c r="AO101" s="40"/>
      <c r="AP101" s="40"/>
      <c r="AQ101" s="40"/>
    </row>
    <row r="102" spans="1:43" customFormat="1" ht="18" customHeight="1">
      <c r="A102" s="71"/>
      <c r="B102" s="1768" t="s">
        <v>1430</v>
      </c>
      <c r="C102" s="1290"/>
      <c r="D102" s="1290"/>
      <c r="E102" s="1290"/>
      <c r="F102" s="1290"/>
      <c r="G102" s="1290"/>
      <c r="H102" s="1291"/>
      <c r="I102" s="1892">
        <f>I101/利润表!I43</f>
        <v>0.21647800568066311</v>
      </c>
      <c r="J102" s="1892">
        <f>J101/利润表!J43</f>
        <v>0.1842639495191887</v>
      </c>
      <c r="K102" s="1892">
        <f>K101/利润表!K43</f>
        <v>5.9261514194169182E-2</v>
      </c>
      <c r="L102" s="1892">
        <f>L101/利润表!L43</f>
        <v>6.333915590827234E-2</v>
      </c>
      <c r="M102" s="1892">
        <f>M101/利润表!M43</f>
        <v>6.4964549714771169E-2</v>
      </c>
      <c r="N102" s="1917">
        <f>资产负债!N101/利润表!N43</f>
        <v>6.4964549714771169E-2</v>
      </c>
      <c r="O102" s="1917">
        <f>资产负债!O101/利润表!O43</f>
        <v>6.4964549714771169E-2</v>
      </c>
      <c r="P102" s="1917">
        <f>资产负债!P101/利润表!P43</f>
        <v>6.4964549714771169E-2</v>
      </c>
      <c r="Q102" s="1917">
        <f>资产负债!Q101/利润表!Q43</f>
        <v>6.4964549714771169E-2</v>
      </c>
      <c r="R102" s="2389">
        <f>资产负债!R101/利润表!R43</f>
        <v>6.4964549714771169E-2</v>
      </c>
      <c r="S102" s="2418"/>
      <c r="T102" s="40"/>
      <c r="U102" s="40"/>
      <c r="V102" s="40"/>
      <c r="W102" s="40"/>
      <c r="X102" s="40"/>
      <c r="Y102" s="40"/>
      <c r="Z102" s="40"/>
      <c r="AA102" s="40"/>
      <c r="AB102" s="40"/>
      <c r="AC102" s="40"/>
      <c r="AD102" s="40"/>
      <c r="AE102" s="40"/>
      <c r="AF102" s="40"/>
      <c r="AG102" s="40"/>
      <c r="AH102" s="40"/>
      <c r="AI102" s="40"/>
      <c r="AJ102" s="40"/>
      <c r="AK102" s="40"/>
      <c r="AL102" s="40"/>
      <c r="AM102" s="40"/>
      <c r="AN102" s="40"/>
      <c r="AO102" s="40"/>
      <c r="AP102" s="40"/>
      <c r="AQ102" s="40"/>
    </row>
    <row r="103" spans="1:43" customFormat="1" ht="18" customHeight="1">
      <c r="A103" s="72"/>
      <c r="B103" s="919"/>
      <c r="C103" s="1267"/>
      <c r="D103" s="1267"/>
      <c r="E103" s="1267"/>
      <c r="F103" s="1267"/>
      <c r="G103" s="1267"/>
      <c r="H103" s="1268"/>
      <c r="I103" s="1292"/>
      <c r="J103" s="1293"/>
      <c r="K103" s="1293"/>
      <c r="L103" s="1293"/>
      <c r="M103" s="1293"/>
      <c r="N103" s="1294"/>
      <c r="O103" s="1294"/>
      <c r="P103" s="1294"/>
      <c r="Q103" s="1294"/>
      <c r="R103" s="2422"/>
      <c r="S103" s="2418"/>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row>
    <row r="104" spans="1:43" customFormat="1" ht="18" customHeight="1">
      <c r="A104" s="72"/>
      <c r="B104" s="919" t="s">
        <v>214</v>
      </c>
      <c r="C104" s="1285"/>
      <c r="D104" s="1285"/>
      <c r="E104" s="1285"/>
      <c r="F104" s="1906"/>
      <c r="G104" s="1906"/>
      <c r="H104" s="1905"/>
      <c r="I104" s="1287">
        <f>I5</f>
        <v>0</v>
      </c>
      <c r="J104" s="1288">
        <f>J5</f>
        <v>0</v>
      </c>
      <c r="K104" s="1288">
        <f>K5</f>
        <v>1.0483</v>
      </c>
      <c r="L104" s="1288">
        <f>L5</f>
        <v>1.1487692700000001</v>
      </c>
      <c r="M104" s="1288">
        <f>M5</f>
        <v>676.86063799999999</v>
      </c>
      <c r="N104" s="1217">
        <f>M104+N105+N106</f>
        <v>1352.57250673</v>
      </c>
      <c r="O104" s="1217">
        <f t="shared" ref="O104:R104" si="22">N104+O105+O106</f>
        <v>2028.2843754599999</v>
      </c>
      <c r="P104" s="1217">
        <f t="shared" si="22"/>
        <v>2703.9962441899997</v>
      </c>
      <c r="Q104" s="1217">
        <f t="shared" si="22"/>
        <v>3379.7081129199996</v>
      </c>
      <c r="R104" s="2412">
        <f t="shared" si="22"/>
        <v>4055.4199816499995</v>
      </c>
      <c r="S104" s="2418"/>
      <c r="T104" s="40"/>
      <c r="U104" s="40"/>
      <c r="V104" s="40"/>
      <c r="W104" s="40"/>
      <c r="X104" s="40"/>
      <c r="Y104" s="40"/>
      <c r="Z104" s="40"/>
      <c r="AA104" s="40"/>
      <c r="AB104" s="40"/>
      <c r="AC104" s="40"/>
      <c r="AD104" s="40"/>
      <c r="AE104" s="40"/>
      <c r="AF104" s="40"/>
      <c r="AG104" s="40"/>
      <c r="AH104" s="40"/>
      <c r="AI104" s="40"/>
      <c r="AJ104" s="40"/>
      <c r="AK104" s="40"/>
      <c r="AL104" s="40"/>
      <c r="AM104" s="40"/>
      <c r="AN104" s="40"/>
      <c r="AO104" s="40"/>
      <c r="AP104" s="40"/>
      <c r="AQ104" s="40"/>
    </row>
    <row r="105" spans="1:43" customFormat="1" ht="18" customHeight="1">
      <c r="A105" s="68"/>
      <c r="B105" s="1768" t="s">
        <v>560</v>
      </c>
      <c r="C105" s="1285">
        <v>102</v>
      </c>
      <c r="D105" s="1285">
        <v>6</v>
      </c>
      <c r="E105" s="1285">
        <v>6</v>
      </c>
      <c r="F105" s="1906"/>
      <c r="G105" s="1906"/>
      <c r="H105" s="1905">
        <f>N105</f>
        <v>675.71186872999999</v>
      </c>
      <c r="I105" s="1296"/>
      <c r="J105" s="1297">
        <f>(J104-I104)-J106</f>
        <v>0</v>
      </c>
      <c r="K105" s="1297">
        <f t="shared" ref="K105:M105" si="23">(K104-J104)-K106</f>
        <v>1.0483</v>
      </c>
      <c r="L105" s="1297">
        <f t="shared" si="23"/>
        <v>0.10046927000000005</v>
      </c>
      <c r="M105" s="1297">
        <f t="shared" si="23"/>
        <v>675.71186872999999</v>
      </c>
      <c r="N105" s="1885">
        <f>M105</f>
        <v>675.71186872999999</v>
      </c>
      <c r="O105" s="1885">
        <f t="shared" ref="O105:R105" si="24">N105</f>
        <v>675.71186872999999</v>
      </c>
      <c r="P105" s="1885">
        <f t="shared" si="24"/>
        <v>675.71186872999999</v>
      </c>
      <c r="Q105" s="1885">
        <f t="shared" si="24"/>
        <v>675.71186872999999</v>
      </c>
      <c r="R105" s="2414">
        <f t="shared" si="24"/>
        <v>675.71186872999999</v>
      </c>
      <c r="S105" s="2418"/>
      <c r="T105" s="40"/>
      <c r="U105" s="40"/>
      <c r="V105" s="40"/>
      <c r="W105" s="40"/>
      <c r="X105" s="40"/>
      <c r="Y105" s="40"/>
      <c r="Z105" s="40"/>
      <c r="AA105" s="40"/>
      <c r="AB105" s="40"/>
      <c r="AC105" s="40"/>
      <c r="AD105" s="40"/>
      <c r="AE105" s="40"/>
      <c r="AF105" s="40"/>
      <c r="AG105" s="40"/>
      <c r="AH105" s="40"/>
      <c r="AI105" s="40"/>
      <c r="AJ105" s="40"/>
      <c r="AK105" s="40"/>
      <c r="AL105" s="40"/>
      <c r="AM105" s="40"/>
      <c r="AN105" s="40"/>
      <c r="AO105" s="40"/>
      <c r="AP105" s="40"/>
      <c r="AQ105" s="40"/>
    </row>
    <row r="106" spans="1:43" customFormat="1" ht="18" customHeight="1">
      <c r="A106" s="68"/>
      <c r="B106" s="1768" t="s">
        <v>1212</v>
      </c>
      <c r="C106" s="1285">
        <v>102</v>
      </c>
      <c r="D106" s="1285">
        <v>6</v>
      </c>
      <c r="E106" s="1285">
        <v>6</v>
      </c>
      <c r="F106" s="1906"/>
      <c r="G106" s="1906"/>
      <c r="H106" s="1905">
        <f>N106</f>
        <v>0</v>
      </c>
      <c r="I106" s="1310"/>
      <c r="J106" s="1311"/>
      <c r="K106" s="1311"/>
      <c r="L106" s="1311"/>
      <c r="M106" s="1311"/>
      <c r="N106" s="1881">
        <f>M106</f>
        <v>0</v>
      </c>
      <c r="O106" s="1881">
        <f t="shared" ref="O106:R106" si="25">N106</f>
        <v>0</v>
      </c>
      <c r="P106" s="1881">
        <f t="shared" si="25"/>
        <v>0</v>
      </c>
      <c r="Q106" s="1881">
        <f t="shared" si="25"/>
        <v>0</v>
      </c>
      <c r="R106" s="2381">
        <f t="shared" si="25"/>
        <v>0</v>
      </c>
      <c r="S106" s="2418"/>
      <c r="T106" s="40"/>
      <c r="U106" s="40"/>
      <c r="V106" s="40"/>
      <c r="W106" s="40"/>
      <c r="X106" s="40"/>
      <c r="Y106" s="40"/>
      <c r="Z106" s="40"/>
      <c r="AA106" s="40"/>
      <c r="AB106" s="40"/>
      <c r="AC106" s="40"/>
      <c r="AD106" s="40"/>
      <c r="AE106" s="40"/>
      <c r="AF106" s="40"/>
      <c r="AG106" s="40"/>
      <c r="AH106" s="40"/>
      <c r="AI106" s="40"/>
      <c r="AJ106" s="40"/>
      <c r="AK106" s="40"/>
      <c r="AL106" s="40"/>
      <c r="AM106" s="40"/>
      <c r="AN106" s="40"/>
      <c r="AO106" s="40"/>
      <c r="AP106" s="40"/>
      <c r="AQ106" s="40"/>
    </row>
    <row r="107" spans="1:43" customFormat="1" ht="18" customHeight="1">
      <c r="A107" s="68"/>
      <c r="B107" s="919"/>
      <c r="C107" s="1285"/>
      <c r="D107" s="1285"/>
      <c r="E107" s="1285"/>
      <c r="F107" s="1285"/>
      <c r="G107" s="1285"/>
      <c r="H107" s="1286"/>
      <c r="I107" s="1298"/>
      <c r="J107" s="1217"/>
      <c r="K107" s="1217"/>
      <c r="L107" s="1217"/>
      <c r="M107" s="1217"/>
      <c r="N107" s="1217"/>
      <c r="O107" s="1217"/>
      <c r="P107" s="1217"/>
      <c r="Q107" s="1217"/>
      <c r="R107" s="2412"/>
      <c r="S107" s="2418"/>
      <c r="T107" s="40"/>
      <c r="U107" s="40"/>
      <c r="V107" s="40"/>
      <c r="W107" s="40"/>
      <c r="X107" s="40"/>
      <c r="Y107" s="40"/>
      <c r="Z107" s="40"/>
      <c r="AA107" s="40"/>
      <c r="AB107" s="40"/>
      <c r="AC107" s="40"/>
      <c r="AD107" s="40"/>
      <c r="AE107" s="40"/>
      <c r="AF107" s="40"/>
      <c r="AG107" s="40"/>
      <c r="AH107" s="40"/>
      <c r="AI107" s="40"/>
      <c r="AJ107" s="40"/>
      <c r="AK107" s="40"/>
      <c r="AL107" s="40"/>
      <c r="AM107" s="40"/>
      <c r="AN107" s="40"/>
      <c r="AO107" s="40"/>
      <c r="AP107" s="40"/>
      <c r="AQ107" s="40"/>
    </row>
    <row r="108" spans="1:43" customFormat="1" ht="18" customHeight="1">
      <c r="A108" s="68"/>
      <c r="B108" s="919" t="s">
        <v>1431</v>
      </c>
      <c r="C108" s="1285"/>
      <c r="D108" s="1285"/>
      <c r="E108" s="1285"/>
      <c r="F108" s="1285"/>
      <c r="G108" s="1285"/>
      <c r="H108" s="1286"/>
      <c r="I108" s="2286">
        <f>I6</f>
        <v>0</v>
      </c>
      <c r="J108" s="2286">
        <f t="shared" ref="J108:M108" si="26">J6</f>
        <v>0</v>
      </c>
      <c r="K108" s="2286">
        <f t="shared" si="26"/>
        <v>0</v>
      </c>
      <c r="L108" s="2286">
        <f t="shared" si="26"/>
        <v>0</v>
      </c>
      <c r="M108" s="2286">
        <f t="shared" si="26"/>
        <v>0</v>
      </c>
      <c r="N108" s="1217">
        <f>M108+N109+N110</f>
        <v>0</v>
      </c>
      <c r="O108" s="1217">
        <f t="shared" ref="O108:R108" si="27">N108+O109+O110</f>
        <v>0</v>
      </c>
      <c r="P108" s="1217">
        <f t="shared" si="27"/>
        <v>0</v>
      </c>
      <c r="Q108" s="1217">
        <f t="shared" si="27"/>
        <v>0</v>
      </c>
      <c r="R108" s="2412">
        <f t="shared" si="27"/>
        <v>0</v>
      </c>
      <c r="S108" s="2418"/>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row>
    <row r="109" spans="1:43" customFormat="1" ht="18" customHeight="1">
      <c r="A109" s="68"/>
      <c r="B109" s="1768" t="s">
        <v>560</v>
      </c>
      <c r="C109" s="1315">
        <v>102</v>
      </c>
      <c r="D109" s="1315">
        <v>6</v>
      </c>
      <c r="E109" s="1315">
        <v>6</v>
      </c>
      <c r="F109" s="1315"/>
      <c r="G109" s="1315"/>
      <c r="H109" s="1316">
        <f>N109</f>
        <v>0</v>
      </c>
      <c r="I109" s="2286"/>
      <c r="J109" s="2287">
        <f>(J108-I108)-J110</f>
        <v>0</v>
      </c>
      <c r="K109" s="2287">
        <f t="shared" ref="K109:M109" si="28">(K108-J108)-K110</f>
        <v>0</v>
      </c>
      <c r="L109" s="2287">
        <f t="shared" si="28"/>
        <v>0</v>
      </c>
      <c r="M109" s="2287">
        <f t="shared" si="28"/>
        <v>0</v>
      </c>
      <c r="N109" s="1885">
        <f>M109</f>
        <v>0</v>
      </c>
      <c r="O109" s="1885">
        <f t="shared" ref="O109:R109" si="29">N109</f>
        <v>0</v>
      </c>
      <c r="P109" s="1885">
        <f t="shared" si="29"/>
        <v>0</v>
      </c>
      <c r="Q109" s="1885">
        <f t="shared" si="29"/>
        <v>0</v>
      </c>
      <c r="R109" s="2414">
        <f t="shared" si="29"/>
        <v>0</v>
      </c>
      <c r="S109" s="2418"/>
      <c r="T109" s="40"/>
      <c r="U109" s="40"/>
      <c r="V109" s="40"/>
      <c r="W109" s="40"/>
      <c r="X109" s="40"/>
      <c r="Y109" s="40"/>
      <c r="Z109" s="40"/>
      <c r="AA109" s="40"/>
      <c r="AB109" s="40"/>
      <c r="AC109" s="40"/>
      <c r="AD109" s="40"/>
      <c r="AE109" s="40"/>
      <c r="AF109" s="40"/>
      <c r="AG109" s="40"/>
      <c r="AH109" s="40"/>
      <c r="AI109" s="40"/>
      <c r="AJ109" s="40"/>
      <c r="AK109" s="40"/>
      <c r="AL109" s="40"/>
      <c r="AM109" s="40"/>
      <c r="AN109" s="40"/>
      <c r="AO109" s="40"/>
      <c r="AP109" s="40"/>
      <c r="AQ109" s="40"/>
    </row>
    <row r="110" spans="1:43" customFormat="1" ht="18" customHeight="1">
      <c r="A110" s="68"/>
      <c r="B110" s="1768" t="s">
        <v>1432</v>
      </c>
      <c r="C110" s="1315">
        <v>102</v>
      </c>
      <c r="D110" s="1315">
        <v>6</v>
      </c>
      <c r="E110" s="1315">
        <v>6</v>
      </c>
      <c r="F110" s="1315"/>
      <c r="G110" s="1315"/>
      <c r="H110" s="1316">
        <f>N110</f>
        <v>0</v>
      </c>
      <c r="I110" s="1920"/>
      <c r="J110" s="1921"/>
      <c r="K110" s="1921"/>
      <c r="L110" s="1921"/>
      <c r="M110" s="1921"/>
      <c r="N110" s="1885">
        <f>M110</f>
        <v>0</v>
      </c>
      <c r="O110" s="1885">
        <f t="shared" ref="O110:R110" si="30">N110</f>
        <v>0</v>
      </c>
      <c r="P110" s="1885">
        <f t="shared" si="30"/>
        <v>0</v>
      </c>
      <c r="Q110" s="1885">
        <f t="shared" si="30"/>
        <v>0</v>
      </c>
      <c r="R110" s="2414">
        <f t="shared" si="30"/>
        <v>0</v>
      </c>
      <c r="S110" s="2418"/>
      <c r="T110" s="40"/>
      <c r="U110" s="40"/>
      <c r="V110" s="40"/>
      <c r="W110" s="40"/>
      <c r="X110" s="40"/>
      <c r="Y110" s="40"/>
      <c r="Z110" s="40"/>
      <c r="AA110" s="40"/>
      <c r="AB110" s="40"/>
      <c r="AC110" s="40"/>
      <c r="AD110" s="40"/>
      <c r="AE110" s="40"/>
      <c r="AF110" s="40"/>
      <c r="AG110" s="40"/>
      <c r="AH110" s="40"/>
      <c r="AI110" s="40"/>
      <c r="AJ110" s="40"/>
      <c r="AK110" s="40"/>
      <c r="AL110" s="40"/>
      <c r="AM110" s="40"/>
      <c r="AN110" s="40"/>
      <c r="AO110" s="40"/>
      <c r="AP110" s="40"/>
      <c r="AQ110" s="40"/>
    </row>
    <row r="111" spans="1:43" customFormat="1" ht="18" customHeight="1">
      <c r="A111" s="68"/>
      <c r="B111" s="919"/>
      <c r="C111" s="1285"/>
      <c r="D111" s="1285"/>
      <c r="E111" s="1285"/>
      <c r="F111" s="1285"/>
      <c r="G111" s="1285"/>
      <c r="H111" s="1286"/>
      <c r="I111" s="1298"/>
      <c r="J111" s="1217"/>
      <c r="K111" s="1217"/>
      <c r="L111" s="1217"/>
      <c r="M111" s="1217"/>
      <c r="N111" s="1217"/>
      <c r="O111" s="1217"/>
      <c r="P111" s="1217"/>
      <c r="Q111" s="1217"/>
      <c r="R111" s="2412"/>
      <c r="S111" s="2418"/>
      <c r="T111" s="40"/>
      <c r="U111" s="40"/>
      <c r="V111" s="40"/>
      <c r="W111" s="40"/>
      <c r="X111" s="40"/>
      <c r="Y111" s="40"/>
      <c r="Z111" s="40"/>
      <c r="AA111" s="40"/>
      <c r="AB111" s="40"/>
      <c r="AC111" s="40"/>
      <c r="AD111" s="40"/>
      <c r="AE111" s="40"/>
      <c r="AF111" s="40"/>
      <c r="AG111" s="40"/>
      <c r="AH111" s="40"/>
      <c r="AI111" s="40"/>
      <c r="AJ111" s="40"/>
      <c r="AK111" s="40"/>
      <c r="AL111" s="40"/>
      <c r="AM111" s="40"/>
      <c r="AN111" s="40"/>
      <c r="AO111" s="40"/>
      <c r="AP111" s="40"/>
      <c r="AQ111" s="40"/>
    </row>
    <row r="112" spans="1:43" customFormat="1" ht="18" customHeight="1">
      <c r="A112" s="68"/>
      <c r="B112" s="919" t="s">
        <v>1587</v>
      </c>
      <c r="C112" s="1285"/>
      <c r="D112" s="1285"/>
      <c r="E112" s="1285"/>
      <c r="F112" s="1285"/>
      <c r="G112" s="1285"/>
      <c r="H112" s="1286"/>
      <c r="I112" s="2286">
        <f>I8</f>
        <v>1613.55359034</v>
      </c>
      <c r="J112" s="2286">
        <f t="shared" ref="J112:M112" si="31">J8</f>
        <v>2031.2111591600001</v>
      </c>
      <c r="K112" s="2286">
        <f t="shared" si="31"/>
        <v>2444.1294572800002</v>
      </c>
      <c r="L112" s="2286">
        <f t="shared" si="31"/>
        <v>2667.5450547800001</v>
      </c>
      <c r="M112" s="2286">
        <f t="shared" si="31"/>
        <v>3046.8483388699997</v>
      </c>
      <c r="N112" s="1217">
        <f>N113+N118</f>
        <v>2893.1695578522731</v>
      </c>
      <c r="O112" s="1217">
        <f t="shared" ref="O112:R112" si="32">O113+O118</f>
        <v>2952.4089982281107</v>
      </c>
      <c r="P112" s="1217">
        <f t="shared" si="32"/>
        <v>2961.5840470330345</v>
      </c>
      <c r="Q112" s="1217">
        <f t="shared" si="32"/>
        <v>2935.1083901718239</v>
      </c>
      <c r="R112" s="2412">
        <f t="shared" si="32"/>
        <v>2949.6217794029826</v>
      </c>
      <c r="S112" s="2418"/>
      <c r="T112" s="40"/>
      <c r="U112" s="40"/>
      <c r="V112" s="40"/>
      <c r="W112" s="40"/>
      <c r="X112" s="40"/>
      <c r="Y112" s="40"/>
      <c r="Z112" s="40"/>
      <c r="AA112" s="40"/>
      <c r="AB112" s="40"/>
      <c r="AC112" s="40"/>
      <c r="AD112" s="40"/>
      <c r="AE112" s="40"/>
      <c r="AF112" s="40"/>
      <c r="AG112" s="40"/>
      <c r="AH112" s="40"/>
      <c r="AI112" s="40"/>
      <c r="AJ112" s="40"/>
      <c r="AK112" s="40"/>
      <c r="AL112" s="40"/>
      <c r="AM112" s="40"/>
      <c r="AN112" s="40"/>
      <c r="AO112" s="40"/>
      <c r="AP112" s="40"/>
      <c r="AQ112" s="40"/>
    </row>
    <row r="113" spans="1:43" customFormat="1" ht="18" customHeight="1">
      <c r="A113" s="67"/>
      <c r="B113" s="1765" t="s">
        <v>218</v>
      </c>
      <c r="C113" s="1213"/>
      <c r="D113" s="1213"/>
      <c r="E113" s="1213"/>
      <c r="F113" s="1213"/>
      <c r="G113" s="1213"/>
      <c r="H113" s="1214"/>
      <c r="I113" s="1287">
        <f>I10</f>
        <v>820.30839548000006</v>
      </c>
      <c r="J113" s="1287">
        <f t="shared" ref="J113:M113" si="33">J10</f>
        <v>947.40631055999995</v>
      </c>
      <c r="K113" s="1287">
        <f t="shared" si="33"/>
        <v>952.6954569400001</v>
      </c>
      <c r="L113" s="1287">
        <f t="shared" si="33"/>
        <v>1139.31379335</v>
      </c>
      <c r="M113" s="1287">
        <f t="shared" si="33"/>
        <v>1632.1574883699998</v>
      </c>
      <c r="N113" s="1294">
        <f>N114-N116</f>
        <v>1478.4787073522732</v>
      </c>
      <c r="O113" s="1294">
        <f>O114-O116</f>
        <v>1537.7181477281106</v>
      </c>
      <c r="P113" s="1294">
        <f>P114-P116</f>
        <v>1546.8931965330344</v>
      </c>
      <c r="Q113" s="1294">
        <f>Q114-Q116</f>
        <v>1520.4175396718235</v>
      </c>
      <c r="R113" s="2422">
        <f>R114-R116</f>
        <v>1534.9309289029825</v>
      </c>
      <c r="S113" s="2418"/>
      <c r="T113" s="40"/>
      <c r="U113" s="40"/>
      <c r="V113" s="40"/>
      <c r="W113" s="40"/>
      <c r="X113" s="40"/>
      <c r="Y113" s="40"/>
      <c r="Z113" s="40"/>
      <c r="AA113" s="40"/>
      <c r="AB113" s="40"/>
      <c r="AC113" s="40"/>
      <c r="AD113" s="40"/>
      <c r="AE113" s="40"/>
      <c r="AF113" s="40"/>
      <c r="AG113" s="40"/>
      <c r="AH113" s="40"/>
      <c r="AI113" s="40"/>
      <c r="AJ113" s="40"/>
      <c r="AK113" s="40"/>
      <c r="AL113" s="40"/>
      <c r="AM113" s="40"/>
      <c r="AN113" s="40"/>
      <c r="AO113" s="40"/>
      <c r="AP113" s="40"/>
      <c r="AQ113" s="40"/>
    </row>
    <row r="114" spans="1:43" customFormat="1" ht="18" customHeight="1">
      <c r="A114" s="68"/>
      <c r="B114" s="1824" t="s">
        <v>219</v>
      </c>
      <c r="C114" s="1299">
        <v>101</v>
      </c>
      <c r="D114" s="1299">
        <v>1</v>
      </c>
      <c r="E114" s="1299">
        <v>1</v>
      </c>
      <c r="F114" s="1299">
        <f>利润表!N5/N115</f>
        <v>1478.4787073522732</v>
      </c>
      <c r="G114" s="1299">
        <f>利润表!N5/N114</f>
        <v>4.3139960854372283</v>
      </c>
      <c r="H114" s="1299">
        <f>N114</f>
        <v>1478.4787073522732</v>
      </c>
      <c r="I114" s="1287">
        <f>I113+I116</f>
        <v>820.30839548000006</v>
      </c>
      <c r="J114" s="1287">
        <f t="shared" ref="J114:M114" si="34">J113+J116</f>
        <v>947.40631055999995</v>
      </c>
      <c r="K114" s="1287">
        <f t="shared" si="34"/>
        <v>952.6954569400001</v>
      </c>
      <c r="L114" s="1287">
        <f t="shared" si="34"/>
        <v>1139.31379335</v>
      </c>
      <c r="M114" s="1287">
        <f t="shared" si="34"/>
        <v>1632.1574883699998</v>
      </c>
      <c r="N114" s="1885">
        <f>利润表!N5/N115</f>
        <v>1478.4787073522732</v>
      </c>
      <c r="O114" s="1885">
        <f>利润表!O5/O115</f>
        <v>1537.7181477281106</v>
      </c>
      <c r="P114" s="1885">
        <f>利润表!P5/P115</f>
        <v>1546.8931965330344</v>
      </c>
      <c r="Q114" s="1885">
        <f>利润表!Q5/Q115</f>
        <v>1520.4175396718235</v>
      </c>
      <c r="R114" s="2414">
        <f>利润表!R5/R115</f>
        <v>1534.9309289029825</v>
      </c>
      <c r="S114" s="2418"/>
      <c r="T114" s="40"/>
      <c r="U114" s="40"/>
      <c r="V114" s="40"/>
      <c r="W114" s="40"/>
      <c r="X114" s="40"/>
      <c r="Y114" s="40"/>
      <c r="Z114" s="40"/>
      <c r="AA114" s="40"/>
      <c r="AB114" s="40"/>
      <c r="AC114" s="40"/>
      <c r="AD114" s="40"/>
      <c r="AE114" s="40"/>
      <c r="AF114" s="40"/>
      <c r="AG114" s="40"/>
      <c r="AH114" s="40"/>
      <c r="AI114" s="40"/>
      <c r="AJ114" s="40"/>
      <c r="AK114" s="40"/>
      <c r="AL114" s="40"/>
      <c r="AM114" s="40"/>
      <c r="AN114" s="40"/>
      <c r="AO114" s="40"/>
      <c r="AP114" s="40"/>
      <c r="AQ114" s="40"/>
    </row>
    <row r="115" spans="1:43" customFormat="1" ht="18" customHeight="1">
      <c r="A115" s="211"/>
      <c r="B115" s="2178" t="s">
        <v>223</v>
      </c>
      <c r="C115" s="1300"/>
      <c r="D115" s="1300"/>
      <c r="E115" s="1300"/>
      <c r="F115" s="1300"/>
      <c r="G115" s="1300"/>
      <c r="H115" s="1300"/>
      <c r="I115" s="1301">
        <f>利润表!I5/I114</f>
        <v>4.0628680503383405</v>
      </c>
      <c r="J115" s="1301">
        <f>利润表!J5/J114</f>
        <v>4.1709741862435505</v>
      </c>
      <c r="K115" s="1301">
        <f>利润表!K5/K114</f>
        <v>4.8125764935486144</v>
      </c>
      <c r="L115" s="1301">
        <f>利润表!L5/L114</f>
        <v>4.2216078888307091</v>
      </c>
      <c r="M115" s="1301">
        <f>利润表!M5/M114</f>
        <v>3.9078038739323628</v>
      </c>
      <c r="N115" s="1887">
        <f>AVERAGE(K115:M115)</f>
        <v>4.3139960854372283</v>
      </c>
      <c r="O115" s="1887">
        <f t="shared" ref="O115:R115" si="35">AVERAGE(L115:N115)</f>
        <v>4.1478026160667669</v>
      </c>
      <c r="P115" s="1887">
        <f t="shared" si="35"/>
        <v>4.1232008584787856</v>
      </c>
      <c r="Q115" s="1887">
        <f t="shared" si="35"/>
        <v>4.1949998533275936</v>
      </c>
      <c r="R115" s="2423">
        <f t="shared" si="35"/>
        <v>4.1553344426243823</v>
      </c>
      <c r="S115" s="2418"/>
      <c r="T115" s="40"/>
      <c r="U115" s="40"/>
      <c r="V115" s="40"/>
      <c r="W115" s="40"/>
      <c r="X115" s="40"/>
      <c r="Y115" s="40"/>
      <c r="Z115" s="40"/>
      <c r="AA115" s="40"/>
      <c r="AB115" s="40"/>
      <c r="AC115" s="40"/>
      <c r="AD115" s="40"/>
      <c r="AE115" s="40"/>
      <c r="AF115" s="40"/>
      <c r="AG115" s="40"/>
      <c r="AH115" s="40"/>
      <c r="AI115" s="40"/>
      <c r="AJ115" s="40"/>
      <c r="AK115" s="40"/>
      <c r="AL115" s="40"/>
      <c r="AM115" s="40"/>
      <c r="AN115" s="40"/>
      <c r="AO115" s="40"/>
      <c r="AP115" s="40"/>
      <c r="AQ115" s="40"/>
    </row>
    <row r="116" spans="1:43" customFormat="1" ht="18" customHeight="1">
      <c r="A116" s="240"/>
      <c r="B116" s="2179" t="s">
        <v>231</v>
      </c>
      <c r="C116" s="1304">
        <v>101</v>
      </c>
      <c r="D116" s="1304">
        <v>5</v>
      </c>
      <c r="E116" s="1304">
        <v>5</v>
      </c>
      <c r="F116" s="1304">
        <f>N114*N117</f>
        <v>0</v>
      </c>
      <c r="G116" s="1304">
        <f>N116/N114</f>
        <v>0</v>
      </c>
      <c r="H116" s="1304">
        <f>N116</f>
        <v>0</v>
      </c>
      <c r="I116" s="1920">
        <v>0</v>
      </c>
      <c r="J116" s="1921">
        <v>0</v>
      </c>
      <c r="K116" s="1921">
        <v>0</v>
      </c>
      <c r="L116" s="1921">
        <v>0</v>
      </c>
      <c r="M116" s="1921">
        <v>0</v>
      </c>
      <c r="N116" s="1885">
        <f>N114*N117</f>
        <v>0</v>
      </c>
      <c r="O116" s="1885">
        <f t="shared" ref="O116:R116" si="36">O114*O117</f>
        <v>0</v>
      </c>
      <c r="P116" s="1885">
        <f t="shared" si="36"/>
        <v>0</v>
      </c>
      <c r="Q116" s="1885">
        <f t="shared" si="36"/>
        <v>0</v>
      </c>
      <c r="R116" s="2414">
        <f t="shared" si="36"/>
        <v>0</v>
      </c>
      <c r="S116" s="2418"/>
      <c r="T116" s="40"/>
      <c r="U116" s="40"/>
      <c r="V116" s="40"/>
      <c r="W116" s="40"/>
      <c r="X116" s="40"/>
      <c r="Y116" s="40"/>
      <c r="Z116" s="40"/>
      <c r="AA116" s="40"/>
      <c r="AB116" s="40"/>
      <c r="AC116" s="40"/>
      <c r="AD116" s="40"/>
      <c r="AE116" s="40"/>
      <c r="AF116" s="40"/>
      <c r="AG116" s="40"/>
      <c r="AH116" s="40"/>
      <c r="AI116" s="40"/>
      <c r="AJ116" s="40"/>
      <c r="AK116" s="40"/>
      <c r="AL116" s="40"/>
      <c r="AM116" s="40"/>
      <c r="AN116" s="40"/>
      <c r="AO116" s="40"/>
      <c r="AP116" s="40"/>
      <c r="AQ116" s="40"/>
    </row>
    <row r="117" spans="1:43" customFormat="1" ht="18" customHeight="1">
      <c r="A117" s="240"/>
      <c r="B117" s="2179" t="s">
        <v>227</v>
      </c>
      <c r="C117" s="1304"/>
      <c r="D117" s="1304"/>
      <c r="E117" s="1304"/>
      <c r="F117" s="1304"/>
      <c r="G117" s="1304"/>
      <c r="H117" s="1304"/>
      <c r="I117" s="1305">
        <f>I116/I114</f>
        <v>0</v>
      </c>
      <c r="J117" s="1306">
        <f>J116/J114</f>
        <v>0</v>
      </c>
      <c r="K117" s="1306">
        <f>K116/K114</f>
        <v>0</v>
      </c>
      <c r="L117" s="1306">
        <f>L116/L114</f>
        <v>0</v>
      </c>
      <c r="M117" s="1306">
        <f>M116/M114</f>
        <v>0</v>
      </c>
      <c r="N117" s="1888">
        <f>M117</f>
        <v>0</v>
      </c>
      <c r="O117" s="1889">
        <f t="shared" ref="O117:R117" si="37">N117</f>
        <v>0</v>
      </c>
      <c r="P117" s="1889">
        <f t="shared" si="37"/>
        <v>0</v>
      </c>
      <c r="Q117" s="1889">
        <f t="shared" si="37"/>
        <v>0</v>
      </c>
      <c r="R117" s="2424">
        <f t="shared" si="37"/>
        <v>0</v>
      </c>
      <c r="S117" s="2418"/>
      <c r="T117" s="40"/>
      <c r="U117" s="40"/>
      <c r="V117" s="40"/>
      <c r="W117" s="40"/>
      <c r="X117" s="40"/>
      <c r="Y117" s="40"/>
      <c r="Z117" s="40"/>
      <c r="AA117" s="40"/>
      <c r="AB117" s="40"/>
      <c r="AC117" s="40"/>
      <c r="AD117" s="40"/>
      <c r="AE117" s="40"/>
      <c r="AF117" s="40"/>
      <c r="AG117" s="40"/>
      <c r="AH117" s="40"/>
      <c r="AI117" s="40"/>
      <c r="AJ117" s="40"/>
      <c r="AK117" s="40"/>
      <c r="AL117" s="40"/>
      <c r="AM117" s="40"/>
      <c r="AN117" s="40"/>
      <c r="AO117" s="40"/>
      <c r="AP117" s="40"/>
      <c r="AQ117" s="40"/>
    </row>
    <row r="118" spans="1:43" customFormat="1" ht="18" customHeight="1">
      <c r="A118" s="240"/>
      <c r="B118" s="1765" t="s">
        <v>1588</v>
      </c>
      <c r="C118" s="1235">
        <v>102</v>
      </c>
      <c r="D118" s="1235">
        <v>6</v>
      </c>
      <c r="E118" s="1235">
        <v>6</v>
      </c>
      <c r="F118" s="1235"/>
      <c r="G118" s="1235"/>
      <c r="H118" s="1236">
        <f>N118</f>
        <v>1414.6908505000001</v>
      </c>
      <c r="I118" s="2304">
        <f>I9</f>
        <v>793.24519485999997</v>
      </c>
      <c r="J118" s="2304">
        <f t="shared" ref="J118:M118" si="38">J9</f>
        <v>1083.8048486</v>
      </c>
      <c r="K118" s="2304">
        <f t="shared" si="38"/>
        <v>1491.43400034</v>
      </c>
      <c r="L118" s="2304">
        <f t="shared" si="38"/>
        <v>1528.2312614300001</v>
      </c>
      <c r="M118" s="2304">
        <f t="shared" si="38"/>
        <v>1414.6908505000001</v>
      </c>
      <c r="N118" s="2305">
        <f>M118</f>
        <v>1414.6908505000001</v>
      </c>
      <c r="O118" s="2306">
        <f t="shared" ref="O118:R118" si="39">N118</f>
        <v>1414.6908505000001</v>
      </c>
      <c r="P118" s="2306">
        <f t="shared" si="39"/>
        <v>1414.6908505000001</v>
      </c>
      <c r="Q118" s="2306">
        <f t="shared" si="39"/>
        <v>1414.6908505000001</v>
      </c>
      <c r="R118" s="2425">
        <f t="shared" si="39"/>
        <v>1414.6908505000001</v>
      </c>
      <c r="S118" s="2418"/>
      <c r="T118" s="40"/>
      <c r="U118" s="40"/>
      <c r="V118" s="40"/>
      <c r="W118" s="40"/>
      <c r="X118" s="40"/>
      <c r="Y118" s="40"/>
      <c r="Z118" s="40"/>
      <c r="AA118" s="40"/>
      <c r="AB118" s="40"/>
      <c r="AC118" s="40"/>
      <c r="AD118" s="40"/>
      <c r="AE118" s="40"/>
      <c r="AF118" s="40"/>
      <c r="AG118" s="40"/>
      <c r="AH118" s="40"/>
      <c r="AI118" s="40"/>
      <c r="AJ118" s="40"/>
      <c r="AK118" s="40"/>
      <c r="AL118" s="40"/>
      <c r="AM118" s="40"/>
      <c r="AN118" s="40"/>
      <c r="AO118" s="40"/>
      <c r="AP118" s="40"/>
      <c r="AQ118" s="40"/>
    </row>
    <row r="119" spans="1:43" customFormat="1" ht="18" customHeight="1">
      <c r="A119" s="211"/>
      <c r="B119" s="2180"/>
      <c r="C119" s="1300"/>
      <c r="D119" s="1300"/>
      <c r="E119" s="1300"/>
      <c r="F119" s="1300"/>
      <c r="G119" s="1300"/>
      <c r="H119" s="1300"/>
      <c r="I119" s="1292"/>
      <c r="J119" s="1293"/>
      <c r="K119" s="1293"/>
      <c r="L119" s="1293"/>
      <c r="M119" s="1293"/>
      <c r="N119" s="1293"/>
      <c r="O119" s="1293"/>
      <c r="P119" s="1293"/>
      <c r="Q119" s="1293"/>
      <c r="R119" s="2426"/>
      <c r="S119" s="2418"/>
      <c r="T119" s="40"/>
      <c r="U119" s="40"/>
      <c r="V119" s="40"/>
      <c r="W119" s="40"/>
      <c r="X119" s="40"/>
      <c r="Y119" s="40"/>
      <c r="Z119" s="40"/>
      <c r="AA119" s="40"/>
      <c r="AB119" s="40"/>
      <c r="AC119" s="40"/>
      <c r="AD119" s="40"/>
      <c r="AE119" s="40"/>
      <c r="AF119" s="40"/>
      <c r="AG119" s="40"/>
      <c r="AH119" s="40"/>
      <c r="AI119" s="40"/>
      <c r="AJ119" s="40"/>
      <c r="AK119" s="40"/>
      <c r="AL119" s="40"/>
      <c r="AM119" s="40"/>
      <c r="AN119" s="40"/>
      <c r="AO119" s="40"/>
      <c r="AP119" s="40"/>
      <c r="AQ119" s="40"/>
    </row>
    <row r="120" spans="1:43" customFormat="1" ht="18" customHeight="1">
      <c r="A120" s="197"/>
      <c r="B120" s="1765" t="s">
        <v>228</v>
      </c>
      <c r="C120" s="1231"/>
      <c r="D120" s="1231"/>
      <c r="E120" s="1231"/>
      <c r="F120" s="1231"/>
      <c r="G120" s="1231"/>
      <c r="H120" s="1232"/>
      <c r="I120" s="1287">
        <f>I11</f>
        <v>0.91748722999999999</v>
      </c>
      <c r="J120" s="1287">
        <f t="shared" ref="J120:M120" si="40">J11</f>
        <v>11.285195980000001</v>
      </c>
      <c r="K120" s="1287">
        <f t="shared" si="40"/>
        <v>27.37005577</v>
      </c>
      <c r="L120" s="1287">
        <f t="shared" si="40"/>
        <v>105.32755451999999</v>
      </c>
      <c r="M120" s="1287">
        <f t="shared" si="40"/>
        <v>27.10925413</v>
      </c>
      <c r="N120" s="1294">
        <f>N121-N122</f>
        <v>27.10925413</v>
      </c>
      <c r="O120" s="1294">
        <f>O121-O122</f>
        <v>27.10925413</v>
      </c>
      <c r="P120" s="1294">
        <f>P121-P122</f>
        <v>27.10925413</v>
      </c>
      <c r="Q120" s="1294">
        <f>Q121-Q122</f>
        <v>27.10925413</v>
      </c>
      <c r="R120" s="2422">
        <f>R121-R122</f>
        <v>27.10925413</v>
      </c>
      <c r="S120" s="2418"/>
      <c r="T120" s="40"/>
      <c r="U120" s="40"/>
      <c r="V120" s="40"/>
      <c r="W120" s="40"/>
      <c r="X120" s="40"/>
      <c r="Y120" s="40"/>
      <c r="Z120" s="40"/>
      <c r="AA120" s="40"/>
      <c r="AB120" s="40"/>
      <c r="AC120" s="40"/>
      <c r="AD120" s="40"/>
      <c r="AE120" s="40"/>
      <c r="AF120" s="40"/>
      <c r="AG120" s="40"/>
      <c r="AH120" s="40"/>
      <c r="AI120" s="40"/>
      <c r="AJ120" s="40"/>
      <c r="AK120" s="40"/>
      <c r="AL120" s="40"/>
      <c r="AM120" s="40"/>
      <c r="AN120" s="40"/>
      <c r="AO120" s="40"/>
      <c r="AP120" s="40"/>
      <c r="AQ120" s="40"/>
    </row>
    <row r="121" spans="1:43" customFormat="1" ht="18" customHeight="1">
      <c r="A121" s="211"/>
      <c r="B121" s="1766" t="s">
        <v>229</v>
      </c>
      <c r="C121" s="1223">
        <v>102</v>
      </c>
      <c r="D121" s="1223">
        <v>6</v>
      </c>
      <c r="E121" s="1223">
        <v>6</v>
      </c>
      <c r="F121" s="1223"/>
      <c r="G121" s="1223"/>
      <c r="H121" s="1224">
        <f>N121</f>
        <v>27.10925413</v>
      </c>
      <c r="I121" s="1308">
        <f>I120+I122</f>
        <v>0.91748722999999999</v>
      </c>
      <c r="J121" s="1309">
        <f>J120+J122</f>
        <v>11.285195980000001</v>
      </c>
      <c r="K121" s="1309">
        <f>K120+K122</f>
        <v>27.37005577</v>
      </c>
      <c r="L121" s="1309">
        <f>L120+L122</f>
        <v>105.32755451999999</v>
      </c>
      <c r="M121" s="1309">
        <f>M120+M122</f>
        <v>27.10925413</v>
      </c>
      <c r="N121" s="1885">
        <f>M121</f>
        <v>27.10925413</v>
      </c>
      <c r="O121" s="1885">
        <f t="shared" ref="O121:R121" si="41">N121</f>
        <v>27.10925413</v>
      </c>
      <c r="P121" s="1885">
        <f t="shared" si="41"/>
        <v>27.10925413</v>
      </c>
      <c r="Q121" s="1885">
        <f t="shared" si="41"/>
        <v>27.10925413</v>
      </c>
      <c r="R121" s="2414">
        <f t="shared" si="41"/>
        <v>27.10925413</v>
      </c>
      <c r="S121" s="2418"/>
      <c r="T121" s="40"/>
      <c r="U121" s="40"/>
      <c r="V121" s="40"/>
      <c r="W121" s="40"/>
      <c r="X121" s="40"/>
      <c r="Y121" s="40"/>
      <c r="Z121" s="40"/>
      <c r="AA121" s="40"/>
      <c r="AB121" s="40"/>
      <c r="AC121" s="40"/>
      <c r="AD121" s="40"/>
      <c r="AE121" s="40"/>
      <c r="AF121" s="40"/>
      <c r="AG121" s="40"/>
      <c r="AH121" s="40"/>
      <c r="AI121" s="40"/>
      <c r="AJ121" s="40"/>
      <c r="AK121" s="40"/>
      <c r="AL121" s="40"/>
      <c r="AM121" s="40"/>
      <c r="AN121" s="40"/>
      <c r="AO121" s="40"/>
      <c r="AP121" s="40"/>
      <c r="AQ121" s="40"/>
    </row>
    <row r="122" spans="1:43" customFormat="1" ht="18" customHeight="1">
      <c r="A122" s="197"/>
      <c r="B122" s="1765" t="s">
        <v>231</v>
      </c>
      <c r="C122" s="1235">
        <v>102</v>
      </c>
      <c r="D122" s="1235">
        <v>7</v>
      </c>
      <c r="E122" s="1235">
        <v>7</v>
      </c>
      <c r="F122" s="1235"/>
      <c r="G122" s="1235"/>
      <c r="H122" s="1236">
        <f>N122</f>
        <v>0</v>
      </c>
      <c r="I122" s="1310">
        <v>0</v>
      </c>
      <c r="J122" s="1311">
        <v>0</v>
      </c>
      <c r="K122" s="1311">
        <v>0</v>
      </c>
      <c r="L122" s="1311">
        <v>0</v>
      </c>
      <c r="M122" s="1311">
        <v>0</v>
      </c>
      <c r="N122" s="1885">
        <f>0</f>
        <v>0</v>
      </c>
      <c r="O122" s="1885">
        <f>0</f>
        <v>0</v>
      </c>
      <c r="P122" s="1885">
        <f>0</f>
        <v>0</v>
      </c>
      <c r="Q122" s="1885">
        <f>0</f>
        <v>0</v>
      </c>
      <c r="R122" s="2414">
        <f>0</f>
        <v>0</v>
      </c>
      <c r="S122" s="2418"/>
      <c r="T122" s="40"/>
      <c r="U122" s="40"/>
      <c r="V122" s="40"/>
      <c r="W122" s="40"/>
      <c r="X122" s="40"/>
      <c r="Y122" s="40"/>
      <c r="Z122" s="40"/>
      <c r="AA122" s="40"/>
      <c r="AB122" s="40"/>
      <c r="AC122" s="40"/>
      <c r="AD122" s="40"/>
      <c r="AE122" s="40"/>
      <c r="AF122" s="40"/>
      <c r="AG122" s="40"/>
      <c r="AH122" s="40"/>
      <c r="AI122" s="40"/>
      <c r="AJ122" s="40"/>
      <c r="AK122" s="40"/>
      <c r="AL122" s="40"/>
      <c r="AM122" s="40"/>
      <c r="AN122" s="40"/>
      <c r="AO122" s="40"/>
      <c r="AP122" s="40"/>
      <c r="AQ122" s="40"/>
    </row>
    <row r="123" spans="1:43" customFormat="1" ht="18" customHeight="1">
      <c r="A123" s="73"/>
      <c r="B123" s="2181"/>
      <c r="C123" s="1312"/>
      <c r="D123" s="1312"/>
      <c r="E123" s="1312"/>
      <c r="F123" s="1312"/>
      <c r="G123" s="1312"/>
      <c r="H123" s="1313"/>
      <c r="I123" s="1314"/>
      <c r="J123" s="1294"/>
      <c r="K123" s="1294"/>
      <c r="L123" s="1294"/>
      <c r="M123" s="1294"/>
      <c r="N123" s="1294"/>
      <c r="O123" s="1294"/>
      <c r="P123" s="1294"/>
      <c r="Q123" s="1294"/>
      <c r="R123" s="2422"/>
      <c r="S123" s="2418"/>
      <c r="T123" s="40"/>
      <c r="U123" s="40"/>
      <c r="V123" s="40"/>
      <c r="W123" s="40"/>
      <c r="X123" s="40"/>
      <c r="Y123" s="40"/>
      <c r="Z123" s="40"/>
      <c r="AA123" s="40"/>
      <c r="AB123" s="40"/>
      <c r="AC123" s="40"/>
      <c r="AD123" s="40"/>
      <c r="AE123" s="40"/>
      <c r="AF123" s="40"/>
      <c r="AG123" s="40"/>
      <c r="AH123" s="40"/>
      <c r="AI123" s="40"/>
      <c r="AJ123" s="40"/>
      <c r="AK123" s="40"/>
      <c r="AL123" s="40"/>
      <c r="AM123" s="40"/>
      <c r="AN123" s="40"/>
      <c r="AO123" s="40"/>
      <c r="AP123" s="40"/>
      <c r="AQ123" s="40"/>
    </row>
    <row r="124" spans="1:43" customFormat="1" ht="18" customHeight="1">
      <c r="A124" s="73"/>
      <c r="B124" s="2181" t="s">
        <v>1433</v>
      </c>
      <c r="C124" s="1315">
        <v>102</v>
      </c>
      <c r="D124" s="1315">
        <v>6</v>
      </c>
      <c r="E124" s="1315">
        <v>6</v>
      </c>
      <c r="F124" s="1315"/>
      <c r="G124" s="1315"/>
      <c r="H124" s="1316">
        <f>N124</f>
        <v>60.481394590000001</v>
      </c>
      <c r="I124" s="1287">
        <f>I12</f>
        <v>19.860685459999999</v>
      </c>
      <c r="J124" s="1287">
        <f t="shared" ref="J124:M124" si="42">J12</f>
        <v>95.285449349999993</v>
      </c>
      <c r="K124" s="1287">
        <f t="shared" si="42"/>
        <v>39.896574020000003</v>
      </c>
      <c r="L124" s="1287">
        <f t="shared" si="42"/>
        <v>35.62005954</v>
      </c>
      <c r="M124" s="1287">
        <f t="shared" si="42"/>
        <v>60.481394590000001</v>
      </c>
      <c r="N124" s="1885">
        <f>M124</f>
        <v>60.481394590000001</v>
      </c>
      <c r="O124" s="1885">
        <f t="shared" ref="O124:R124" si="43">N124</f>
        <v>60.481394590000001</v>
      </c>
      <c r="P124" s="1885">
        <f t="shared" si="43"/>
        <v>60.481394590000001</v>
      </c>
      <c r="Q124" s="1885">
        <f t="shared" si="43"/>
        <v>60.481394590000001</v>
      </c>
      <c r="R124" s="2414">
        <f t="shared" si="43"/>
        <v>60.481394590000001</v>
      </c>
      <c r="S124" s="2418"/>
      <c r="T124" s="40"/>
      <c r="U124" s="40"/>
      <c r="V124" s="40"/>
      <c r="W124" s="40"/>
      <c r="X124" s="40"/>
      <c r="Y124" s="40"/>
      <c r="Z124" s="40"/>
      <c r="AA124" s="40"/>
      <c r="AB124" s="40"/>
      <c r="AC124" s="40"/>
      <c r="AD124" s="40"/>
      <c r="AE124" s="40"/>
      <c r="AF124" s="40"/>
      <c r="AG124" s="40"/>
      <c r="AH124" s="40"/>
      <c r="AI124" s="40"/>
      <c r="AJ124" s="40"/>
      <c r="AK124" s="40"/>
      <c r="AL124" s="40"/>
      <c r="AM124" s="40"/>
      <c r="AN124" s="40"/>
      <c r="AO124" s="40"/>
      <c r="AP124" s="40"/>
      <c r="AQ124" s="40"/>
    </row>
    <row r="125" spans="1:43" customFormat="1" ht="18" customHeight="1">
      <c r="A125" s="73"/>
      <c r="B125" s="2182"/>
      <c r="C125" s="1317"/>
      <c r="D125" s="1317"/>
      <c r="E125" s="1317"/>
      <c r="F125" s="1317"/>
      <c r="G125" s="1317"/>
      <c r="H125" s="1318"/>
      <c r="I125" s="1319"/>
      <c r="J125" s="1320"/>
      <c r="K125" s="1320"/>
      <c r="L125" s="1320"/>
      <c r="M125" s="1320"/>
      <c r="N125" s="1320"/>
      <c r="O125" s="1320"/>
      <c r="P125" s="1320"/>
      <c r="Q125" s="1320"/>
      <c r="R125" s="2427"/>
      <c r="S125" s="2418"/>
      <c r="T125" s="40"/>
      <c r="U125" s="40"/>
      <c r="V125" s="40"/>
      <c r="W125" s="40"/>
      <c r="X125" s="40"/>
      <c r="Y125" s="40"/>
      <c r="Z125" s="40"/>
      <c r="AA125" s="40"/>
      <c r="AB125" s="40"/>
      <c r="AC125" s="40"/>
      <c r="AD125" s="40"/>
      <c r="AE125" s="40"/>
      <c r="AF125" s="40"/>
      <c r="AG125" s="40"/>
      <c r="AH125" s="40"/>
      <c r="AI125" s="40"/>
      <c r="AJ125" s="40"/>
      <c r="AK125" s="40"/>
      <c r="AL125" s="40"/>
      <c r="AM125" s="40"/>
      <c r="AN125" s="40"/>
      <c r="AO125" s="40"/>
      <c r="AP125" s="40"/>
      <c r="AQ125" s="40"/>
    </row>
    <row r="126" spans="1:43" customFormat="1" ht="18" customHeight="1">
      <c r="A126" s="67"/>
      <c r="B126" s="1765" t="s">
        <v>561</v>
      </c>
      <c r="C126" s="1213"/>
      <c r="D126" s="1213"/>
      <c r="E126" s="1213"/>
      <c r="F126" s="1213"/>
      <c r="G126" s="1213"/>
      <c r="H126" s="1214"/>
      <c r="I126" s="1287">
        <f>I13</f>
        <v>438.15737182999999</v>
      </c>
      <c r="J126" s="1288">
        <f>J13</f>
        <v>477.89344679000004</v>
      </c>
      <c r="K126" s="1288">
        <f>K13</f>
        <v>478.93054676999998</v>
      </c>
      <c r="L126" s="1288">
        <f>L13</f>
        <v>780.10735330999989</v>
      </c>
      <c r="M126" s="1288">
        <f>M13</f>
        <v>909.17846889999998</v>
      </c>
      <c r="N126" s="1321">
        <f>N127-N129</f>
        <v>722.73878965999995</v>
      </c>
      <c r="O126" s="1321">
        <f>O127-O129</f>
        <v>804.00820395666653</v>
      </c>
      <c r="P126" s="1321">
        <f>P127-P129</f>
        <v>811.97515417222212</v>
      </c>
      <c r="Q126" s="1321">
        <f>Q127-Q129</f>
        <v>779.57404926296294</v>
      </c>
      <c r="R126" s="2428">
        <f>R127-R129</f>
        <v>798.51913579728387</v>
      </c>
      <c r="S126" s="2418"/>
      <c r="T126" s="40"/>
      <c r="U126" s="40"/>
      <c r="V126" s="40"/>
      <c r="W126" s="40"/>
      <c r="X126" s="40"/>
      <c r="Y126" s="40"/>
      <c r="Z126" s="40"/>
      <c r="AA126" s="40"/>
      <c r="AB126" s="40"/>
      <c r="AC126" s="40"/>
      <c r="AD126" s="40"/>
      <c r="AE126" s="40"/>
      <c r="AF126" s="40"/>
      <c r="AG126" s="40"/>
      <c r="AH126" s="40"/>
      <c r="AI126" s="40"/>
      <c r="AJ126" s="40"/>
      <c r="AK126" s="40"/>
      <c r="AL126" s="40"/>
      <c r="AM126" s="40"/>
      <c r="AN126" s="40"/>
      <c r="AO126" s="40"/>
      <c r="AP126" s="40"/>
      <c r="AQ126" s="40"/>
    </row>
    <row r="127" spans="1:43" customFormat="1" ht="18" customHeight="1">
      <c r="A127" s="68"/>
      <c r="B127" s="1824" t="s">
        <v>236</v>
      </c>
      <c r="C127" s="1223">
        <v>101</v>
      </c>
      <c r="D127" s="1223">
        <v>2</v>
      </c>
      <c r="E127" s="1223">
        <v>2</v>
      </c>
      <c r="F127" s="1223">
        <f>利润表!N8/N128</f>
        <v>722.73878965999995</v>
      </c>
      <c r="G127" s="1223">
        <f>利润表!N8/N127</f>
        <v>7.0320768391818422</v>
      </c>
      <c r="H127" s="1224">
        <f>N127</f>
        <v>722.73878965999995</v>
      </c>
      <c r="I127" s="1322">
        <f>I13+I129</f>
        <v>440.61787799999996</v>
      </c>
      <c r="J127" s="1323">
        <f>J13+J129</f>
        <v>477.89344679000004</v>
      </c>
      <c r="K127" s="1323">
        <f>K13+K129</f>
        <v>478.93054676999998</v>
      </c>
      <c r="L127" s="1323">
        <f>L13+L129</f>
        <v>780.10735330999989</v>
      </c>
      <c r="M127" s="1323">
        <f>M13+M129</f>
        <v>909.17846889999998</v>
      </c>
      <c r="N127" s="1885">
        <f>AVERAGE(K127:M127)</f>
        <v>722.73878965999995</v>
      </c>
      <c r="O127" s="1885">
        <f t="shared" ref="O127:R127" si="44">AVERAGE(L127:N127)</f>
        <v>804.00820395666653</v>
      </c>
      <c r="P127" s="1885">
        <f t="shared" si="44"/>
        <v>811.97515417222212</v>
      </c>
      <c r="Q127" s="1885">
        <f t="shared" si="44"/>
        <v>779.57404926296294</v>
      </c>
      <c r="R127" s="2414">
        <f t="shared" si="44"/>
        <v>798.51913579728387</v>
      </c>
      <c r="S127" s="2418"/>
      <c r="T127" s="40"/>
      <c r="U127" s="40"/>
      <c r="V127" s="40"/>
      <c r="W127" s="40"/>
      <c r="X127" s="40"/>
      <c r="Y127" s="40"/>
      <c r="Z127" s="40"/>
      <c r="AA127" s="40"/>
      <c r="AB127" s="40"/>
      <c r="AC127" s="40"/>
      <c r="AD127" s="40"/>
      <c r="AE127" s="40"/>
      <c r="AF127" s="40"/>
      <c r="AG127" s="40"/>
      <c r="AH127" s="40"/>
      <c r="AI127" s="40"/>
      <c r="AJ127" s="40"/>
      <c r="AK127" s="40"/>
      <c r="AL127" s="40"/>
      <c r="AM127" s="40"/>
      <c r="AN127" s="40"/>
      <c r="AO127" s="40"/>
      <c r="AP127" s="40"/>
      <c r="AQ127" s="40"/>
    </row>
    <row r="128" spans="1:43" customFormat="1" ht="18" customHeight="1">
      <c r="A128" s="211"/>
      <c r="B128" s="2183" t="s">
        <v>237</v>
      </c>
      <c r="C128" s="1300"/>
      <c r="D128" s="1300"/>
      <c r="E128" s="1300"/>
      <c r="F128" s="1300"/>
      <c r="G128" s="1300"/>
      <c r="H128" s="1300"/>
      <c r="I128" s="1301">
        <f>利润表!I8/I127</f>
        <v>5.0798799827409633</v>
      </c>
      <c r="J128" s="1301">
        <f>利润表!J8/J127</f>
        <v>5.7652621937933901</v>
      </c>
      <c r="K128" s="1301">
        <f>利润表!K8/K127</f>
        <v>7.5708454932637537</v>
      </c>
      <c r="L128" s="1301">
        <f>利润表!L8/L127</f>
        <v>4.9528917075527223</v>
      </c>
      <c r="M128" s="1301">
        <f>利润表!M8/M127</f>
        <v>5.5866595067141498</v>
      </c>
      <c r="N128" s="1887">
        <f>利润表!N8/N127</f>
        <v>7.0320768391818422</v>
      </c>
      <c r="O128" s="1887">
        <f>利润表!O8/O127</f>
        <v>6.3371499389825443</v>
      </c>
      <c r="P128" s="1887">
        <f>利润表!P8/P127</f>
        <v>6.2632235737662576</v>
      </c>
      <c r="Q128" s="1887">
        <f>利润表!Q8/Q127</f>
        <v>6.5262379225108242</v>
      </c>
      <c r="R128" s="2423">
        <f>利润表!R8/R127</f>
        <v>6.373626507201112</v>
      </c>
      <c r="S128" s="2418"/>
      <c r="T128" s="40"/>
      <c r="U128" s="40"/>
      <c r="V128" s="40"/>
      <c r="W128" s="40"/>
      <c r="X128" s="40"/>
      <c r="Y128" s="40"/>
      <c r="Z128" s="40"/>
      <c r="AA128" s="40"/>
      <c r="AB128" s="40"/>
      <c r="AC128" s="40"/>
      <c r="AD128" s="40"/>
      <c r="AE128" s="40"/>
      <c r="AF128" s="40"/>
      <c r="AG128" s="40"/>
      <c r="AH128" s="40"/>
      <c r="AI128" s="40"/>
      <c r="AJ128" s="40"/>
      <c r="AK128" s="40"/>
      <c r="AL128" s="40"/>
      <c r="AM128" s="40"/>
      <c r="AN128" s="40"/>
      <c r="AO128" s="40"/>
      <c r="AP128" s="40"/>
      <c r="AQ128" s="40"/>
    </row>
    <row r="129" spans="1:43" customFormat="1" ht="18" customHeight="1">
      <c r="A129" s="241"/>
      <c r="B129" s="2183" t="s">
        <v>238</v>
      </c>
      <c r="C129" s="1300">
        <v>102</v>
      </c>
      <c r="D129" s="1300">
        <v>7</v>
      </c>
      <c r="E129" s="1300">
        <v>7</v>
      </c>
      <c r="F129" s="1300"/>
      <c r="G129" s="1300"/>
      <c r="H129" s="1300">
        <f>N129</f>
        <v>0</v>
      </c>
      <c r="I129" s="1322">
        <f>I85</f>
        <v>2.4605061699999999</v>
      </c>
      <c r="J129" s="1323">
        <f>J85</f>
        <v>0</v>
      </c>
      <c r="K129" s="1323">
        <f>K85</f>
        <v>0</v>
      </c>
      <c r="L129" s="1323">
        <f>L85</f>
        <v>0</v>
      </c>
      <c r="M129" s="1323">
        <f>M85</f>
        <v>0</v>
      </c>
      <c r="N129" s="1885">
        <f>0</f>
        <v>0</v>
      </c>
      <c r="O129" s="1885">
        <f>0</f>
        <v>0</v>
      </c>
      <c r="P129" s="1885">
        <f>0</f>
        <v>0</v>
      </c>
      <c r="Q129" s="1885">
        <f>0</f>
        <v>0</v>
      </c>
      <c r="R129" s="2414">
        <f>0</f>
        <v>0</v>
      </c>
      <c r="S129" s="2418"/>
      <c r="T129" s="40"/>
      <c r="U129" s="40"/>
      <c r="V129" s="40"/>
      <c r="W129" s="40"/>
      <c r="X129" s="40"/>
      <c r="Y129" s="40"/>
      <c r="Z129" s="40"/>
      <c r="AA129" s="40"/>
      <c r="AB129" s="40"/>
      <c r="AC129" s="40"/>
      <c r="AD129" s="40"/>
      <c r="AE129" s="40"/>
      <c r="AF129" s="40"/>
      <c r="AG129" s="40"/>
      <c r="AH129" s="40"/>
      <c r="AI129" s="40"/>
      <c r="AJ129" s="40"/>
      <c r="AK129" s="40"/>
      <c r="AL129" s="40"/>
      <c r="AM129" s="40"/>
      <c r="AN129" s="40"/>
      <c r="AO129" s="40"/>
      <c r="AP129" s="40"/>
      <c r="AQ129" s="40"/>
    </row>
    <row r="130" spans="1:43" customFormat="1" ht="18" customHeight="1">
      <c r="A130" s="67"/>
      <c r="B130" s="2175"/>
      <c r="C130" s="1325"/>
      <c r="D130" s="1325"/>
      <c r="E130" s="1325"/>
      <c r="F130" s="1325"/>
      <c r="G130" s="1325"/>
      <c r="H130" s="1326"/>
      <c r="I130" s="1327"/>
      <c r="J130" s="1321"/>
      <c r="K130" s="1321"/>
      <c r="L130" s="1321"/>
      <c r="M130" s="1321"/>
      <c r="N130" s="1321"/>
      <c r="O130" s="1321"/>
      <c r="P130" s="1321"/>
      <c r="Q130" s="1321"/>
      <c r="R130" s="2428"/>
      <c r="S130" s="2418"/>
      <c r="T130" s="40"/>
      <c r="U130" s="40"/>
      <c r="V130" s="40"/>
      <c r="W130" s="40"/>
      <c r="X130" s="40"/>
      <c r="Y130" s="40"/>
      <c r="Z130" s="40"/>
      <c r="AA130" s="40"/>
      <c r="AB130" s="40"/>
      <c r="AC130" s="40"/>
      <c r="AD130" s="40"/>
      <c r="AE130" s="40"/>
      <c r="AF130" s="40"/>
      <c r="AG130" s="40"/>
      <c r="AH130" s="40"/>
      <c r="AI130" s="40"/>
      <c r="AJ130" s="40"/>
      <c r="AK130" s="40"/>
      <c r="AL130" s="40"/>
      <c r="AM130" s="40"/>
      <c r="AN130" s="40"/>
      <c r="AO130" s="40"/>
      <c r="AP130" s="40"/>
      <c r="AQ130" s="40"/>
    </row>
    <row r="131" spans="1:43" customFormat="1" ht="18" customHeight="1">
      <c r="A131" s="67"/>
      <c r="B131" s="2175" t="s">
        <v>1434</v>
      </c>
      <c r="C131" s="1325"/>
      <c r="D131" s="1325"/>
      <c r="E131" s="1325"/>
      <c r="F131" s="1325"/>
      <c r="G131" s="1325"/>
      <c r="H131" s="1326"/>
      <c r="I131" s="2286">
        <f>I14</f>
        <v>0</v>
      </c>
      <c r="J131" s="2286">
        <f t="shared" ref="J131:M131" si="45">J14</f>
        <v>0</v>
      </c>
      <c r="K131" s="2286">
        <f t="shared" si="45"/>
        <v>0</v>
      </c>
      <c r="L131" s="2286">
        <f t="shared" si="45"/>
        <v>0</v>
      </c>
      <c r="M131" s="2286">
        <f t="shared" si="45"/>
        <v>0</v>
      </c>
      <c r="N131" s="1885">
        <f>N132-N134</f>
        <v>0</v>
      </c>
      <c r="O131" s="1885">
        <f t="shared" ref="O131:R131" si="46">O132-O134</f>
        <v>0</v>
      </c>
      <c r="P131" s="1885">
        <f t="shared" si="46"/>
        <v>0</v>
      </c>
      <c r="Q131" s="1885">
        <f t="shared" si="46"/>
        <v>0</v>
      </c>
      <c r="R131" s="2414">
        <f t="shared" si="46"/>
        <v>0</v>
      </c>
      <c r="S131" s="2418"/>
      <c r="T131" s="40"/>
      <c r="U131" s="40"/>
      <c r="V131" s="40"/>
      <c r="W131" s="40"/>
      <c r="X131" s="40"/>
      <c r="Y131" s="40"/>
      <c r="Z131" s="40"/>
      <c r="AA131" s="40"/>
      <c r="AB131" s="40"/>
      <c r="AC131" s="40"/>
      <c r="AD131" s="40"/>
      <c r="AE131" s="40"/>
      <c r="AF131" s="40"/>
      <c r="AG131" s="40"/>
      <c r="AH131" s="40"/>
      <c r="AI131" s="40"/>
      <c r="AJ131" s="40"/>
      <c r="AK131" s="40"/>
      <c r="AL131" s="40"/>
      <c r="AM131" s="40"/>
      <c r="AN131" s="40"/>
      <c r="AO131" s="40"/>
      <c r="AP131" s="40"/>
      <c r="AQ131" s="40"/>
    </row>
    <row r="132" spans="1:43" customFormat="1" ht="18" customHeight="1">
      <c r="A132" s="67"/>
      <c r="B132" s="1824" t="s">
        <v>1435</v>
      </c>
      <c r="C132" s="1223">
        <v>101</v>
      </c>
      <c r="D132" s="1223">
        <v>6</v>
      </c>
      <c r="E132" s="1223">
        <v>6</v>
      </c>
      <c r="F132" s="1223" t="e">
        <f>利润表!N5/N133</f>
        <v>#DIV/0!</v>
      </c>
      <c r="G132" s="1223" t="e">
        <f>利润表!N5/N132</f>
        <v>#DIV/0!</v>
      </c>
      <c r="H132" s="1224">
        <f>N132</f>
        <v>0</v>
      </c>
      <c r="I132" s="2286">
        <f>I131+I134</f>
        <v>0</v>
      </c>
      <c r="J132" s="2286">
        <f t="shared" ref="J132:M132" si="47">J131+J134</f>
        <v>0</v>
      </c>
      <c r="K132" s="2286">
        <f t="shared" si="47"/>
        <v>0</v>
      </c>
      <c r="L132" s="2286">
        <f t="shared" si="47"/>
        <v>0</v>
      </c>
      <c r="M132" s="2286">
        <f t="shared" si="47"/>
        <v>0</v>
      </c>
      <c r="N132" s="1885">
        <f>M132</f>
        <v>0</v>
      </c>
      <c r="O132" s="1885">
        <f t="shared" ref="O132:R132" si="48">N132</f>
        <v>0</v>
      </c>
      <c r="P132" s="1885">
        <f t="shared" si="48"/>
        <v>0</v>
      </c>
      <c r="Q132" s="1885">
        <f t="shared" si="48"/>
        <v>0</v>
      </c>
      <c r="R132" s="2414">
        <f t="shared" si="48"/>
        <v>0</v>
      </c>
      <c r="S132" s="2418"/>
      <c r="T132" s="40"/>
      <c r="U132" s="40"/>
      <c r="V132" s="40"/>
      <c r="W132" s="40"/>
      <c r="X132" s="40"/>
      <c r="Y132" s="40"/>
      <c r="Z132" s="40"/>
      <c r="AA132" s="40"/>
      <c r="AB132" s="40"/>
      <c r="AC132" s="40"/>
      <c r="AD132" s="40"/>
      <c r="AE132" s="40"/>
      <c r="AF132" s="40"/>
      <c r="AG132" s="40"/>
      <c r="AH132" s="40"/>
      <c r="AI132" s="40"/>
      <c r="AJ132" s="40"/>
      <c r="AK132" s="40"/>
      <c r="AL132" s="40"/>
      <c r="AM132" s="40"/>
      <c r="AN132" s="40"/>
      <c r="AO132" s="40"/>
      <c r="AP132" s="40"/>
      <c r="AQ132" s="40"/>
    </row>
    <row r="133" spans="1:43" customFormat="1" ht="18" customHeight="1">
      <c r="A133" s="67"/>
      <c r="B133" s="2183" t="s">
        <v>1436</v>
      </c>
      <c r="C133" s="1325"/>
      <c r="D133" s="1325"/>
      <c r="E133" s="1325"/>
      <c r="F133" s="1325"/>
      <c r="G133" s="1325"/>
      <c r="H133" s="1326"/>
      <c r="I133" s="2286" t="e">
        <f>利润表!I5/I132</f>
        <v>#DIV/0!</v>
      </c>
      <c r="J133" s="2286" t="e">
        <f>利润表!J5/J132</f>
        <v>#DIV/0!</v>
      </c>
      <c r="K133" s="2286" t="e">
        <f>利润表!K5/K132</f>
        <v>#DIV/0!</v>
      </c>
      <c r="L133" s="2286" t="e">
        <f>利润表!L5/L132</f>
        <v>#DIV/0!</v>
      </c>
      <c r="M133" s="2286" t="e">
        <f>利润表!M5/M132</f>
        <v>#DIV/0!</v>
      </c>
      <c r="N133" s="1887" t="e">
        <f>利润表!N5/N132</f>
        <v>#DIV/0!</v>
      </c>
      <c r="O133" s="1887" t="e">
        <f>利润表!O5/O132</f>
        <v>#DIV/0!</v>
      </c>
      <c r="P133" s="1887" t="e">
        <f>利润表!P5/P132</f>
        <v>#DIV/0!</v>
      </c>
      <c r="Q133" s="1887" t="e">
        <f>利润表!Q5/Q132</f>
        <v>#DIV/0!</v>
      </c>
      <c r="R133" s="2423" t="e">
        <f>利润表!R5/R132</f>
        <v>#DIV/0!</v>
      </c>
      <c r="S133" s="2418"/>
      <c r="T133" s="40"/>
      <c r="U133" s="40"/>
      <c r="V133" s="40"/>
      <c r="W133" s="40"/>
      <c r="X133" s="40"/>
      <c r="Y133" s="40"/>
      <c r="Z133" s="40"/>
      <c r="AA133" s="40"/>
      <c r="AB133" s="40"/>
      <c r="AC133" s="40"/>
      <c r="AD133" s="40"/>
      <c r="AE133" s="40"/>
      <c r="AF133" s="40"/>
      <c r="AG133" s="40"/>
      <c r="AH133" s="40"/>
      <c r="AI133" s="40"/>
      <c r="AJ133" s="40"/>
      <c r="AK133" s="40"/>
      <c r="AL133" s="40"/>
      <c r="AM133" s="40"/>
      <c r="AN133" s="40"/>
      <c r="AO133" s="40"/>
      <c r="AP133" s="40"/>
      <c r="AQ133" s="40"/>
    </row>
    <row r="134" spans="1:43" customFormat="1" ht="18" customHeight="1">
      <c r="A134" s="67"/>
      <c r="B134" s="2183" t="s">
        <v>1437</v>
      </c>
      <c r="C134" s="1325">
        <v>102</v>
      </c>
      <c r="D134" s="1325">
        <v>7</v>
      </c>
      <c r="E134" s="1325">
        <v>7</v>
      </c>
      <c r="F134" s="1325"/>
      <c r="G134" s="1325"/>
      <c r="H134" s="1387">
        <f>N134</f>
        <v>0</v>
      </c>
      <c r="I134" s="1920"/>
      <c r="J134" s="1921"/>
      <c r="K134" s="1921"/>
      <c r="L134" s="1921"/>
      <c r="M134" s="1921"/>
      <c r="N134" s="1885">
        <f>0</f>
        <v>0</v>
      </c>
      <c r="O134" s="1885">
        <f>0</f>
        <v>0</v>
      </c>
      <c r="P134" s="1885">
        <f>0</f>
        <v>0</v>
      </c>
      <c r="Q134" s="1885">
        <f>0</f>
        <v>0</v>
      </c>
      <c r="R134" s="2414">
        <f>0</f>
        <v>0</v>
      </c>
      <c r="S134" s="2418"/>
      <c r="T134" s="40"/>
      <c r="U134" s="40"/>
      <c r="V134" s="40"/>
      <c r="W134" s="40"/>
      <c r="X134" s="40"/>
      <c r="Y134" s="40"/>
      <c r="Z134" s="40"/>
      <c r="AA134" s="40"/>
      <c r="AB134" s="40"/>
      <c r="AC134" s="40"/>
      <c r="AD134" s="40"/>
      <c r="AE134" s="40"/>
      <c r="AF134" s="40"/>
      <c r="AG134" s="40"/>
      <c r="AH134" s="40"/>
      <c r="AI134" s="40"/>
      <c r="AJ134" s="40"/>
      <c r="AK134" s="40"/>
      <c r="AL134" s="40"/>
      <c r="AM134" s="40"/>
      <c r="AN134" s="40"/>
      <c r="AO134" s="40"/>
      <c r="AP134" s="40"/>
      <c r="AQ134" s="40"/>
    </row>
    <row r="135" spans="1:43" customFormat="1" ht="18" customHeight="1">
      <c r="A135" s="67"/>
      <c r="B135" s="2175"/>
      <c r="C135" s="1325"/>
      <c r="D135" s="1325"/>
      <c r="E135" s="1325"/>
      <c r="F135" s="1325"/>
      <c r="G135" s="1325"/>
      <c r="H135" s="1326"/>
      <c r="I135" s="1327"/>
      <c r="J135" s="1321"/>
      <c r="K135" s="1321"/>
      <c r="L135" s="1321"/>
      <c r="M135" s="1321"/>
      <c r="N135" s="1321"/>
      <c r="O135" s="1321"/>
      <c r="P135" s="1321"/>
      <c r="Q135" s="1321"/>
      <c r="R135" s="2428"/>
      <c r="S135" s="2418"/>
      <c r="T135" s="40"/>
      <c r="U135" s="40"/>
      <c r="V135" s="40"/>
      <c r="W135" s="40"/>
      <c r="X135" s="40"/>
      <c r="Y135" s="40"/>
      <c r="Z135" s="40"/>
      <c r="AA135" s="40"/>
      <c r="AB135" s="40"/>
      <c r="AC135" s="40"/>
      <c r="AD135" s="40"/>
      <c r="AE135" s="40"/>
      <c r="AF135" s="40"/>
      <c r="AG135" s="40"/>
      <c r="AH135" s="40"/>
      <c r="AI135" s="40"/>
      <c r="AJ135" s="40"/>
      <c r="AK135" s="40"/>
      <c r="AL135" s="40"/>
      <c r="AM135" s="40"/>
      <c r="AN135" s="40"/>
      <c r="AO135" s="40"/>
      <c r="AP135" s="40"/>
      <c r="AQ135" s="40"/>
    </row>
    <row r="136" spans="1:43" customFormat="1" ht="18" customHeight="1">
      <c r="A136" s="67"/>
      <c r="B136" s="2175" t="s">
        <v>131</v>
      </c>
      <c r="C136" s="1325">
        <v>102</v>
      </c>
      <c r="D136" s="1325">
        <v>6</v>
      </c>
      <c r="E136" s="1325">
        <v>6</v>
      </c>
      <c r="F136" s="1325"/>
      <c r="G136" s="1325"/>
      <c r="H136" s="1387">
        <f>N136</f>
        <v>142.89985096000001</v>
      </c>
      <c r="I136" s="1287">
        <f>I15</f>
        <v>1391.75044985</v>
      </c>
      <c r="J136" s="1288">
        <f>J15</f>
        <v>1578.95726167</v>
      </c>
      <c r="K136" s="1288">
        <f>K15</f>
        <v>1191.2970027000001</v>
      </c>
      <c r="L136" s="1288">
        <f>L15</f>
        <v>891.43359971000007</v>
      </c>
      <c r="M136" s="1288">
        <f>M15</f>
        <v>142.89985096000001</v>
      </c>
      <c r="N136" s="1885">
        <f>M136</f>
        <v>142.89985096000001</v>
      </c>
      <c r="O136" s="1885">
        <f t="shared" ref="O136:R136" si="49">N136</f>
        <v>142.89985096000001</v>
      </c>
      <c r="P136" s="1885">
        <f t="shared" si="49"/>
        <v>142.89985096000001</v>
      </c>
      <c r="Q136" s="1885">
        <f t="shared" si="49"/>
        <v>142.89985096000001</v>
      </c>
      <c r="R136" s="2414">
        <f t="shared" si="49"/>
        <v>142.89985096000001</v>
      </c>
      <c r="S136" s="2418"/>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row>
    <row r="137" spans="1:43" customFormat="1" ht="14.25" customHeight="1">
      <c r="A137" s="240"/>
      <c r="B137" s="1766"/>
      <c r="C137" s="1219"/>
      <c r="D137" s="1219"/>
      <c r="E137" s="1219"/>
      <c r="F137" s="1219"/>
      <c r="G137" s="1219"/>
      <c r="H137" s="1220"/>
      <c r="I137" s="1328"/>
      <c r="J137" s="1294"/>
      <c r="K137" s="1294"/>
      <c r="L137" s="1294"/>
      <c r="M137" s="1294"/>
      <c r="N137" s="1294"/>
      <c r="O137" s="1294"/>
      <c r="P137" s="1294"/>
      <c r="Q137" s="1294"/>
      <c r="R137" s="2422"/>
      <c r="S137" s="2418"/>
      <c r="T137" s="40"/>
      <c r="U137" s="40"/>
      <c r="V137" s="40"/>
      <c r="W137" s="40"/>
      <c r="X137" s="40"/>
      <c r="Y137" s="40"/>
      <c r="Z137" s="40"/>
      <c r="AA137" s="40"/>
      <c r="AB137" s="40"/>
      <c r="AC137" s="40"/>
      <c r="AD137" s="40"/>
      <c r="AE137" s="40"/>
      <c r="AF137" s="40"/>
      <c r="AG137" s="40"/>
      <c r="AH137" s="40"/>
      <c r="AI137" s="40"/>
      <c r="AJ137" s="40"/>
      <c r="AK137" s="40"/>
      <c r="AL137" s="40"/>
      <c r="AM137" s="40"/>
      <c r="AN137" s="40"/>
      <c r="AO137" s="40"/>
      <c r="AP137" s="40"/>
      <c r="AQ137" s="40"/>
    </row>
    <row r="138" spans="1:43" customFormat="1" ht="14.25" customHeight="1">
      <c r="A138" s="240"/>
      <c r="B138" s="1766" t="s">
        <v>1438</v>
      </c>
      <c r="C138" s="1325">
        <v>102</v>
      </c>
      <c r="D138" s="1325">
        <v>6</v>
      </c>
      <c r="E138" s="1325">
        <v>6</v>
      </c>
      <c r="F138" s="1325"/>
      <c r="G138" s="1325"/>
      <c r="H138" s="1387">
        <f>N138</f>
        <v>0</v>
      </c>
      <c r="I138" s="1287">
        <f>I16</f>
        <v>0</v>
      </c>
      <c r="J138" s="1287">
        <f>J16</f>
        <v>0</v>
      </c>
      <c r="K138" s="1287">
        <f>K16</f>
        <v>0</v>
      </c>
      <c r="L138" s="1287">
        <f>L16</f>
        <v>39.183475670000007</v>
      </c>
      <c r="M138" s="1287">
        <f>M16</f>
        <v>0</v>
      </c>
      <c r="N138" s="1294">
        <f>M138</f>
        <v>0</v>
      </c>
      <c r="O138" s="1294">
        <f>N138</f>
        <v>0</v>
      </c>
      <c r="P138" s="1294">
        <f>O138</f>
        <v>0</v>
      </c>
      <c r="Q138" s="1294">
        <f>P138</f>
        <v>0</v>
      </c>
      <c r="R138" s="2422">
        <f>Q138</f>
        <v>0</v>
      </c>
      <c r="S138" s="2418"/>
      <c r="T138" s="40"/>
      <c r="U138" s="40"/>
      <c r="V138" s="40"/>
      <c r="W138" s="40"/>
      <c r="X138" s="40"/>
      <c r="Y138" s="40"/>
      <c r="Z138" s="40"/>
      <c r="AA138" s="40"/>
      <c r="AB138" s="40"/>
      <c r="AC138" s="40"/>
      <c r="AD138" s="40"/>
      <c r="AE138" s="40"/>
      <c r="AF138" s="40"/>
      <c r="AG138" s="40"/>
      <c r="AH138" s="40"/>
      <c r="AI138" s="40"/>
      <c r="AJ138" s="40"/>
      <c r="AK138" s="40"/>
      <c r="AL138" s="40"/>
      <c r="AM138" s="40"/>
      <c r="AN138" s="40"/>
      <c r="AO138" s="40"/>
      <c r="AP138" s="40"/>
      <c r="AQ138" s="40"/>
    </row>
    <row r="139" spans="1:43" customFormat="1" ht="18" customHeight="1">
      <c r="A139" s="67"/>
      <c r="B139" s="2175"/>
      <c r="C139" s="1325"/>
      <c r="D139" s="1325"/>
      <c r="E139" s="1325"/>
      <c r="F139" s="1325"/>
      <c r="G139" s="1325"/>
      <c r="H139" s="1326"/>
      <c r="I139" s="1327"/>
      <c r="J139" s="1321"/>
      <c r="K139" s="1321"/>
      <c r="L139" s="1321"/>
      <c r="M139" s="1321"/>
      <c r="N139" s="1217"/>
      <c r="O139" s="1217"/>
      <c r="P139" s="1217"/>
      <c r="Q139" s="1217"/>
      <c r="R139" s="2412"/>
      <c r="S139" s="2418"/>
      <c r="T139" s="40"/>
      <c r="U139" s="40"/>
      <c r="V139" s="40"/>
      <c r="W139" s="40"/>
      <c r="X139" s="40"/>
      <c r="Y139" s="40"/>
      <c r="Z139" s="40"/>
      <c r="AA139" s="40"/>
      <c r="AB139" s="40"/>
      <c r="AC139" s="40"/>
      <c r="AD139" s="40"/>
      <c r="AE139" s="40"/>
      <c r="AF139" s="40"/>
      <c r="AG139" s="40"/>
      <c r="AH139" s="40"/>
      <c r="AI139" s="40"/>
      <c r="AJ139" s="40"/>
      <c r="AK139" s="40"/>
      <c r="AL139" s="40"/>
      <c r="AM139" s="40"/>
      <c r="AN139" s="40"/>
      <c r="AO139" s="40"/>
      <c r="AP139" s="40"/>
      <c r="AQ139" s="40"/>
    </row>
    <row r="140" spans="1:43" customFormat="1" ht="18" customHeight="1">
      <c r="A140" s="67"/>
      <c r="B140" s="2175" t="s">
        <v>562</v>
      </c>
      <c r="C140" s="1329"/>
      <c r="D140" s="1329"/>
      <c r="E140" s="1329"/>
      <c r="F140" s="1329"/>
      <c r="G140" s="1329"/>
      <c r="H140" s="1330"/>
      <c r="I140" s="1288">
        <f>I100+I104+I108+I112+I120+I124+I126+I131+I136+I138</f>
        <v>4133.9698141700001</v>
      </c>
      <c r="J140" s="1288">
        <f t="shared" ref="J140:R140" si="50">J100+J104+J108+J112+J120+J124+J126+J131+J136+J138</f>
        <v>4518.8556529799998</v>
      </c>
      <c r="K140" s="1288">
        <f t="shared" si="50"/>
        <v>4521.2475611200007</v>
      </c>
      <c r="L140" s="1288">
        <f t="shared" si="50"/>
        <v>5013.9663203</v>
      </c>
      <c r="M140" s="1288">
        <f t="shared" si="50"/>
        <v>6744.6232986699988</v>
      </c>
      <c r="N140" s="1217">
        <f t="shared" ca="1" si="50"/>
        <v>5613.3250847722729</v>
      </c>
      <c r="O140" s="1217">
        <f t="shared" ca="1" si="50"/>
        <v>6429.5458081747774</v>
      </c>
      <c r="P140" s="1217">
        <f t="shared" ca="1" si="50"/>
        <v>7122.3996759252559</v>
      </c>
      <c r="Q140" s="1217">
        <f t="shared" ca="1" si="50"/>
        <v>7739.234782884786</v>
      </c>
      <c r="R140" s="2412">
        <f t="shared" ca="1" si="50"/>
        <v>8448.405127380267</v>
      </c>
      <c r="S140" s="2418"/>
      <c r="T140" s="40"/>
      <c r="U140" s="40"/>
      <c r="V140" s="40"/>
      <c r="W140" s="40"/>
      <c r="X140" s="40"/>
      <c r="Y140" s="40"/>
      <c r="Z140" s="40"/>
      <c r="AA140" s="40"/>
      <c r="AB140" s="40"/>
      <c r="AC140" s="40"/>
      <c r="AD140" s="40"/>
      <c r="AE140" s="40"/>
      <c r="AF140" s="40"/>
      <c r="AG140" s="40"/>
      <c r="AH140" s="40"/>
      <c r="AI140" s="40"/>
      <c r="AJ140" s="40"/>
      <c r="AK140" s="40"/>
      <c r="AL140" s="40"/>
      <c r="AM140" s="40"/>
      <c r="AN140" s="40"/>
      <c r="AO140" s="40"/>
      <c r="AP140" s="40"/>
      <c r="AQ140" s="40"/>
    </row>
    <row r="141" spans="1:43" customFormat="1" ht="18" customHeight="1">
      <c r="A141" s="67"/>
      <c r="B141" s="2175"/>
      <c r="C141" s="1325"/>
      <c r="D141" s="1325"/>
      <c r="E141" s="1325"/>
      <c r="F141" s="1325"/>
      <c r="G141" s="1325"/>
      <c r="H141" s="1326"/>
      <c r="I141" s="1327"/>
      <c r="J141" s="1321"/>
      <c r="K141" s="1321"/>
      <c r="L141" s="1321"/>
      <c r="M141" s="1321"/>
      <c r="N141" s="1321"/>
      <c r="O141" s="1321"/>
      <c r="P141" s="1321"/>
      <c r="Q141" s="1321"/>
      <c r="R141" s="2428"/>
      <c r="S141" s="2418"/>
      <c r="T141" s="40"/>
      <c r="U141" s="40"/>
      <c r="V141" s="40"/>
      <c r="W141" s="40"/>
      <c r="X141" s="40"/>
      <c r="Y141" s="40"/>
      <c r="Z141" s="40"/>
      <c r="AA141" s="40"/>
      <c r="AB141" s="40"/>
      <c r="AC141" s="40"/>
      <c r="AD141" s="40"/>
      <c r="AE141" s="40"/>
      <c r="AF141" s="40"/>
      <c r="AG141" s="40"/>
      <c r="AH141" s="40"/>
      <c r="AI141" s="40"/>
      <c r="AJ141" s="40"/>
      <c r="AK141" s="40"/>
      <c r="AL141" s="40"/>
      <c r="AM141" s="40"/>
      <c r="AN141" s="40"/>
      <c r="AO141" s="40"/>
      <c r="AP141" s="40"/>
      <c r="AQ141" s="40"/>
    </row>
    <row r="142" spans="1:43" customFormat="1" ht="18" customHeight="1">
      <c r="A142" s="67"/>
      <c r="B142" s="2174" t="s">
        <v>1439</v>
      </c>
      <c r="C142" s="1325"/>
      <c r="D142" s="1325"/>
      <c r="E142" s="1325"/>
      <c r="F142" s="1325"/>
      <c r="G142" s="1325"/>
      <c r="H142" s="1326"/>
      <c r="I142" s="1287">
        <f>I19</f>
        <v>0</v>
      </c>
      <c r="J142" s="1287">
        <f>J19</f>
        <v>0</v>
      </c>
      <c r="K142" s="1287">
        <f>K19</f>
        <v>0</v>
      </c>
      <c r="L142" s="1287">
        <f>L19</f>
        <v>0</v>
      </c>
      <c r="M142" s="1287">
        <f>M19</f>
        <v>0</v>
      </c>
      <c r="N142" s="1294">
        <f>N143-N144</f>
        <v>0</v>
      </c>
      <c r="O142" s="1294">
        <f t="shared" ref="O142:R142" si="51">O143-O144</f>
        <v>0</v>
      </c>
      <c r="P142" s="1294">
        <f t="shared" si="51"/>
        <v>0</v>
      </c>
      <c r="Q142" s="1294">
        <f t="shared" si="51"/>
        <v>0</v>
      </c>
      <c r="R142" s="2422">
        <f t="shared" si="51"/>
        <v>0</v>
      </c>
      <c r="S142" s="2418"/>
      <c r="T142" s="40"/>
      <c r="U142" s="40"/>
      <c r="V142" s="40"/>
      <c r="W142" s="40"/>
      <c r="X142" s="40"/>
      <c r="Y142" s="40"/>
      <c r="Z142" s="40"/>
      <c r="AA142" s="40"/>
      <c r="AB142" s="40"/>
      <c r="AC142" s="40"/>
      <c r="AD142" s="40"/>
      <c r="AE142" s="40"/>
      <c r="AF142" s="40"/>
      <c r="AG142" s="40"/>
      <c r="AH142" s="40"/>
      <c r="AI142" s="40"/>
      <c r="AJ142" s="40"/>
      <c r="AK142" s="40"/>
      <c r="AL142" s="40"/>
      <c r="AM142" s="40"/>
      <c r="AN142" s="40"/>
      <c r="AO142" s="40"/>
      <c r="AP142" s="40"/>
      <c r="AQ142" s="40"/>
    </row>
    <row r="143" spans="1:43" customFormat="1" ht="18" customHeight="1">
      <c r="A143" s="67"/>
      <c r="B143" s="1824" t="s">
        <v>1440</v>
      </c>
      <c r="C143" s="1325">
        <v>102</v>
      </c>
      <c r="D143" s="1325">
        <v>6</v>
      </c>
      <c r="E143" s="1325">
        <v>6</v>
      </c>
      <c r="F143" s="1325"/>
      <c r="G143" s="1325"/>
      <c r="H143" s="1387">
        <f>N143</f>
        <v>0</v>
      </c>
      <c r="I143" s="1308">
        <f>I142+I144</f>
        <v>0</v>
      </c>
      <c r="J143" s="1308">
        <f t="shared" ref="J143:M143" si="52">J142+J144</f>
        <v>0</v>
      </c>
      <c r="K143" s="1308">
        <f t="shared" si="52"/>
        <v>0</v>
      </c>
      <c r="L143" s="1308">
        <f t="shared" si="52"/>
        <v>0</v>
      </c>
      <c r="M143" s="1308">
        <f t="shared" si="52"/>
        <v>0</v>
      </c>
      <c r="N143" s="1885">
        <f>M143</f>
        <v>0</v>
      </c>
      <c r="O143" s="1885">
        <f t="shared" ref="O143:R143" si="53">N143</f>
        <v>0</v>
      </c>
      <c r="P143" s="1885">
        <f t="shared" si="53"/>
        <v>0</v>
      </c>
      <c r="Q143" s="1885">
        <f t="shared" si="53"/>
        <v>0</v>
      </c>
      <c r="R143" s="2414">
        <f t="shared" si="53"/>
        <v>0</v>
      </c>
      <c r="S143" s="2418"/>
      <c r="T143" s="40"/>
      <c r="U143" s="40"/>
      <c r="V143" s="40"/>
      <c r="W143" s="40"/>
      <c r="X143" s="40"/>
      <c r="Y143" s="40"/>
      <c r="Z143" s="40"/>
      <c r="AA143" s="40"/>
      <c r="AB143" s="40"/>
      <c r="AC143" s="40"/>
      <c r="AD143" s="40"/>
      <c r="AE143" s="40"/>
      <c r="AF143" s="40"/>
      <c r="AG143" s="40"/>
      <c r="AH143" s="40"/>
      <c r="AI143" s="40"/>
      <c r="AJ143" s="40"/>
      <c r="AK143" s="40"/>
      <c r="AL143" s="40"/>
      <c r="AM143" s="40"/>
      <c r="AN143" s="40"/>
      <c r="AO143" s="40"/>
      <c r="AP143" s="40"/>
      <c r="AQ143" s="40"/>
    </row>
    <row r="144" spans="1:43" customFormat="1" ht="18" customHeight="1">
      <c r="A144" s="67"/>
      <c r="B144" s="1824" t="s">
        <v>1441</v>
      </c>
      <c r="C144" s="1325">
        <v>102</v>
      </c>
      <c r="D144" s="1325">
        <v>6</v>
      </c>
      <c r="E144" s="1325">
        <v>6</v>
      </c>
      <c r="F144" s="1325"/>
      <c r="G144" s="1325"/>
      <c r="H144" s="1387">
        <f>N144</f>
        <v>0</v>
      </c>
      <c r="I144" s="1310">
        <v>0</v>
      </c>
      <c r="J144" s="1311">
        <v>0</v>
      </c>
      <c r="K144" s="1311">
        <v>0</v>
      </c>
      <c r="L144" s="1311">
        <v>0</v>
      </c>
      <c r="M144" s="1311">
        <v>0</v>
      </c>
      <c r="N144" s="1885">
        <f>M144</f>
        <v>0</v>
      </c>
      <c r="O144" s="1885">
        <f t="shared" ref="O144:R144" si="54">N144</f>
        <v>0</v>
      </c>
      <c r="P144" s="1885">
        <f t="shared" si="54"/>
        <v>0</v>
      </c>
      <c r="Q144" s="1885">
        <f t="shared" si="54"/>
        <v>0</v>
      </c>
      <c r="R144" s="2414">
        <f t="shared" si="54"/>
        <v>0</v>
      </c>
      <c r="S144" s="2418"/>
      <c r="T144" s="40"/>
      <c r="U144" s="40"/>
      <c r="V144" s="40"/>
      <c r="W144" s="40"/>
      <c r="X144" s="40"/>
      <c r="Y144" s="40"/>
      <c r="Z144" s="40"/>
      <c r="AA144" s="40"/>
      <c r="AB144" s="40"/>
      <c r="AC144" s="40"/>
      <c r="AD144" s="40"/>
      <c r="AE144" s="40"/>
      <c r="AF144" s="40"/>
      <c r="AG144" s="40"/>
      <c r="AH144" s="40"/>
      <c r="AI144" s="40"/>
      <c r="AJ144" s="40"/>
      <c r="AK144" s="40"/>
      <c r="AL144" s="40"/>
      <c r="AM144" s="40"/>
      <c r="AN144" s="40"/>
      <c r="AO144" s="40"/>
      <c r="AP144" s="40"/>
      <c r="AQ144" s="40"/>
    </row>
    <row r="145" spans="1:43" customFormat="1" ht="18" customHeight="1">
      <c r="A145" s="67"/>
      <c r="B145" s="2175"/>
      <c r="C145" s="1325"/>
      <c r="D145" s="1325"/>
      <c r="E145" s="1325"/>
      <c r="F145" s="1325"/>
      <c r="G145" s="1325"/>
      <c r="H145" s="1326"/>
      <c r="I145" s="1327"/>
      <c r="J145" s="1321"/>
      <c r="K145" s="1321"/>
      <c r="L145" s="1321"/>
      <c r="M145" s="1321"/>
      <c r="N145" s="1321"/>
      <c r="O145" s="1321"/>
      <c r="P145" s="1321"/>
      <c r="Q145" s="1321"/>
      <c r="R145" s="2428"/>
      <c r="S145" s="2418"/>
      <c r="T145" s="40"/>
      <c r="U145" s="40"/>
      <c r="V145" s="40"/>
      <c r="W145" s="40"/>
      <c r="X145" s="40"/>
      <c r="Y145" s="40"/>
      <c r="Z145" s="40"/>
      <c r="AA145" s="40"/>
      <c r="AB145" s="40"/>
      <c r="AC145" s="40"/>
      <c r="AD145" s="40"/>
      <c r="AE145" s="40"/>
      <c r="AF145" s="40"/>
      <c r="AG145" s="40"/>
      <c r="AH145" s="40"/>
      <c r="AI145" s="40"/>
      <c r="AJ145" s="40"/>
      <c r="AK145" s="40"/>
      <c r="AL145" s="40"/>
      <c r="AM145" s="40"/>
      <c r="AN145" s="40"/>
      <c r="AO145" s="40"/>
      <c r="AP145" s="40"/>
      <c r="AQ145" s="40"/>
    </row>
    <row r="146" spans="1:43" customFormat="1" ht="18" customHeight="1">
      <c r="A146" s="67"/>
      <c r="B146" s="2174" t="s">
        <v>1442</v>
      </c>
      <c r="C146" s="1325"/>
      <c r="D146" s="1325"/>
      <c r="E146" s="1325"/>
      <c r="F146" s="1325"/>
      <c r="G146" s="1325"/>
      <c r="H146" s="1326"/>
      <c r="I146" s="1287">
        <f>I20</f>
        <v>0</v>
      </c>
      <c r="J146" s="1287">
        <f>J20</f>
        <v>0</v>
      </c>
      <c r="K146" s="1287">
        <f>K20</f>
        <v>0</v>
      </c>
      <c r="L146" s="1287">
        <f>L20</f>
        <v>0</v>
      </c>
      <c r="M146" s="1287">
        <f>M20</f>
        <v>0</v>
      </c>
      <c r="N146" s="1294">
        <f>N147-N148</f>
        <v>0</v>
      </c>
      <c r="O146" s="1294">
        <f t="shared" ref="O146:R146" si="55">O147-O148</f>
        <v>0</v>
      </c>
      <c r="P146" s="1294">
        <f t="shared" si="55"/>
        <v>0</v>
      </c>
      <c r="Q146" s="1294">
        <f t="shared" si="55"/>
        <v>0</v>
      </c>
      <c r="R146" s="2422">
        <f t="shared" si="55"/>
        <v>0</v>
      </c>
      <c r="S146" s="2418"/>
      <c r="T146" s="40"/>
      <c r="U146" s="40"/>
      <c r="V146" s="40"/>
      <c r="W146" s="40"/>
      <c r="X146" s="40"/>
      <c r="Y146" s="40"/>
      <c r="Z146" s="40"/>
      <c r="AA146" s="40"/>
      <c r="AB146" s="40"/>
      <c r="AC146" s="40"/>
      <c r="AD146" s="40"/>
      <c r="AE146" s="40"/>
      <c r="AF146" s="40"/>
      <c r="AG146" s="40"/>
      <c r="AH146" s="40"/>
      <c r="AI146" s="40"/>
      <c r="AJ146" s="40"/>
      <c r="AK146" s="40"/>
      <c r="AL146" s="40"/>
      <c r="AM146" s="40"/>
      <c r="AN146" s="40"/>
      <c r="AO146" s="40"/>
      <c r="AP146" s="40"/>
      <c r="AQ146" s="40"/>
    </row>
    <row r="147" spans="1:43" customFormat="1" ht="18" customHeight="1">
      <c r="A147" s="67"/>
      <c r="B147" s="1824" t="s">
        <v>1443</v>
      </c>
      <c r="C147" s="1325">
        <v>102</v>
      </c>
      <c r="D147" s="1325">
        <v>6</v>
      </c>
      <c r="E147" s="1325">
        <v>6</v>
      </c>
      <c r="F147" s="1325"/>
      <c r="G147" s="1325"/>
      <c r="H147" s="1387">
        <f>N147</f>
        <v>0</v>
      </c>
      <c r="I147" s="1308">
        <f>I146+I148</f>
        <v>0</v>
      </c>
      <c r="J147" s="1308">
        <f t="shared" ref="J147:L147" si="56">J146+J148</f>
        <v>0</v>
      </c>
      <c r="K147" s="1308">
        <f t="shared" si="56"/>
        <v>0</v>
      </c>
      <c r="L147" s="1308">
        <f t="shared" si="56"/>
        <v>0</v>
      </c>
      <c r="M147" s="1308">
        <f>M146+M148</f>
        <v>0</v>
      </c>
      <c r="N147" s="1885">
        <f>M147</f>
        <v>0</v>
      </c>
      <c r="O147" s="1885">
        <f t="shared" ref="O147:R147" si="57">N147</f>
        <v>0</v>
      </c>
      <c r="P147" s="1885">
        <f t="shared" si="57"/>
        <v>0</v>
      </c>
      <c r="Q147" s="1885">
        <f t="shared" si="57"/>
        <v>0</v>
      </c>
      <c r="R147" s="2414">
        <f t="shared" si="57"/>
        <v>0</v>
      </c>
      <c r="S147" s="2418"/>
      <c r="T147" s="40"/>
      <c r="U147" s="40"/>
      <c r="V147" s="40"/>
      <c r="W147" s="40"/>
      <c r="X147" s="40"/>
      <c r="Y147" s="40"/>
      <c r="Z147" s="40"/>
      <c r="AA147" s="40"/>
      <c r="AB147" s="40"/>
      <c r="AC147" s="40"/>
      <c r="AD147" s="40"/>
      <c r="AE147" s="40"/>
      <c r="AF147" s="40"/>
      <c r="AG147" s="40"/>
      <c r="AH147" s="40"/>
      <c r="AI147" s="40"/>
      <c r="AJ147" s="40"/>
      <c r="AK147" s="40"/>
      <c r="AL147" s="40"/>
      <c r="AM147" s="40"/>
      <c r="AN147" s="40"/>
      <c r="AO147" s="40"/>
      <c r="AP147" s="40"/>
      <c r="AQ147" s="40"/>
    </row>
    <row r="148" spans="1:43" customFormat="1" ht="18" customHeight="1">
      <c r="A148" s="67"/>
      <c r="B148" s="1824" t="s">
        <v>1441</v>
      </c>
      <c r="C148" s="1325">
        <v>102</v>
      </c>
      <c r="D148" s="1325">
        <v>6</v>
      </c>
      <c r="E148" s="1325">
        <v>6</v>
      </c>
      <c r="F148" s="1325"/>
      <c r="G148" s="1325"/>
      <c r="H148" s="1387">
        <f>N148</f>
        <v>0</v>
      </c>
      <c r="I148" s="1310">
        <v>0</v>
      </c>
      <c r="J148" s="1311">
        <v>0</v>
      </c>
      <c r="K148" s="1311">
        <v>0</v>
      </c>
      <c r="L148" s="1311">
        <v>0</v>
      </c>
      <c r="M148" s="1311">
        <v>0</v>
      </c>
      <c r="N148" s="1885">
        <f>M148</f>
        <v>0</v>
      </c>
      <c r="O148" s="1885">
        <f t="shared" ref="O148:R148" si="58">N148</f>
        <v>0</v>
      </c>
      <c r="P148" s="1885">
        <f t="shared" si="58"/>
        <v>0</v>
      </c>
      <c r="Q148" s="1885">
        <f t="shared" si="58"/>
        <v>0</v>
      </c>
      <c r="R148" s="2414">
        <f t="shared" si="58"/>
        <v>0</v>
      </c>
      <c r="S148" s="2418"/>
      <c r="T148" s="40"/>
      <c r="U148" s="40"/>
      <c r="V148" s="40"/>
      <c r="W148" s="40"/>
      <c r="X148" s="40"/>
      <c r="Y148" s="40"/>
      <c r="Z148" s="40"/>
      <c r="AA148" s="40"/>
      <c r="AB148" s="40"/>
      <c r="AC148" s="40"/>
      <c r="AD148" s="40"/>
      <c r="AE148" s="40"/>
      <c r="AF148" s="40"/>
      <c r="AG148" s="40"/>
      <c r="AH148" s="40"/>
      <c r="AI148" s="40"/>
      <c r="AJ148" s="40"/>
      <c r="AK148" s="40"/>
      <c r="AL148" s="40"/>
      <c r="AM148" s="40"/>
      <c r="AN148" s="40"/>
      <c r="AO148" s="40"/>
      <c r="AP148" s="40"/>
      <c r="AQ148" s="40"/>
    </row>
    <row r="149" spans="1:43" customFormat="1" ht="18" customHeight="1">
      <c r="A149" s="67"/>
      <c r="B149" s="2175"/>
      <c r="C149" s="1325"/>
      <c r="D149" s="1325"/>
      <c r="E149" s="1325"/>
      <c r="F149" s="1325"/>
      <c r="G149" s="1325"/>
      <c r="H149" s="1326"/>
      <c r="I149" s="1327"/>
      <c r="J149" s="1321"/>
      <c r="K149" s="1321"/>
      <c r="L149" s="1321"/>
      <c r="M149" s="1321"/>
      <c r="N149" s="1321"/>
      <c r="O149" s="1321"/>
      <c r="P149" s="1321"/>
      <c r="Q149" s="1321"/>
      <c r="R149" s="2428"/>
      <c r="S149" s="2418"/>
      <c r="T149" s="40"/>
      <c r="U149" s="40"/>
      <c r="V149" s="40"/>
      <c r="W149" s="40"/>
      <c r="X149" s="40"/>
      <c r="Y149" s="40"/>
      <c r="Z149" s="40"/>
      <c r="AA149" s="40"/>
      <c r="AB149" s="40"/>
      <c r="AC149" s="40"/>
      <c r="AD149" s="40"/>
      <c r="AE149" s="40"/>
      <c r="AF149" s="40"/>
      <c r="AG149" s="40"/>
      <c r="AH149" s="40"/>
      <c r="AI149" s="40"/>
      <c r="AJ149" s="40"/>
      <c r="AK149" s="40"/>
      <c r="AL149" s="40"/>
      <c r="AM149" s="40"/>
      <c r="AN149" s="40"/>
      <c r="AO149" s="40"/>
      <c r="AP149" s="40"/>
      <c r="AQ149" s="40"/>
    </row>
    <row r="150" spans="1:43" customFormat="1" ht="18" customHeight="1">
      <c r="A150" s="67"/>
      <c r="B150" s="2175" t="s">
        <v>239</v>
      </c>
      <c r="C150" s="1325">
        <v>102</v>
      </c>
      <c r="D150" s="1325">
        <v>6</v>
      </c>
      <c r="E150" s="1325">
        <v>6</v>
      </c>
      <c r="F150" s="1325"/>
      <c r="G150" s="1325"/>
      <c r="H150" s="1387">
        <f>N150</f>
        <v>0</v>
      </c>
      <c r="I150" s="1287">
        <f t="shared" ref="I150:M152" si="59">I21</f>
        <v>0</v>
      </c>
      <c r="J150" s="1288">
        <f t="shared" si="59"/>
        <v>0</v>
      </c>
      <c r="K150" s="1288">
        <f t="shared" si="59"/>
        <v>0</v>
      </c>
      <c r="L150" s="1288">
        <f t="shared" si="59"/>
        <v>0</v>
      </c>
      <c r="M150" s="1288">
        <f t="shared" si="59"/>
        <v>0</v>
      </c>
      <c r="N150" s="1885">
        <f>M150</f>
        <v>0</v>
      </c>
      <c r="O150" s="1885">
        <f t="shared" ref="O150:R150" si="60">N150</f>
        <v>0</v>
      </c>
      <c r="P150" s="1885">
        <f t="shared" si="60"/>
        <v>0</v>
      </c>
      <c r="Q150" s="1885">
        <f t="shared" si="60"/>
        <v>0</v>
      </c>
      <c r="R150" s="2414">
        <f t="shared" si="60"/>
        <v>0</v>
      </c>
      <c r="S150" s="2418"/>
      <c r="T150" s="40"/>
      <c r="U150" s="40"/>
      <c r="V150" s="40"/>
      <c r="W150" s="40"/>
      <c r="X150" s="40"/>
      <c r="Y150" s="40"/>
      <c r="Z150" s="40"/>
      <c r="AA150" s="40"/>
      <c r="AB150" s="40"/>
      <c r="AC150" s="40"/>
      <c r="AD150" s="40"/>
      <c r="AE150" s="40"/>
      <c r="AF150" s="40"/>
      <c r="AG150" s="40"/>
      <c r="AH150" s="40"/>
      <c r="AI150" s="40"/>
      <c r="AJ150" s="40"/>
      <c r="AK150" s="40"/>
      <c r="AL150" s="40"/>
      <c r="AM150" s="40"/>
      <c r="AN150" s="40"/>
      <c r="AO150" s="40"/>
      <c r="AP150" s="40"/>
      <c r="AQ150" s="40"/>
    </row>
    <row r="151" spans="1:43" customFormat="1" ht="18" customHeight="1">
      <c r="A151" s="67"/>
      <c r="B151" s="2175" t="s">
        <v>241</v>
      </c>
      <c r="C151" s="1325">
        <v>102</v>
      </c>
      <c r="D151" s="1325">
        <v>6</v>
      </c>
      <c r="E151" s="1325">
        <v>6</v>
      </c>
      <c r="F151" s="1325"/>
      <c r="G151" s="1325"/>
      <c r="H151" s="1387">
        <f>N151</f>
        <v>0</v>
      </c>
      <c r="I151" s="1287">
        <f t="shared" si="59"/>
        <v>0</v>
      </c>
      <c r="J151" s="1288">
        <f t="shared" si="59"/>
        <v>0</v>
      </c>
      <c r="K151" s="1288">
        <f t="shared" si="59"/>
        <v>0</v>
      </c>
      <c r="L151" s="1288">
        <f t="shared" si="59"/>
        <v>0</v>
      </c>
      <c r="M151" s="1288">
        <f t="shared" si="59"/>
        <v>0</v>
      </c>
      <c r="N151" s="1885">
        <f>M151</f>
        <v>0</v>
      </c>
      <c r="O151" s="1885">
        <f t="shared" ref="O151:R151" si="61">N151</f>
        <v>0</v>
      </c>
      <c r="P151" s="1885">
        <f t="shared" si="61"/>
        <v>0</v>
      </c>
      <c r="Q151" s="1885">
        <f t="shared" si="61"/>
        <v>0</v>
      </c>
      <c r="R151" s="2414">
        <f t="shared" si="61"/>
        <v>0</v>
      </c>
      <c r="S151" s="2418"/>
      <c r="T151" s="40"/>
      <c r="U151" s="40"/>
      <c r="V151" s="40"/>
      <c r="W151" s="40"/>
      <c r="X151" s="40"/>
      <c r="Y151" s="40"/>
      <c r="Z151" s="40"/>
      <c r="AA151" s="40"/>
      <c r="AB151" s="40"/>
      <c r="AC151" s="40"/>
      <c r="AD151" s="40"/>
      <c r="AE151" s="40"/>
      <c r="AF151" s="40"/>
      <c r="AG151" s="40"/>
      <c r="AH151" s="40"/>
      <c r="AI151" s="40"/>
      <c r="AJ151" s="40"/>
      <c r="AK151" s="40"/>
      <c r="AL151" s="40"/>
      <c r="AM151" s="40"/>
      <c r="AN151" s="40"/>
      <c r="AO151" s="40"/>
      <c r="AP151" s="40"/>
      <c r="AQ151" s="40"/>
    </row>
    <row r="152" spans="1:43" customFormat="1" ht="18" customHeight="1">
      <c r="A152" s="67"/>
      <c r="B152" s="2175" t="s">
        <v>243</v>
      </c>
      <c r="C152" s="1325">
        <v>102</v>
      </c>
      <c r="D152" s="1325">
        <v>6</v>
      </c>
      <c r="E152" s="1325">
        <v>6</v>
      </c>
      <c r="F152" s="1325"/>
      <c r="G152" s="1325"/>
      <c r="H152" s="1387">
        <f>N152</f>
        <v>0</v>
      </c>
      <c r="I152" s="1287">
        <f t="shared" si="59"/>
        <v>0</v>
      </c>
      <c r="J152" s="1288">
        <f t="shared" si="59"/>
        <v>0</v>
      </c>
      <c r="K152" s="1288">
        <f t="shared" si="59"/>
        <v>0</v>
      </c>
      <c r="L152" s="1288">
        <f t="shared" si="59"/>
        <v>0</v>
      </c>
      <c r="M152" s="1288">
        <f t="shared" si="59"/>
        <v>0</v>
      </c>
      <c r="N152" s="1885">
        <f>M152</f>
        <v>0</v>
      </c>
      <c r="O152" s="1885">
        <f t="shared" ref="O152:R152" si="62">N152</f>
        <v>0</v>
      </c>
      <c r="P152" s="1885">
        <f t="shared" si="62"/>
        <v>0</v>
      </c>
      <c r="Q152" s="1885">
        <f t="shared" si="62"/>
        <v>0</v>
      </c>
      <c r="R152" s="2414">
        <f t="shared" si="62"/>
        <v>0</v>
      </c>
      <c r="S152" s="2418"/>
      <c r="T152" s="40"/>
      <c r="U152" s="40"/>
      <c r="V152" s="40"/>
      <c r="W152" s="40"/>
      <c r="X152" s="40"/>
      <c r="Y152" s="40"/>
      <c r="Z152" s="40"/>
      <c r="AA152" s="40"/>
      <c r="AB152" s="40"/>
      <c r="AC152" s="40"/>
      <c r="AD152" s="40"/>
      <c r="AE152" s="40"/>
      <c r="AF152" s="40"/>
      <c r="AG152" s="40"/>
      <c r="AH152" s="40"/>
      <c r="AI152" s="40"/>
      <c r="AJ152" s="40"/>
      <c r="AK152" s="40"/>
      <c r="AL152" s="40"/>
      <c r="AM152" s="40"/>
      <c r="AN152" s="40"/>
      <c r="AO152" s="40"/>
      <c r="AP152" s="40"/>
      <c r="AQ152" s="40"/>
    </row>
    <row r="153" spans="1:43" customFormat="1" ht="18" customHeight="1">
      <c r="A153" s="67"/>
      <c r="B153" s="2175"/>
      <c r="C153" s="1325"/>
      <c r="D153" s="1325"/>
      <c r="E153" s="1325"/>
      <c r="F153" s="1325"/>
      <c r="G153" s="1325"/>
      <c r="H153" s="1326"/>
      <c r="I153" s="1327"/>
      <c r="J153" s="1321"/>
      <c r="K153" s="1321"/>
      <c r="L153" s="1321"/>
      <c r="M153" s="1321"/>
      <c r="N153" s="1321"/>
      <c r="O153" s="1321"/>
      <c r="P153" s="1321"/>
      <c r="Q153" s="1321"/>
      <c r="R153" s="2428"/>
      <c r="S153" s="2418"/>
      <c r="T153" s="40"/>
      <c r="U153" s="40"/>
      <c r="V153" s="40"/>
      <c r="W153" s="40"/>
      <c r="X153" s="40"/>
      <c r="Y153" s="40"/>
      <c r="Z153" s="40"/>
      <c r="AA153" s="40"/>
      <c r="AB153" s="40"/>
      <c r="AC153" s="40"/>
      <c r="AD153" s="40"/>
      <c r="AE153" s="40"/>
      <c r="AF153" s="40"/>
      <c r="AG153" s="40"/>
      <c r="AH153" s="40"/>
      <c r="AI153" s="40"/>
      <c r="AJ153" s="40"/>
      <c r="AK153" s="40"/>
      <c r="AL153" s="40"/>
      <c r="AM153" s="40"/>
      <c r="AN153" s="40"/>
      <c r="AO153" s="40"/>
      <c r="AP153" s="40"/>
      <c r="AQ153" s="40"/>
    </row>
    <row r="154" spans="1:43" customFormat="1" ht="18" customHeight="1">
      <c r="A154" s="67"/>
      <c r="B154" s="2175" t="s">
        <v>563</v>
      </c>
      <c r="C154" s="1325"/>
      <c r="D154" s="1325"/>
      <c r="E154" s="1325"/>
      <c r="F154" s="1325"/>
      <c r="G154" s="1325"/>
      <c r="H154" s="1326"/>
      <c r="I154" s="1287">
        <f>I24</f>
        <v>9.956988990000001</v>
      </c>
      <c r="J154" s="1288">
        <f>J24</f>
        <v>10.789091990000001</v>
      </c>
      <c r="K154" s="1288">
        <f>K24</f>
        <v>12.473437300000001</v>
      </c>
      <c r="L154" s="1288">
        <f>L24</f>
        <v>13.930983509999999</v>
      </c>
      <c r="M154" s="1288">
        <f>M24</f>
        <v>0</v>
      </c>
      <c r="N154" s="1217">
        <f>N158-N159</f>
        <v>0</v>
      </c>
      <c r="O154" s="1217">
        <f>O158-O159</f>
        <v>0</v>
      </c>
      <c r="P154" s="1217">
        <f>P158-P159</f>
        <v>0</v>
      </c>
      <c r="Q154" s="1217">
        <f>Q158-Q159</f>
        <v>0</v>
      </c>
      <c r="R154" s="2412">
        <f>R158-R159</f>
        <v>0</v>
      </c>
      <c r="S154" s="2418"/>
      <c r="T154" s="40"/>
      <c r="U154" s="40"/>
      <c r="V154" s="40"/>
      <c r="W154" s="40"/>
      <c r="X154" s="40"/>
      <c r="Y154" s="40"/>
      <c r="Z154" s="40"/>
      <c r="AA154" s="40"/>
      <c r="AB154" s="40"/>
      <c r="AC154" s="40"/>
      <c r="AD154" s="40"/>
      <c r="AE154" s="40"/>
      <c r="AF154" s="40"/>
      <c r="AG154" s="40"/>
      <c r="AH154" s="40"/>
      <c r="AI154" s="40"/>
      <c r="AJ154" s="40"/>
      <c r="AK154" s="40"/>
      <c r="AL154" s="40"/>
      <c r="AM154" s="40"/>
      <c r="AN154" s="40"/>
      <c r="AO154" s="40"/>
      <c r="AP154" s="40"/>
      <c r="AQ154" s="40"/>
    </row>
    <row r="155" spans="1:43" customFormat="1" ht="18" customHeight="1">
      <c r="A155" s="67"/>
      <c r="B155" s="1769" t="s">
        <v>564</v>
      </c>
      <c r="C155" s="1331"/>
      <c r="D155" s="1331"/>
      <c r="E155" s="1331"/>
      <c r="F155" s="1331"/>
      <c r="G155" s="1331"/>
      <c r="H155" s="1332"/>
      <c r="I155" s="1287">
        <f>I88</f>
        <v>10</v>
      </c>
      <c r="J155" s="1288">
        <f t="shared" ref="J155:R155" si="63">I158</f>
        <v>9.956988990000001</v>
      </c>
      <c r="K155" s="1288">
        <f t="shared" si="63"/>
        <v>10.789091990000001</v>
      </c>
      <c r="L155" s="1288">
        <f t="shared" si="63"/>
        <v>12.473437300000001</v>
      </c>
      <c r="M155" s="1288">
        <f t="shared" si="63"/>
        <v>13.930983509999999</v>
      </c>
      <c r="N155" s="1294">
        <f t="shared" si="63"/>
        <v>0</v>
      </c>
      <c r="O155" s="1294">
        <f t="shared" si="63"/>
        <v>0</v>
      </c>
      <c r="P155" s="1294">
        <f t="shared" si="63"/>
        <v>0</v>
      </c>
      <c r="Q155" s="1294">
        <f t="shared" si="63"/>
        <v>0</v>
      </c>
      <c r="R155" s="2422">
        <f t="shared" si="63"/>
        <v>0</v>
      </c>
      <c r="S155" s="2418"/>
      <c r="T155" s="40"/>
      <c r="U155" s="40"/>
      <c r="V155" s="40"/>
      <c r="W155" s="40"/>
      <c r="X155" s="40"/>
      <c r="Y155" s="40"/>
      <c r="Z155" s="40"/>
      <c r="AA155" s="40"/>
      <c r="AB155" s="40"/>
      <c r="AC155" s="40"/>
      <c r="AD155" s="40"/>
      <c r="AE155" s="40"/>
      <c r="AF155" s="40"/>
      <c r="AG155" s="40"/>
      <c r="AH155" s="40"/>
      <c r="AI155" s="40"/>
      <c r="AJ155" s="40"/>
      <c r="AK155" s="40"/>
      <c r="AL155" s="40"/>
      <c r="AM155" s="40"/>
      <c r="AN155" s="40"/>
      <c r="AO155" s="40"/>
      <c r="AP155" s="40"/>
      <c r="AQ155" s="40"/>
    </row>
    <row r="156" spans="1:43" customFormat="1" ht="18" customHeight="1">
      <c r="A156" s="68"/>
      <c r="B156" s="1768" t="s">
        <v>565</v>
      </c>
      <c r="C156" s="1267">
        <v>102</v>
      </c>
      <c r="D156" s="1267">
        <v>7</v>
      </c>
      <c r="E156" s="1267">
        <v>7</v>
      </c>
      <c r="F156" s="1267"/>
      <c r="G156" s="1267"/>
      <c r="H156" s="1298">
        <f>N156</f>
        <v>0</v>
      </c>
      <c r="I156" s="1287">
        <f>IF(I155&lt;I158,I158-I155,0)</f>
        <v>0</v>
      </c>
      <c r="J156" s="1288">
        <f>IF(J155&lt;J158,J158-J155,0)</f>
        <v>0.83210300000000004</v>
      </c>
      <c r="K156" s="1288">
        <f>IF(K155&lt;K158,K158-K155,0)</f>
        <v>1.6843453099999994</v>
      </c>
      <c r="L156" s="1288">
        <f>IF(L155&lt;L158,L158-L155,0)</f>
        <v>1.4575462099999985</v>
      </c>
      <c r="M156" s="1288">
        <f>IF(M155&lt;M158,M158-M155,0)</f>
        <v>0</v>
      </c>
      <c r="N156" s="1885">
        <f>0</f>
        <v>0</v>
      </c>
      <c r="O156" s="1885">
        <f>0</f>
        <v>0</v>
      </c>
      <c r="P156" s="1885">
        <f>0</f>
        <v>0</v>
      </c>
      <c r="Q156" s="1885">
        <f>0</f>
        <v>0</v>
      </c>
      <c r="R156" s="2414">
        <f>0</f>
        <v>0</v>
      </c>
      <c r="S156" s="2418"/>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row>
    <row r="157" spans="1:43" customFormat="1" ht="18" customHeight="1">
      <c r="A157" s="68"/>
      <c r="B157" s="1768" t="s">
        <v>566</v>
      </c>
      <c r="C157" s="1267">
        <v>102</v>
      </c>
      <c r="D157" s="1267">
        <v>7</v>
      </c>
      <c r="E157" s="1267">
        <v>7</v>
      </c>
      <c r="F157" s="1267"/>
      <c r="G157" s="1267"/>
      <c r="H157" s="1298">
        <f>N157</f>
        <v>0</v>
      </c>
      <c r="I157" s="1287">
        <f>IF(I155&gt;I158,I155-I158,0)</f>
        <v>4.3011009999998961E-2</v>
      </c>
      <c r="J157" s="1288">
        <f>IF(J155&gt;J158,J155-J158,0)</f>
        <v>0</v>
      </c>
      <c r="K157" s="1288">
        <f>IF(K155&gt;K158,K155-K158,0)</f>
        <v>0</v>
      </c>
      <c r="L157" s="1288">
        <f>IF(L155&gt;L158,L155-L158,0)</f>
        <v>0</v>
      </c>
      <c r="M157" s="1288">
        <f>IF(M155&gt;M158,M155-M158,0)</f>
        <v>13.930983509999999</v>
      </c>
      <c r="N157" s="1885">
        <f>0</f>
        <v>0</v>
      </c>
      <c r="O157" s="1885">
        <f>0</f>
        <v>0</v>
      </c>
      <c r="P157" s="1885">
        <f>0</f>
        <v>0</v>
      </c>
      <c r="Q157" s="1885">
        <f>0</f>
        <v>0</v>
      </c>
      <c r="R157" s="2414">
        <f>0</f>
        <v>0</v>
      </c>
      <c r="S157" s="2418"/>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row>
    <row r="158" spans="1:43" customFormat="1" ht="18" customHeight="1">
      <c r="A158" s="68"/>
      <c r="B158" s="1768" t="s">
        <v>567</v>
      </c>
      <c r="C158" s="1267"/>
      <c r="D158" s="1267"/>
      <c r="E158" s="1267"/>
      <c r="F158" s="1267"/>
      <c r="G158" s="1267"/>
      <c r="H158" s="1267"/>
      <c r="I158" s="1287">
        <f>I24+I159</f>
        <v>9.956988990000001</v>
      </c>
      <c r="J158" s="1288">
        <f>J24+J159</f>
        <v>10.789091990000001</v>
      </c>
      <c r="K158" s="1288">
        <f>K24+K159</f>
        <v>12.473437300000001</v>
      </c>
      <c r="L158" s="1288">
        <f>L24+L159</f>
        <v>13.930983509999999</v>
      </c>
      <c r="M158" s="1288">
        <f>M24+M159</f>
        <v>0</v>
      </c>
      <c r="N158" s="1217">
        <f>N155+N156-N157</f>
        <v>0</v>
      </c>
      <c r="O158" s="1217">
        <f>O155+O156-O157</f>
        <v>0</v>
      </c>
      <c r="P158" s="1217">
        <f>P155+P156-P157</f>
        <v>0</v>
      </c>
      <c r="Q158" s="1217">
        <f>Q155+Q156-Q157</f>
        <v>0</v>
      </c>
      <c r="R158" s="2412">
        <f>R155+R156-R157</f>
        <v>0</v>
      </c>
      <c r="S158" s="2418"/>
      <c r="T158" s="40"/>
      <c r="U158" s="40"/>
      <c r="V158" s="40"/>
      <c r="W158" s="40"/>
      <c r="X158" s="40"/>
      <c r="Y158" s="40"/>
      <c r="Z158" s="40"/>
      <c r="AA158" s="40"/>
      <c r="AB158" s="40"/>
      <c r="AC158" s="40"/>
      <c r="AD158" s="40"/>
      <c r="AE158" s="40"/>
      <c r="AF158" s="40"/>
      <c r="AG158" s="40"/>
      <c r="AH158" s="40"/>
      <c r="AI158" s="40"/>
      <c r="AJ158" s="40"/>
      <c r="AK158" s="40"/>
      <c r="AL158" s="40"/>
      <c r="AM158" s="40"/>
      <c r="AN158" s="40"/>
      <c r="AO158" s="40"/>
      <c r="AP158" s="40"/>
      <c r="AQ158" s="40"/>
    </row>
    <row r="159" spans="1:43" customFormat="1" ht="15.75" customHeight="1">
      <c r="A159" s="67"/>
      <c r="B159" s="1769" t="s">
        <v>424</v>
      </c>
      <c r="C159" s="1331">
        <v>102</v>
      </c>
      <c r="D159" s="1331">
        <v>6</v>
      </c>
      <c r="E159" s="1331">
        <v>6</v>
      </c>
      <c r="F159" s="1331"/>
      <c r="G159" s="1331"/>
      <c r="H159" s="1343">
        <f>N159</f>
        <v>0</v>
      </c>
      <c r="I159" s="1287">
        <f>I86</f>
        <v>0</v>
      </c>
      <c r="J159" s="1288">
        <f>J86</f>
        <v>0</v>
      </c>
      <c r="K159" s="1288">
        <f>K86</f>
        <v>0</v>
      </c>
      <c r="L159" s="1288">
        <f>L86</f>
        <v>0</v>
      </c>
      <c r="M159" s="1288">
        <f>M86</f>
        <v>0</v>
      </c>
      <c r="N159" s="1885">
        <f>M159</f>
        <v>0</v>
      </c>
      <c r="O159" s="1885">
        <f t="shared" ref="O159:R159" si="64">N159</f>
        <v>0</v>
      </c>
      <c r="P159" s="1885">
        <f t="shared" si="64"/>
        <v>0</v>
      </c>
      <c r="Q159" s="1885">
        <f t="shared" si="64"/>
        <v>0</v>
      </c>
      <c r="R159" s="2414">
        <f t="shared" si="64"/>
        <v>0</v>
      </c>
      <c r="S159" s="2418"/>
      <c r="T159" s="40"/>
      <c r="U159" s="40"/>
      <c r="V159" s="40"/>
      <c r="W159" s="40"/>
      <c r="X159" s="40"/>
      <c r="Y159" s="40"/>
      <c r="Z159" s="40"/>
      <c r="AA159" s="40"/>
      <c r="AB159" s="40"/>
      <c r="AC159" s="40"/>
      <c r="AD159" s="40"/>
      <c r="AE159" s="40"/>
      <c r="AF159" s="40"/>
      <c r="AG159" s="40"/>
      <c r="AH159" s="40"/>
      <c r="AI159" s="40"/>
      <c r="AJ159" s="40"/>
      <c r="AK159" s="40"/>
      <c r="AL159" s="40"/>
      <c r="AM159" s="40"/>
      <c r="AN159" s="40"/>
      <c r="AO159" s="40"/>
      <c r="AP159" s="40"/>
      <c r="AQ159" s="40"/>
    </row>
    <row r="160" spans="1:43" customFormat="1" ht="17.25" customHeight="1">
      <c r="A160" s="240"/>
      <c r="B160" s="1766"/>
      <c r="C160" s="1223"/>
      <c r="D160" s="1223"/>
      <c r="E160" s="1223"/>
      <c r="F160" s="1223"/>
      <c r="G160" s="1223"/>
      <c r="H160" s="1223"/>
      <c r="I160" s="1328"/>
      <c r="J160" s="1324"/>
      <c r="K160" s="1324"/>
      <c r="L160" s="1324"/>
      <c r="M160" s="1324"/>
      <c r="N160" s="1217"/>
      <c r="O160" s="1217"/>
      <c r="P160" s="1217"/>
      <c r="Q160" s="1217"/>
      <c r="R160" s="2412"/>
      <c r="S160" s="2418"/>
      <c r="T160" s="40"/>
      <c r="U160" s="40"/>
      <c r="V160" s="40"/>
      <c r="W160" s="40"/>
      <c r="X160" s="40"/>
      <c r="Y160" s="40"/>
      <c r="Z160" s="40"/>
      <c r="AA160" s="40"/>
      <c r="AB160" s="40"/>
      <c r="AC160" s="40"/>
      <c r="AD160" s="40"/>
      <c r="AE160" s="40"/>
      <c r="AF160" s="40"/>
      <c r="AG160" s="40"/>
      <c r="AH160" s="40"/>
      <c r="AI160" s="40"/>
      <c r="AJ160" s="40"/>
      <c r="AK160" s="40"/>
      <c r="AL160" s="40"/>
      <c r="AM160" s="40"/>
      <c r="AN160" s="40"/>
      <c r="AO160" s="40"/>
      <c r="AP160" s="40"/>
      <c r="AQ160" s="40"/>
    </row>
    <row r="161" spans="1:43" customFormat="1" ht="18" customHeight="1">
      <c r="A161" s="67"/>
      <c r="B161" s="1765" t="s">
        <v>1444</v>
      </c>
      <c r="C161" s="1331">
        <v>102</v>
      </c>
      <c r="D161" s="1331">
        <v>6</v>
      </c>
      <c r="E161" s="1331">
        <v>6</v>
      </c>
      <c r="F161" s="1331"/>
      <c r="G161" s="1331"/>
      <c r="H161" s="1327">
        <f>N161</f>
        <v>0</v>
      </c>
      <c r="I161" s="1287">
        <f t="shared" ref="I161:M162" si="65">I25</f>
        <v>0</v>
      </c>
      <c r="J161" s="1287">
        <f t="shared" si="65"/>
        <v>0</v>
      </c>
      <c r="K161" s="1287">
        <f t="shared" si="65"/>
        <v>0</v>
      </c>
      <c r="L161" s="1287">
        <f t="shared" si="65"/>
        <v>0</v>
      </c>
      <c r="M161" s="1287">
        <f t="shared" si="65"/>
        <v>0</v>
      </c>
      <c r="N161" s="1885">
        <f>M161</f>
        <v>0</v>
      </c>
      <c r="O161" s="1885">
        <f t="shared" ref="O161:R161" si="66">N161</f>
        <v>0</v>
      </c>
      <c r="P161" s="1885">
        <f t="shared" si="66"/>
        <v>0</v>
      </c>
      <c r="Q161" s="1885">
        <f t="shared" si="66"/>
        <v>0</v>
      </c>
      <c r="R161" s="2414">
        <f t="shared" si="66"/>
        <v>0</v>
      </c>
      <c r="S161" s="2418"/>
      <c r="T161" s="40"/>
      <c r="U161" s="40"/>
      <c r="V161" s="40"/>
      <c r="W161" s="40"/>
      <c r="X161" s="40"/>
      <c r="Y161" s="40"/>
      <c r="Z161" s="40"/>
      <c r="AA161" s="40"/>
      <c r="AB161" s="40"/>
      <c r="AC161" s="40"/>
      <c r="AD161" s="40"/>
      <c r="AE161" s="40"/>
      <c r="AF161" s="40"/>
      <c r="AG161" s="40"/>
      <c r="AH161" s="40"/>
      <c r="AI161" s="40"/>
      <c r="AJ161" s="40"/>
      <c r="AK161" s="40"/>
      <c r="AL161" s="40"/>
      <c r="AM161" s="40"/>
      <c r="AN161" s="40"/>
      <c r="AO161" s="40"/>
      <c r="AP161" s="40"/>
      <c r="AQ161" s="40"/>
    </row>
    <row r="162" spans="1:43" customFormat="1" ht="18" customHeight="1">
      <c r="A162" s="67"/>
      <c r="B162" s="1765" t="s">
        <v>1445</v>
      </c>
      <c r="C162" s="1331">
        <v>102</v>
      </c>
      <c r="D162" s="1331">
        <v>6</v>
      </c>
      <c r="E162" s="1331">
        <v>6</v>
      </c>
      <c r="F162" s="1331"/>
      <c r="G162" s="1331"/>
      <c r="H162" s="1327">
        <f>N162</f>
        <v>0</v>
      </c>
      <c r="I162" s="1287">
        <f t="shared" si="65"/>
        <v>0</v>
      </c>
      <c r="J162" s="1287">
        <f t="shared" si="65"/>
        <v>0</v>
      </c>
      <c r="K162" s="1287">
        <f t="shared" si="65"/>
        <v>0</v>
      </c>
      <c r="L162" s="1287">
        <f t="shared" si="65"/>
        <v>0</v>
      </c>
      <c r="M162" s="1287">
        <f t="shared" si="65"/>
        <v>0</v>
      </c>
      <c r="N162" s="1885">
        <f>M162</f>
        <v>0</v>
      </c>
      <c r="O162" s="1885">
        <f t="shared" ref="O162:R162" si="67">N162</f>
        <v>0</v>
      </c>
      <c r="P162" s="1885">
        <f t="shared" si="67"/>
        <v>0</v>
      </c>
      <c r="Q162" s="1885">
        <f t="shared" si="67"/>
        <v>0</v>
      </c>
      <c r="R162" s="2414">
        <f t="shared" si="67"/>
        <v>0</v>
      </c>
      <c r="S162" s="2418"/>
      <c r="T162" s="40"/>
      <c r="U162" s="40"/>
      <c r="V162" s="40"/>
      <c r="W162" s="40"/>
      <c r="X162" s="40"/>
      <c r="Y162" s="40"/>
      <c r="Z162" s="40"/>
      <c r="AA162" s="40"/>
      <c r="AB162" s="40"/>
      <c r="AC162" s="40"/>
      <c r="AD162" s="40"/>
      <c r="AE162" s="40"/>
      <c r="AF162" s="40"/>
      <c r="AG162" s="40"/>
      <c r="AH162" s="40"/>
      <c r="AI162" s="40"/>
      <c r="AJ162" s="40"/>
      <c r="AK162" s="40"/>
      <c r="AL162" s="40"/>
      <c r="AM162" s="40"/>
      <c r="AN162" s="40"/>
      <c r="AO162" s="40"/>
      <c r="AP162" s="40"/>
      <c r="AQ162" s="40"/>
    </row>
    <row r="163" spans="1:43" customFormat="1" ht="18" customHeight="1">
      <c r="A163" s="67"/>
      <c r="B163" s="1769"/>
      <c r="C163" s="1331"/>
      <c r="D163" s="1331"/>
      <c r="E163" s="1331"/>
      <c r="F163" s="1331"/>
      <c r="G163" s="1331"/>
      <c r="H163" s="1332"/>
      <c r="I163" s="2280"/>
      <c r="J163" s="1289"/>
      <c r="K163" s="1289"/>
      <c r="L163" s="1289"/>
      <c r="M163" s="1289"/>
      <c r="N163" s="1294"/>
      <c r="O163" s="1294"/>
      <c r="P163" s="1294"/>
      <c r="Q163" s="1294"/>
      <c r="R163" s="2422"/>
      <c r="S163" s="2418"/>
      <c r="T163" s="40"/>
      <c r="U163" s="40"/>
      <c r="V163" s="40"/>
      <c r="W163" s="40"/>
      <c r="X163" s="40"/>
      <c r="Y163" s="40"/>
      <c r="Z163" s="40"/>
      <c r="AA163" s="40"/>
      <c r="AB163" s="40"/>
      <c r="AC163" s="40"/>
      <c r="AD163" s="40"/>
      <c r="AE163" s="40"/>
      <c r="AF163" s="40"/>
      <c r="AG163" s="40"/>
      <c r="AH163" s="40"/>
      <c r="AI163" s="40"/>
      <c r="AJ163" s="40"/>
      <c r="AK163" s="40"/>
      <c r="AL163" s="40"/>
      <c r="AM163" s="40"/>
      <c r="AN163" s="40"/>
      <c r="AO163" s="40"/>
      <c r="AP163" s="40"/>
      <c r="AQ163" s="40"/>
    </row>
    <row r="164" spans="1:43" customFormat="1" ht="18" customHeight="1">
      <c r="A164" s="67"/>
      <c r="B164" s="1765" t="s">
        <v>533</v>
      </c>
      <c r="C164" s="1231"/>
      <c r="D164" s="1231"/>
      <c r="E164" s="1231"/>
      <c r="F164" s="1231"/>
      <c r="G164" s="1231"/>
      <c r="H164" s="1232"/>
      <c r="I164" s="1288">
        <f>I27</f>
        <v>0</v>
      </c>
      <c r="J164" s="1288">
        <f>J27</f>
        <v>0</v>
      </c>
      <c r="K164" s="1288">
        <f>K27</f>
        <v>0</v>
      </c>
      <c r="L164" s="1288">
        <f>L27</f>
        <v>0</v>
      </c>
      <c r="M164" s="1288">
        <f>M27</f>
        <v>0</v>
      </c>
      <c r="N164" s="1217">
        <f>N165-N166-CAPEX!E152</f>
        <v>0</v>
      </c>
      <c r="O164" s="1217">
        <f>O165-O166-CAPEX!F152</f>
        <v>0</v>
      </c>
      <c r="P164" s="1217">
        <f>P165-P166-CAPEX!G152</f>
        <v>0</v>
      </c>
      <c r="Q164" s="1217">
        <f>Q165-Q166-CAPEX!H152</f>
        <v>0</v>
      </c>
      <c r="R164" s="2412">
        <f>R165-R166-CAPEX!I152</f>
        <v>0</v>
      </c>
      <c r="S164" s="2418"/>
      <c r="T164" s="40"/>
      <c r="U164" s="40"/>
      <c r="V164" s="40"/>
      <c r="W164" s="40"/>
      <c r="X164" s="40"/>
      <c r="Y164" s="40"/>
      <c r="Z164" s="40"/>
      <c r="AA164" s="40"/>
      <c r="AB164" s="40"/>
      <c r="AC164" s="40"/>
      <c r="AD164" s="40"/>
      <c r="AE164" s="40"/>
      <c r="AF164" s="40"/>
      <c r="AG164" s="40"/>
      <c r="AH164" s="40"/>
      <c r="AI164" s="40"/>
      <c r="AJ164" s="40"/>
      <c r="AK164" s="40"/>
      <c r="AL164" s="40"/>
      <c r="AM164" s="40"/>
      <c r="AN164" s="40"/>
      <c r="AO164" s="40"/>
      <c r="AP164" s="40"/>
      <c r="AQ164" s="40"/>
    </row>
    <row r="165" spans="1:43" customFormat="1" ht="18" customHeight="1">
      <c r="A165" s="67"/>
      <c r="B165" s="2184" t="s">
        <v>1081</v>
      </c>
      <c r="C165" s="1304">
        <v>108</v>
      </c>
      <c r="D165" s="1304">
        <v>8</v>
      </c>
      <c r="E165" s="1304">
        <v>8</v>
      </c>
      <c r="F165" s="1304">
        <f>M165+CAPEX!E116-CAPEX!E135</f>
        <v>0</v>
      </c>
      <c r="G165" s="1304"/>
      <c r="H165" s="1304">
        <f>N165</f>
        <v>0</v>
      </c>
      <c r="I165" s="1288">
        <f>I27+I166+I167</f>
        <v>0</v>
      </c>
      <c r="J165" s="1288">
        <f>J27+J166+J167</f>
        <v>0</v>
      </c>
      <c r="K165" s="1288">
        <f>K27+K166+K167</f>
        <v>0</v>
      </c>
      <c r="L165" s="1288">
        <f>L27+L166+L167</f>
        <v>0</v>
      </c>
      <c r="M165" s="1288">
        <f>M27+M166+CAPEX!D152</f>
        <v>0</v>
      </c>
      <c r="N165" s="1885">
        <f>M165+CAPEX!E116-CAPEX!E135</f>
        <v>0</v>
      </c>
      <c r="O165" s="1885">
        <f>N165+CAPEX!F116-CAPEX!F135</f>
        <v>0</v>
      </c>
      <c r="P165" s="1885">
        <f>O165+CAPEX!G116-CAPEX!G135</f>
        <v>0</v>
      </c>
      <c r="Q165" s="1885">
        <f>P165+CAPEX!H116-CAPEX!H135</f>
        <v>0</v>
      </c>
      <c r="R165" s="2414">
        <f>Q165+CAPEX!I116-CAPEX!I135</f>
        <v>0</v>
      </c>
      <c r="S165" s="2418"/>
      <c r="T165" s="40"/>
      <c r="U165" s="40"/>
      <c r="V165" s="40"/>
      <c r="W165" s="40"/>
      <c r="X165" s="40"/>
      <c r="Y165" s="40"/>
      <c r="Z165" s="40"/>
      <c r="AA165" s="40"/>
      <c r="AB165" s="40"/>
      <c r="AC165" s="40"/>
      <c r="AD165" s="40"/>
      <c r="AE165" s="40"/>
      <c r="AF165" s="40"/>
      <c r="AG165" s="40"/>
      <c r="AH165" s="40"/>
      <c r="AI165" s="40"/>
      <c r="AJ165" s="40"/>
      <c r="AK165" s="40"/>
      <c r="AL165" s="40"/>
      <c r="AM165" s="40"/>
      <c r="AN165" s="40"/>
      <c r="AO165" s="40"/>
      <c r="AP165" s="40"/>
      <c r="AQ165" s="40"/>
    </row>
    <row r="166" spans="1:43" customFormat="1" ht="18" customHeight="1">
      <c r="A166" s="67"/>
      <c r="B166" s="2184" t="s">
        <v>568</v>
      </c>
      <c r="C166" s="1304">
        <v>102</v>
      </c>
      <c r="D166" s="1304">
        <v>6</v>
      </c>
      <c r="E166" s="1304">
        <v>6</v>
      </c>
      <c r="F166" s="1304"/>
      <c r="G166" s="1304"/>
      <c r="H166" s="1304">
        <f>N166</f>
        <v>0</v>
      </c>
      <c r="I166" s="1310">
        <v>0</v>
      </c>
      <c r="J166" s="1311">
        <v>0</v>
      </c>
      <c r="K166" s="1311">
        <v>0</v>
      </c>
      <c r="L166" s="1311">
        <v>0</v>
      </c>
      <c r="M166" s="1311">
        <v>0</v>
      </c>
      <c r="N166" s="1885">
        <f>M166</f>
        <v>0</v>
      </c>
      <c r="O166" s="1885">
        <f t="shared" ref="O166:R166" si="68">N166</f>
        <v>0</v>
      </c>
      <c r="P166" s="1885">
        <f t="shared" si="68"/>
        <v>0</v>
      </c>
      <c r="Q166" s="1885">
        <f t="shared" si="68"/>
        <v>0</v>
      </c>
      <c r="R166" s="2414">
        <f t="shared" si="68"/>
        <v>0</v>
      </c>
      <c r="S166" s="2418"/>
      <c r="T166" s="40"/>
      <c r="U166" s="40"/>
      <c r="V166" s="40"/>
      <c r="W166" s="40"/>
      <c r="X166" s="40"/>
      <c r="Y166" s="40"/>
      <c r="Z166" s="40"/>
      <c r="AA166" s="40"/>
      <c r="AB166" s="40"/>
      <c r="AC166" s="40"/>
      <c r="AD166" s="40"/>
      <c r="AE166" s="40"/>
      <c r="AF166" s="40"/>
      <c r="AG166" s="40"/>
      <c r="AH166" s="40"/>
      <c r="AI166" s="40"/>
      <c r="AJ166" s="40"/>
      <c r="AK166" s="40"/>
      <c r="AL166" s="40"/>
      <c r="AM166" s="40"/>
      <c r="AN166" s="40"/>
      <c r="AO166" s="40"/>
      <c r="AP166" s="40"/>
      <c r="AQ166" s="40"/>
    </row>
    <row r="167" spans="1:43" customFormat="1" ht="18" customHeight="1">
      <c r="A167" s="67"/>
      <c r="B167" s="2184" t="s">
        <v>1398</v>
      </c>
      <c r="C167" s="1331"/>
      <c r="D167" s="1331"/>
      <c r="E167" s="1331"/>
      <c r="F167" s="1331"/>
      <c r="G167" s="1331"/>
      <c r="H167" s="1332"/>
      <c r="I167" s="1310">
        <v>0</v>
      </c>
      <c r="J167" s="1311">
        <v>0</v>
      </c>
      <c r="K167" s="1311">
        <v>0</v>
      </c>
      <c r="L167" s="1311">
        <v>0</v>
      </c>
      <c r="M167" s="1288">
        <f>CAPEX!D152</f>
        <v>0</v>
      </c>
      <c r="N167" s="1321">
        <f>CAPEX!E152</f>
        <v>0</v>
      </c>
      <c r="O167" s="1321">
        <f>CAPEX!F152</f>
        <v>0</v>
      </c>
      <c r="P167" s="1321">
        <f>CAPEX!G152</f>
        <v>0</v>
      </c>
      <c r="Q167" s="1321">
        <f>CAPEX!H152</f>
        <v>0</v>
      </c>
      <c r="R167" s="2428">
        <f>CAPEX!I152</f>
        <v>0</v>
      </c>
      <c r="S167" s="2418"/>
      <c r="T167" s="40"/>
      <c r="U167" s="40"/>
      <c r="V167" s="40"/>
      <c r="W167" s="40"/>
      <c r="X167" s="40"/>
      <c r="Y167" s="40"/>
      <c r="Z167" s="40"/>
      <c r="AA167" s="40"/>
      <c r="AB167" s="40"/>
      <c r="AC167" s="40"/>
      <c r="AD167" s="40"/>
      <c r="AE167" s="40"/>
      <c r="AF167" s="40"/>
      <c r="AG167" s="40"/>
      <c r="AH167" s="40"/>
      <c r="AI167" s="40"/>
      <c r="AJ167" s="40"/>
      <c r="AK167" s="40"/>
      <c r="AL167" s="40"/>
      <c r="AM167" s="40"/>
      <c r="AN167" s="40"/>
      <c r="AO167" s="40"/>
      <c r="AP167" s="40"/>
      <c r="AQ167" s="40"/>
    </row>
    <row r="168" spans="1:43" customFormat="1" ht="18" customHeight="1">
      <c r="A168" s="67"/>
      <c r="B168" s="2184"/>
      <c r="C168" s="1331"/>
      <c r="D168" s="1331"/>
      <c r="E168" s="1331"/>
      <c r="F168" s="1331"/>
      <c r="G168" s="1331"/>
      <c r="H168" s="1331"/>
      <c r="I168" s="2280"/>
      <c r="J168" s="1289"/>
      <c r="K168" s="1289"/>
      <c r="L168" s="1289"/>
      <c r="M168" s="1217"/>
      <c r="N168" s="1321"/>
      <c r="O168" s="1321"/>
      <c r="P168" s="1321"/>
      <c r="Q168" s="1321"/>
      <c r="R168" s="2428"/>
      <c r="S168" s="2418"/>
      <c r="T168" s="40"/>
      <c r="U168" s="40"/>
      <c r="V168" s="40"/>
      <c r="W168" s="40"/>
      <c r="X168" s="40"/>
      <c r="Y168" s="40"/>
      <c r="Z168" s="40"/>
      <c r="AA168" s="40"/>
      <c r="AB168" s="40"/>
      <c r="AC168" s="40"/>
      <c r="AD168" s="40"/>
      <c r="AE168" s="40"/>
      <c r="AF168" s="40"/>
      <c r="AG168" s="40"/>
      <c r="AH168" s="40"/>
      <c r="AI168" s="40"/>
      <c r="AJ168" s="40"/>
      <c r="AK168" s="40"/>
      <c r="AL168" s="40"/>
      <c r="AM168" s="40"/>
      <c r="AN168" s="40"/>
      <c r="AO168" s="40"/>
      <c r="AP168" s="40"/>
      <c r="AQ168" s="40"/>
    </row>
    <row r="169" spans="1:43" customFormat="1" ht="18" customHeight="1">
      <c r="A169" s="67"/>
      <c r="B169" s="2175" t="s">
        <v>133</v>
      </c>
      <c r="C169" s="1325"/>
      <c r="D169" s="1325"/>
      <c r="E169" s="1325"/>
      <c r="F169" s="1325"/>
      <c r="G169" s="1325"/>
      <c r="H169" s="1325"/>
      <c r="I169" s="1321">
        <f>I28</f>
        <v>398.13824625000001</v>
      </c>
      <c r="J169" s="1321">
        <f t="shared" ref="J169:R169" si="69">J174</f>
        <v>695.03143979999993</v>
      </c>
      <c r="K169" s="1321">
        <f t="shared" si="69"/>
        <v>807.77802025999995</v>
      </c>
      <c r="L169" s="1321">
        <f t="shared" si="69"/>
        <v>1109.4689702400001</v>
      </c>
      <c r="M169" s="1321">
        <f t="shared" si="69"/>
        <v>1083.3706432399999</v>
      </c>
      <c r="N169" s="1321">
        <f t="shared" si="69"/>
        <v>1011.1459336906667</v>
      </c>
      <c r="O169" s="1321">
        <f t="shared" si="69"/>
        <v>938.92122414133325</v>
      </c>
      <c r="P169" s="1321">
        <f t="shared" si="69"/>
        <v>866.69651459199997</v>
      </c>
      <c r="Q169" s="1321">
        <f t="shared" si="69"/>
        <v>794.47180504266657</v>
      </c>
      <c r="R169" s="2428">
        <f t="shared" si="69"/>
        <v>722.24709549333329</v>
      </c>
      <c r="S169" s="2418"/>
      <c r="T169" s="40"/>
      <c r="U169" s="40"/>
      <c r="V169" s="40"/>
      <c r="W169" s="40"/>
      <c r="X169" s="40"/>
      <c r="Y169" s="40"/>
      <c r="Z169" s="40"/>
      <c r="AA169" s="40"/>
      <c r="AB169" s="40"/>
      <c r="AC169" s="40"/>
      <c r="AD169" s="40"/>
      <c r="AE169" s="40"/>
      <c r="AF169" s="40"/>
      <c r="AG169" s="40"/>
      <c r="AH169" s="40"/>
      <c r="AI169" s="40"/>
      <c r="AJ169" s="40"/>
      <c r="AK169" s="40"/>
      <c r="AL169" s="40"/>
      <c r="AM169" s="40"/>
      <c r="AN169" s="40"/>
      <c r="AO169" s="40"/>
      <c r="AP169" s="40"/>
      <c r="AQ169" s="40"/>
    </row>
    <row r="170" spans="1:43" customFormat="1" ht="18" customHeight="1">
      <c r="A170" s="67"/>
      <c r="B170" s="1769" t="s">
        <v>569</v>
      </c>
      <c r="C170" s="1333"/>
      <c r="D170" s="1333"/>
      <c r="E170" s="1333"/>
      <c r="F170" s="1333"/>
      <c r="G170" s="1333"/>
      <c r="H170" s="1333"/>
      <c r="I170" s="1323">
        <f>I28+I171+I172</f>
        <v>398.13824625000001</v>
      </c>
      <c r="J170" s="1323">
        <f>J28+J171+J172</f>
        <v>695.03143979999993</v>
      </c>
      <c r="K170" s="1323">
        <f>K28+K171+K172</f>
        <v>807.77802025999995</v>
      </c>
      <c r="L170" s="1323">
        <f>L28+L171+L172</f>
        <v>1109.4689702400001</v>
      </c>
      <c r="M170" s="1323">
        <f>M28+M171+M172</f>
        <v>1083.3706432399999</v>
      </c>
      <c r="N170" s="1321">
        <f>M170+N177-N181</f>
        <v>1083.3706432399999</v>
      </c>
      <c r="O170" s="1321">
        <f>N170+O177-O181</f>
        <v>1083.3706432399999</v>
      </c>
      <c r="P170" s="1321">
        <f>O170+P177-P181</f>
        <v>1083.3706432399999</v>
      </c>
      <c r="Q170" s="1321">
        <f>P170+Q177-Q181</f>
        <v>1083.3706432399999</v>
      </c>
      <c r="R170" s="2428">
        <f>Q170+R177-R181</f>
        <v>1083.3706432399999</v>
      </c>
      <c r="S170" s="2418"/>
      <c r="T170" s="40"/>
      <c r="U170" s="40"/>
      <c r="V170" s="40"/>
      <c r="W170" s="40"/>
      <c r="X170" s="40"/>
      <c r="Y170" s="40"/>
      <c r="Z170" s="40"/>
      <c r="AA170" s="40"/>
      <c r="AB170" s="40"/>
      <c r="AC170" s="40"/>
      <c r="AD170" s="40"/>
      <c r="AE170" s="40"/>
      <c r="AF170" s="40"/>
      <c r="AG170" s="40"/>
      <c r="AH170" s="40"/>
      <c r="AI170" s="40"/>
      <c r="AJ170" s="40"/>
      <c r="AK170" s="40"/>
      <c r="AL170" s="40"/>
      <c r="AM170" s="40"/>
      <c r="AN170" s="40"/>
      <c r="AO170" s="40"/>
      <c r="AP170" s="40"/>
      <c r="AQ170" s="40"/>
    </row>
    <row r="171" spans="1:43" customFormat="1" ht="18" customHeight="1">
      <c r="A171" s="69"/>
      <c r="B171" s="1240" t="s">
        <v>1368</v>
      </c>
      <c r="C171" s="1235"/>
      <c r="D171" s="1235"/>
      <c r="E171" s="1235"/>
      <c r="F171" s="1235"/>
      <c r="G171" s="1235"/>
      <c r="H171" s="1235"/>
      <c r="I171" s="1334">
        <v>0</v>
      </c>
      <c r="J171" s="1334">
        <v>0</v>
      </c>
      <c r="K171" s="1334">
        <v>0</v>
      </c>
      <c r="L171" s="1334">
        <v>0</v>
      </c>
      <c r="M171" s="1334">
        <v>0</v>
      </c>
      <c r="N171" s="1294">
        <f>M171+CAPEX!E95-N182</f>
        <v>72.224709549333326</v>
      </c>
      <c r="O171" s="1294">
        <f>N171+CAPEX!F95-O182</f>
        <v>144.44941909866665</v>
      </c>
      <c r="P171" s="1294">
        <f>O171+CAPEX!G95-P182</f>
        <v>216.67412864799996</v>
      </c>
      <c r="Q171" s="1294">
        <f>P171+CAPEX!H95-Q182</f>
        <v>288.8988381973333</v>
      </c>
      <c r="R171" s="2422">
        <f>Q171+CAPEX!I95-R182</f>
        <v>361.12354774666665</v>
      </c>
      <c r="S171" s="2418"/>
      <c r="T171" s="40"/>
      <c r="U171" s="40"/>
      <c r="V171" s="40"/>
      <c r="W171" s="40"/>
      <c r="X171" s="40"/>
      <c r="Y171" s="40"/>
      <c r="Z171" s="40"/>
      <c r="AA171" s="40"/>
      <c r="AB171" s="40"/>
      <c r="AC171" s="40"/>
      <c r="AD171" s="40"/>
      <c r="AE171" s="40"/>
      <c r="AF171" s="40"/>
      <c r="AG171" s="40"/>
      <c r="AH171" s="40"/>
      <c r="AI171" s="40"/>
      <c r="AJ171" s="40"/>
      <c r="AK171" s="40"/>
      <c r="AL171" s="40"/>
      <c r="AM171" s="40"/>
      <c r="AN171" s="40"/>
      <c r="AO171" s="40"/>
      <c r="AP171" s="40"/>
      <c r="AQ171" s="40"/>
    </row>
    <row r="172" spans="1:43" customFormat="1" ht="18" customHeight="1">
      <c r="A172" s="196"/>
      <c r="B172" s="2185" t="s">
        <v>570</v>
      </c>
      <c r="C172" s="1335">
        <v>102</v>
      </c>
      <c r="D172" s="1335">
        <v>6</v>
      </c>
      <c r="E172" s="1335">
        <v>6</v>
      </c>
      <c r="F172" s="1335"/>
      <c r="G172" s="1335"/>
      <c r="H172" s="1907">
        <f>N172</f>
        <v>0</v>
      </c>
      <c r="I172" s="1323">
        <f>I87</f>
        <v>0</v>
      </c>
      <c r="J172" s="1323">
        <f>J87</f>
        <v>0</v>
      </c>
      <c r="K172" s="1323">
        <f>K87</f>
        <v>0</v>
      </c>
      <c r="L172" s="1323">
        <f>L87</f>
        <v>0</v>
      </c>
      <c r="M172" s="1323">
        <f>M87</f>
        <v>0</v>
      </c>
      <c r="N172" s="1885">
        <f>M172</f>
        <v>0</v>
      </c>
      <c r="O172" s="1885">
        <f t="shared" ref="O172:R172" si="70">N172</f>
        <v>0</v>
      </c>
      <c r="P172" s="1885">
        <f t="shared" si="70"/>
        <v>0</v>
      </c>
      <c r="Q172" s="1885">
        <f t="shared" si="70"/>
        <v>0</v>
      </c>
      <c r="R172" s="2414">
        <f t="shared" si="70"/>
        <v>0</v>
      </c>
      <c r="S172" s="2418"/>
      <c r="T172" s="40"/>
      <c r="U172" s="40"/>
      <c r="V172" s="40"/>
      <c r="W172" s="40"/>
      <c r="X172" s="40"/>
      <c r="Y172" s="40"/>
      <c r="Z172" s="40"/>
      <c r="AA172" s="40"/>
      <c r="AB172" s="40"/>
      <c r="AC172" s="40"/>
      <c r="AD172" s="40"/>
      <c r="AE172" s="40"/>
      <c r="AF172" s="40"/>
      <c r="AG172" s="40"/>
      <c r="AH172" s="40"/>
      <c r="AI172" s="40"/>
      <c r="AJ172" s="40"/>
      <c r="AK172" s="40"/>
      <c r="AL172" s="40"/>
      <c r="AM172" s="40"/>
      <c r="AN172" s="40"/>
      <c r="AO172" s="40"/>
      <c r="AP172" s="40"/>
      <c r="AQ172" s="40"/>
    </row>
    <row r="173" spans="1:43" customFormat="1" ht="15.75" customHeight="1">
      <c r="A173" s="240"/>
      <c r="B173" s="1768"/>
      <c r="C173" s="1267"/>
      <c r="D173" s="1267"/>
      <c r="E173" s="1267"/>
      <c r="F173" s="1267"/>
      <c r="G173" s="1267"/>
      <c r="H173" s="1267"/>
      <c r="I173" s="1324"/>
      <c r="J173" s="1324"/>
      <c r="K173" s="1324"/>
      <c r="L173" s="1324"/>
      <c r="M173" s="1324"/>
      <c r="N173" s="1217"/>
      <c r="O173" s="1217"/>
      <c r="P173" s="1217"/>
      <c r="Q173" s="1217"/>
      <c r="R173" s="2412"/>
      <c r="S173" s="2418"/>
      <c r="T173" s="40"/>
      <c r="U173" s="40"/>
      <c r="V173" s="40"/>
      <c r="W173" s="40"/>
      <c r="X173" s="40"/>
      <c r="Y173" s="40"/>
      <c r="Z173" s="40"/>
      <c r="AA173" s="40"/>
      <c r="AB173" s="40"/>
      <c r="AC173" s="40"/>
      <c r="AD173" s="40"/>
      <c r="AE173" s="40"/>
      <c r="AF173" s="40"/>
      <c r="AG173" s="40"/>
      <c r="AH173" s="40"/>
      <c r="AI173" s="40"/>
      <c r="AJ173" s="40"/>
      <c r="AK173" s="40"/>
      <c r="AL173" s="40"/>
      <c r="AM173" s="40"/>
      <c r="AN173" s="40"/>
      <c r="AO173" s="40"/>
      <c r="AP173" s="40"/>
      <c r="AQ173" s="40"/>
    </row>
    <row r="174" spans="1:43" customFormat="1" ht="18" customHeight="1">
      <c r="A174" s="67"/>
      <c r="B174" s="1768" t="s">
        <v>1446</v>
      </c>
      <c r="C174" s="1336"/>
      <c r="D174" s="1336"/>
      <c r="E174" s="1336"/>
      <c r="F174" s="1336"/>
      <c r="G174" s="1336"/>
      <c r="H174" s="1336"/>
      <c r="I174" s="1323">
        <f t="shared" ref="I174:R174" si="71">I170-I171-I172</f>
        <v>398.13824625000001</v>
      </c>
      <c r="J174" s="1323">
        <f t="shared" si="71"/>
        <v>695.03143979999993</v>
      </c>
      <c r="K174" s="1323">
        <f t="shared" si="71"/>
        <v>807.77802025999995</v>
      </c>
      <c r="L174" s="1323">
        <f t="shared" si="71"/>
        <v>1109.4689702400001</v>
      </c>
      <c r="M174" s="1323">
        <f t="shared" si="71"/>
        <v>1083.3706432399999</v>
      </c>
      <c r="N174" s="1321">
        <f t="shared" si="71"/>
        <v>1011.1459336906667</v>
      </c>
      <c r="O174" s="1321">
        <f t="shared" si="71"/>
        <v>938.92122414133325</v>
      </c>
      <c r="P174" s="1321">
        <f t="shared" si="71"/>
        <v>866.69651459199997</v>
      </c>
      <c r="Q174" s="1321">
        <f t="shared" si="71"/>
        <v>794.47180504266657</v>
      </c>
      <c r="R174" s="2428">
        <f t="shared" si="71"/>
        <v>722.24709549333329</v>
      </c>
      <c r="S174" s="2418"/>
      <c r="T174" s="40"/>
      <c r="U174" s="40"/>
      <c r="V174" s="40"/>
      <c r="W174" s="40"/>
      <c r="X174" s="40"/>
      <c r="Y174" s="40"/>
      <c r="Z174" s="40"/>
      <c r="AA174" s="40"/>
      <c r="AB174" s="40"/>
      <c r="AC174" s="40"/>
      <c r="AD174" s="40"/>
      <c r="AE174" s="40"/>
      <c r="AF174" s="40"/>
      <c r="AG174" s="40"/>
      <c r="AH174" s="40"/>
      <c r="AI174" s="40"/>
      <c r="AJ174" s="40"/>
      <c r="AK174" s="40"/>
      <c r="AL174" s="40"/>
      <c r="AM174" s="40"/>
      <c r="AN174" s="40"/>
      <c r="AO174" s="40"/>
      <c r="AP174" s="40"/>
      <c r="AQ174" s="40"/>
    </row>
    <row r="175" spans="1:43" customFormat="1" ht="18" customHeight="1">
      <c r="A175" s="158"/>
      <c r="B175" s="1768" t="s">
        <v>571</v>
      </c>
      <c r="C175" s="1336"/>
      <c r="D175" s="1336"/>
      <c r="E175" s="1336"/>
      <c r="F175" s="1336"/>
      <c r="G175" s="1336"/>
      <c r="H175" s="1336"/>
      <c r="I175" s="1302">
        <f>利润表!I4/资产负债!I170</f>
        <v>8.3709736575452158</v>
      </c>
      <c r="J175" s="1302">
        <f>利润表!J4/资产负债!J170</f>
        <v>5.685508653201504</v>
      </c>
      <c r="K175" s="1302">
        <f>利润表!K4/资产负债!K170</f>
        <v>5.6759649886292394</v>
      </c>
      <c r="L175" s="1302">
        <f>利润表!L4/资产负债!L170</f>
        <v>4.3351695512669988</v>
      </c>
      <c r="M175" s="1302">
        <f>利润表!M4/资产负债!M170</f>
        <v>5.8873215696938939</v>
      </c>
      <c r="N175" s="1303">
        <f>利润表!N5/N170</f>
        <v>5.8873215696938939</v>
      </c>
      <c r="O175" s="1303">
        <f>利润表!O5/O170</f>
        <v>5.8873215696938939</v>
      </c>
      <c r="P175" s="1303">
        <f>利润表!P5/P170</f>
        <v>5.8873215696938939</v>
      </c>
      <c r="Q175" s="1303">
        <f>利润表!Q5/Q170</f>
        <v>5.8873215696938939</v>
      </c>
      <c r="R175" s="2429">
        <f>利润表!R5/R170</f>
        <v>5.8873215696938939</v>
      </c>
      <c r="S175" s="2418"/>
      <c r="T175" s="40"/>
      <c r="U175" s="40"/>
      <c r="V175" s="40"/>
      <c r="W175" s="40"/>
      <c r="X175" s="40"/>
      <c r="Y175" s="40"/>
      <c r="Z175" s="40"/>
      <c r="AA175" s="40"/>
      <c r="AB175" s="40"/>
      <c r="AC175" s="40"/>
      <c r="AD175" s="40"/>
      <c r="AE175" s="40"/>
      <c r="AF175" s="40"/>
      <c r="AG175" s="40"/>
      <c r="AH175" s="40"/>
      <c r="AI175" s="40"/>
      <c r="AJ175" s="40"/>
      <c r="AK175" s="40"/>
      <c r="AL175" s="40"/>
      <c r="AM175" s="40"/>
      <c r="AN175" s="40"/>
      <c r="AO175" s="40"/>
      <c r="AP175" s="40"/>
      <c r="AQ175" s="40"/>
    </row>
    <row r="176" spans="1:43" customFormat="1" ht="18" customHeight="1">
      <c r="A176" s="68"/>
      <c r="B176" s="919"/>
      <c r="C176" s="1336"/>
      <c r="D176" s="1336"/>
      <c r="E176" s="1336"/>
      <c r="F176" s="1336"/>
      <c r="G176" s="1336"/>
      <c r="H176" s="1336"/>
      <c r="I176" s="1217"/>
      <c r="J176" s="1217"/>
      <c r="K176" s="1217"/>
      <c r="L176" s="1217"/>
      <c r="M176" s="1217"/>
      <c r="N176" s="1217"/>
      <c r="O176" s="1217"/>
      <c r="P176" s="1217"/>
      <c r="Q176" s="1217"/>
      <c r="R176" s="2412"/>
      <c r="S176" s="2418"/>
      <c r="T176" s="40"/>
      <c r="U176" s="40"/>
      <c r="V176" s="40"/>
      <c r="W176" s="40"/>
      <c r="X176" s="40"/>
      <c r="Y176" s="40"/>
      <c r="Z176" s="40"/>
      <c r="AA176" s="40"/>
      <c r="AB176" s="40"/>
      <c r="AC176" s="40"/>
      <c r="AD176" s="40"/>
      <c r="AE176" s="40"/>
      <c r="AF176" s="40"/>
      <c r="AG176" s="40"/>
      <c r="AH176" s="40"/>
      <c r="AI176" s="40"/>
      <c r="AJ176" s="40"/>
      <c r="AK176" s="40"/>
      <c r="AL176" s="40"/>
      <c r="AM176" s="40"/>
      <c r="AN176" s="40"/>
      <c r="AO176" s="40"/>
      <c r="AP176" s="40"/>
      <c r="AQ176" s="40"/>
    </row>
    <row r="177" spans="1:43" customFormat="1" ht="18" customHeight="1">
      <c r="A177" s="67"/>
      <c r="B177" s="1769" t="s">
        <v>572</v>
      </c>
      <c r="C177" s="1333"/>
      <c r="D177" s="1333"/>
      <c r="E177" s="1333"/>
      <c r="F177" s="1333"/>
      <c r="G177" s="1333"/>
      <c r="H177" s="1337"/>
      <c r="I177" s="1310">
        <v>0</v>
      </c>
      <c r="J177" s="1311">
        <v>0</v>
      </c>
      <c r="K177" s="1311">
        <v>0</v>
      </c>
      <c r="L177" s="1311">
        <v>0</v>
      </c>
      <c r="M177" s="1311">
        <v>0</v>
      </c>
      <c r="N177" s="1321">
        <f>N178+N179</f>
        <v>0</v>
      </c>
      <c r="O177" s="1321">
        <f>O178+O179</f>
        <v>0</v>
      </c>
      <c r="P177" s="1321">
        <f>P178+P179</f>
        <v>0</v>
      </c>
      <c r="Q177" s="1321">
        <f>Q178+Q179</f>
        <v>0</v>
      </c>
      <c r="R177" s="2428">
        <f>R178+R179</f>
        <v>0</v>
      </c>
      <c r="S177" s="2418"/>
      <c r="T177" s="40"/>
      <c r="U177" s="40"/>
      <c r="V177" s="40"/>
      <c r="W177" s="40"/>
      <c r="X177" s="40"/>
      <c r="Y177" s="40"/>
      <c r="Z177" s="40"/>
      <c r="AA177" s="40"/>
      <c r="AB177" s="40"/>
      <c r="AC177" s="40"/>
      <c r="AD177" s="40"/>
      <c r="AE177" s="40"/>
      <c r="AF177" s="40"/>
      <c r="AG177" s="40"/>
      <c r="AH177" s="40"/>
      <c r="AI177" s="40"/>
      <c r="AJ177" s="40"/>
      <c r="AK177" s="40"/>
      <c r="AL177" s="40"/>
      <c r="AM177" s="40"/>
      <c r="AN177" s="40"/>
      <c r="AO177" s="40"/>
      <c r="AP177" s="40"/>
      <c r="AQ177" s="40"/>
    </row>
    <row r="178" spans="1:43" customFormat="1" ht="18" customHeight="1">
      <c r="A178" s="67"/>
      <c r="B178" s="2186" t="s">
        <v>573</v>
      </c>
      <c r="C178" s="1338">
        <v>102</v>
      </c>
      <c r="D178" s="1338">
        <v>2</v>
      </c>
      <c r="E178" s="1338">
        <v>2</v>
      </c>
      <c r="F178" s="1338"/>
      <c r="G178" s="1338"/>
      <c r="H178" s="1339" t="s">
        <v>338</v>
      </c>
      <c r="I178" s="1310">
        <v>0</v>
      </c>
      <c r="J178" s="1311">
        <v>0</v>
      </c>
      <c r="K178" s="1311">
        <v>0</v>
      </c>
      <c r="L178" s="1311">
        <v>0</v>
      </c>
      <c r="M178" s="1311">
        <v>0</v>
      </c>
      <c r="N178" s="1294">
        <f>CAPEX!E79</f>
        <v>0</v>
      </c>
      <c r="O178" s="1294">
        <f>CAPEX!F79</f>
        <v>0</v>
      </c>
      <c r="P178" s="1294">
        <f>CAPEX!G79</f>
        <v>0</v>
      </c>
      <c r="Q178" s="1294">
        <f>CAPEX!H79</f>
        <v>0</v>
      </c>
      <c r="R178" s="2422">
        <f>CAPEX!I79</f>
        <v>0</v>
      </c>
      <c r="S178" s="2418"/>
      <c r="T178" s="40"/>
      <c r="U178" s="40"/>
      <c r="V178" s="40"/>
      <c r="W178" s="40"/>
      <c r="X178" s="40"/>
      <c r="Y178" s="40"/>
      <c r="Z178" s="40"/>
      <c r="AA178" s="40"/>
      <c r="AB178" s="40"/>
      <c r="AC178" s="40"/>
      <c r="AD178" s="40"/>
      <c r="AE178" s="40"/>
      <c r="AF178" s="40"/>
      <c r="AG178" s="40"/>
      <c r="AH178" s="40"/>
      <c r="AI178" s="40"/>
      <c r="AJ178" s="40"/>
      <c r="AK178" s="40"/>
      <c r="AL178" s="40"/>
      <c r="AM178" s="40"/>
      <c r="AN178" s="40"/>
      <c r="AO178" s="40"/>
      <c r="AP178" s="40"/>
      <c r="AQ178" s="40"/>
    </row>
    <row r="179" spans="1:43" customFormat="1" ht="18" customHeight="1">
      <c r="A179" s="67"/>
      <c r="B179" s="2186" t="s">
        <v>574</v>
      </c>
      <c r="C179" s="1331"/>
      <c r="D179" s="1331"/>
      <c r="E179" s="1331"/>
      <c r="F179" s="1331"/>
      <c r="G179" s="1331"/>
      <c r="H179" s="1332"/>
      <c r="I179" s="1310">
        <v>0</v>
      </c>
      <c r="J179" s="1311">
        <v>0</v>
      </c>
      <c r="K179" s="1311">
        <v>0</v>
      </c>
      <c r="L179" s="1311">
        <v>0</v>
      </c>
      <c r="M179" s="1311">
        <v>0</v>
      </c>
      <c r="N179" s="1321">
        <f>N190</f>
        <v>0</v>
      </c>
      <c r="O179" s="1321">
        <f>O190</f>
        <v>0</v>
      </c>
      <c r="P179" s="1321">
        <f>P190</f>
        <v>0</v>
      </c>
      <c r="Q179" s="1321">
        <f>Q190</f>
        <v>0</v>
      </c>
      <c r="R179" s="2428">
        <f>R190</f>
        <v>0</v>
      </c>
      <c r="S179" s="2418"/>
      <c r="T179" s="40"/>
      <c r="U179" s="40"/>
      <c r="V179" s="40"/>
      <c r="W179" s="40"/>
      <c r="X179" s="40"/>
      <c r="Y179" s="40"/>
      <c r="Z179" s="40"/>
      <c r="AA179" s="40"/>
      <c r="AB179" s="40"/>
      <c r="AC179" s="40"/>
      <c r="AD179" s="40"/>
      <c r="AE179" s="40"/>
      <c r="AF179" s="40"/>
      <c r="AG179" s="40"/>
      <c r="AH179" s="40"/>
      <c r="AI179" s="40"/>
      <c r="AJ179" s="40"/>
      <c r="AK179" s="40"/>
      <c r="AL179" s="40"/>
      <c r="AM179" s="40"/>
      <c r="AN179" s="40"/>
      <c r="AO179" s="40"/>
      <c r="AP179" s="40"/>
      <c r="AQ179" s="40"/>
    </row>
    <row r="180" spans="1:43" customFormat="1" ht="18" customHeight="1">
      <c r="A180" s="67"/>
      <c r="B180" s="2175"/>
      <c r="C180" s="1333"/>
      <c r="D180" s="1333"/>
      <c r="E180" s="1333"/>
      <c r="F180" s="1333"/>
      <c r="G180" s="1333"/>
      <c r="H180" s="1337"/>
      <c r="I180" s="1327"/>
      <c r="J180" s="1321"/>
      <c r="K180" s="1321"/>
      <c r="L180" s="1321"/>
      <c r="M180" s="1321"/>
      <c r="N180" s="1321"/>
      <c r="O180" s="1321"/>
      <c r="P180" s="1321"/>
      <c r="Q180" s="1321"/>
      <c r="R180" s="2428"/>
      <c r="S180" s="2418"/>
      <c r="T180" s="40"/>
      <c r="U180" s="40"/>
      <c r="V180" s="40"/>
      <c r="W180" s="40"/>
      <c r="X180" s="40"/>
      <c r="Y180" s="40"/>
      <c r="Z180" s="40"/>
      <c r="AA180" s="40"/>
      <c r="AB180" s="40"/>
      <c r="AC180" s="40"/>
      <c r="AD180" s="40"/>
      <c r="AE180" s="40"/>
      <c r="AF180" s="40"/>
      <c r="AG180" s="40"/>
      <c r="AH180" s="40"/>
      <c r="AI180" s="40"/>
      <c r="AJ180" s="40"/>
      <c r="AK180" s="40"/>
      <c r="AL180" s="40"/>
      <c r="AM180" s="40"/>
      <c r="AN180" s="40"/>
      <c r="AO180" s="40"/>
      <c r="AP180" s="40"/>
      <c r="AQ180" s="40"/>
    </row>
    <row r="181" spans="1:43" customFormat="1" ht="18" customHeight="1">
      <c r="A181" s="67"/>
      <c r="B181" s="1769" t="s">
        <v>575</v>
      </c>
      <c r="C181" s="1333">
        <v>102</v>
      </c>
      <c r="D181" s="1333">
        <v>7</v>
      </c>
      <c r="E181" s="1333">
        <v>7</v>
      </c>
      <c r="F181" s="1333"/>
      <c r="G181" s="1333"/>
      <c r="H181" s="1346">
        <f>N181</f>
        <v>0</v>
      </c>
      <c r="I181" s="1310">
        <v>0</v>
      </c>
      <c r="J181" s="1311">
        <v>0</v>
      </c>
      <c r="K181" s="1311">
        <v>0</v>
      </c>
      <c r="L181" s="1311">
        <v>0</v>
      </c>
      <c r="M181" s="1311">
        <v>0</v>
      </c>
      <c r="N181" s="1885">
        <f>0</f>
        <v>0</v>
      </c>
      <c r="O181" s="1885">
        <f>0</f>
        <v>0</v>
      </c>
      <c r="P181" s="1885">
        <f>0</f>
        <v>0</v>
      </c>
      <c r="Q181" s="1885">
        <f>0</f>
        <v>0</v>
      </c>
      <c r="R181" s="2414">
        <f>0</f>
        <v>0</v>
      </c>
      <c r="S181" s="2418"/>
      <c r="T181" s="40"/>
      <c r="U181" s="40"/>
      <c r="V181" s="40"/>
      <c r="W181" s="40"/>
      <c r="X181" s="40"/>
      <c r="Y181" s="40"/>
      <c r="Z181" s="40"/>
      <c r="AA181" s="40"/>
      <c r="AB181" s="40"/>
      <c r="AC181" s="40"/>
      <c r="AD181" s="40"/>
      <c r="AE181" s="40"/>
      <c r="AF181" s="40"/>
      <c r="AG181" s="40"/>
      <c r="AH181" s="40"/>
      <c r="AI181" s="40"/>
      <c r="AJ181" s="40"/>
      <c r="AK181" s="40"/>
      <c r="AL181" s="40"/>
      <c r="AM181" s="40"/>
      <c r="AN181" s="40"/>
      <c r="AO181" s="40"/>
      <c r="AP181" s="40"/>
      <c r="AQ181" s="40"/>
    </row>
    <row r="182" spans="1:43" customFormat="1" ht="18" customHeight="1">
      <c r="A182" s="67"/>
      <c r="B182" s="1769" t="s">
        <v>259</v>
      </c>
      <c r="C182" s="1333">
        <v>102</v>
      </c>
      <c r="D182" s="1333">
        <v>7</v>
      </c>
      <c r="E182" s="1333">
        <v>7</v>
      </c>
      <c r="F182" s="1333"/>
      <c r="G182" s="1333"/>
      <c r="H182" s="1346">
        <f>N182</f>
        <v>0</v>
      </c>
      <c r="I182" s="1310">
        <v>0</v>
      </c>
      <c r="J182" s="1311">
        <v>0</v>
      </c>
      <c r="K182" s="1311">
        <v>0</v>
      </c>
      <c r="L182" s="1311">
        <v>0</v>
      </c>
      <c r="M182" s="1311">
        <v>0</v>
      </c>
      <c r="N182" s="1885">
        <f>0</f>
        <v>0</v>
      </c>
      <c r="O182" s="1885">
        <f>0</f>
        <v>0</v>
      </c>
      <c r="P182" s="1885">
        <f>0</f>
        <v>0</v>
      </c>
      <c r="Q182" s="1885">
        <f>0</f>
        <v>0</v>
      </c>
      <c r="R182" s="2414">
        <f>0</f>
        <v>0</v>
      </c>
      <c r="S182" s="2418"/>
      <c r="T182" s="40"/>
      <c r="U182" s="40"/>
      <c r="V182" s="40"/>
      <c r="W182" s="40"/>
      <c r="X182" s="40"/>
      <c r="Y182" s="40"/>
      <c r="Z182" s="40"/>
      <c r="AA182" s="40"/>
      <c r="AB182" s="40"/>
      <c r="AC182" s="40"/>
      <c r="AD182" s="40"/>
      <c r="AE182" s="40"/>
      <c r="AF182" s="40"/>
      <c r="AG182" s="40"/>
      <c r="AH182" s="40"/>
      <c r="AI182" s="40"/>
      <c r="AJ182" s="40"/>
      <c r="AK182" s="40"/>
      <c r="AL182" s="40"/>
      <c r="AM182" s="40"/>
      <c r="AN182" s="40"/>
      <c r="AO182" s="40"/>
      <c r="AP182" s="40"/>
      <c r="AQ182" s="40"/>
    </row>
    <row r="183" spans="1:43" customFormat="1" ht="18" customHeight="1">
      <c r="A183" s="67"/>
      <c r="B183" s="1769" t="s">
        <v>576</v>
      </c>
      <c r="C183" s="1333"/>
      <c r="D183" s="1333"/>
      <c r="E183" s="1333"/>
      <c r="F183" s="1333"/>
      <c r="G183" s="1333"/>
      <c r="H183" s="1337"/>
      <c r="I183" s="1287">
        <f t="shared" ref="I183:R183" si="72">I181-I182</f>
        <v>0</v>
      </c>
      <c r="J183" s="1288">
        <f t="shared" si="72"/>
        <v>0</v>
      </c>
      <c r="K183" s="1288">
        <f t="shared" si="72"/>
        <v>0</v>
      </c>
      <c r="L183" s="1288">
        <f t="shared" si="72"/>
        <v>0</v>
      </c>
      <c r="M183" s="1288">
        <f t="shared" si="72"/>
        <v>0</v>
      </c>
      <c r="N183" s="1294">
        <f t="shared" si="72"/>
        <v>0</v>
      </c>
      <c r="O183" s="1294">
        <f t="shared" si="72"/>
        <v>0</v>
      </c>
      <c r="P183" s="1294">
        <f t="shared" si="72"/>
        <v>0</v>
      </c>
      <c r="Q183" s="1294">
        <f t="shared" si="72"/>
        <v>0</v>
      </c>
      <c r="R183" s="2422">
        <f t="shared" si="72"/>
        <v>0</v>
      </c>
      <c r="S183" s="2418"/>
      <c r="T183" s="40"/>
      <c r="U183" s="40"/>
      <c r="V183" s="40"/>
      <c r="W183" s="40"/>
      <c r="X183" s="40"/>
      <c r="Y183" s="40"/>
      <c r="Z183" s="40"/>
      <c r="AA183" s="40"/>
      <c r="AB183" s="40"/>
      <c r="AC183" s="40"/>
      <c r="AD183" s="40"/>
      <c r="AE183" s="40"/>
      <c r="AF183" s="40"/>
      <c r="AG183" s="40"/>
      <c r="AH183" s="40"/>
      <c r="AI183" s="40"/>
      <c r="AJ183" s="40"/>
      <c r="AK183" s="40"/>
      <c r="AL183" s="40"/>
      <c r="AM183" s="40"/>
      <c r="AN183" s="40"/>
      <c r="AO183" s="40"/>
      <c r="AP183" s="40"/>
      <c r="AQ183" s="40"/>
    </row>
    <row r="184" spans="1:43" customFormat="1" ht="18" customHeight="1">
      <c r="A184" s="67"/>
      <c r="B184" s="2175"/>
      <c r="C184" s="1333"/>
      <c r="D184" s="1333"/>
      <c r="E184" s="1333"/>
      <c r="F184" s="1333"/>
      <c r="G184" s="1333"/>
      <c r="H184" s="1337"/>
      <c r="I184" s="1327"/>
      <c r="J184" s="1321"/>
      <c r="K184" s="1321"/>
      <c r="L184" s="1321"/>
      <c r="M184" s="1321"/>
      <c r="N184" s="1321"/>
      <c r="O184" s="1321"/>
      <c r="P184" s="1321"/>
      <c r="Q184" s="1321"/>
      <c r="R184" s="2428"/>
      <c r="S184" s="2418"/>
      <c r="T184" s="40"/>
      <c r="U184" s="40"/>
      <c r="V184" s="40"/>
      <c r="W184" s="40"/>
      <c r="X184" s="40"/>
      <c r="Y184" s="40"/>
      <c r="Z184" s="40"/>
      <c r="AA184" s="40"/>
      <c r="AB184" s="40"/>
      <c r="AC184" s="40"/>
      <c r="AD184" s="40"/>
      <c r="AE184" s="40"/>
      <c r="AF184" s="40"/>
      <c r="AG184" s="40"/>
      <c r="AH184" s="40"/>
      <c r="AI184" s="40"/>
      <c r="AJ184" s="40"/>
      <c r="AK184" s="40"/>
      <c r="AL184" s="40"/>
      <c r="AM184" s="40"/>
      <c r="AN184" s="40"/>
      <c r="AO184" s="40"/>
      <c r="AP184" s="40"/>
      <c r="AQ184" s="40"/>
    </row>
    <row r="185" spans="1:43" customFormat="1" ht="18" customHeight="1">
      <c r="A185" s="158"/>
      <c r="B185" s="1769" t="s">
        <v>577</v>
      </c>
      <c r="C185" s="1340">
        <v>102</v>
      </c>
      <c r="D185" s="1340">
        <v>2</v>
      </c>
      <c r="E185" s="1340">
        <v>2</v>
      </c>
      <c r="F185" s="1340"/>
      <c r="G185" s="1340"/>
      <c r="H185" s="1341" t="s">
        <v>578</v>
      </c>
      <c r="I185" s="1305">
        <f t="shared" ref="I185:R185" si="73">I186/I170</f>
        <v>9.633775632275117E-2</v>
      </c>
      <c r="J185" s="1306">
        <f t="shared" si="73"/>
        <v>7.7148548813028822E-2</v>
      </c>
      <c r="K185" s="1306">
        <f t="shared" si="73"/>
        <v>8.6104708565371432E-2</v>
      </c>
      <c r="L185" s="1306">
        <f t="shared" si="73"/>
        <v>7.8784432656184816E-2</v>
      </c>
      <c r="M185" s="1306">
        <f t="shared" si="73"/>
        <v>9.8544695073807045E-2</v>
      </c>
      <c r="N185" s="1342">
        <f t="shared" si="73"/>
        <v>6.6666666666666666E-2</v>
      </c>
      <c r="O185" s="1342">
        <f t="shared" si="73"/>
        <v>6.6666666666666666E-2</v>
      </c>
      <c r="P185" s="1342">
        <f t="shared" si="73"/>
        <v>6.6666666666666666E-2</v>
      </c>
      <c r="Q185" s="1342">
        <f t="shared" si="73"/>
        <v>6.6666666666666666E-2</v>
      </c>
      <c r="R185" s="2430">
        <f t="shared" si="73"/>
        <v>6.6666666666666666E-2</v>
      </c>
      <c r="S185" s="2418"/>
      <c r="T185" s="40"/>
      <c r="U185" s="40"/>
      <c r="V185" s="40"/>
      <c r="W185" s="40"/>
      <c r="X185" s="40"/>
      <c r="Y185" s="40"/>
      <c r="Z185" s="40"/>
      <c r="AA185" s="40"/>
      <c r="AB185" s="40"/>
      <c r="AC185" s="40"/>
      <c r="AD185" s="40"/>
      <c r="AE185" s="40"/>
      <c r="AF185" s="40"/>
      <c r="AG185" s="40"/>
      <c r="AH185" s="40"/>
      <c r="AI185" s="40"/>
      <c r="AJ185" s="40"/>
      <c r="AK185" s="40"/>
      <c r="AL185" s="40"/>
      <c r="AM185" s="40"/>
      <c r="AN185" s="40"/>
      <c r="AO185" s="40"/>
      <c r="AP185" s="40"/>
      <c r="AQ185" s="40"/>
    </row>
    <row r="186" spans="1:43" customFormat="1" ht="18" customHeight="1">
      <c r="A186" s="67"/>
      <c r="B186" s="1769" t="s">
        <v>579</v>
      </c>
      <c r="C186" s="1333"/>
      <c r="D186" s="1333"/>
      <c r="E186" s="1333"/>
      <c r="F186" s="1333"/>
      <c r="G186" s="1333"/>
      <c r="H186" s="1337"/>
      <c r="I186" s="1287">
        <f>现金流量!I6</f>
        <v>38.355745349999999</v>
      </c>
      <c r="J186" s="1288">
        <f>现金流量!J6</f>
        <v>53.620666960000001</v>
      </c>
      <c r="K186" s="1288">
        <f>现金流量!K6</f>
        <v>69.553491019999996</v>
      </c>
      <c r="L186" s="1288">
        <f>现金流量!L6</f>
        <v>87.408883369999998</v>
      </c>
      <c r="M186" s="1288">
        <f>现金流量!M6</f>
        <v>106.76042969</v>
      </c>
      <c r="N186" s="1321">
        <f>CAPEX!E95</f>
        <v>72.224709549333326</v>
      </c>
      <c r="O186" s="1321">
        <f>CAPEX!F95</f>
        <v>72.224709549333326</v>
      </c>
      <c r="P186" s="1321">
        <f>CAPEX!G95</f>
        <v>72.224709549333326</v>
      </c>
      <c r="Q186" s="1321">
        <f>CAPEX!H95</f>
        <v>72.224709549333326</v>
      </c>
      <c r="R186" s="2428">
        <f>CAPEX!I95</f>
        <v>72.224709549333326</v>
      </c>
      <c r="S186" s="2418"/>
      <c r="T186" s="40"/>
      <c r="U186" s="40"/>
      <c r="V186" s="40"/>
      <c r="W186" s="40"/>
      <c r="X186" s="40"/>
      <c r="Y186" s="40"/>
      <c r="Z186" s="40"/>
      <c r="AA186" s="40"/>
      <c r="AB186" s="40"/>
      <c r="AC186" s="40"/>
      <c r="AD186" s="40"/>
      <c r="AE186" s="40"/>
      <c r="AF186" s="40"/>
      <c r="AG186" s="40"/>
      <c r="AH186" s="40"/>
      <c r="AI186" s="40"/>
      <c r="AJ186" s="40"/>
      <c r="AK186" s="40"/>
      <c r="AL186" s="40"/>
      <c r="AM186" s="40"/>
      <c r="AN186" s="40"/>
      <c r="AO186" s="40"/>
      <c r="AP186" s="40"/>
      <c r="AQ186" s="40"/>
    </row>
    <row r="187" spans="1:43" customFormat="1" ht="18" customHeight="1">
      <c r="A187" s="67"/>
      <c r="B187" s="2175"/>
      <c r="C187" s="1333"/>
      <c r="D187" s="1333"/>
      <c r="E187" s="1333"/>
      <c r="F187" s="1333"/>
      <c r="G187" s="1333"/>
      <c r="H187" s="1337"/>
      <c r="I187" s="1298"/>
      <c r="J187" s="1217"/>
      <c r="K187" s="1217"/>
      <c r="L187" s="1217"/>
      <c r="M187" s="1217"/>
      <c r="N187" s="1321"/>
      <c r="O187" s="1321"/>
      <c r="P187" s="1321"/>
      <c r="Q187" s="1321"/>
      <c r="R187" s="2428"/>
      <c r="S187" s="2418"/>
      <c r="T187" s="40"/>
      <c r="U187" s="40"/>
      <c r="V187" s="40"/>
      <c r="W187" s="40"/>
      <c r="X187" s="40"/>
      <c r="Y187" s="40"/>
      <c r="Z187" s="40"/>
      <c r="AA187" s="40"/>
      <c r="AB187" s="40"/>
      <c r="AC187" s="40"/>
      <c r="AD187" s="40"/>
      <c r="AE187" s="40"/>
      <c r="AF187" s="40"/>
      <c r="AG187" s="40"/>
      <c r="AH187" s="40"/>
      <c r="AI187" s="40"/>
      <c r="AJ187" s="40"/>
      <c r="AK187" s="40"/>
      <c r="AL187" s="40"/>
      <c r="AM187" s="40"/>
      <c r="AN187" s="40"/>
      <c r="AO187" s="40"/>
      <c r="AP187" s="40"/>
      <c r="AQ187" s="40"/>
    </row>
    <row r="188" spans="1:43" customFormat="1" ht="18" customHeight="1">
      <c r="A188" s="67"/>
      <c r="B188" s="2175" t="s">
        <v>534</v>
      </c>
      <c r="C188" s="1233"/>
      <c r="D188" s="1233"/>
      <c r="E188" s="1233"/>
      <c r="F188" s="1233"/>
      <c r="G188" s="1233"/>
      <c r="H188" s="1234"/>
      <c r="I188" s="1322">
        <f>I29</f>
        <v>124.76727926000001</v>
      </c>
      <c r="J188" s="1323">
        <f>J29</f>
        <v>75.284940739999996</v>
      </c>
      <c r="K188" s="1323">
        <f>K29</f>
        <v>118.91541266</v>
      </c>
      <c r="L188" s="1323">
        <f>L29</f>
        <v>57.110811829999996</v>
      </c>
      <c r="M188" s="1323">
        <f>M29</f>
        <v>206.89492759999999</v>
      </c>
      <c r="N188" s="1321">
        <f>M188+N189-N190</f>
        <v>206.89492759999999</v>
      </c>
      <c r="O188" s="1321">
        <f>N188+O189-O190</f>
        <v>206.89492759999999</v>
      </c>
      <c r="P188" s="1321">
        <f>O188+P189-P190</f>
        <v>206.89492759999999</v>
      </c>
      <c r="Q188" s="1321">
        <f>P188+Q189-Q190</f>
        <v>206.89492759999999</v>
      </c>
      <c r="R188" s="2428">
        <f>Q188+R189-R190</f>
        <v>206.89492759999999</v>
      </c>
      <c r="S188" s="2418"/>
      <c r="T188" s="40"/>
      <c r="U188" s="40"/>
      <c r="V188" s="40"/>
      <c r="W188" s="40"/>
      <c r="X188" s="40"/>
      <c r="Y188" s="40"/>
      <c r="Z188" s="40"/>
      <c r="AA188" s="40"/>
      <c r="AB188" s="40"/>
      <c r="AC188" s="40"/>
      <c r="AD188" s="40"/>
      <c r="AE188" s="40"/>
      <c r="AF188" s="40"/>
      <c r="AG188" s="40"/>
      <c r="AH188" s="40"/>
      <c r="AI188" s="40"/>
      <c r="AJ188" s="40"/>
      <c r="AK188" s="40"/>
      <c r="AL188" s="40"/>
      <c r="AM188" s="40"/>
      <c r="AN188" s="40"/>
      <c r="AO188" s="40"/>
      <c r="AP188" s="40"/>
      <c r="AQ188" s="40"/>
    </row>
    <row r="189" spans="1:43" customFormat="1" ht="18" customHeight="1">
      <c r="A189" s="67"/>
      <c r="B189" s="1769" t="s">
        <v>565</v>
      </c>
      <c r="C189" s="1338">
        <v>102</v>
      </c>
      <c r="D189" s="1338">
        <v>2</v>
      </c>
      <c r="E189" s="1338">
        <v>2</v>
      </c>
      <c r="F189" s="1338"/>
      <c r="G189" s="1338"/>
      <c r="H189" s="1339" t="s">
        <v>580</v>
      </c>
      <c r="I189" s="1310">
        <v>0</v>
      </c>
      <c r="J189" s="1311">
        <v>0</v>
      </c>
      <c r="K189" s="1311">
        <v>0</v>
      </c>
      <c r="L189" s="1311">
        <v>0</v>
      </c>
      <c r="M189" s="1311">
        <v>0</v>
      </c>
      <c r="N189" s="1294">
        <f>CAPEX!E42</f>
        <v>0</v>
      </c>
      <c r="O189" s="1294">
        <f>CAPEX!F42</f>
        <v>0</v>
      </c>
      <c r="P189" s="1294">
        <f>CAPEX!G42</f>
        <v>0</v>
      </c>
      <c r="Q189" s="1294">
        <f>CAPEX!H42</f>
        <v>0</v>
      </c>
      <c r="R189" s="2422">
        <f>CAPEX!I42</f>
        <v>0</v>
      </c>
      <c r="S189" s="2418"/>
      <c r="T189" s="40"/>
      <c r="U189" s="40"/>
      <c r="V189" s="40"/>
      <c r="W189" s="40"/>
      <c r="X189" s="40"/>
      <c r="Y189" s="40"/>
      <c r="Z189" s="40"/>
      <c r="AA189" s="40"/>
      <c r="AB189" s="40"/>
      <c r="AC189" s="40"/>
      <c r="AD189" s="40"/>
      <c r="AE189" s="40"/>
      <c r="AF189" s="40"/>
      <c r="AG189" s="40"/>
      <c r="AH189" s="40"/>
      <c r="AI189" s="40"/>
      <c r="AJ189" s="40"/>
      <c r="AK189" s="40"/>
      <c r="AL189" s="40"/>
      <c r="AM189" s="40"/>
      <c r="AN189" s="40"/>
      <c r="AO189" s="40"/>
      <c r="AP189" s="40"/>
      <c r="AQ189" s="40"/>
    </row>
    <row r="190" spans="1:43" customFormat="1" ht="18" customHeight="1">
      <c r="A190" s="67"/>
      <c r="B190" s="1769" t="s">
        <v>581</v>
      </c>
      <c r="C190" s="1338">
        <v>102</v>
      </c>
      <c r="D190" s="1338">
        <v>2</v>
      </c>
      <c r="E190" s="1338">
        <v>2</v>
      </c>
      <c r="F190" s="1338"/>
      <c r="G190" s="1338"/>
      <c r="H190" s="1339" t="s">
        <v>582</v>
      </c>
      <c r="I190" s="1310">
        <v>0</v>
      </c>
      <c r="J190" s="1311">
        <v>0</v>
      </c>
      <c r="K190" s="1311">
        <v>0</v>
      </c>
      <c r="L190" s="1311">
        <v>0</v>
      </c>
      <c r="M190" s="1311">
        <v>0</v>
      </c>
      <c r="N190" s="1294">
        <f>CAPEX!E60</f>
        <v>0</v>
      </c>
      <c r="O190" s="1294">
        <f>CAPEX!F60</f>
        <v>0</v>
      </c>
      <c r="P190" s="1294">
        <f>CAPEX!G60</f>
        <v>0</v>
      </c>
      <c r="Q190" s="1294">
        <f>CAPEX!H60</f>
        <v>0</v>
      </c>
      <c r="R190" s="2422">
        <f>CAPEX!I60</f>
        <v>0</v>
      </c>
      <c r="S190" s="2418"/>
      <c r="T190" s="40"/>
      <c r="U190" s="40"/>
      <c r="V190" s="40"/>
      <c r="W190" s="40"/>
      <c r="X190" s="40"/>
      <c r="Y190" s="40"/>
      <c r="Z190" s="40"/>
      <c r="AA190" s="40"/>
      <c r="AB190" s="40"/>
      <c r="AC190" s="40"/>
      <c r="AD190" s="40"/>
      <c r="AE190" s="40"/>
      <c r="AF190" s="40"/>
      <c r="AG190" s="40"/>
      <c r="AH190" s="40"/>
      <c r="AI190" s="40"/>
      <c r="AJ190" s="40"/>
      <c r="AK190" s="40"/>
      <c r="AL190" s="40"/>
      <c r="AM190" s="40"/>
      <c r="AN190" s="40"/>
      <c r="AO190" s="40"/>
      <c r="AP190" s="40"/>
      <c r="AQ190" s="40"/>
    </row>
    <row r="191" spans="1:43" customFormat="1" ht="18" customHeight="1">
      <c r="A191" s="67"/>
      <c r="B191" s="2175"/>
      <c r="C191" s="1333"/>
      <c r="D191" s="1333"/>
      <c r="E191" s="1333"/>
      <c r="F191" s="1333"/>
      <c r="G191" s="1333"/>
      <c r="H191" s="1337"/>
      <c r="I191" s="1327"/>
      <c r="J191" s="1321"/>
      <c r="K191" s="1321"/>
      <c r="L191" s="1321"/>
      <c r="M191" s="1321"/>
      <c r="N191" s="1321"/>
      <c r="O191" s="1321"/>
      <c r="P191" s="1321"/>
      <c r="Q191" s="1321"/>
      <c r="R191" s="2428"/>
      <c r="S191" s="2418"/>
      <c r="T191" s="40"/>
      <c r="U191" s="40"/>
      <c r="V191" s="40"/>
      <c r="W191" s="40"/>
      <c r="X191" s="40"/>
      <c r="Y191" s="40"/>
      <c r="Z191" s="40"/>
      <c r="AA191" s="40"/>
      <c r="AB191" s="40"/>
      <c r="AC191" s="40"/>
      <c r="AD191" s="40"/>
      <c r="AE191" s="40"/>
      <c r="AF191" s="40"/>
      <c r="AG191" s="40"/>
      <c r="AH191" s="40"/>
      <c r="AI191" s="40"/>
      <c r="AJ191" s="40"/>
      <c r="AK191" s="40"/>
      <c r="AL191" s="40"/>
      <c r="AM191" s="40"/>
      <c r="AN191" s="40"/>
      <c r="AO191" s="40"/>
      <c r="AP191" s="40"/>
      <c r="AQ191" s="40"/>
    </row>
    <row r="192" spans="1:43" customFormat="1" ht="18" customHeight="1">
      <c r="A192" s="67"/>
      <c r="B192" s="2175" t="s">
        <v>535</v>
      </c>
      <c r="C192" s="1325"/>
      <c r="D192" s="1325"/>
      <c r="E192" s="1325"/>
      <c r="F192" s="1325"/>
      <c r="G192" s="1325"/>
      <c r="H192" s="1326"/>
      <c r="I192" s="1298">
        <f>I30</f>
        <v>97.834604999999996</v>
      </c>
      <c r="J192" s="1217">
        <f>J30</f>
        <v>138.49364126</v>
      </c>
      <c r="K192" s="1217">
        <f>K30</f>
        <v>193.29465583999999</v>
      </c>
      <c r="L192" s="1217">
        <f>L30</f>
        <v>199.30719199999999</v>
      </c>
      <c r="M192" s="1217">
        <f>M30</f>
        <v>216.91654491999998</v>
      </c>
      <c r="N192" s="1217">
        <f>N196+N202+N205</f>
        <v>216.91654491999998</v>
      </c>
      <c r="O192" s="1217">
        <f>O196+O202+O205</f>
        <v>216.91654491999998</v>
      </c>
      <c r="P192" s="1217">
        <f>P196+P202+P205</f>
        <v>216.91654491999998</v>
      </c>
      <c r="Q192" s="1217">
        <f>Q196+Q202+Q205</f>
        <v>216.91654491999998</v>
      </c>
      <c r="R192" s="2412">
        <f>R196+R202+R205</f>
        <v>216.91654491999998</v>
      </c>
      <c r="S192" s="2418"/>
      <c r="T192" s="40"/>
      <c r="U192" s="40"/>
      <c r="V192" s="40"/>
      <c r="W192" s="40"/>
      <c r="X192" s="40"/>
      <c r="Y192" s="40"/>
      <c r="Z192" s="40"/>
      <c r="AA192" s="40"/>
      <c r="AB192" s="40"/>
      <c r="AC192" s="40"/>
      <c r="AD192" s="40"/>
      <c r="AE192" s="40"/>
      <c r="AF192" s="40"/>
      <c r="AG192" s="40"/>
      <c r="AH192" s="40"/>
      <c r="AI192" s="40"/>
      <c r="AJ192" s="40"/>
      <c r="AK192" s="40"/>
      <c r="AL192" s="40"/>
      <c r="AM192" s="40"/>
      <c r="AN192" s="40"/>
      <c r="AO192" s="40"/>
      <c r="AP192" s="40"/>
      <c r="AQ192" s="40"/>
    </row>
    <row r="193" spans="1:43" customFormat="1" ht="18" customHeight="1">
      <c r="A193" s="74"/>
      <c r="B193" s="2187" t="s">
        <v>583</v>
      </c>
      <c r="C193" s="1343"/>
      <c r="D193" s="1343"/>
      <c r="E193" s="1343"/>
      <c r="F193" s="1343"/>
      <c r="G193" s="1343"/>
      <c r="H193" s="1327"/>
      <c r="I193" s="1322">
        <f>I197+I198-I199</f>
        <v>95.872509700000009</v>
      </c>
      <c r="J193" s="1323">
        <f>J196+J194+J195</f>
        <v>138.49364126</v>
      </c>
      <c r="K193" s="1323">
        <f>K196+K194+K195</f>
        <v>193.29465583999999</v>
      </c>
      <c r="L193" s="1323">
        <f>L196+L194+L195</f>
        <v>199.30719199999999</v>
      </c>
      <c r="M193" s="1323">
        <f>M196+M194+M195</f>
        <v>216.91654491999998</v>
      </c>
      <c r="N193" s="1294">
        <f>N197+N198-N199</f>
        <v>216.91654491999998</v>
      </c>
      <c r="O193" s="1294">
        <f>O197+O198-O199</f>
        <v>216.91654491999998</v>
      </c>
      <c r="P193" s="1294">
        <f>P197+P198-P199</f>
        <v>216.91654491999998</v>
      </c>
      <c r="Q193" s="1294">
        <f>Q197+Q198-Q199</f>
        <v>216.91654491999998</v>
      </c>
      <c r="R193" s="2422">
        <f>R197+R198-R199</f>
        <v>216.91654491999998</v>
      </c>
      <c r="S193" s="2418"/>
      <c r="T193" s="40"/>
      <c r="U193" s="40"/>
      <c r="V193" s="40"/>
      <c r="W193" s="40"/>
      <c r="X193" s="40"/>
      <c r="Y193" s="40"/>
      <c r="Z193" s="40"/>
      <c r="AA193" s="40"/>
      <c r="AB193" s="40"/>
      <c r="AC193" s="40"/>
      <c r="AD193" s="40"/>
      <c r="AE193" s="40"/>
      <c r="AF193" s="40"/>
      <c r="AG193" s="40"/>
      <c r="AH193" s="40"/>
      <c r="AI193" s="40"/>
      <c r="AJ193" s="40"/>
      <c r="AK193" s="40"/>
      <c r="AL193" s="40"/>
      <c r="AM193" s="40"/>
      <c r="AN193" s="40"/>
      <c r="AO193" s="40"/>
      <c r="AP193" s="40"/>
      <c r="AQ193" s="40"/>
    </row>
    <row r="194" spans="1:43" customFormat="1" ht="18" customHeight="1">
      <c r="A194" s="74"/>
      <c r="B194" s="2188" t="s">
        <v>584</v>
      </c>
      <c r="C194" s="1344"/>
      <c r="D194" s="1344"/>
      <c r="E194" s="1344"/>
      <c r="F194" s="1344"/>
      <c r="G194" s="1344"/>
      <c r="H194" s="1298"/>
      <c r="I194" s="1310">
        <v>0</v>
      </c>
      <c r="J194" s="1311">
        <v>0</v>
      </c>
      <c r="K194" s="1311">
        <v>0</v>
      </c>
      <c r="L194" s="1311">
        <v>0</v>
      </c>
      <c r="M194" s="1311">
        <v>0</v>
      </c>
      <c r="N194" s="1294">
        <f>M194+N200</f>
        <v>0</v>
      </c>
      <c r="O194" s="1294">
        <f>N194+O200</f>
        <v>0</v>
      </c>
      <c r="P194" s="1294">
        <f>O194+P200</f>
        <v>0</v>
      </c>
      <c r="Q194" s="1294">
        <f>P194+Q200</f>
        <v>0</v>
      </c>
      <c r="R194" s="2422">
        <f>Q194+R200</f>
        <v>0</v>
      </c>
      <c r="S194" s="2418"/>
      <c r="T194" s="40"/>
      <c r="U194" s="40"/>
      <c r="V194" s="40"/>
      <c r="W194" s="40"/>
      <c r="X194" s="40"/>
      <c r="Y194" s="40"/>
      <c r="Z194" s="40"/>
      <c r="AA194" s="40"/>
      <c r="AB194" s="40"/>
      <c r="AC194" s="40"/>
      <c r="AD194" s="40"/>
      <c r="AE194" s="40"/>
      <c r="AF194" s="40"/>
      <c r="AG194" s="40"/>
      <c r="AH194" s="40"/>
      <c r="AI194" s="40"/>
      <c r="AJ194" s="40"/>
      <c r="AK194" s="40"/>
      <c r="AL194" s="40"/>
      <c r="AM194" s="40"/>
      <c r="AN194" s="40"/>
      <c r="AO194" s="40"/>
      <c r="AP194" s="40"/>
      <c r="AQ194" s="40"/>
    </row>
    <row r="195" spans="1:43" customFormat="1" ht="18" customHeight="1">
      <c r="A195" s="74"/>
      <c r="B195" s="2187" t="s">
        <v>585</v>
      </c>
      <c r="C195" s="1343"/>
      <c r="D195" s="1343"/>
      <c r="E195" s="1343"/>
      <c r="F195" s="1343"/>
      <c r="G195" s="1343"/>
      <c r="H195" s="1327"/>
      <c r="I195" s="1310">
        <v>0</v>
      </c>
      <c r="J195" s="1311">
        <v>0</v>
      </c>
      <c r="K195" s="1311">
        <v>0</v>
      </c>
      <c r="L195" s="1311">
        <v>0</v>
      </c>
      <c r="M195" s="1311">
        <v>0</v>
      </c>
      <c r="N195" s="1217">
        <f>M195</f>
        <v>0</v>
      </c>
      <c r="O195" s="1217">
        <f>N195</f>
        <v>0</v>
      </c>
      <c r="P195" s="1217">
        <f>O195</f>
        <v>0</v>
      </c>
      <c r="Q195" s="1217">
        <f>P195</f>
        <v>0</v>
      </c>
      <c r="R195" s="2412">
        <f>Q195</f>
        <v>0</v>
      </c>
      <c r="S195" s="2418"/>
      <c r="T195" s="40"/>
      <c r="U195" s="40"/>
      <c r="V195" s="40"/>
      <c r="W195" s="40"/>
      <c r="X195" s="40"/>
      <c r="Y195" s="40"/>
      <c r="Z195" s="40"/>
      <c r="AA195" s="40"/>
      <c r="AB195" s="40"/>
      <c r="AC195" s="40"/>
      <c r="AD195" s="40"/>
      <c r="AE195" s="40"/>
      <c r="AF195" s="40"/>
      <c r="AG195" s="40"/>
      <c r="AH195" s="40"/>
      <c r="AI195" s="40"/>
      <c r="AJ195" s="40"/>
      <c r="AK195" s="40"/>
      <c r="AL195" s="40"/>
      <c r="AM195" s="40"/>
      <c r="AN195" s="40"/>
      <c r="AO195" s="40"/>
      <c r="AP195" s="40"/>
      <c r="AQ195" s="40"/>
    </row>
    <row r="196" spans="1:43" customFormat="1" ht="18" customHeight="1">
      <c r="A196" s="74"/>
      <c r="B196" s="2187" t="s">
        <v>586</v>
      </c>
      <c r="C196" s="1345"/>
      <c r="D196" s="1345"/>
      <c r="E196" s="1345"/>
      <c r="F196" s="1345"/>
      <c r="G196" s="1345"/>
      <c r="H196" s="1346"/>
      <c r="I196" s="1287">
        <f>I31</f>
        <v>97.834604999999996</v>
      </c>
      <c r="J196" s="1288">
        <f>J31</f>
        <v>138.49364126</v>
      </c>
      <c r="K196" s="1288">
        <f>K31</f>
        <v>193.29465583999999</v>
      </c>
      <c r="L196" s="1288">
        <f>L31</f>
        <v>199.30719199999999</v>
      </c>
      <c r="M196" s="1288">
        <f>M31</f>
        <v>216.91654491999998</v>
      </c>
      <c r="N196" s="1217">
        <f>N193-N194-N195</f>
        <v>216.91654491999998</v>
      </c>
      <c r="O196" s="1217">
        <f>O193-O194-O195</f>
        <v>216.91654491999998</v>
      </c>
      <c r="P196" s="1217">
        <f>P193-P194-P195</f>
        <v>216.91654491999998</v>
      </c>
      <c r="Q196" s="1217">
        <f>Q193-Q194-Q195</f>
        <v>216.91654491999998</v>
      </c>
      <c r="R196" s="2412">
        <f>R193-R194-R195</f>
        <v>216.91654491999998</v>
      </c>
      <c r="S196" s="2418"/>
      <c r="T196" s="40"/>
      <c r="U196" s="40"/>
      <c r="V196" s="40"/>
      <c r="W196" s="40"/>
      <c r="X196" s="40"/>
      <c r="Y196" s="40"/>
      <c r="Z196" s="40"/>
      <c r="AA196" s="40"/>
      <c r="AB196" s="40"/>
      <c r="AC196" s="40"/>
      <c r="AD196" s="40"/>
      <c r="AE196" s="40"/>
      <c r="AF196" s="40"/>
      <c r="AG196" s="40"/>
      <c r="AH196" s="40"/>
      <c r="AI196" s="40"/>
      <c r="AJ196" s="40"/>
      <c r="AK196" s="40"/>
      <c r="AL196" s="40"/>
      <c r="AM196" s="40"/>
      <c r="AN196" s="40"/>
      <c r="AO196" s="40"/>
      <c r="AP196" s="40"/>
      <c r="AQ196" s="40"/>
    </row>
    <row r="197" spans="1:43" customFormat="1" ht="18" customHeight="1">
      <c r="A197" s="74"/>
      <c r="B197" s="1240" t="s">
        <v>587</v>
      </c>
      <c r="C197" s="1235"/>
      <c r="D197" s="1235"/>
      <c r="E197" s="1235"/>
      <c r="F197" s="1235"/>
      <c r="G197" s="1235"/>
      <c r="H197" s="1236"/>
      <c r="I197" s="1287">
        <f>I89</f>
        <v>95.872509700000009</v>
      </c>
      <c r="J197" s="1288">
        <f t="shared" ref="J197:R197" si="74">I193</f>
        <v>95.872509700000009</v>
      </c>
      <c r="K197" s="1288">
        <f t="shared" si="74"/>
        <v>138.49364126</v>
      </c>
      <c r="L197" s="1288">
        <f t="shared" si="74"/>
        <v>193.29465583999999</v>
      </c>
      <c r="M197" s="1288">
        <f t="shared" si="74"/>
        <v>199.30719199999999</v>
      </c>
      <c r="N197" s="1217">
        <f t="shared" si="74"/>
        <v>216.91654491999998</v>
      </c>
      <c r="O197" s="1217">
        <f t="shared" si="74"/>
        <v>216.91654491999998</v>
      </c>
      <c r="P197" s="1217">
        <f t="shared" si="74"/>
        <v>216.91654491999998</v>
      </c>
      <c r="Q197" s="1217">
        <f t="shared" si="74"/>
        <v>216.91654491999998</v>
      </c>
      <c r="R197" s="2412">
        <f t="shared" si="74"/>
        <v>216.91654491999998</v>
      </c>
      <c r="S197" s="2418"/>
      <c r="T197" s="40"/>
      <c r="U197" s="40"/>
      <c r="V197" s="40"/>
      <c r="W197" s="40"/>
      <c r="X197" s="40"/>
      <c r="Y197" s="40"/>
      <c r="Z197" s="40"/>
      <c r="AA197" s="40"/>
      <c r="AB197" s="40"/>
      <c r="AC197" s="40"/>
      <c r="AD197" s="40"/>
      <c r="AE197" s="40"/>
      <c r="AF197" s="40"/>
      <c r="AG197" s="40"/>
      <c r="AH197" s="40"/>
      <c r="AI197" s="40"/>
      <c r="AJ197" s="40"/>
      <c r="AK197" s="40"/>
      <c r="AL197" s="40"/>
      <c r="AM197" s="40"/>
      <c r="AN197" s="40"/>
      <c r="AO197" s="40"/>
      <c r="AP197" s="40"/>
      <c r="AQ197" s="40"/>
    </row>
    <row r="198" spans="1:43" customFormat="1" ht="18" customHeight="1">
      <c r="A198" s="159"/>
      <c r="B198" s="2189" t="s">
        <v>261</v>
      </c>
      <c r="C198" s="1343">
        <v>102</v>
      </c>
      <c r="D198" s="1343">
        <v>7</v>
      </c>
      <c r="E198" s="1343">
        <v>7</v>
      </c>
      <c r="F198" s="1343"/>
      <c r="G198" s="1343"/>
      <c r="H198" s="1327">
        <f>N198</f>
        <v>0</v>
      </c>
      <c r="I198" s="1310">
        <v>0</v>
      </c>
      <c r="J198" s="1311">
        <v>0</v>
      </c>
      <c r="K198" s="1311">
        <v>0</v>
      </c>
      <c r="L198" s="1311">
        <v>0</v>
      </c>
      <c r="M198" s="1311">
        <v>0</v>
      </c>
      <c r="N198" s="1885">
        <f>0</f>
        <v>0</v>
      </c>
      <c r="O198" s="1885">
        <f>0</f>
        <v>0</v>
      </c>
      <c r="P198" s="1885">
        <f>0</f>
        <v>0</v>
      </c>
      <c r="Q198" s="1885">
        <f>0</f>
        <v>0</v>
      </c>
      <c r="R198" s="2414">
        <f>0</f>
        <v>0</v>
      </c>
      <c r="S198" s="2418"/>
      <c r="T198" s="40"/>
      <c r="U198" s="40"/>
      <c r="V198" s="40"/>
      <c r="W198" s="40"/>
      <c r="X198" s="40"/>
      <c r="Y198" s="40"/>
      <c r="Z198" s="40"/>
      <c r="AA198" s="40"/>
      <c r="AB198" s="40"/>
      <c r="AC198" s="40"/>
      <c r="AD198" s="40"/>
      <c r="AE198" s="40"/>
      <c r="AF198" s="40"/>
      <c r="AG198" s="40"/>
      <c r="AH198" s="40"/>
      <c r="AI198" s="40"/>
      <c r="AJ198" s="40"/>
      <c r="AK198" s="40"/>
      <c r="AL198" s="40"/>
      <c r="AM198" s="40"/>
      <c r="AN198" s="40"/>
      <c r="AO198" s="40"/>
      <c r="AP198" s="40"/>
      <c r="AQ198" s="40"/>
    </row>
    <row r="199" spans="1:43" customFormat="1" ht="18" customHeight="1">
      <c r="A199" s="74"/>
      <c r="B199" s="2189" t="s">
        <v>263</v>
      </c>
      <c r="C199" s="1343">
        <v>102</v>
      </c>
      <c r="D199" s="1343">
        <v>7</v>
      </c>
      <c r="E199" s="1343">
        <v>7</v>
      </c>
      <c r="F199" s="1343"/>
      <c r="G199" s="1343"/>
      <c r="H199" s="1327">
        <f>N199</f>
        <v>0</v>
      </c>
      <c r="I199" s="1310">
        <v>0</v>
      </c>
      <c r="J199" s="1311">
        <v>0</v>
      </c>
      <c r="K199" s="1311">
        <v>0</v>
      </c>
      <c r="L199" s="1311">
        <v>0</v>
      </c>
      <c r="M199" s="1311">
        <v>0</v>
      </c>
      <c r="N199" s="1885">
        <f>0</f>
        <v>0</v>
      </c>
      <c r="O199" s="1885">
        <f>0</f>
        <v>0</v>
      </c>
      <c r="P199" s="1885">
        <f>0</f>
        <v>0</v>
      </c>
      <c r="Q199" s="1885">
        <f>0</f>
        <v>0</v>
      </c>
      <c r="R199" s="2414">
        <f>0</f>
        <v>0</v>
      </c>
      <c r="S199" s="2418"/>
      <c r="T199" s="40"/>
      <c r="U199" s="40"/>
      <c r="V199" s="40"/>
      <c r="W199" s="40"/>
      <c r="X199" s="40"/>
      <c r="Y199" s="40"/>
      <c r="Z199" s="40"/>
      <c r="AA199" s="40"/>
      <c r="AB199" s="40"/>
      <c r="AC199" s="40"/>
      <c r="AD199" s="40"/>
      <c r="AE199" s="40"/>
      <c r="AF199" s="40"/>
      <c r="AG199" s="40"/>
      <c r="AH199" s="40"/>
      <c r="AI199" s="40"/>
      <c r="AJ199" s="40"/>
      <c r="AK199" s="40"/>
      <c r="AL199" s="40"/>
      <c r="AM199" s="40"/>
      <c r="AN199" s="40"/>
      <c r="AO199" s="40"/>
      <c r="AP199" s="40"/>
      <c r="AQ199" s="40"/>
    </row>
    <row r="200" spans="1:43" customFormat="1" ht="18" customHeight="1">
      <c r="A200" s="75"/>
      <c r="B200" s="2189" t="s">
        <v>265</v>
      </c>
      <c r="C200" s="1343">
        <v>101</v>
      </c>
      <c r="D200" s="1343">
        <v>5</v>
      </c>
      <c r="E200" s="1343">
        <v>5</v>
      </c>
      <c r="F200" s="1343">
        <f>(N197+N193)/2*N201</f>
        <v>0</v>
      </c>
      <c r="G200" s="1343">
        <f>N200/((N197+N193)/2)</f>
        <v>0</v>
      </c>
      <c r="H200" s="1327">
        <f>N200</f>
        <v>0</v>
      </c>
      <c r="I200" s="1310">
        <v>0</v>
      </c>
      <c r="J200" s="1311">
        <v>0</v>
      </c>
      <c r="K200" s="1311">
        <v>0</v>
      </c>
      <c r="L200" s="1311">
        <v>0</v>
      </c>
      <c r="M200" s="1311">
        <v>0</v>
      </c>
      <c r="N200" s="1885">
        <f>(N197+N193)/2*N201</f>
        <v>0</v>
      </c>
      <c r="O200" s="1885">
        <f t="shared" ref="O200:R200" si="75">(O197+O193)/2*O201</f>
        <v>0</v>
      </c>
      <c r="P200" s="1885">
        <f t="shared" si="75"/>
        <v>0</v>
      </c>
      <c r="Q200" s="1885">
        <f t="shared" si="75"/>
        <v>0</v>
      </c>
      <c r="R200" s="2414">
        <f t="shared" si="75"/>
        <v>0</v>
      </c>
      <c r="S200" s="2418"/>
      <c r="T200" s="40"/>
      <c r="U200" s="40"/>
      <c r="V200" s="40"/>
      <c r="W200" s="40"/>
      <c r="X200" s="40"/>
      <c r="Y200" s="40"/>
      <c r="Z200" s="40"/>
      <c r="AA200" s="40"/>
      <c r="AB200" s="40"/>
      <c r="AC200" s="40"/>
      <c r="AD200" s="40"/>
      <c r="AE200" s="40"/>
      <c r="AF200" s="40"/>
      <c r="AG200" s="40"/>
      <c r="AH200" s="40"/>
      <c r="AI200" s="40"/>
      <c r="AJ200" s="40"/>
      <c r="AK200" s="40"/>
      <c r="AL200" s="40"/>
      <c r="AM200" s="40"/>
      <c r="AN200" s="40"/>
      <c r="AO200" s="40"/>
      <c r="AP200" s="40"/>
      <c r="AQ200" s="40"/>
    </row>
    <row r="201" spans="1:43" customFormat="1" ht="18" customHeight="1">
      <c r="A201" s="74"/>
      <c r="B201" s="2189" t="s">
        <v>269</v>
      </c>
      <c r="C201" s="1343"/>
      <c r="D201" s="1343"/>
      <c r="E201" s="1343"/>
      <c r="F201" s="1343"/>
      <c r="G201" s="1343"/>
      <c r="H201" s="1343"/>
      <c r="I201" s="1305">
        <f>I200/I193</f>
        <v>0</v>
      </c>
      <c r="J201" s="1306">
        <f>J200/J193</f>
        <v>0</v>
      </c>
      <c r="K201" s="1306">
        <f>K200/K193</f>
        <v>0</v>
      </c>
      <c r="L201" s="1306">
        <f>L200/L193</f>
        <v>0</v>
      </c>
      <c r="M201" s="1306">
        <f>M200/M193</f>
        <v>0</v>
      </c>
      <c r="N201" s="1888">
        <f>M201</f>
        <v>0</v>
      </c>
      <c r="O201" s="1888">
        <f t="shared" ref="O201:R201" si="76">N201</f>
        <v>0</v>
      </c>
      <c r="P201" s="1888">
        <f t="shared" si="76"/>
        <v>0</v>
      </c>
      <c r="Q201" s="1888">
        <f t="shared" si="76"/>
        <v>0</v>
      </c>
      <c r="R201" s="2431">
        <f t="shared" si="76"/>
        <v>0</v>
      </c>
      <c r="S201" s="2418"/>
      <c r="T201" s="40"/>
      <c r="U201" s="40"/>
      <c r="V201" s="40"/>
      <c r="W201" s="40"/>
      <c r="X201" s="40"/>
      <c r="Y201" s="40"/>
      <c r="Z201" s="40"/>
      <c r="AA201" s="40"/>
      <c r="AB201" s="40"/>
      <c r="AC201" s="40"/>
      <c r="AD201" s="40"/>
      <c r="AE201" s="40"/>
      <c r="AF201" s="40"/>
      <c r="AG201" s="40"/>
      <c r="AH201" s="40"/>
      <c r="AI201" s="40"/>
      <c r="AJ201" s="40"/>
      <c r="AK201" s="40"/>
      <c r="AL201" s="40"/>
      <c r="AM201" s="40"/>
      <c r="AN201" s="40"/>
      <c r="AO201" s="40"/>
      <c r="AP201" s="40"/>
      <c r="AQ201" s="40"/>
    </row>
    <row r="202" spans="1:43" customFormat="1" ht="18" customHeight="1">
      <c r="A202" s="74"/>
      <c r="B202" s="2187" t="s">
        <v>588</v>
      </c>
      <c r="C202" s="1345"/>
      <c r="D202" s="1345"/>
      <c r="E202" s="1345"/>
      <c r="F202" s="1345"/>
      <c r="G202" s="1345"/>
      <c r="H202" s="1346"/>
      <c r="I202" s="1287">
        <f>I32</f>
        <v>0</v>
      </c>
      <c r="J202" s="1288">
        <f>J32</f>
        <v>0</v>
      </c>
      <c r="K202" s="1288">
        <f>K32</f>
        <v>0</v>
      </c>
      <c r="L202" s="1288">
        <f>L32</f>
        <v>0</v>
      </c>
      <c r="M202" s="1288">
        <f>M32</f>
        <v>0</v>
      </c>
      <c r="N202" s="1294">
        <f>N203-N204</f>
        <v>0</v>
      </c>
      <c r="O202" s="1294">
        <f>O203-O204</f>
        <v>0</v>
      </c>
      <c r="P202" s="1294">
        <f>P203-P204</f>
        <v>0</v>
      </c>
      <c r="Q202" s="1294">
        <f>Q203-Q204</f>
        <v>0</v>
      </c>
      <c r="R202" s="2422">
        <f>R203-R204</f>
        <v>0</v>
      </c>
      <c r="S202" s="2418"/>
      <c r="T202" s="40"/>
      <c r="U202" s="40"/>
      <c r="V202" s="40"/>
      <c r="W202" s="40"/>
      <c r="X202" s="40"/>
      <c r="Y202" s="40"/>
      <c r="Z202" s="40"/>
      <c r="AA202" s="40"/>
      <c r="AB202" s="40"/>
      <c r="AC202" s="40"/>
      <c r="AD202" s="40"/>
      <c r="AE202" s="40"/>
      <c r="AF202" s="40"/>
      <c r="AG202" s="40"/>
      <c r="AH202" s="40"/>
      <c r="AI202" s="40"/>
      <c r="AJ202" s="40"/>
      <c r="AK202" s="40"/>
      <c r="AL202" s="40"/>
      <c r="AM202" s="40"/>
      <c r="AN202" s="40"/>
      <c r="AO202" s="40"/>
      <c r="AP202" s="40"/>
      <c r="AQ202" s="40"/>
    </row>
    <row r="203" spans="1:43" customFormat="1" ht="18" customHeight="1">
      <c r="A203" s="74"/>
      <c r="B203" s="2189" t="s">
        <v>270</v>
      </c>
      <c r="C203" s="1343">
        <v>102</v>
      </c>
      <c r="D203" s="1343">
        <v>6</v>
      </c>
      <c r="E203" s="1343">
        <v>6</v>
      </c>
      <c r="F203" s="1343"/>
      <c r="G203" s="1343"/>
      <c r="H203" s="1327">
        <f>N203</f>
        <v>0</v>
      </c>
      <c r="I203" s="1310">
        <v>0</v>
      </c>
      <c r="J203" s="1311">
        <v>0</v>
      </c>
      <c r="K203" s="1311">
        <v>0</v>
      </c>
      <c r="L203" s="1311">
        <v>0</v>
      </c>
      <c r="M203" s="1311">
        <f>M202+M204</f>
        <v>0</v>
      </c>
      <c r="N203" s="1885">
        <f>M203</f>
        <v>0</v>
      </c>
      <c r="O203" s="1885">
        <f t="shared" ref="O203:R203" si="77">N203</f>
        <v>0</v>
      </c>
      <c r="P203" s="1885">
        <f t="shared" si="77"/>
        <v>0</v>
      </c>
      <c r="Q203" s="1885">
        <f t="shared" si="77"/>
        <v>0</v>
      </c>
      <c r="R203" s="2414">
        <f t="shared" si="77"/>
        <v>0</v>
      </c>
      <c r="S203" s="2418"/>
      <c r="T203" s="40"/>
      <c r="U203" s="40"/>
      <c r="V203" s="40"/>
      <c r="W203" s="40"/>
      <c r="X203" s="40"/>
      <c r="Y203" s="40"/>
      <c r="Z203" s="40"/>
      <c r="AA203" s="40"/>
      <c r="AB203" s="40"/>
      <c r="AC203" s="40"/>
      <c r="AD203" s="40"/>
      <c r="AE203" s="40"/>
      <c r="AF203" s="40"/>
      <c r="AG203" s="40"/>
      <c r="AH203" s="40"/>
      <c r="AI203" s="40"/>
      <c r="AJ203" s="40"/>
      <c r="AK203" s="40"/>
      <c r="AL203" s="40"/>
      <c r="AM203" s="40"/>
      <c r="AN203" s="40"/>
      <c r="AO203" s="40"/>
      <c r="AP203" s="40"/>
      <c r="AQ203" s="40"/>
    </row>
    <row r="204" spans="1:43" customFormat="1" ht="18" customHeight="1">
      <c r="A204" s="74"/>
      <c r="B204" s="2189" t="s">
        <v>272</v>
      </c>
      <c r="C204" s="1343">
        <v>102</v>
      </c>
      <c r="D204" s="1343">
        <v>6</v>
      </c>
      <c r="E204" s="1343">
        <v>6</v>
      </c>
      <c r="F204" s="1343"/>
      <c r="G204" s="1343"/>
      <c r="H204" s="1327">
        <f>N204</f>
        <v>0</v>
      </c>
      <c r="I204" s="1310">
        <v>0</v>
      </c>
      <c r="J204" s="1311">
        <v>0</v>
      </c>
      <c r="K204" s="1311">
        <v>0</v>
      </c>
      <c r="L204" s="1311">
        <v>0</v>
      </c>
      <c r="M204" s="1311">
        <v>0</v>
      </c>
      <c r="N204" s="1885">
        <f>M204</f>
        <v>0</v>
      </c>
      <c r="O204" s="1885">
        <f t="shared" ref="O204:R204" si="78">N204</f>
        <v>0</v>
      </c>
      <c r="P204" s="1885">
        <f t="shared" si="78"/>
        <v>0</v>
      </c>
      <c r="Q204" s="1885">
        <f t="shared" si="78"/>
        <v>0</v>
      </c>
      <c r="R204" s="2414">
        <f t="shared" si="78"/>
        <v>0</v>
      </c>
      <c r="S204" s="2418"/>
      <c r="T204" s="40"/>
      <c r="U204" s="40"/>
      <c r="V204" s="40"/>
      <c r="W204" s="40"/>
      <c r="X204" s="40"/>
      <c r="Y204" s="40"/>
      <c r="Z204" s="40"/>
      <c r="AA204" s="40"/>
      <c r="AB204" s="40"/>
      <c r="AC204" s="40"/>
      <c r="AD204" s="40"/>
      <c r="AE204" s="40"/>
      <c r="AF204" s="40"/>
      <c r="AG204" s="40"/>
      <c r="AH204" s="40"/>
      <c r="AI204" s="40"/>
      <c r="AJ204" s="40"/>
      <c r="AK204" s="40"/>
      <c r="AL204" s="40"/>
      <c r="AM204" s="40"/>
      <c r="AN204" s="40"/>
      <c r="AO204" s="40"/>
      <c r="AP204" s="40"/>
      <c r="AQ204" s="40"/>
    </row>
    <row r="205" spans="1:43" customFormat="1" ht="18" customHeight="1">
      <c r="A205" s="74"/>
      <c r="B205" s="2187" t="s">
        <v>536</v>
      </c>
      <c r="C205" s="1345"/>
      <c r="D205" s="1345"/>
      <c r="E205" s="1345"/>
      <c r="F205" s="1345"/>
      <c r="G205" s="1345"/>
      <c r="H205" s="1346"/>
      <c r="I205" s="1287">
        <f>I33</f>
        <v>0</v>
      </c>
      <c r="J205" s="1288">
        <f>J33</f>
        <v>0</v>
      </c>
      <c r="K205" s="1288">
        <f>K33</f>
        <v>0</v>
      </c>
      <c r="L205" s="1288">
        <f>L33</f>
        <v>0</v>
      </c>
      <c r="M205" s="1288">
        <f>M33</f>
        <v>0</v>
      </c>
      <c r="N205" s="1294">
        <f>M205+N206-N207</f>
        <v>0</v>
      </c>
      <c r="O205" s="1294">
        <f>N205+O206-O207</f>
        <v>0</v>
      </c>
      <c r="P205" s="1294">
        <f>O205+P206-P207</f>
        <v>0</v>
      </c>
      <c r="Q205" s="1294">
        <f>P205+Q206-Q207</f>
        <v>0</v>
      </c>
      <c r="R205" s="2422">
        <f>Q205+R206-R207</f>
        <v>0</v>
      </c>
      <c r="S205" s="2418"/>
      <c r="T205" s="40"/>
      <c r="U205" s="40"/>
      <c r="V205" s="40"/>
      <c r="W205" s="40"/>
      <c r="X205" s="40"/>
      <c r="Y205" s="40"/>
      <c r="Z205" s="40"/>
      <c r="AA205" s="40"/>
      <c r="AB205" s="40"/>
      <c r="AC205" s="40"/>
      <c r="AD205" s="40"/>
      <c r="AE205" s="40"/>
      <c r="AF205" s="40"/>
      <c r="AG205" s="40"/>
      <c r="AH205" s="40"/>
      <c r="AI205" s="40"/>
      <c r="AJ205" s="40"/>
      <c r="AK205" s="40"/>
      <c r="AL205" s="40"/>
      <c r="AM205" s="40"/>
      <c r="AN205" s="40"/>
      <c r="AO205" s="40"/>
      <c r="AP205" s="40"/>
      <c r="AQ205" s="40"/>
    </row>
    <row r="206" spans="1:43" customFormat="1" ht="18" customHeight="1">
      <c r="A206" s="74"/>
      <c r="B206" s="2186" t="s">
        <v>565</v>
      </c>
      <c r="C206" s="1331">
        <v>102</v>
      </c>
      <c r="D206" s="1331">
        <v>7</v>
      </c>
      <c r="E206" s="1331">
        <v>7</v>
      </c>
      <c r="F206" s="1331"/>
      <c r="G206" s="1331"/>
      <c r="H206" s="1327">
        <f>N206</f>
        <v>0</v>
      </c>
      <c r="I206" s="1310">
        <v>0</v>
      </c>
      <c r="J206" s="1311">
        <v>0</v>
      </c>
      <c r="K206" s="1311">
        <v>0</v>
      </c>
      <c r="L206" s="1311">
        <v>0</v>
      </c>
      <c r="M206" s="1311">
        <v>0</v>
      </c>
      <c r="N206" s="1885">
        <f>0</f>
        <v>0</v>
      </c>
      <c r="O206" s="1885">
        <f>0</f>
        <v>0</v>
      </c>
      <c r="P206" s="1885">
        <f>0</f>
        <v>0</v>
      </c>
      <c r="Q206" s="1885">
        <f>0</f>
        <v>0</v>
      </c>
      <c r="R206" s="2414">
        <f>0</f>
        <v>0</v>
      </c>
      <c r="S206" s="2418"/>
      <c r="T206" s="40"/>
      <c r="U206" s="40"/>
      <c r="V206" s="40"/>
      <c r="W206" s="40"/>
      <c r="X206" s="40"/>
      <c r="Y206" s="40"/>
      <c r="Z206" s="40"/>
      <c r="AA206" s="40"/>
      <c r="AB206" s="40"/>
      <c r="AC206" s="40"/>
      <c r="AD206" s="40"/>
      <c r="AE206" s="40"/>
      <c r="AF206" s="40"/>
      <c r="AG206" s="40"/>
      <c r="AH206" s="40"/>
      <c r="AI206" s="40"/>
      <c r="AJ206" s="40"/>
      <c r="AK206" s="40"/>
      <c r="AL206" s="40"/>
      <c r="AM206" s="40"/>
      <c r="AN206" s="40"/>
      <c r="AO206" s="40"/>
      <c r="AP206" s="40"/>
      <c r="AQ206" s="40"/>
    </row>
    <row r="207" spans="1:43" customFormat="1" ht="18" customHeight="1">
      <c r="A207" s="74"/>
      <c r="B207" s="2186" t="s">
        <v>589</v>
      </c>
      <c r="C207" s="1331">
        <v>102</v>
      </c>
      <c r="D207" s="1331">
        <v>7</v>
      </c>
      <c r="E207" s="1331">
        <v>7</v>
      </c>
      <c r="F207" s="1331"/>
      <c r="G207" s="1331"/>
      <c r="H207" s="1327">
        <f>N207</f>
        <v>0</v>
      </c>
      <c r="I207" s="1310">
        <v>0</v>
      </c>
      <c r="J207" s="1311">
        <v>0</v>
      </c>
      <c r="K207" s="1311">
        <v>0</v>
      </c>
      <c r="L207" s="1311">
        <v>0</v>
      </c>
      <c r="M207" s="1311">
        <v>0</v>
      </c>
      <c r="N207" s="1885">
        <f>0</f>
        <v>0</v>
      </c>
      <c r="O207" s="1885">
        <f>0</f>
        <v>0</v>
      </c>
      <c r="P207" s="1885">
        <f>0</f>
        <v>0</v>
      </c>
      <c r="Q207" s="1885">
        <f>0</f>
        <v>0</v>
      </c>
      <c r="R207" s="2414">
        <f>0</f>
        <v>0</v>
      </c>
      <c r="S207" s="2418"/>
      <c r="T207" s="40"/>
      <c r="U207" s="40"/>
      <c r="V207" s="40"/>
      <c r="W207" s="40"/>
      <c r="X207" s="40"/>
      <c r="Y207" s="40"/>
      <c r="Z207" s="40"/>
      <c r="AA207" s="40"/>
      <c r="AB207" s="40"/>
      <c r="AC207" s="40"/>
      <c r="AD207" s="40"/>
      <c r="AE207" s="40"/>
      <c r="AF207" s="40"/>
      <c r="AG207" s="40"/>
      <c r="AH207" s="40"/>
      <c r="AI207" s="40"/>
      <c r="AJ207" s="40"/>
      <c r="AK207" s="40"/>
      <c r="AL207" s="40"/>
      <c r="AM207" s="40"/>
      <c r="AN207" s="40"/>
      <c r="AO207" s="40"/>
      <c r="AP207" s="40"/>
      <c r="AQ207" s="40"/>
    </row>
    <row r="208" spans="1:43" customFormat="1" ht="18" customHeight="1">
      <c r="A208" s="74"/>
      <c r="B208" s="1765"/>
      <c r="C208" s="1347"/>
      <c r="D208" s="1347"/>
      <c r="E208" s="1347"/>
      <c r="F208" s="1347"/>
      <c r="G208" s="1347"/>
      <c r="H208" s="1348"/>
      <c r="I208" s="1298"/>
      <c r="J208" s="1217"/>
      <c r="K208" s="1217"/>
      <c r="L208" s="1217"/>
      <c r="M208" s="1217"/>
      <c r="N208" s="1217"/>
      <c r="O208" s="1217"/>
      <c r="P208" s="1217"/>
      <c r="Q208" s="1217"/>
      <c r="R208" s="2412"/>
      <c r="S208" s="2418"/>
      <c r="T208" s="40"/>
      <c r="U208" s="40"/>
      <c r="V208" s="40"/>
      <c r="W208" s="40"/>
      <c r="X208" s="40"/>
      <c r="Y208" s="40"/>
      <c r="Z208" s="40"/>
      <c r="AA208" s="40"/>
      <c r="AB208" s="40"/>
      <c r="AC208" s="40"/>
      <c r="AD208" s="40"/>
      <c r="AE208" s="40"/>
      <c r="AF208" s="40"/>
      <c r="AG208" s="40"/>
      <c r="AH208" s="40"/>
      <c r="AI208" s="40"/>
      <c r="AJ208" s="40"/>
      <c r="AK208" s="40"/>
      <c r="AL208" s="40"/>
      <c r="AM208" s="40"/>
      <c r="AN208" s="40"/>
      <c r="AO208" s="40"/>
      <c r="AP208" s="40"/>
      <c r="AQ208" s="40"/>
    </row>
    <row r="209" spans="1:43" customFormat="1" ht="18" customHeight="1">
      <c r="A209" s="74"/>
      <c r="B209" s="1765" t="s">
        <v>278</v>
      </c>
      <c r="C209" s="1231">
        <v>102</v>
      </c>
      <c r="D209" s="1231">
        <v>6</v>
      </c>
      <c r="E209" s="1231">
        <v>6</v>
      </c>
      <c r="F209" s="1231"/>
      <c r="G209" s="1231"/>
      <c r="H209" s="1232">
        <f>N209</f>
        <v>0.34623199999999998</v>
      </c>
      <c r="I209" s="1287">
        <f t="shared" ref="I209:M211" si="79">I34</f>
        <v>1.4592001799999998</v>
      </c>
      <c r="J209" s="1288">
        <f t="shared" si="79"/>
        <v>1.70606024</v>
      </c>
      <c r="K209" s="1288">
        <f t="shared" si="79"/>
        <v>0.21440000000000001</v>
      </c>
      <c r="L209" s="1288">
        <f t="shared" si="79"/>
        <v>0.20480000000000001</v>
      </c>
      <c r="M209" s="1288">
        <f t="shared" si="79"/>
        <v>0.34623199999999998</v>
      </c>
      <c r="N209" s="1885">
        <f>M209</f>
        <v>0.34623199999999998</v>
      </c>
      <c r="O209" s="1885">
        <f t="shared" ref="O209:R209" si="80">N209</f>
        <v>0.34623199999999998</v>
      </c>
      <c r="P209" s="1885">
        <f t="shared" si="80"/>
        <v>0.34623199999999998</v>
      </c>
      <c r="Q209" s="1885">
        <f t="shared" si="80"/>
        <v>0.34623199999999998</v>
      </c>
      <c r="R209" s="2414">
        <f t="shared" si="80"/>
        <v>0.34623199999999998</v>
      </c>
      <c r="S209" s="2418"/>
      <c r="T209" s="40"/>
      <c r="U209" s="40"/>
      <c r="V209" s="40"/>
      <c r="W209" s="40"/>
      <c r="X209" s="40"/>
      <c r="Y209" s="40"/>
      <c r="Z209" s="40"/>
      <c r="AA209" s="40"/>
      <c r="AB209" s="40"/>
      <c r="AC209" s="40"/>
      <c r="AD209" s="40"/>
      <c r="AE209" s="40"/>
      <c r="AF209" s="40"/>
      <c r="AG209" s="40"/>
      <c r="AH209" s="40"/>
      <c r="AI209" s="40"/>
      <c r="AJ209" s="40"/>
      <c r="AK209" s="40"/>
      <c r="AL209" s="40"/>
      <c r="AM209" s="40"/>
      <c r="AN209" s="40"/>
      <c r="AO209" s="40"/>
      <c r="AP209" s="40"/>
      <c r="AQ209" s="40"/>
    </row>
    <row r="210" spans="1:43" customFormat="1" ht="18" customHeight="1">
      <c r="A210" s="74"/>
      <c r="B210" s="1765" t="s">
        <v>280</v>
      </c>
      <c r="C210" s="1231">
        <v>102</v>
      </c>
      <c r="D210" s="1231">
        <v>6</v>
      </c>
      <c r="E210" s="1231">
        <v>6</v>
      </c>
      <c r="F210" s="1231"/>
      <c r="G210" s="1231"/>
      <c r="H210" s="1232">
        <f>N210</f>
        <v>41.033468759999998</v>
      </c>
      <c r="I210" s="1287">
        <f t="shared" si="79"/>
        <v>52.646084479999999</v>
      </c>
      <c r="J210" s="1288">
        <f t="shared" si="79"/>
        <v>47.431610499999998</v>
      </c>
      <c r="K210" s="1288">
        <f t="shared" si="79"/>
        <v>43.395113119999998</v>
      </c>
      <c r="L210" s="1288">
        <f t="shared" si="79"/>
        <v>57.691854509999999</v>
      </c>
      <c r="M210" s="1288">
        <f t="shared" si="79"/>
        <v>41.033468759999998</v>
      </c>
      <c r="N210" s="1885">
        <f>M210</f>
        <v>41.033468759999998</v>
      </c>
      <c r="O210" s="1885">
        <f t="shared" ref="O210:R210" si="81">N210</f>
        <v>41.033468759999998</v>
      </c>
      <c r="P210" s="1885">
        <f t="shared" si="81"/>
        <v>41.033468759999998</v>
      </c>
      <c r="Q210" s="1885">
        <f t="shared" si="81"/>
        <v>41.033468759999998</v>
      </c>
      <c r="R210" s="2414">
        <f t="shared" si="81"/>
        <v>41.033468759999998</v>
      </c>
      <c r="S210" s="2418"/>
      <c r="T210" s="40"/>
      <c r="U210" s="40"/>
      <c r="V210" s="40"/>
      <c r="W210" s="40"/>
      <c r="X210" s="40"/>
      <c r="Y210" s="40"/>
      <c r="Z210" s="40"/>
      <c r="AA210" s="40"/>
      <c r="AB210" s="40"/>
      <c r="AC210" s="40"/>
      <c r="AD210" s="40"/>
      <c r="AE210" s="40"/>
      <c r="AF210" s="40"/>
      <c r="AG210" s="40"/>
      <c r="AH210" s="40"/>
      <c r="AI210" s="40"/>
      <c r="AJ210" s="40"/>
      <c r="AK210" s="40"/>
      <c r="AL210" s="40"/>
      <c r="AM210" s="40"/>
      <c r="AN210" s="40"/>
      <c r="AO210" s="40"/>
      <c r="AP210" s="40"/>
      <c r="AQ210" s="40"/>
    </row>
    <row r="211" spans="1:43" customFormat="1" ht="18" customHeight="1">
      <c r="A211" s="74"/>
      <c r="B211" s="1765" t="s">
        <v>282</v>
      </c>
      <c r="C211" s="1231">
        <v>102</v>
      </c>
      <c r="D211" s="1231">
        <v>6</v>
      </c>
      <c r="E211" s="1231">
        <v>6</v>
      </c>
      <c r="F211" s="1231"/>
      <c r="G211" s="1231"/>
      <c r="H211" s="1232">
        <f>N211</f>
        <v>11.921826429999999</v>
      </c>
      <c r="I211" s="1287">
        <f t="shared" si="79"/>
        <v>16.214799899999999</v>
      </c>
      <c r="J211" s="1288">
        <f t="shared" si="79"/>
        <v>8.9241661999999984</v>
      </c>
      <c r="K211" s="1288">
        <f t="shared" si="79"/>
        <v>6.0463205999999996</v>
      </c>
      <c r="L211" s="1288">
        <f t="shared" si="79"/>
        <v>4.2368642699999999</v>
      </c>
      <c r="M211" s="1288">
        <f t="shared" si="79"/>
        <v>11.921826429999999</v>
      </c>
      <c r="N211" s="1885">
        <f>M211</f>
        <v>11.921826429999999</v>
      </c>
      <c r="O211" s="1885">
        <f t="shared" ref="O211:R211" si="82">N211</f>
        <v>11.921826429999999</v>
      </c>
      <c r="P211" s="1885">
        <f t="shared" si="82"/>
        <v>11.921826429999999</v>
      </c>
      <c r="Q211" s="1885">
        <f t="shared" si="82"/>
        <v>11.921826429999999</v>
      </c>
      <c r="R211" s="2414">
        <f t="shared" si="82"/>
        <v>11.921826429999999</v>
      </c>
      <c r="S211" s="2418"/>
      <c r="T211" s="40"/>
      <c r="U211" s="40"/>
      <c r="V211" s="40"/>
      <c r="W211" s="40"/>
      <c r="X211" s="40"/>
      <c r="Y211" s="40"/>
      <c r="Z211" s="40"/>
      <c r="AA211" s="40"/>
      <c r="AB211" s="40"/>
      <c r="AC211" s="40"/>
      <c r="AD211" s="40"/>
      <c r="AE211" s="40"/>
      <c r="AF211" s="40"/>
      <c r="AG211" s="40"/>
      <c r="AH211" s="40"/>
      <c r="AI211" s="40"/>
      <c r="AJ211" s="40"/>
      <c r="AK211" s="40"/>
      <c r="AL211" s="40"/>
      <c r="AM211" s="40"/>
      <c r="AN211" s="40"/>
      <c r="AO211" s="40"/>
      <c r="AP211" s="40"/>
      <c r="AQ211" s="40"/>
    </row>
    <row r="212" spans="1:43" customFormat="1" ht="19.5" customHeight="1">
      <c r="A212" s="74"/>
      <c r="B212" s="1765"/>
      <c r="C212" s="1231"/>
      <c r="D212" s="1231"/>
      <c r="E212" s="1231"/>
      <c r="F212" s="1231"/>
      <c r="G212" s="1231"/>
      <c r="H212" s="1232"/>
      <c r="I212" s="1298"/>
      <c r="J212" s="1217"/>
      <c r="K212" s="1217"/>
      <c r="L212" s="1217"/>
      <c r="M212" s="1217"/>
      <c r="N212" s="1217"/>
      <c r="O212" s="1217"/>
      <c r="P212" s="1217"/>
      <c r="Q212" s="1217"/>
      <c r="R212" s="2412"/>
      <c r="S212" s="2418"/>
      <c r="T212" s="40"/>
      <c r="U212" s="40"/>
      <c r="V212" s="40"/>
      <c r="W212" s="40"/>
      <c r="X212" s="40"/>
      <c r="Y212" s="40"/>
      <c r="Z212" s="40"/>
      <c r="AA212" s="40"/>
      <c r="AB212" s="40"/>
      <c r="AC212" s="40"/>
      <c r="AD212" s="40"/>
      <c r="AE212" s="40"/>
      <c r="AF212" s="40"/>
      <c r="AG212" s="40"/>
      <c r="AH212" s="40"/>
      <c r="AI212" s="40"/>
      <c r="AJ212" s="40"/>
      <c r="AK212" s="40"/>
      <c r="AL212" s="40"/>
      <c r="AM212" s="40"/>
      <c r="AN212" s="40"/>
      <c r="AO212" s="40"/>
      <c r="AP212" s="40"/>
      <c r="AQ212" s="40"/>
    </row>
    <row r="213" spans="1:43" customFormat="1" ht="15.75" customHeight="1">
      <c r="A213" s="240"/>
      <c r="B213" s="1766" t="s">
        <v>1589</v>
      </c>
      <c r="C213" s="1231">
        <v>102</v>
      </c>
      <c r="D213" s="1231">
        <v>6</v>
      </c>
      <c r="E213" s="1231">
        <v>6</v>
      </c>
      <c r="F213" s="1231"/>
      <c r="G213" s="1231"/>
      <c r="H213" s="1232">
        <f>N213</f>
        <v>0</v>
      </c>
      <c r="I213" s="1287">
        <f>I37</f>
        <v>0</v>
      </c>
      <c r="J213" s="1287">
        <f>J37</f>
        <v>0</v>
      </c>
      <c r="K213" s="1287">
        <f>K37</f>
        <v>0</v>
      </c>
      <c r="L213" s="1287">
        <f>L37</f>
        <v>0</v>
      </c>
      <c r="M213" s="1287">
        <f>M37</f>
        <v>0</v>
      </c>
      <c r="N213" s="1885">
        <f>M213</f>
        <v>0</v>
      </c>
      <c r="O213" s="1885">
        <f t="shared" ref="O213:R213" si="83">N213</f>
        <v>0</v>
      </c>
      <c r="P213" s="1885">
        <f t="shared" si="83"/>
        <v>0</v>
      </c>
      <c r="Q213" s="1885">
        <f t="shared" si="83"/>
        <v>0</v>
      </c>
      <c r="R213" s="2414">
        <f t="shared" si="83"/>
        <v>0</v>
      </c>
      <c r="S213" s="2418"/>
      <c r="T213" s="40"/>
      <c r="U213" s="40"/>
      <c r="V213" s="40"/>
      <c r="W213" s="40"/>
      <c r="X213" s="40"/>
      <c r="Y213" s="40"/>
      <c r="Z213" s="40"/>
      <c r="AA213" s="40"/>
      <c r="AB213" s="40"/>
      <c r="AC213" s="40"/>
      <c r="AD213" s="40"/>
      <c r="AE213" s="40"/>
      <c r="AF213" s="40"/>
      <c r="AG213" s="40"/>
      <c r="AH213" s="40"/>
      <c r="AI213" s="40"/>
      <c r="AJ213" s="40"/>
      <c r="AK213" s="40"/>
      <c r="AL213" s="40"/>
      <c r="AM213" s="40"/>
      <c r="AN213" s="40"/>
      <c r="AO213" s="40"/>
      <c r="AP213" s="40"/>
      <c r="AQ213" s="40"/>
    </row>
    <row r="214" spans="1:43" customFormat="1" ht="18" customHeight="1">
      <c r="A214" s="74"/>
      <c r="B214" s="1765"/>
      <c r="C214" s="1231"/>
      <c r="D214" s="1231"/>
      <c r="E214" s="1231"/>
      <c r="F214" s="1231"/>
      <c r="G214" s="1231"/>
      <c r="H214" s="1232"/>
      <c r="I214" s="1298"/>
      <c r="J214" s="1217"/>
      <c r="K214" s="1217"/>
      <c r="L214" s="1217"/>
      <c r="M214" s="1217"/>
      <c r="N214" s="1217"/>
      <c r="O214" s="1217"/>
      <c r="P214" s="1217"/>
      <c r="Q214" s="1217"/>
      <c r="R214" s="2412"/>
      <c r="S214" s="2418"/>
      <c r="T214" s="40"/>
      <c r="U214" s="40"/>
      <c r="V214" s="40"/>
      <c r="W214" s="40"/>
      <c r="X214" s="40"/>
      <c r="Y214" s="40"/>
      <c r="Z214" s="40"/>
      <c r="AA214" s="40"/>
      <c r="AB214" s="40"/>
      <c r="AC214" s="40"/>
      <c r="AD214" s="40"/>
      <c r="AE214" s="40"/>
      <c r="AF214" s="40"/>
      <c r="AG214" s="40"/>
      <c r="AH214" s="40"/>
      <c r="AI214" s="40"/>
      <c r="AJ214" s="40"/>
      <c r="AK214" s="40"/>
      <c r="AL214" s="40"/>
      <c r="AM214" s="40"/>
      <c r="AN214" s="40"/>
      <c r="AO214" s="40"/>
      <c r="AP214" s="40"/>
      <c r="AQ214" s="40"/>
    </row>
    <row r="215" spans="1:43" customFormat="1" ht="18" customHeight="1">
      <c r="A215" s="74"/>
      <c r="B215" s="1765" t="s">
        <v>537</v>
      </c>
      <c r="C215" s="1231"/>
      <c r="D215" s="1231"/>
      <c r="E215" s="1231"/>
      <c r="F215" s="1231"/>
      <c r="G215" s="1231"/>
      <c r="H215" s="1232"/>
      <c r="I215" s="1288">
        <f>I142+I146+I150+I151+I152+I154+I161+I162+I164+I169+I188+I192+I209+I210+I211+I213</f>
        <v>701.01720406000015</v>
      </c>
      <c r="J215" s="1288">
        <f t="shared" ref="J215:M215" si="84">J142+J146+J150+J151+J152+J154+J161+J162+J164+J169+J188+J192+J209+J210+J211+J213</f>
        <v>977.66095072999997</v>
      </c>
      <c r="K215" s="1288">
        <f t="shared" si="84"/>
        <v>1182.1173597799998</v>
      </c>
      <c r="L215" s="1288">
        <f t="shared" si="84"/>
        <v>1441.9514763600002</v>
      </c>
      <c r="M215" s="1288">
        <f t="shared" si="84"/>
        <v>1560.4836429500001</v>
      </c>
      <c r="N215" s="1217">
        <f>N142+N146+N150+N151+N152+N154+N161+N162+N164+N169+N188+N192+N209+N210+N211+N213</f>
        <v>1488.2589334006668</v>
      </c>
      <c r="O215" s="1217">
        <f t="shared" ref="O215:R215" si="85">O142+O146+O150+O151+O152+O154+O161+O162+O164+O169+O188+O192+O209+O210+O211+O213</f>
        <v>1416.0342238513333</v>
      </c>
      <c r="P215" s="1217">
        <f t="shared" si="85"/>
        <v>1343.809514302</v>
      </c>
      <c r="Q215" s="1217">
        <f t="shared" si="85"/>
        <v>1271.5848047526667</v>
      </c>
      <c r="R215" s="2412">
        <f t="shared" si="85"/>
        <v>1199.3600952033332</v>
      </c>
      <c r="S215" s="2418"/>
      <c r="T215" s="40"/>
      <c r="U215" s="40"/>
      <c r="V215" s="40"/>
      <c r="W215" s="40"/>
      <c r="X215" s="40"/>
      <c r="Y215" s="40"/>
      <c r="Z215" s="40"/>
      <c r="AA215" s="40"/>
      <c r="AB215" s="40"/>
      <c r="AC215" s="40"/>
      <c r="AD215" s="40"/>
      <c r="AE215" s="40"/>
      <c r="AF215" s="40"/>
      <c r="AG215" s="40"/>
      <c r="AH215" s="40"/>
      <c r="AI215" s="40"/>
      <c r="AJ215" s="40"/>
      <c r="AK215" s="40"/>
      <c r="AL215" s="40"/>
      <c r="AM215" s="40"/>
      <c r="AN215" s="40"/>
      <c r="AO215" s="40"/>
      <c r="AP215" s="40"/>
      <c r="AQ215" s="40"/>
    </row>
    <row r="216" spans="1:43" customFormat="1" ht="18" customHeight="1" thickBot="1">
      <c r="A216" s="74"/>
      <c r="B216" s="2190" t="s">
        <v>590</v>
      </c>
      <c r="C216" s="1349"/>
      <c r="D216" s="1349"/>
      <c r="E216" s="1349"/>
      <c r="F216" s="1349"/>
      <c r="G216" s="1349"/>
      <c r="H216" s="1350"/>
      <c r="I216" s="1351">
        <f t="shared" ref="I216:R216" si="86">I140+I215</f>
        <v>4834.9870182300001</v>
      </c>
      <c r="J216" s="1351">
        <f t="shared" si="86"/>
        <v>5496.5166037099998</v>
      </c>
      <c r="K216" s="1351">
        <f t="shared" si="86"/>
        <v>5703.3649209000005</v>
      </c>
      <c r="L216" s="1351">
        <f t="shared" si="86"/>
        <v>6455.91779666</v>
      </c>
      <c r="M216" s="1351">
        <f t="shared" si="86"/>
        <v>8305.1069416199989</v>
      </c>
      <c r="N216" s="1352">
        <f t="shared" ca="1" si="86"/>
        <v>7101.58401817294</v>
      </c>
      <c r="O216" s="1352">
        <f t="shared" ca="1" si="86"/>
        <v>7845.5800320261105</v>
      </c>
      <c r="P216" s="1352">
        <f t="shared" ca="1" si="86"/>
        <v>8466.209190227255</v>
      </c>
      <c r="Q216" s="1352">
        <f t="shared" ca="1" si="86"/>
        <v>9010.8195876374521</v>
      </c>
      <c r="R216" s="2432">
        <f t="shared" ca="1" si="86"/>
        <v>9647.7652225836009</v>
      </c>
      <c r="S216" s="2418"/>
      <c r="T216" s="40"/>
      <c r="U216" s="40"/>
      <c r="V216" s="40"/>
      <c r="W216" s="40"/>
      <c r="X216" s="40"/>
      <c r="Y216" s="40"/>
      <c r="Z216" s="40"/>
      <c r="AA216" s="40"/>
      <c r="AB216" s="40"/>
      <c r="AC216" s="40"/>
      <c r="AD216" s="40"/>
      <c r="AE216" s="40"/>
      <c r="AF216" s="40"/>
      <c r="AG216" s="40"/>
      <c r="AH216" s="40"/>
      <c r="AI216" s="40"/>
      <c r="AJ216" s="40"/>
      <c r="AK216" s="40"/>
      <c r="AL216" s="40"/>
      <c r="AM216" s="40"/>
      <c r="AN216" s="40"/>
      <c r="AO216" s="40"/>
      <c r="AP216" s="40"/>
      <c r="AQ216" s="40"/>
    </row>
    <row r="217" spans="1:43" customFormat="1" ht="18" customHeight="1" thickBot="1">
      <c r="A217" s="75"/>
      <c r="B217" s="1354"/>
      <c r="C217" s="1355"/>
      <c r="D217" s="1355"/>
      <c r="E217" s="1355"/>
      <c r="F217" s="1355"/>
      <c r="G217" s="1355"/>
      <c r="H217" s="1355"/>
      <c r="I217" s="1356"/>
      <c r="J217" s="1356"/>
      <c r="K217" s="1356"/>
      <c r="L217" s="1356"/>
      <c r="M217" s="1356"/>
      <c r="N217" s="1356"/>
      <c r="O217" s="1356"/>
      <c r="P217" s="1356"/>
      <c r="Q217" s="1356"/>
      <c r="R217" s="1357"/>
      <c r="S217" s="40"/>
      <c r="T217" s="40"/>
      <c r="U217" s="40"/>
      <c r="V217" s="40"/>
      <c r="W217" s="40"/>
      <c r="X217" s="40"/>
      <c r="Y217" s="40"/>
      <c r="Z217" s="40"/>
      <c r="AA217" s="40"/>
      <c r="AB217" s="40"/>
      <c r="AC217" s="40"/>
      <c r="AD217" s="40"/>
      <c r="AE217" s="40"/>
      <c r="AF217" s="40"/>
      <c r="AG217" s="40"/>
      <c r="AH217" s="40"/>
      <c r="AI217" s="40"/>
      <c r="AJ217" s="40"/>
      <c r="AK217" s="40"/>
      <c r="AL217" s="40"/>
      <c r="AM217" s="40"/>
      <c r="AN217" s="40"/>
      <c r="AO217" s="40"/>
      <c r="AP217" s="40"/>
      <c r="AQ217" s="40"/>
    </row>
    <row r="218" spans="1:43" customFormat="1" ht="18" customHeight="1">
      <c r="A218" s="77"/>
      <c r="B218" s="264" t="s">
        <v>591</v>
      </c>
      <c r="C218" s="1279"/>
      <c r="D218" s="1279"/>
      <c r="E218" s="1279"/>
      <c r="F218" s="1279"/>
      <c r="G218" s="1279"/>
      <c r="H218" s="1279"/>
      <c r="I218" s="1358"/>
      <c r="J218" s="1358"/>
      <c r="K218" s="1358"/>
      <c r="L218" s="1358"/>
      <c r="M218" s="1358"/>
      <c r="N218" s="1358">
        <f>M219+1</f>
        <v>2020</v>
      </c>
      <c r="O218" s="1358">
        <f>N218+1</f>
        <v>2021</v>
      </c>
      <c r="P218" s="1358">
        <f>O218+1</f>
        <v>2022</v>
      </c>
      <c r="Q218" s="1359"/>
      <c r="R218" s="1359"/>
      <c r="S218" s="2418"/>
      <c r="T218" s="40"/>
      <c r="U218" s="40"/>
      <c r="V218" s="40"/>
      <c r="W218" s="40"/>
      <c r="X218" s="40"/>
      <c r="Y218" s="40"/>
      <c r="Z218" s="40"/>
      <c r="AA218" s="40"/>
      <c r="AB218" s="40"/>
      <c r="AC218" s="40"/>
      <c r="AD218" s="40"/>
      <c r="AE218" s="40"/>
      <c r="AF218" s="40"/>
      <c r="AG218" s="40"/>
      <c r="AH218" s="40"/>
      <c r="AI218" s="40"/>
      <c r="AJ218" s="40"/>
      <c r="AK218" s="40"/>
      <c r="AL218" s="40"/>
      <c r="AM218" s="40"/>
      <c r="AN218" s="40"/>
      <c r="AO218" s="40"/>
      <c r="AP218" s="40"/>
      <c r="AQ218" s="40"/>
    </row>
    <row r="219" spans="1:43" customFormat="1" ht="18" customHeight="1">
      <c r="A219" s="68"/>
      <c r="B219" s="919"/>
      <c r="C219" s="1361"/>
      <c r="D219" s="1361"/>
      <c r="E219" s="1361"/>
      <c r="F219" s="1361"/>
      <c r="G219" s="1361"/>
      <c r="H219" s="1362"/>
      <c r="I219" s="1363">
        <f>利润表!I3</f>
        <v>2015</v>
      </c>
      <c r="J219" s="1364">
        <f>利润表!J3</f>
        <v>2016</v>
      </c>
      <c r="K219" s="1364">
        <f>利润表!K3</f>
        <v>2017</v>
      </c>
      <c r="L219" s="1364">
        <f>利润表!L3</f>
        <v>2018</v>
      </c>
      <c r="M219" s="1364">
        <f>利润表!M3</f>
        <v>2019</v>
      </c>
      <c r="N219" s="1364" t="str">
        <f>利润表!N3</f>
        <v>2020E</v>
      </c>
      <c r="O219" s="1364" t="str">
        <f>利润表!O3</f>
        <v>2021E</v>
      </c>
      <c r="P219" s="1364" t="str">
        <f>利润表!P3</f>
        <v>2022E</v>
      </c>
      <c r="Q219" s="1364" t="str">
        <f>利润表!Q3</f>
        <v>2023E</v>
      </c>
      <c r="R219" s="2433" t="str">
        <f>利润表!R3</f>
        <v>2024E</v>
      </c>
      <c r="S219" s="2418"/>
      <c r="T219" s="40"/>
      <c r="U219" s="40"/>
      <c r="V219" s="40"/>
      <c r="W219" s="40"/>
      <c r="X219" s="40"/>
      <c r="Y219" s="40"/>
      <c r="Z219" s="40"/>
      <c r="AA219" s="40"/>
      <c r="AB219" s="40"/>
      <c r="AC219" s="40"/>
      <c r="AD219" s="40"/>
      <c r="AE219" s="40"/>
      <c r="AF219" s="40"/>
      <c r="AG219" s="40"/>
      <c r="AH219" s="40"/>
      <c r="AI219" s="40"/>
      <c r="AJ219" s="40"/>
      <c r="AK219" s="40"/>
      <c r="AL219" s="40"/>
      <c r="AM219" s="40"/>
      <c r="AN219" s="40"/>
      <c r="AO219" s="40"/>
      <c r="AP219" s="40"/>
      <c r="AQ219" s="40"/>
    </row>
    <row r="220" spans="1:43" customFormat="1" ht="18" customHeight="1">
      <c r="A220" s="67"/>
      <c r="B220" s="2175" t="s">
        <v>592</v>
      </c>
      <c r="C220" s="1325"/>
      <c r="D220" s="1325"/>
      <c r="E220" s="1325"/>
      <c r="F220" s="1325"/>
      <c r="G220" s="1325"/>
      <c r="H220" s="1326"/>
      <c r="I220" s="1287">
        <f t="shared" ref="I220:M222" si="87">I41</f>
        <v>0</v>
      </c>
      <c r="J220" s="1288">
        <f t="shared" si="87"/>
        <v>0</v>
      </c>
      <c r="K220" s="1288">
        <f t="shared" si="87"/>
        <v>0</v>
      </c>
      <c r="L220" s="1288">
        <f t="shared" si="87"/>
        <v>15.408259220000001</v>
      </c>
      <c r="M220" s="1288">
        <f t="shared" si="87"/>
        <v>19.904745179999999</v>
      </c>
      <c r="N220" s="1217">
        <f ca="1">现金流量!N70</f>
        <v>406.07146899461708</v>
      </c>
      <c r="O220" s="1217">
        <f ca="1">现金流量!O70</f>
        <v>2792.1473543858401</v>
      </c>
      <c r="P220" s="1217">
        <f ca="1">现金流量!P70</f>
        <v>5045.317770403537</v>
      </c>
      <c r="Q220" s="1217">
        <f ca="1">现金流量!Q70</f>
        <v>7224.5732224116018</v>
      </c>
      <c r="R220" s="2412">
        <f ca="1">现金流量!R70</f>
        <v>9497.94091867524</v>
      </c>
      <c r="S220" s="2418"/>
      <c r="T220" s="40"/>
      <c r="U220" s="40"/>
      <c r="V220" s="40"/>
      <c r="W220" s="40"/>
      <c r="X220" s="40"/>
      <c r="Y220" s="40"/>
      <c r="Z220" s="40"/>
      <c r="AA220" s="40"/>
      <c r="AB220" s="40"/>
      <c r="AC220" s="40"/>
      <c r="AD220" s="40"/>
      <c r="AE220" s="40"/>
      <c r="AF220" s="40"/>
      <c r="AG220" s="40"/>
      <c r="AH220" s="40"/>
      <c r="AI220" s="40"/>
      <c r="AJ220" s="40"/>
      <c r="AK220" s="40"/>
      <c r="AL220" s="40"/>
      <c r="AM220" s="40"/>
      <c r="AN220" s="40"/>
      <c r="AO220" s="40"/>
      <c r="AP220" s="40"/>
      <c r="AQ220" s="40"/>
    </row>
    <row r="221" spans="1:43" customFormat="1" ht="18" customHeight="1">
      <c r="A221" s="67"/>
      <c r="B221" s="1769" t="s">
        <v>1082</v>
      </c>
      <c r="C221" s="1343">
        <v>102</v>
      </c>
      <c r="D221" s="1343">
        <v>6</v>
      </c>
      <c r="E221" s="1343">
        <v>6</v>
      </c>
      <c r="F221" s="1343"/>
      <c r="G221" s="1343"/>
      <c r="H221" s="1327">
        <f>N221</f>
        <v>19.904745179999999</v>
      </c>
      <c r="I221" s="1287">
        <f t="shared" si="87"/>
        <v>0</v>
      </c>
      <c r="J221" s="1288">
        <f t="shared" si="87"/>
        <v>0</v>
      </c>
      <c r="K221" s="1288">
        <f t="shared" si="87"/>
        <v>0</v>
      </c>
      <c r="L221" s="1288">
        <f t="shared" si="87"/>
        <v>15.408259220000001</v>
      </c>
      <c r="M221" s="1288">
        <f t="shared" si="87"/>
        <v>19.904745179999999</v>
      </c>
      <c r="N221" s="1885">
        <f>M221</f>
        <v>19.904745179999999</v>
      </c>
      <c r="O221" s="1885">
        <f t="shared" ref="O221:R221" si="88">N221</f>
        <v>19.904745179999999</v>
      </c>
      <c r="P221" s="1885">
        <f t="shared" si="88"/>
        <v>19.904745179999999</v>
      </c>
      <c r="Q221" s="1885">
        <f t="shared" si="88"/>
        <v>19.904745179999999</v>
      </c>
      <c r="R221" s="2414">
        <f t="shared" si="88"/>
        <v>19.904745179999999</v>
      </c>
      <c r="S221" s="2418"/>
      <c r="T221" s="40"/>
      <c r="U221" s="40"/>
      <c r="V221" s="40"/>
      <c r="W221" s="40"/>
      <c r="X221" s="40"/>
      <c r="Y221" s="40"/>
      <c r="Z221" s="40"/>
      <c r="AA221" s="40"/>
      <c r="AB221" s="40"/>
      <c r="AC221" s="40"/>
      <c r="AD221" s="40"/>
      <c r="AE221" s="40"/>
      <c r="AF221" s="40"/>
      <c r="AG221" s="40"/>
      <c r="AH221" s="40"/>
      <c r="AI221" s="40"/>
      <c r="AJ221" s="40"/>
      <c r="AK221" s="40"/>
      <c r="AL221" s="40"/>
      <c r="AM221" s="40"/>
      <c r="AN221" s="40"/>
      <c r="AO221" s="40"/>
      <c r="AP221" s="40"/>
      <c r="AQ221" s="40"/>
    </row>
    <row r="222" spans="1:43" customFormat="1" ht="18" customHeight="1">
      <c r="A222" s="67"/>
      <c r="B222" s="2187" t="s">
        <v>595</v>
      </c>
      <c r="C222" s="1343"/>
      <c r="D222" s="1343"/>
      <c r="E222" s="1343"/>
      <c r="F222" s="1343"/>
      <c r="G222" s="1343"/>
      <c r="H222" s="1327"/>
      <c r="I222" s="1287">
        <f t="shared" si="87"/>
        <v>0</v>
      </c>
      <c r="J222" s="1288">
        <f t="shared" si="87"/>
        <v>0</v>
      </c>
      <c r="K222" s="1288">
        <f t="shared" si="87"/>
        <v>0</v>
      </c>
      <c r="L222" s="1288">
        <f t="shared" si="87"/>
        <v>0</v>
      </c>
      <c r="M222" s="1288">
        <f t="shared" si="87"/>
        <v>0</v>
      </c>
      <c r="N222" s="1294">
        <f>N241</f>
        <v>0</v>
      </c>
      <c r="O222" s="1294">
        <f>O241</f>
        <v>0</v>
      </c>
      <c r="P222" s="1294">
        <f>P241</f>
        <v>0</v>
      </c>
      <c r="Q222" s="1294">
        <f>Q241</f>
        <v>0</v>
      </c>
      <c r="R222" s="2422">
        <f>R241</f>
        <v>0</v>
      </c>
      <c r="S222" s="2418"/>
      <c r="T222" s="40"/>
      <c r="U222" s="40"/>
      <c r="V222" s="40"/>
      <c r="W222" s="40"/>
      <c r="X222" s="40"/>
      <c r="Y222" s="40"/>
      <c r="Z222" s="40"/>
      <c r="AA222" s="40"/>
      <c r="AB222" s="40"/>
      <c r="AC222" s="40"/>
      <c r="AD222" s="40"/>
      <c r="AE222" s="40"/>
      <c r="AF222" s="40"/>
      <c r="AG222" s="40"/>
      <c r="AH222" s="40"/>
      <c r="AI222" s="40"/>
      <c r="AJ222" s="40"/>
      <c r="AK222" s="40"/>
      <c r="AL222" s="40"/>
      <c r="AM222" s="40"/>
      <c r="AN222" s="40"/>
      <c r="AO222" s="40"/>
      <c r="AP222" s="40"/>
      <c r="AQ222" s="40"/>
    </row>
    <row r="223" spans="1:43" customFormat="1" ht="18" customHeight="1">
      <c r="A223" s="68"/>
      <c r="B223" s="919"/>
      <c r="C223" s="1267"/>
      <c r="D223" s="1267"/>
      <c r="E223" s="1267"/>
      <c r="F223" s="1267"/>
      <c r="G223" s="1267"/>
      <c r="H223" s="1268"/>
      <c r="I223" s="1298"/>
      <c r="J223" s="1217"/>
      <c r="K223" s="1217"/>
      <c r="L223" s="1217"/>
      <c r="M223" s="1217"/>
      <c r="N223" s="1217"/>
      <c r="O223" s="1217"/>
      <c r="P223" s="1217"/>
      <c r="Q223" s="1217"/>
      <c r="R223" s="2412"/>
      <c r="S223" s="2418"/>
      <c r="T223" s="40"/>
      <c r="U223" s="40"/>
      <c r="V223" s="40"/>
      <c r="W223" s="40"/>
      <c r="X223" s="40"/>
      <c r="Y223" s="40"/>
      <c r="Z223" s="40"/>
      <c r="AA223" s="40"/>
      <c r="AB223" s="40"/>
      <c r="AC223" s="40"/>
      <c r="AD223" s="40"/>
      <c r="AE223" s="40"/>
      <c r="AF223" s="40"/>
      <c r="AG223" s="40"/>
      <c r="AH223" s="40"/>
      <c r="AI223" s="40"/>
      <c r="AJ223" s="40"/>
      <c r="AK223" s="40"/>
      <c r="AL223" s="40"/>
      <c r="AM223" s="40"/>
      <c r="AN223" s="40"/>
      <c r="AO223" s="40"/>
      <c r="AP223" s="40"/>
      <c r="AQ223" s="40"/>
    </row>
    <row r="224" spans="1:43" customFormat="1" ht="18" customHeight="1">
      <c r="A224" s="67"/>
      <c r="B224" s="2175" t="s">
        <v>285</v>
      </c>
      <c r="C224" s="1233">
        <v>102</v>
      </c>
      <c r="D224" s="1233">
        <v>6</v>
      </c>
      <c r="E224" s="1233">
        <v>6</v>
      </c>
      <c r="F224" s="1233"/>
      <c r="G224" s="1233"/>
      <c r="H224" s="1386">
        <f>N224</f>
        <v>2.34126849</v>
      </c>
      <c r="I224" s="1287">
        <f>I44</f>
        <v>0</v>
      </c>
      <c r="J224" s="1288">
        <f>J44</f>
        <v>0</v>
      </c>
      <c r="K224" s="1288">
        <f>K44</f>
        <v>0</v>
      </c>
      <c r="L224" s="1288">
        <f>L44</f>
        <v>4.7604624800000002</v>
      </c>
      <c r="M224" s="1288">
        <f>M44</f>
        <v>2.34126849</v>
      </c>
      <c r="N224" s="1885">
        <f>M224</f>
        <v>2.34126849</v>
      </c>
      <c r="O224" s="1885">
        <f t="shared" ref="O224:R224" si="89">N224</f>
        <v>2.34126849</v>
      </c>
      <c r="P224" s="1885">
        <f t="shared" si="89"/>
        <v>2.34126849</v>
      </c>
      <c r="Q224" s="1885">
        <f t="shared" si="89"/>
        <v>2.34126849</v>
      </c>
      <c r="R224" s="2414">
        <f t="shared" si="89"/>
        <v>2.34126849</v>
      </c>
      <c r="S224" s="2418"/>
      <c r="T224" s="40"/>
      <c r="U224" s="40"/>
      <c r="V224" s="40"/>
      <c r="W224" s="40"/>
      <c r="X224" s="40"/>
      <c r="Y224" s="40"/>
      <c r="Z224" s="40"/>
      <c r="AA224" s="40"/>
      <c r="AB224" s="40"/>
      <c r="AC224" s="40"/>
      <c r="AD224" s="40"/>
      <c r="AE224" s="40"/>
      <c r="AF224" s="40"/>
      <c r="AG224" s="40"/>
      <c r="AH224" s="40"/>
      <c r="AI224" s="40"/>
      <c r="AJ224" s="40"/>
      <c r="AK224" s="40"/>
      <c r="AL224" s="40"/>
      <c r="AM224" s="40"/>
      <c r="AN224" s="40"/>
      <c r="AO224" s="40"/>
      <c r="AP224" s="40"/>
      <c r="AQ224" s="40"/>
    </row>
    <row r="225" spans="1:43" customFormat="1" ht="18" customHeight="1">
      <c r="A225" s="67"/>
      <c r="B225" s="2175"/>
      <c r="C225" s="1325"/>
      <c r="D225" s="1325"/>
      <c r="E225" s="1325"/>
      <c r="F225" s="1325"/>
      <c r="G225" s="1325"/>
      <c r="H225" s="1326"/>
      <c r="I225" s="1298"/>
      <c r="J225" s="1217"/>
      <c r="K225" s="1217"/>
      <c r="L225" s="1217"/>
      <c r="M225" s="1217"/>
      <c r="N225" s="1217"/>
      <c r="O225" s="1217"/>
      <c r="P225" s="1217"/>
      <c r="Q225" s="1217"/>
      <c r="R225" s="2412"/>
      <c r="S225" s="2418"/>
      <c r="T225" s="40"/>
      <c r="U225" s="40"/>
      <c r="V225" s="40"/>
      <c r="W225" s="40"/>
      <c r="X225" s="40"/>
      <c r="Y225" s="40"/>
      <c r="Z225" s="40"/>
      <c r="AA225" s="40"/>
      <c r="AB225" s="40"/>
      <c r="AC225" s="40"/>
      <c r="AD225" s="40"/>
      <c r="AE225" s="40"/>
      <c r="AF225" s="40"/>
      <c r="AG225" s="40"/>
      <c r="AH225" s="40"/>
      <c r="AI225" s="40"/>
      <c r="AJ225" s="40"/>
      <c r="AK225" s="40"/>
      <c r="AL225" s="40"/>
      <c r="AM225" s="40"/>
      <c r="AN225" s="40"/>
      <c r="AO225" s="40"/>
      <c r="AP225" s="40"/>
      <c r="AQ225" s="40"/>
    </row>
    <row r="226" spans="1:43" customFormat="1" ht="18" customHeight="1">
      <c r="A226" s="67"/>
      <c r="B226" s="2175" t="s">
        <v>287</v>
      </c>
      <c r="C226" s="1325">
        <v>101</v>
      </c>
      <c r="D226" s="1325">
        <v>6</v>
      </c>
      <c r="E226" s="1325">
        <v>6</v>
      </c>
      <c r="F226" s="1325">
        <f>利润表!N50/N227</f>
        <v>799.48492441000008</v>
      </c>
      <c r="G226" s="1325">
        <f>利润表!N50/N226</f>
        <v>6.3570363222259054</v>
      </c>
      <c r="H226" s="1387">
        <f>N226</f>
        <v>799.48492441000008</v>
      </c>
      <c r="I226" s="1287">
        <f>I45</f>
        <v>519.87802891000001</v>
      </c>
      <c r="J226" s="1288">
        <f>J45</f>
        <v>569.5903721200001</v>
      </c>
      <c r="K226" s="1288">
        <f>K45</f>
        <v>639.04140025000015</v>
      </c>
      <c r="L226" s="1288">
        <f>L45</f>
        <v>795.23880104999989</v>
      </c>
      <c r="M226" s="1288">
        <f>M45</f>
        <v>799.48492441000008</v>
      </c>
      <c r="N226" s="1885">
        <f>M226</f>
        <v>799.48492441000008</v>
      </c>
      <c r="O226" s="1885">
        <f t="shared" ref="O226:R226" si="90">N226</f>
        <v>799.48492441000008</v>
      </c>
      <c r="P226" s="1885">
        <f t="shared" si="90"/>
        <v>799.48492441000008</v>
      </c>
      <c r="Q226" s="1885">
        <f t="shared" si="90"/>
        <v>799.48492441000008</v>
      </c>
      <c r="R226" s="2414">
        <f t="shared" si="90"/>
        <v>799.48492441000008</v>
      </c>
      <c r="S226" s="2418"/>
      <c r="T226" s="40"/>
      <c r="U226" s="40"/>
      <c r="V226" s="40"/>
      <c r="W226" s="40"/>
      <c r="X226" s="40"/>
      <c r="Y226" s="40"/>
      <c r="Z226" s="40"/>
      <c r="AA226" s="40"/>
      <c r="AB226" s="40"/>
      <c r="AC226" s="40"/>
      <c r="AD226" s="40"/>
      <c r="AE226" s="40"/>
      <c r="AF226" s="40"/>
      <c r="AG226" s="40"/>
      <c r="AH226" s="40"/>
      <c r="AI226" s="40"/>
      <c r="AJ226" s="40"/>
      <c r="AK226" s="40"/>
      <c r="AL226" s="40"/>
      <c r="AM226" s="40"/>
      <c r="AN226" s="40"/>
      <c r="AO226" s="40"/>
      <c r="AP226" s="40"/>
      <c r="AQ226" s="40"/>
    </row>
    <row r="227" spans="1:43" customFormat="1" ht="18" customHeight="1">
      <c r="A227" s="160"/>
      <c r="B227" s="2192" t="s">
        <v>291</v>
      </c>
      <c r="C227" s="1366"/>
      <c r="D227" s="1366"/>
      <c r="E227" s="1366"/>
      <c r="F227" s="1366"/>
      <c r="G227" s="1366"/>
      <c r="H227" s="1367"/>
      <c r="I227" s="1301">
        <f>利润表!I50/I226</f>
        <v>4.3054059106573366</v>
      </c>
      <c r="J227" s="1302">
        <f>利润表!J50/J226</f>
        <v>4.8371270939592783</v>
      </c>
      <c r="K227" s="1302">
        <f>利润表!K50/K226</f>
        <v>5.6739816390323128</v>
      </c>
      <c r="L227" s="1302">
        <f>利润表!L50/L226</f>
        <v>4.8586503024103171</v>
      </c>
      <c r="M227" s="1302">
        <f>利润表!M50/M226</f>
        <v>6.3531786297638764</v>
      </c>
      <c r="N227" s="1887">
        <f>利润表!N50/N226</f>
        <v>6.3570363222259054</v>
      </c>
      <c r="O227" s="1887">
        <f>利润表!O50/O226</f>
        <v>6.3730038992361573</v>
      </c>
      <c r="P227" s="1887">
        <f>利润表!P50/P226</f>
        <v>6.3610729504086461</v>
      </c>
      <c r="Q227" s="1887">
        <f>利润表!Q50/Q226</f>
        <v>6.3637043906235693</v>
      </c>
      <c r="R227" s="2423">
        <f>利润表!R50/R226</f>
        <v>6.3659270800894578</v>
      </c>
      <c r="S227" s="2418"/>
      <c r="T227" s="40"/>
      <c r="U227" s="40"/>
      <c r="V227" s="40"/>
      <c r="W227" s="40"/>
      <c r="X227" s="40"/>
      <c r="Y227" s="40"/>
      <c r="Z227" s="40"/>
      <c r="AA227" s="40"/>
      <c r="AB227" s="40"/>
      <c r="AC227" s="40"/>
      <c r="AD227" s="40"/>
      <c r="AE227" s="40"/>
      <c r="AF227" s="40"/>
      <c r="AG227" s="40"/>
      <c r="AH227" s="40"/>
      <c r="AI227" s="40"/>
      <c r="AJ227" s="40"/>
      <c r="AK227" s="40"/>
      <c r="AL227" s="40"/>
      <c r="AM227" s="40"/>
      <c r="AN227" s="40"/>
      <c r="AO227" s="40"/>
      <c r="AP227" s="40"/>
      <c r="AQ227" s="40"/>
    </row>
    <row r="228" spans="1:43" customFormat="1" ht="18" customHeight="1">
      <c r="A228" s="69"/>
      <c r="B228" s="1765"/>
      <c r="C228" s="1213"/>
      <c r="D228" s="1213"/>
      <c r="E228" s="1213"/>
      <c r="F228" s="1213"/>
      <c r="G228" s="1213"/>
      <c r="H228" s="1214"/>
      <c r="I228" s="1298"/>
      <c r="J228" s="1217"/>
      <c r="K228" s="1217"/>
      <c r="L228" s="1217"/>
      <c r="M228" s="1217"/>
      <c r="N228" s="1217"/>
      <c r="O228" s="1217"/>
      <c r="P228" s="1217"/>
      <c r="Q228" s="1217"/>
      <c r="R228" s="2412"/>
      <c r="S228" s="2418"/>
      <c r="T228" s="40"/>
      <c r="U228" s="40"/>
      <c r="V228" s="40"/>
      <c r="W228" s="40"/>
      <c r="X228" s="40"/>
      <c r="Y228" s="40"/>
      <c r="Z228" s="40"/>
      <c r="AA228" s="40"/>
      <c r="AB228" s="40"/>
      <c r="AC228" s="40"/>
      <c r="AD228" s="40"/>
      <c r="AE228" s="40"/>
      <c r="AF228" s="40"/>
      <c r="AG228" s="40"/>
      <c r="AH228" s="40"/>
      <c r="AI228" s="40"/>
      <c r="AJ228" s="40"/>
      <c r="AK228" s="40"/>
      <c r="AL228" s="40"/>
      <c r="AM228" s="40"/>
      <c r="AN228" s="40"/>
      <c r="AO228" s="40"/>
      <c r="AP228" s="40"/>
      <c r="AQ228" s="40"/>
    </row>
    <row r="229" spans="1:43" customFormat="1" ht="18" customHeight="1">
      <c r="A229" s="69"/>
      <c r="B229" s="1765" t="s">
        <v>1471</v>
      </c>
      <c r="C229" s="1219">
        <v>102</v>
      </c>
      <c r="D229" s="1219">
        <v>6</v>
      </c>
      <c r="E229" s="1219">
        <v>6</v>
      </c>
      <c r="F229" s="1219"/>
      <c r="G229" s="1219"/>
      <c r="H229" s="1220">
        <f>N229</f>
        <v>0</v>
      </c>
      <c r="I229" s="2286">
        <f>I50</f>
        <v>0</v>
      </c>
      <c r="J229" s="2286">
        <f t="shared" ref="J229:M229" si="91">J50</f>
        <v>0</v>
      </c>
      <c r="K229" s="2286">
        <f t="shared" si="91"/>
        <v>0</v>
      </c>
      <c r="L229" s="2286">
        <f t="shared" si="91"/>
        <v>0</v>
      </c>
      <c r="M229" s="2286">
        <f t="shared" si="91"/>
        <v>0</v>
      </c>
      <c r="N229" s="1885">
        <f>M229</f>
        <v>0</v>
      </c>
      <c r="O229" s="1885">
        <f t="shared" ref="O229:R229" si="92">N229</f>
        <v>0</v>
      </c>
      <c r="P229" s="1885">
        <f t="shared" si="92"/>
        <v>0</v>
      </c>
      <c r="Q229" s="1885">
        <f t="shared" si="92"/>
        <v>0</v>
      </c>
      <c r="R229" s="2414">
        <f t="shared" si="92"/>
        <v>0</v>
      </c>
      <c r="S229" s="2418"/>
      <c r="T229" s="40"/>
      <c r="U229" s="40"/>
      <c r="V229" s="40"/>
      <c r="W229" s="40"/>
      <c r="X229" s="40"/>
      <c r="Y229" s="40"/>
      <c r="Z229" s="40"/>
      <c r="AA229" s="40"/>
      <c r="AB229" s="40"/>
      <c r="AC229" s="40"/>
      <c r="AD229" s="40"/>
      <c r="AE229" s="40"/>
      <c r="AF229" s="40"/>
      <c r="AG229" s="40"/>
      <c r="AH229" s="40"/>
      <c r="AI229" s="40"/>
      <c r="AJ229" s="40"/>
      <c r="AK229" s="40"/>
      <c r="AL229" s="40"/>
      <c r="AM229" s="40"/>
      <c r="AN229" s="40"/>
      <c r="AO229" s="40"/>
      <c r="AP229" s="40"/>
      <c r="AQ229" s="40"/>
    </row>
    <row r="230" spans="1:43" customFormat="1" ht="18" customHeight="1">
      <c r="A230" s="240"/>
      <c r="B230" s="1766" t="s">
        <v>293</v>
      </c>
      <c r="C230" s="1219">
        <v>102</v>
      </c>
      <c r="D230" s="1219">
        <v>6</v>
      </c>
      <c r="E230" s="1219">
        <v>6</v>
      </c>
      <c r="F230" s="1219"/>
      <c r="G230" s="1219"/>
      <c r="H230" s="1220">
        <f>N230</f>
        <v>39.801671069999998</v>
      </c>
      <c r="I230" s="1322">
        <f>I51</f>
        <v>27.483712260000001</v>
      </c>
      <c r="J230" s="1323">
        <f t="shared" ref="J230:M231" si="93">J51</f>
        <v>68.734864459999997</v>
      </c>
      <c r="K230" s="1323">
        <f t="shared" si="93"/>
        <v>21.087462640000002</v>
      </c>
      <c r="L230" s="1323">
        <f t="shared" si="93"/>
        <v>54.192978179999997</v>
      </c>
      <c r="M230" s="1323">
        <f t="shared" si="93"/>
        <v>39.801671069999998</v>
      </c>
      <c r="N230" s="1885">
        <f>M230</f>
        <v>39.801671069999998</v>
      </c>
      <c r="O230" s="1885">
        <f t="shared" ref="O230:R230" si="94">N230</f>
        <v>39.801671069999998</v>
      </c>
      <c r="P230" s="1885">
        <f t="shared" si="94"/>
        <v>39.801671069999998</v>
      </c>
      <c r="Q230" s="1885">
        <f t="shared" si="94"/>
        <v>39.801671069999998</v>
      </c>
      <c r="R230" s="2414">
        <f t="shared" si="94"/>
        <v>39.801671069999998</v>
      </c>
      <c r="S230" s="2418"/>
      <c r="T230" s="40"/>
      <c r="U230" s="40"/>
      <c r="V230" s="40"/>
      <c r="W230" s="40"/>
      <c r="X230" s="40"/>
      <c r="Y230" s="40"/>
      <c r="Z230" s="40"/>
      <c r="AA230" s="40"/>
      <c r="AB230" s="40"/>
      <c r="AC230" s="40"/>
      <c r="AD230" s="40"/>
      <c r="AE230" s="40"/>
      <c r="AF230" s="40"/>
      <c r="AG230" s="40"/>
      <c r="AH230" s="40"/>
      <c r="AI230" s="40"/>
      <c r="AJ230" s="40"/>
      <c r="AK230" s="40"/>
      <c r="AL230" s="40"/>
      <c r="AM230" s="40"/>
      <c r="AN230" s="40"/>
      <c r="AO230" s="40"/>
      <c r="AP230" s="40"/>
      <c r="AQ230" s="40"/>
    </row>
    <row r="231" spans="1:43" customFormat="1" ht="18" customHeight="1">
      <c r="A231" s="68"/>
      <c r="B231" s="919" t="s">
        <v>294</v>
      </c>
      <c r="C231" s="1285">
        <v>102</v>
      </c>
      <c r="D231" s="1285">
        <v>6</v>
      </c>
      <c r="E231" s="1285">
        <v>6</v>
      </c>
      <c r="F231" s="1285"/>
      <c r="G231" s="1285"/>
      <c r="H231" s="1905">
        <f>N231</f>
        <v>0</v>
      </c>
      <c r="I231" s="1287">
        <f>I52</f>
        <v>0</v>
      </c>
      <c r="J231" s="1288">
        <f t="shared" si="93"/>
        <v>0</v>
      </c>
      <c r="K231" s="1288">
        <f t="shared" si="93"/>
        <v>0</v>
      </c>
      <c r="L231" s="1288">
        <f t="shared" si="93"/>
        <v>15.541912</v>
      </c>
      <c r="M231" s="1288">
        <f t="shared" si="93"/>
        <v>0</v>
      </c>
      <c r="N231" s="1885">
        <f>M231</f>
        <v>0</v>
      </c>
      <c r="O231" s="1885">
        <f t="shared" ref="O231:R231" si="95">N231</f>
        <v>0</v>
      </c>
      <c r="P231" s="1885">
        <f t="shared" si="95"/>
        <v>0</v>
      </c>
      <c r="Q231" s="1885">
        <f t="shared" si="95"/>
        <v>0</v>
      </c>
      <c r="R231" s="2414">
        <f t="shared" si="95"/>
        <v>0</v>
      </c>
      <c r="S231" s="2418"/>
      <c r="T231" s="40"/>
      <c r="U231" s="40"/>
      <c r="V231" s="40"/>
      <c r="W231" s="40"/>
      <c r="X231" s="40"/>
      <c r="Y231" s="40"/>
      <c r="Z231" s="40"/>
      <c r="AA231" s="40"/>
      <c r="AB231" s="40"/>
      <c r="AC231" s="40"/>
      <c r="AD231" s="40"/>
      <c r="AE231" s="40"/>
      <c r="AF231" s="40"/>
      <c r="AG231" s="40"/>
      <c r="AH231" s="40"/>
      <c r="AI231" s="40"/>
      <c r="AJ231" s="40"/>
      <c r="AK231" s="40"/>
      <c r="AL231" s="40"/>
      <c r="AM231" s="40"/>
      <c r="AN231" s="40"/>
      <c r="AO231" s="40"/>
      <c r="AP231" s="40"/>
      <c r="AQ231" s="40"/>
    </row>
    <row r="232" spans="1:43" customFormat="1" ht="18" customHeight="1">
      <c r="A232" s="68"/>
      <c r="B232" s="919"/>
      <c r="C232" s="1285"/>
      <c r="D232" s="1285"/>
      <c r="E232" s="1285"/>
      <c r="F232" s="1285"/>
      <c r="G232" s="1285"/>
      <c r="H232" s="1286"/>
      <c r="I232" s="1298"/>
      <c r="J232" s="1217"/>
      <c r="K232" s="1217"/>
      <c r="L232" s="1217"/>
      <c r="M232" s="1217"/>
      <c r="N232" s="1217"/>
      <c r="O232" s="1217"/>
      <c r="P232" s="1217"/>
      <c r="Q232" s="1217"/>
      <c r="R232" s="2412"/>
      <c r="S232" s="2418"/>
      <c r="T232" s="40"/>
      <c r="U232" s="40"/>
      <c r="V232" s="40"/>
      <c r="W232" s="40"/>
      <c r="X232" s="40"/>
      <c r="Y232" s="40"/>
      <c r="Z232" s="40"/>
      <c r="AA232" s="40"/>
      <c r="AB232" s="40"/>
      <c r="AC232" s="40"/>
      <c r="AD232" s="40"/>
      <c r="AE232" s="40"/>
      <c r="AF232" s="40"/>
      <c r="AG232" s="40"/>
      <c r="AH232" s="40"/>
      <c r="AI232" s="40"/>
      <c r="AJ232" s="40"/>
      <c r="AK232" s="40"/>
      <c r="AL232" s="40"/>
      <c r="AM232" s="40"/>
      <c r="AN232" s="40"/>
      <c r="AO232" s="40"/>
      <c r="AP232" s="40"/>
      <c r="AQ232" s="40"/>
    </row>
    <row r="233" spans="1:43" customFormat="1" ht="19.5" customHeight="1">
      <c r="A233" s="240"/>
      <c r="B233" s="1766" t="s">
        <v>1447</v>
      </c>
      <c r="C233" s="1285">
        <v>102</v>
      </c>
      <c r="D233" s="1285">
        <v>6</v>
      </c>
      <c r="E233" s="1285">
        <v>6</v>
      </c>
      <c r="F233" s="1285"/>
      <c r="G233" s="1285"/>
      <c r="H233" s="1905">
        <f>N233</f>
        <v>0</v>
      </c>
      <c r="I233" s="1287">
        <f>I53</f>
        <v>0</v>
      </c>
      <c r="J233" s="1287">
        <f>J53</f>
        <v>0</v>
      </c>
      <c r="K233" s="1287">
        <f>K53</f>
        <v>0</v>
      </c>
      <c r="L233" s="1287">
        <f>L53</f>
        <v>0</v>
      </c>
      <c r="M233" s="1287">
        <f>M53</f>
        <v>0</v>
      </c>
      <c r="N233" s="1885">
        <f>M233</f>
        <v>0</v>
      </c>
      <c r="O233" s="1885">
        <f t="shared" ref="O233:R233" si="96">N233</f>
        <v>0</v>
      </c>
      <c r="P233" s="1885">
        <f t="shared" si="96"/>
        <v>0</v>
      </c>
      <c r="Q233" s="1885">
        <f t="shared" si="96"/>
        <v>0</v>
      </c>
      <c r="R233" s="2414">
        <f t="shared" si="96"/>
        <v>0</v>
      </c>
      <c r="S233" s="2418"/>
      <c r="T233" s="40"/>
      <c r="U233" s="40"/>
      <c r="V233" s="40"/>
      <c r="W233" s="40"/>
      <c r="X233" s="40"/>
      <c r="Y233" s="40"/>
      <c r="Z233" s="40"/>
      <c r="AA233" s="40"/>
      <c r="AB233" s="40"/>
      <c r="AC233" s="40"/>
      <c r="AD233" s="40"/>
      <c r="AE233" s="40"/>
      <c r="AF233" s="40"/>
      <c r="AG233" s="40"/>
      <c r="AH233" s="40"/>
      <c r="AI233" s="40"/>
      <c r="AJ233" s="40"/>
      <c r="AK233" s="40"/>
      <c r="AL233" s="40"/>
      <c r="AM233" s="40"/>
      <c r="AN233" s="40"/>
      <c r="AO233" s="40"/>
      <c r="AP233" s="40"/>
      <c r="AQ233" s="40"/>
    </row>
    <row r="234" spans="1:43" customFormat="1" ht="18" customHeight="1">
      <c r="A234" s="240"/>
      <c r="B234" s="1766"/>
      <c r="C234" s="1219"/>
      <c r="D234" s="1219"/>
      <c r="E234" s="1219"/>
      <c r="F234" s="1219"/>
      <c r="G234" s="1219"/>
      <c r="H234" s="1220"/>
      <c r="I234" s="1368"/>
      <c r="J234" s="1217"/>
      <c r="K234" s="1217"/>
      <c r="L234" s="1241"/>
      <c r="M234" s="1241"/>
      <c r="N234" s="1217"/>
      <c r="O234" s="1217"/>
      <c r="P234" s="1217"/>
      <c r="Q234" s="1217"/>
      <c r="R234" s="2412"/>
      <c r="S234" s="2418"/>
      <c r="T234" s="40"/>
      <c r="U234" s="40"/>
      <c r="V234" s="40"/>
      <c r="W234" s="40"/>
      <c r="X234" s="40"/>
      <c r="Y234" s="40"/>
      <c r="Z234" s="40"/>
      <c r="AA234" s="40"/>
      <c r="AB234" s="40"/>
      <c r="AC234" s="40"/>
      <c r="AD234" s="40"/>
      <c r="AE234" s="40"/>
      <c r="AF234" s="40"/>
      <c r="AG234" s="40"/>
      <c r="AH234" s="40"/>
      <c r="AI234" s="40"/>
      <c r="AJ234" s="40"/>
      <c r="AK234" s="40"/>
      <c r="AL234" s="40"/>
      <c r="AM234" s="40"/>
      <c r="AN234" s="40"/>
      <c r="AO234" s="40"/>
      <c r="AP234" s="40"/>
      <c r="AQ234" s="40"/>
    </row>
    <row r="235" spans="1:43" customFormat="1" ht="18" customHeight="1">
      <c r="A235" s="67"/>
      <c r="B235" s="2175" t="s">
        <v>539</v>
      </c>
      <c r="C235" s="1325"/>
      <c r="D235" s="1325"/>
      <c r="E235" s="1325"/>
      <c r="F235" s="1325"/>
      <c r="G235" s="1325"/>
      <c r="H235" s="1326"/>
      <c r="I235" s="1288">
        <f>I220+I224+I226+I229+I230+I231+I233</f>
        <v>547.36174116999996</v>
      </c>
      <c r="J235" s="1288">
        <f t="shared" ref="J235:M235" si="97">J220+J224+J226+J229+J230+J231+J233</f>
        <v>638.32523658000014</v>
      </c>
      <c r="K235" s="1288">
        <f t="shared" si="97"/>
        <v>660.12886289000016</v>
      </c>
      <c r="L235" s="1288">
        <f t="shared" si="97"/>
        <v>885.14241292999986</v>
      </c>
      <c r="M235" s="1288">
        <f t="shared" si="97"/>
        <v>861.5326091500001</v>
      </c>
      <c r="N235" s="1217">
        <f ca="1">N220+N224+N226+N229+N230+N231+N233</f>
        <v>1247.699332964617</v>
      </c>
      <c r="O235" s="1217">
        <f t="shared" ref="O235:R235" ca="1" si="98">O220+O224+O226+O229+O230+O231+O233</f>
        <v>3633.77521835584</v>
      </c>
      <c r="P235" s="1217">
        <f t="shared" ca="1" si="98"/>
        <v>5886.9456343735374</v>
      </c>
      <c r="Q235" s="1217">
        <f t="shared" ca="1" si="98"/>
        <v>8066.2010863816022</v>
      </c>
      <c r="R235" s="2412">
        <f t="shared" ca="1" si="98"/>
        <v>10339.568782645239</v>
      </c>
      <c r="S235" s="2418"/>
      <c r="T235" s="40"/>
      <c r="U235" s="40"/>
      <c r="V235" s="40"/>
      <c r="W235" s="40"/>
      <c r="X235" s="40"/>
      <c r="Y235" s="40"/>
      <c r="Z235" s="40"/>
      <c r="AA235" s="40"/>
      <c r="AB235" s="40"/>
      <c r="AC235" s="40"/>
      <c r="AD235" s="40"/>
      <c r="AE235" s="40"/>
      <c r="AF235" s="40"/>
      <c r="AG235" s="40"/>
      <c r="AH235" s="40"/>
      <c r="AI235" s="40"/>
      <c r="AJ235" s="40"/>
      <c r="AK235" s="40"/>
      <c r="AL235" s="40"/>
      <c r="AM235" s="40"/>
      <c r="AN235" s="40"/>
      <c r="AO235" s="40"/>
      <c r="AP235" s="40"/>
      <c r="AQ235" s="40"/>
    </row>
    <row r="236" spans="1:43" customFormat="1" ht="18" customHeight="1">
      <c r="A236" s="67"/>
      <c r="B236" s="2175"/>
      <c r="C236" s="1325"/>
      <c r="D236" s="1325"/>
      <c r="E236" s="1325"/>
      <c r="F236" s="1325"/>
      <c r="G236" s="1325"/>
      <c r="H236" s="1326"/>
      <c r="I236" s="1298"/>
      <c r="J236" s="1217"/>
      <c r="K236" s="1217"/>
      <c r="L236" s="1217"/>
      <c r="M236" s="1217"/>
      <c r="N236" s="1217"/>
      <c r="O236" s="1217"/>
      <c r="P236" s="1217"/>
      <c r="Q236" s="1217"/>
      <c r="R236" s="2412"/>
      <c r="S236" s="2418"/>
      <c r="T236" s="40"/>
      <c r="U236" s="40"/>
      <c r="V236" s="40"/>
      <c r="W236" s="40"/>
      <c r="X236" s="40"/>
      <c r="Y236" s="40"/>
      <c r="Z236" s="40"/>
      <c r="AA236" s="40"/>
      <c r="AB236" s="40"/>
      <c r="AC236" s="40"/>
      <c r="AD236" s="40"/>
      <c r="AE236" s="40"/>
      <c r="AF236" s="40"/>
      <c r="AG236" s="40"/>
      <c r="AH236" s="40"/>
      <c r="AI236" s="40"/>
      <c r="AJ236" s="40"/>
      <c r="AK236" s="40"/>
      <c r="AL236" s="40"/>
      <c r="AM236" s="40"/>
      <c r="AN236" s="40"/>
      <c r="AO236" s="40"/>
      <c r="AP236" s="40"/>
      <c r="AQ236" s="40"/>
    </row>
    <row r="237" spans="1:43" customFormat="1" ht="18" customHeight="1">
      <c r="A237" s="67"/>
      <c r="B237" s="2175" t="s">
        <v>598</v>
      </c>
      <c r="C237" s="1325"/>
      <c r="D237" s="1325"/>
      <c r="E237" s="1325"/>
      <c r="F237" s="1325"/>
      <c r="G237" s="1325"/>
      <c r="H237" s="1326"/>
      <c r="I237" s="1287">
        <f>I56</f>
        <v>0</v>
      </c>
      <c r="J237" s="1288">
        <f>J56</f>
        <v>0</v>
      </c>
      <c r="K237" s="1288">
        <f>K56</f>
        <v>0</v>
      </c>
      <c r="L237" s="1288">
        <f>L56</f>
        <v>0</v>
      </c>
      <c r="M237" s="1288">
        <f>M56</f>
        <v>0</v>
      </c>
      <c r="N237" s="1217">
        <f>N242</f>
        <v>0</v>
      </c>
      <c r="O237" s="1217">
        <f>O242</f>
        <v>0</v>
      </c>
      <c r="P237" s="1217">
        <f>P242</f>
        <v>0</v>
      </c>
      <c r="Q237" s="1217">
        <f>Q242</f>
        <v>0</v>
      </c>
      <c r="R237" s="2412">
        <f>R242</f>
        <v>0</v>
      </c>
      <c r="S237" s="2418"/>
      <c r="T237" s="40"/>
      <c r="U237" s="40"/>
      <c r="V237" s="40"/>
      <c r="W237" s="40"/>
      <c r="X237" s="40"/>
      <c r="Y237" s="40"/>
      <c r="Z237" s="40"/>
      <c r="AA237" s="40"/>
      <c r="AB237" s="40"/>
      <c r="AC237" s="40"/>
      <c r="AD237" s="40"/>
      <c r="AE237" s="40"/>
      <c r="AF237" s="40"/>
      <c r="AG237" s="40"/>
      <c r="AH237" s="40"/>
      <c r="AI237" s="40"/>
      <c r="AJ237" s="40"/>
      <c r="AK237" s="40"/>
      <c r="AL237" s="40"/>
      <c r="AM237" s="40"/>
      <c r="AN237" s="40"/>
      <c r="AO237" s="40"/>
      <c r="AP237" s="40"/>
      <c r="AQ237" s="40"/>
    </row>
    <row r="238" spans="1:43" customFormat="1" ht="18" customHeight="1">
      <c r="A238" s="67"/>
      <c r="B238" s="1769" t="s">
        <v>593</v>
      </c>
      <c r="C238" s="1331"/>
      <c r="D238" s="1331"/>
      <c r="E238" s="1331"/>
      <c r="F238" s="1331"/>
      <c r="G238" s="1331"/>
      <c r="H238" s="1332"/>
      <c r="I238" s="1287">
        <f>I91</f>
        <v>0</v>
      </c>
      <c r="J238" s="1288">
        <f t="shared" ref="J238:M238" si="99">I242</f>
        <v>0</v>
      </c>
      <c r="K238" s="1288">
        <f t="shared" si="99"/>
        <v>0</v>
      </c>
      <c r="L238" s="1288">
        <f t="shared" si="99"/>
        <v>0</v>
      </c>
      <c r="M238" s="1288">
        <f t="shared" si="99"/>
        <v>0</v>
      </c>
      <c r="N238" s="1885">
        <f>M242</f>
        <v>0</v>
      </c>
      <c r="O238" s="1885">
        <f t="shared" ref="O238:R238" si="100">N242</f>
        <v>0</v>
      </c>
      <c r="P238" s="1885">
        <f t="shared" si="100"/>
        <v>0</v>
      </c>
      <c r="Q238" s="1885">
        <f t="shared" si="100"/>
        <v>0</v>
      </c>
      <c r="R238" s="2414">
        <f t="shared" si="100"/>
        <v>0</v>
      </c>
      <c r="S238" s="2418"/>
      <c r="T238" s="40"/>
      <c r="U238" s="40"/>
      <c r="V238" s="40"/>
      <c r="W238" s="40"/>
      <c r="X238" s="40"/>
      <c r="Y238" s="40"/>
      <c r="Z238" s="40"/>
      <c r="AA238" s="40"/>
      <c r="AB238" s="40"/>
      <c r="AC238" s="40"/>
      <c r="AD238" s="40"/>
      <c r="AE238" s="40"/>
      <c r="AF238" s="40"/>
      <c r="AG238" s="40"/>
      <c r="AH238" s="40"/>
      <c r="AI238" s="40"/>
      <c r="AJ238" s="40"/>
      <c r="AK238" s="40"/>
      <c r="AL238" s="40"/>
      <c r="AM238" s="40"/>
      <c r="AN238" s="40"/>
      <c r="AO238" s="40"/>
      <c r="AP238" s="40"/>
      <c r="AQ238" s="40"/>
    </row>
    <row r="239" spans="1:43" customFormat="1" ht="18" customHeight="1">
      <c r="A239" s="68"/>
      <c r="B239" s="2188" t="s">
        <v>594</v>
      </c>
      <c r="C239" s="1344">
        <v>102</v>
      </c>
      <c r="D239" s="1344">
        <v>6</v>
      </c>
      <c r="E239" s="1344">
        <v>6</v>
      </c>
      <c r="F239" s="1344"/>
      <c r="G239" s="1344"/>
      <c r="H239" s="1344">
        <f>N239</f>
        <v>0</v>
      </c>
      <c r="I239" s="1287">
        <f>IF(I238-I241&lt;I242,I242-I238+I241,0)</f>
        <v>0</v>
      </c>
      <c r="J239" s="1288">
        <f>IF(J238-J241&lt;J242,J242-J238+J241,0)</f>
        <v>0</v>
      </c>
      <c r="K239" s="1288">
        <f>IF(K238-K241&lt;K242,K242-K238+K241,0)</f>
        <v>0</v>
      </c>
      <c r="L239" s="1288">
        <f>IF(L238-L241&lt;L242,L242-L238+L241,0)</f>
        <v>0</v>
      </c>
      <c r="M239" s="1288">
        <f>IF(M238-M241&lt;M242,M242-M238+M241,0)</f>
        <v>0</v>
      </c>
      <c r="N239" s="1885">
        <f>M239</f>
        <v>0</v>
      </c>
      <c r="O239" s="1885">
        <f t="shared" ref="O239:R239" si="101">N239</f>
        <v>0</v>
      </c>
      <c r="P239" s="1885">
        <f t="shared" si="101"/>
        <v>0</v>
      </c>
      <c r="Q239" s="1885">
        <f t="shared" si="101"/>
        <v>0</v>
      </c>
      <c r="R239" s="2414">
        <f t="shared" si="101"/>
        <v>0</v>
      </c>
      <c r="S239" s="2418"/>
      <c r="T239" s="40"/>
      <c r="U239" s="40"/>
      <c r="V239" s="40"/>
      <c r="W239" s="40"/>
      <c r="X239" s="40"/>
      <c r="Y239" s="40"/>
      <c r="Z239" s="40"/>
      <c r="AA239" s="40"/>
      <c r="AB239" s="40"/>
      <c r="AC239" s="40"/>
      <c r="AD239" s="40"/>
      <c r="AE239" s="40"/>
      <c r="AF239" s="40"/>
      <c r="AG239" s="40"/>
      <c r="AH239" s="40"/>
      <c r="AI239" s="40"/>
      <c r="AJ239" s="40"/>
      <c r="AK239" s="40"/>
      <c r="AL239" s="40"/>
      <c r="AM239" s="40"/>
      <c r="AN239" s="40"/>
      <c r="AO239" s="40"/>
      <c r="AP239" s="40"/>
      <c r="AQ239" s="40"/>
    </row>
    <row r="240" spans="1:43" customFormat="1" ht="18" customHeight="1">
      <c r="A240" s="68"/>
      <c r="B240" s="2188" t="s">
        <v>596</v>
      </c>
      <c r="C240" s="1344">
        <v>102</v>
      </c>
      <c r="D240" s="1344">
        <v>6</v>
      </c>
      <c r="E240" s="1344">
        <v>6</v>
      </c>
      <c r="F240" s="1344"/>
      <c r="G240" s="1344"/>
      <c r="H240" s="1344">
        <f>N240</f>
        <v>0</v>
      </c>
      <c r="I240" s="1287">
        <f>IF(I238-I241&gt;I242,-(I242-I238+I241),0)</f>
        <v>0</v>
      </c>
      <c r="J240" s="1288">
        <f>IF(J238-J241&gt;J242,-(J242-J238+J241),0)</f>
        <v>0</v>
      </c>
      <c r="K240" s="1288">
        <f>IF(K238-K241&gt;K242,-(K242-K238+K241),0)</f>
        <v>0</v>
      </c>
      <c r="L240" s="1288">
        <f>IF(L238-L241&gt;L242,-(L242-L238+L241),0)</f>
        <v>0</v>
      </c>
      <c r="M240" s="1288">
        <f>IF(M238-M241&gt;M242,-(M242-M238+M241),0)</f>
        <v>0</v>
      </c>
      <c r="N240" s="1885">
        <f>M240</f>
        <v>0</v>
      </c>
      <c r="O240" s="1885">
        <f t="shared" ref="O240:R240" si="102">N240</f>
        <v>0</v>
      </c>
      <c r="P240" s="1885">
        <f t="shared" si="102"/>
        <v>0</v>
      </c>
      <c r="Q240" s="1885">
        <f t="shared" si="102"/>
        <v>0</v>
      </c>
      <c r="R240" s="2414">
        <f t="shared" si="102"/>
        <v>0</v>
      </c>
      <c r="S240" s="2418"/>
      <c r="T240" s="40"/>
      <c r="U240" s="40"/>
      <c r="V240" s="40"/>
      <c r="W240" s="40"/>
      <c r="X240" s="40"/>
      <c r="Y240" s="40"/>
      <c r="Z240" s="40"/>
      <c r="AA240" s="40"/>
      <c r="AB240" s="40"/>
      <c r="AC240" s="40"/>
      <c r="AD240" s="40"/>
      <c r="AE240" s="40"/>
      <c r="AF240" s="40"/>
      <c r="AG240" s="40"/>
      <c r="AH240" s="40"/>
      <c r="AI240" s="40"/>
      <c r="AJ240" s="40"/>
      <c r="AK240" s="40"/>
      <c r="AL240" s="40"/>
      <c r="AM240" s="40"/>
      <c r="AN240" s="40"/>
      <c r="AO240" s="40"/>
      <c r="AP240" s="40"/>
      <c r="AQ240" s="40"/>
    </row>
    <row r="241" spans="1:43" customFormat="1" ht="18" customHeight="1">
      <c r="A241" s="75"/>
      <c r="B241" s="2188" t="s">
        <v>299</v>
      </c>
      <c r="C241" s="1344">
        <v>102</v>
      </c>
      <c r="D241" s="1344">
        <v>6</v>
      </c>
      <c r="E241" s="1344">
        <v>6</v>
      </c>
      <c r="F241" s="1344"/>
      <c r="G241" s="1344"/>
      <c r="H241" s="1298">
        <f>N241</f>
        <v>0</v>
      </c>
      <c r="I241" s="1287">
        <f>I43</f>
        <v>0</v>
      </c>
      <c r="J241" s="1323">
        <f>J43</f>
        <v>0</v>
      </c>
      <c r="K241" s="1323">
        <f>K43</f>
        <v>0</v>
      </c>
      <c r="L241" s="1323">
        <f>L43</f>
        <v>0</v>
      </c>
      <c r="M241" s="1323">
        <f>M43</f>
        <v>0</v>
      </c>
      <c r="N241" s="1885">
        <f>M241</f>
        <v>0</v>
      </c>
      <c r="O241" s="1885">
        <f t="shared" ref="O241:R241" si="103">N241</f>
        <v>0</v>
      </c>
      <c r="P241" s="1885">
        <f t="shared" si="103"/>
        <v>0</v>
      </c>
      <c r="Q241" s="1885">
        <f t="shared" si="103"/>
        <v>0</v>
      </c>
      <c r="R241" s="2414">
        <f t="shared" si="103"/>
        <v>0</v>
      </c>
      <c r="S241" s="2418"/>
      <c r="T241" s="40"/>
      <c r="U241" s="40"/>
      <c r="V241" s="40"/>
      <c r="W241" s="40"/>
      <c r="X241" s="40"/>
      <c r="Y241" s="40"/>
      <c r="Z241" s="40"/>
      <c r="AA241" s="40"/>
      <c r="AB241" s="40"/>
      <c r="AC241" s="40"/>
      <c r="AD241" s="40"/>
      <c r="AE241" s="40"/>
      <c r="AF241" s="40"/>
      <c r="AG241" s="40"/>
      <c r="AH241" s="40"/>
      <c r="AI241" s="40"/>
      <c r="AJ241" s="40"/>
      <c r="AK241" s="40"/>
      <c r="AL241" s="40"/>
      <c r="AM241" s="40"/>
      <c r="AN241" s="40"/>
      <c r="AO241" s="40"/>
      <c r="AP241" s="40"/>
      <c r="AQ241" s="40"/>
    </row>
    <row r="242" spans="1:43" customFormat="1" ht="18" customHeight="1">
      <c r="A242" s="67"/>
      <c r="B242" s="1769" t="s">
        <v>597</v>
      </c>
      <c r="C242" s="1331"/>
      <c r="D242" s="1331"/>
      <c r="E242" s="1331"/>
      <c r="F242" s="1331"/>
      <c r="G242" s="1331"/>
      <c r="H242" s="1332"/>
      <c r="I242" s="1287">
        <f>I56</f>
        <v>0</v>
      </c>
      <c r="J242" s="1288">
        <f>J56</f>
        <v>0</v>
      </c>
      <c r="K242" s="1288">
        <f>K56</f>
        <v>0</v>
      </c>
      <c r="L242" s="1288">
        <f>L56</f>
        <v>0</v>
      </c>
      <c r="M242" s="1288">
        <f>M56</f>
        <v>0</v>
      </c>
      <c r="N242" s="1294">
        <f>N238+N239-N240-N241</f>
        <v>0</v>
      </c>
      <c r="O242" s="1294">
        <f>O238+O239-O240-O241</f>
        <v>0</v>
      </c>
      <c r="P242" s="1294">
        <f>P238+P239-P240-P241</f>
        <v>0</v>
      </c>
      <c r="Q242" s="1294">
        <f>Q238+Q239-Q240-Q241</f>
        <v>0</v>
      </c>
      <c r="R242" s="2422">
        <f>R238+R239-R240-R241</f>
        <v>0</v>
      </c>
      <c r="S242" s="2418"/>
      <c r="T242" s="40"/>
      <c r="U242" s="40"/>
      <c r="V242" s="40"/>
      <c r="W242" s="40"/>
      <c r="X242" s="40"/>
      <c r="Y242" s="40"/>
      <c r="Z242" s="40"/>
      <c r="AA242" s="40"/>
      <c r="AB242" s="40"/>
      <c r="AC242" s="40"/>
      <c r="AD242" s="40"/>
      <c r="AE242" s="40"/>
      <c r="AF242" s="40"/>
      <c r="AG242" s="40"/>
      <c r="AH242" s="40"/>
      <c r="AI242" s="40"/>
      <c r="AJ242" s="40"/>
      <c r="AK242" s="40"/>
      <c r="AL242" s="40"/>
      <c r="AM242" s="40"/>
      <c r="AN242" s="40"/>
      <c r="AO242" s="40"/>
      <c r="AP242" s="40"/>
      <c r="AQ242" s="40"/>
    </row>
    <row r="243" spans="1:43" customFormat="1" ht="18" customHeight="1">
      <c r="A243" s="67"/>
      <c r="B243" s="2175"/>
      <c r="C243" s="1325"/>
      <c r="D243" s="1325"/>
      <c r="E243" s="1325"/>
      <c r="F243" s="1325"/>
      <c r="G243" s="1325"/>
      <c r="H243" s="1326"/>
      <c r="I243" s="1327"/>
      <c r="J243" s="1321"/>
      <c r="K243" s="1321"/>
      <c r="L243" s="1321"/>
      <c r="M243" s="1321"/>
      <c r="N243" s="1321"/>
      <c r="O243" s="1321"/>
      <c r="P243" s="1321"/>
      <c r="Q243" s="1321"/>
      <c r="R243" s="2428"/>
      <c r="S243" s="2418"/>
      <c r="T243" s="40"/>
      <c r="U243" s="40"/>
      <c r="V243" s="40"/>
      <c r="W243" s="40"/>
      <c r="X243" s="40"/>
      <c r="Y243" s="40"/>
      <c r="Z243" s="40"/>
      <c r="AA243" s="40"/>
      <c r="AB243" s="40"/>
      <c r="AC243" s="40"/>
      <c r="AD243" s="40"/>
      <c r="AE243" s="40"/>
      <c r="AF243" s="40"/>
      <c r="AG243" s="40"/>
      <c r="AH243" s="40"/>
      <c r="AI243" s="40"/>
      <c r="AJ243" s="40"/>
      <c r="AK243" s="40"/>
      <c r="AL243" s="40"/>
      <c r="AM243" s="40"/>
      <c r="AN243" s="40"/>
      <c r="AO243" s="40"/>
      <c r="AP243" s="40"/>
      <c r="AQ243" s="40"/>
    </row>
    <row r="244" spans="1:43" customFormat="1" ht="18" customHeight="1">
      <c r="A244" s="67"/>
      <c r="B244" s="2175" t="s">
        <v>540</v>
      </c>
      <c r="C244" s="1325"/>
      <c r="D244" s="1325"/>
      <c r="E244" s="1325"/>
      <c r="F244" s="1325"/>
      <c r="G244" s="1325"/>
      <c r="H244" s="1326"/>
      <c r="I244" s="1287">
        <f>I57</f>
        <v>0</v>
      </c>
      <c r="J244" s="1288">
        <f>J57</f>
        <v>0</v>
      </c>
      <c r="K244" s="1288">
        <f>K57</f>
        <v>0</v>
      </c>
      <c r="L244" s="1288">
        <f>L57</f>
        <v>0</v>
      </c>
      <c r="M244" s="1288">
        <f>M57</f>
        <v>889.64500905999989</v>
      </c>
      <c r="N244" s="1321">
        <f>N250</f>
        <v>889.64500905999989</v>
      </c>
      <c r="O244" s="1321">
        <f>O250</f>
        <v>889.64500905999989</v>
      </c>
      <c r="P244" s="1321">
        <f>P250</f>
        <v>889.64500905999989</v>
      </c>
      <c r="Q244" s="1321">
        <f>Q250</f>
        <v>889.64500905999989</v>
      </c>
      <c r="R244" s="2428">
        <f>R250</f>
        <v>889.64500905999989</v>
      </c>
      <c r="S244" s="2418"/>
      <c r="T244" s="40"/>
      <c r="U244" s="40"/>
      <c r="V244" s="40"/>
      <c r="W244" s="40"/>
      <c r="X244" s="40"/>
      <c r="Y244" s="40"/>
      <c r="Z244" s="40"/>
      <c r="AA244" s="40"/>
      <c r="AB244" s="40"/>
      <c r="AC244" s="40"/>
      <c r="AD244" s="40"/>
      <c r="AE244" s="40"/>
      <c r="AF244" s="40"/>
      <c r="AG244" s="40"/>
      <c r="AH244" s="40"/>
      <c r="AI244" s="40"/>
      <c r="AJ244" s="40"/>
      <c r="AK244" s="40"/>
      <c r="AL244" s="40"/>
      <c r="AM244" s="40"/>
      <c r="AN244" s="40"/>
      <c r="AO244" s="40"/>
      <c r="AP244" s="40"/>
      <c r="AQ244" s="40"/>
    </row>
    <row r="245" spans="1:43" customFormat="1" ht="18" customHeight="1">
      <c r="A245" s="67"/>
      <c r="B245" s="1769" t="s">
        <v>593</v>
      </c>
      <c r="C245" s="1333"/>
      <c r="D245" s="1333"/>
      <c r="E245" s="1333"/>
      <c r="F245" s="1333"/>
      <c r="G245" s="1333"/>
      <c r="H245" s="1337"/>
      <c r="I245" s="1287">
        <f>I92</f>
        <v>0</v>
      </c>
      <c r="J245" s="1288">
        <f t="shared" ref="J245:M245" si="104">I250</f>
        <v>0</v>
      </c>
      <c r="K245" s="1288">
        <f t="shared" si="104"/>
        <v>0</v>
      </c>
      <c r="L245" s="1288">
        <f t="shared" si="104"/>
        <v>0</v>
      </c>
      <c r="M245" s="1288">
        <f t="shared" si="104"/>
        <v>0</v>
      </c>
      <c r="N245" s="1885">
        <f>M250</f>
        <v>889.64500905999989</v>
      </c>
      <c r="O245" s="1885">
        <f t="shared" ref="O245:R245" si="105">N250</f>
        <v>889.64500905999989</v>
      </c>
      <c r="P245" s="1885">
        <f t="shared" si="105"/>
        <v>889.64500905999989</v>
      </c>
      <c r="Q245" s="1885">
        <f t="shared" si="105"/>
        <v>889.64500905999989</v>
      </c>
      <c r="R245" s="2414">
        <f t="shared" si="105"/>
        <v>889.64500905999989</v>
      </c>
      <c r="S245" s="2418"/>
      <c r="T245" s="40"/>
      <c r="U245" s="40"/>
      <c r="V245" s="40"/>
      <c r="W245" s="40"/>
      <c r="X245" s="40"/>
      <c r="Y245" s="40"/>
      <c r="Z245" s="40"/>
      <c r="AA245" s="40"/>
      <c r="AB245" s="40"/>
      <c r="AC245" s="40"/>
      <c r="AD245" s="40"/>
      <c r="AE245" s="40"/>
      <c r="AF245" s="40"/>
      <c r="AG245" s="40"/>
      <c r="AH245" s="40"/>
      <c r="AI245" s="40"/>
      <c r="AJ245" s="40"/>
      <c r="AK245" s="40"/>
      <c r="AL245" s="40"/>
      <c r="AM245" s="40"/>
      <c r="AN245" s="40"/>
      <c r="AO245" s="40"/>
      <c r="AP245" s="40"/>
      <c r="AQ245" s="40"/>
    </row>
    <row r="246" spans="1:43" customFormat="1" ht="18" customHeight="1">
      <c r="A246" s="67"/>
      <c r="B246" s="1769" t="s">
        <v>565</v>
      </c>
      <c r="C246" s="1333">
        <v>102</v>
      </c>
      <c r="D246" s="1333">
        <v>7</v>
      </c>
      <c r="E246" s="1333">
        <v>7</v>
      </c>
      <c r="F246" s="1333"/>
      <c r="G246" s="1333"/>
      <c r="H246" s="1346">
        <f>N246</f>
        <v>0</v>
      </c>
      <c r="I246" s="1310">
        <v>0</v>
      </c>
      <c r="J246" s="1311">
        <v>0</v>
      </c>
      <c r="K246" s="1311">
        <v>0</v>
      </c>
      <c r="L246" s="1311">
        <v>0</v>
      </c>
      <c r="M246" s="1311">
        <v>0</v>
      </c>
      <c r="N246" s="1885">
        <f>0</f>
        <v>0</v>
      </c>
      <c r="O246" s="1885">
        <f>0</f>
        <v>0</v>
      </c>
      <c r="P246" s="1885">
        <f>0</f>
        <v>0</v>
      </c>
      <c r="Q246" s="1885">
        <f>0</f>
        <v>0</v>
      </c>
      <c r="R246" s="2414">
        <f>0</f>
        <v>0</v>
      </c>
      <c r="S246" s="2418"/>
      <c r="T246" s="40"/>
      <c r="U246" s="40"/>
      <c r="V246" s="40"/>
      <c r="W246" s="40"/>
      <c r="X246" s="40"/>
      <c r="Y246" s="40"/>
      <c r="Z246" s="40"/>
      <c r="AA246" s="40"/>
      <c r="AB246" s="40"/>
      <c r="AC246" s="40"/>
      <c r="AD246" s="40"/>
      <c r="AE246" s="40"/>
      <c r="AF246" s="40"/>
      <c r="AG246" s="40"/>
      <c r="AH246" s="40"/>
      <c r="AI246" s="40"/>
      <c r="AJ246" s="40"/>
      <c r="AK246" s="40"/>
      <c r="AL246" s="40"/>
      <c r="AM246" s="40"/>
      <c r="AN246" s="40"/>
      <c r="AO246" s="40"/>
      <c r="AP246" s="40"/>
      <c r="AQ246" s="40"/>
    </row>
    <row r="247" spans="1:43" customFormat="1" ht="18" customHeight="1">
      <c r="A247" s="67"/>
      <c r="B247" s="2187" t="s">
        <v>589</v>
      </c>
      <c r="C247" s="1345"/>
      <c r="D247" s="1345"/>
      <c r="E247" s="1345"/>
      <c r="F247" s="1345"/>
      <c r="G247" s="1345"/>
      <c r="H247" s="1346"/>
      <c r="I247" s="1310">
        <v>0</v>
      </c>
      <c r="J247" s="1311">
        <v>0</v>
      </c>
      <c r="K247" s="1311">
        <v>0</v>
      </c>
      <c r="L247" s="1311">
        <v>0</v>
      </c>
      <c r="M247" s="1311">
        <v>0</v>
      </c>
      <c r="N247" s="1885">
        <f>N248+N249</f>
        <v>0</v>
      </c>
      <c r="O247" s="1885">
        <f t="shared" ref="O247:R247" si="106">O248+O249</f>
        <v>0</v>
      </c>
      <c r="P247" s="1885">
        <f t="shared" si="106"/>
        <v>0</v>
      </c>
      <c r="Q247" s="1885">
        <f t="shared" si="106"/>
        <v>0</v>
      </c>
      <c r="R247" s="2414">
        <f t="shared" si="106"/>
        <v>0</v>
      </c>
      <c r="S247" s="2418"/>
      <c r="T247" s="40"/>
      <c r="U247" s="40"/>
      <c r="V247" s="40"/>
      <c r="W247" s="40"/>
      <c r="X247" s="40"/>
      <c r="Y247" s="40"/>
      <c r="Z247" s="40"/>
      <c r="AA247" s="40"/>
      <c r="AB247" s="40"/>
      <c r="AC247" s="40"/>
      <c r="AD247" s="40"/>
      <c r="AE247" s="40"/>
      <c r="AF247" s="40"/>
      <c r="AG247" s="40"/>
      <c r="AH247" s="40"/>
      <c r="AI247" s="40"/>
      <c r="AJ247" s="40"/>
      <c r="AK247" s="40"/>
      <c r="AL247" s="40"/>
      <c r="AM247" s="40"/>
      <c r="AN247" s="40"/>
      <c r="AO247" s="40"/>
      <c r="AP247" s="40"/>
      <c r="AQ247" s="40"/>
    </row>
    <row r="248" spans="1:43" customFormat="1" ht="18" customHeight="1">
      <c r="A248" s="67"/>
      <c r="B248" s="2189" t="s">
        <v>599</v>
      </c>
      <c r="C248" s="1343">
        <v>102</v>
      </c>
      <c r="D248" s="1343">
        <v>7</v>
      </c>
      <c r="E248" s="1343">
        <v>7</v>
      </c>
      <c r="F248" s="1343"/>
      <c r="G248" s="1343"/>
      <c r="H248" s="1327">
        <f>N248</f>
        <v>0</v>
      </c>
      <c r="I248" s="1310">
        <v>0</v>
      </c>
      <c r="J248" s="1311">
        <v>0</v>
      </c>
      <c r="K248" s="1311">
        <v>0</v>
      </c>
      <c r="L248" s="1311">
        <v>0</v>
      </c>
      <c r="M248" s="1311">
        <v>0</v>
      </c>
      <c r="N248" s="1885">
        <f>0</f>
        <v>0</v>
      </c>
      <c r="O248" s="1885">
        <f>0</f>
        <v>0</v>
      </c>
      <c r="P248" s="1885">
        <f>0</f>
        <v>0</v>
      </c>
      <c r="Q248" s="1885">
        <f>0</f>
        <v>0</v>
      </c>
      <c r="R248" s="2414">
        <f>0</f>
        <v>0</v>
      </c>
      <c r="S248" s="2418"/>
      <c r="T248" s="40"/>
      <c r="U248" s="40"/>
      <c r="V248" s="40"/>
      <c r="W248" s="40"/>
      <c r="X248" s="40"/>
      <c r="Y248" s="40"/>
      <c r="Z248" s="40"/>
      <c r="AA248" s="40"/>
      <c r="AB248" s="40"/>
      <c r="AC248" s="40"/>
      <c r="AD248" s="40"/>
      <c r="AE248" s="40"/>
      <c r="AF248" s="40"/>
      <c r="AG248" s="40"/>
      <c r="AH248" s="40"/>
      <c r="AI248" s="40"/>
      <c r="AJ248" s="40"/>
      <c r="AK248" s="40"/>
      <c r="AL248" s="40"/>
      <c r="AM248" s="40"/>
      <c r="AN248" s="40"/>
      <c r="AO248" s="40"/>
      <c r="AP248" s="40"/>
      <c r="AQ248" s="40"/>
    </row>
    <row r="249" spans="1:43" customFormat="1" ht="18" customHeight="1">
      <c r="A249" s="67"/>
      <c r="B249" s="2189" t="s">
        <v>600</v>
      </c>
      <c r="C249" s="1343">
        <v>102</v>
      </c>
      <c r="D249" s="1343">
        <v>7</v>
      </c>
      <c r="E249" s="1343">
        <v>7</v>
      </c>
      <c r="F249" s="1343"/>
      <c r="G249" s="1343"/>
      <c r="H249" s="1327">
        <f>N249</f>
        <v>0</v>
      </c>
      <c r="I249" s="1310">
        <v>0</v>
      </c>
      <c r="J249" s="1311">
        <v>0</v>
      </c>
      <c r="K249" s="1311">
        <v>0</v>
      </c>
      <c r="L249" s="1311">
        <v>0</v>
      </c>
      <c r="M249" s="1311">
        <v>0</v>
      </c>
      <c r="N249" s="1885">
        <f>0</f>
        <v>0</v>
      </c>
      <c r="O249" s="1885">
        <f>0</f>
        <v>0</v>
      </c>
      <c r="P249" s="1885">
        <f>0</f>
        <v>0</v>
      </c>
      <c r="Q249" s="1885">
        <f>0</f>
        <v>0</v>
      </c>
      <c r="R249" s="2414">
        <f>0</f>
        <v>0</v>
      </c>
      <c r="S249" s="2418"/>
      <c r="T249" s="40"/>
      <c r="U249" s="40"/>
      <c r="V249" s="40"/>
      <c r="W249" s="40"/>
      <c r="X249" s="40"/>
      <c r="Y249" s="40"/>
      <c r="Z249" s="40"/>
      <c r="AA249" s="40"/>
      <c r="AB249" s="40"/>
      <c r="AC249" s="40"/>
      <c r="AD249" s="40"/>
      <c r="AE249" s="40"/>
      <c r="AF249" s="40"/>
      <c r="AG249" s="40"/>
      <c r="AH249" s="40"/>
      <c r="AI249" s="40"/>
      <c r="AJ249" s="40"/>
      <c r="AK249" s="40"/>
      <c r="AL249" s="40"/>
      <c r="AM249" s="40"/>
      <c r="AN249" s="40"/>
      <c r="AO249" s="40"/>
      <c r="AP249" s="40"/>
      <c r="AQ249" s="40"/>
    </row>
    <row r="250" spans="1:43" customFormat="1" ht="18" customHeight="1">
      <c r="A250" s="68"/>
      <c r="B250" s="1768" t="s">
        <v>597</v>
      </c>
      <c r="C250" s="1336"/>
      <c r="D250" s="1336"/>
      <c r="E250" s="1336"/>
      <c r="F250" s="1336"/>
      <c r="G250" s="1336"/>
      <c r="H250" s="1369"/>
      <c r="I250" s="1287">
        <f>I57</f>
        <v>0</v>
      </c>
      <c r="J250" s="1288">
        <f>J57</f>
        <v>0</v>
      </c>
      <c r="K250" s="1288">
        <f>K57</f>
        <v>0</v>
      </c>
      <c r="L250" s="1288">
        <f>L57</f>
        <v>0</v>
      </c>
      <c r="M250" s="1288">
        <f>M57</f>
        <v>889.64500905999989</v>
      </c>
      <c r="N250" s="1217">
        <f>N245+N246-N247</f>
        <v>889.64500905999989</v>
      </c>
      <c r="O250" s="1217">
        <f>O245+O246-O247</f>
        <v>889.64500905999989</v>
      </c>
      <c r="P250" s="1217">
        <f>P245+P246-P247</f>
        <v>889.64500905999989</v>
      </c>
      <c r="Q250" s="1217">
        <f>Q245+Q246-Q247</f>
        <v>889.64500905999989</v>
      </c>
      <c r="R250" s="2412">
        <f>R245+R246-R247</f>
        <v>889.64500905999989</v>
      </c>
      <c r="S250" s="2418"/>
      <c r="T250" s="40"/>
      <c r="U250" s="40"/>
      <c r="V250" s="40"/>
      <c r="W250" s="40"/>
      <c r="X250" s="40"/>
      <c r="Y250" s="40"/>
      <c r="Z250" s="40"/>
      <c r="AA250" s="40"/>
      <c r="AB250" s="40"/>
      <c r="AC250" s="40"/>
      <c r="AD250" s="40"/>
      <c r="AE250" s="40"/>
      <c r="AF250" s="40"/>
      <c r="AG250" s="40"/>
      <c r="AH250" s="40"/>
      <c r="AI250" s="40"/>
      <c r="AJ250" s="40"/>
      <c r="AK250" s="40"/>
      <c r="AL250" s="40"/>
      <c r="AM250" s="40"/>
      <c r="AN250" s="40"/>
      <c r="AO250" s="40"/>
      <c r="AP250" s="40"/>
      <c r="AQ250" s="40"/>
    </row>
    <row r="251" spans="1:43" customFormat="1" ht="18" customHeight="1">
      <c r="A251" s="67"/>
      <c r="B251" s="2175"/>
      <c r="C251" s="1325"/>
      <c r="D251" s="1325"/>
      <c r="E251" s="1325"/>
      <c r="F251" s="1325"/>
      <c r="G251" s="1325"/>
      <c r="H251" s="1326"/>
      <c r="I251" s="1327"/>
      <c r="J251" s="1321"/>
      <c r="K251" s="1321"/>
      <c r="L251" s="1321"/>
      <c r="M251" s="1321"/>
      <c r="N251" s="1885"/>
      <c r="O251" s="1885"/>
      <c r="P251" s="1885"/>
      <c r="Q251" s="1885"/>
      <c r="R251" s="2414"/>
      <c r="S251" s="2418"/>
      <c r="T251" s="40"/>
      <c r="U251" s="40"/>
      <c r="V251" s="40"/>
      <c r="W251" s="40"/>
      <c r="X251" s="40"/>
      <c r="Y251" s="40"/>
      <c r="Z251" s="40"/>
      <c r="AA251" s="40"/>
      <c r="AB251" s="40"/>
      <c r="AC251" s="40"/>
      <c r="AD251" s="40"/>
      <c r="AE251" s="40"/>
      <c r="AF251" s="40"/>
      <c r="AG251" s="40"/>
      <c r="AH251" s="40"/>
      <c r="AI251" s="40"/>
      <c r="AJ251" s="40"/>
      <c r="AK251" s="40"/>
      <c r="AL251" s="40"/>
      <c r="AM251" s="40"/>
      <c r="AN251" s="40"/>
      <c r="AO251" s="40"/>
      <c r="AP251" s="40"/>
      <c r="AQ251" s="40"/>
    </row>
    <row r="252" spans="1:43" customFormat="1" ht="18" customHeight="1">
      <c r="A252" s="67"/>
      <c r="B252" s="919" t="s">
        <v>307</v>
      </c>
      <c r="C252" s="1285">
        <v>102</v>
      </c>
      <c r="D252" s="1285">
        <v>6</v>
      </c>
      <c r="E252" s="1285">
        <v>6</v>
      </c>
      <c r="F252" s="1285"/>
      <c r="G252" s="1285"/>
      <c r="H252" s="1905">
        <f>N252</f>
        <v>24.685816920000001</v>
      </c>
      <c r="I252" s="1287">
        <f>I58</f>
        <v>19.085265039999999</v>
      </c>
      <c r="J252" s="1288">
        <f>J58</f>
        <v>16.740403010000001</v>
      </c>
      <c r="K252" s="1288">
        <f>K58</f>
        <v>14.39554098</v>
      </c>
      <c r="L252" s="1288">
        <f>L58</f>
        <v>15.05067895</v>
      </c>
      <c r="M252" s="1288">
        <f>M58</f>
        <v>24.685816920000001</v>
      </c>
      <c r="N252" s="1885">
        <f>M252</f>
        <v>24.685816920000001</v>
      </c>
      <c r="O252" s="1885">
        <f t="shared" ref="O252:R252" si="107">N252</f>
        <v>24.685816920000001</v>
      </c>
      <c r="P252" s="1885">
        <f t="shared" si="107"/>
        <v>24.685816920000001</v>
      </c>
      <c r="Q252" s="1885">
        <f t="shared" si="107"/>
        <v>24.685816920000001</v>
      </c>
      <c r="R252" s="2414">
        <f t="shared" si="107"/>
        <v>24.685816920000001</v>
      </c>
      <c r="S252" s="2418"/>
      <c r="T252" s="40"/>
      <c r="U252" s="40"/>
      <c r="V252" s="40"/>
      <c r="W252" s="40"/>
      <c r="X252" s="40"/>
      <c r="Y252" s="40"/>
      <c r="Z252" s="40"/>
      <c r="AA252" s="40"/>
      <c r="AB252" s="40"/>
      <c r="AC252" s="40"/>
      <c r="AD252" s="40"/>
      <c r="AE252" s="40"/>
      <c r="AF252" s="40"/>
      <c r="AG252" s="40"/>
      <c r="AH252" s="40"/>
      <c r="AI252" s="40"/>
      <c r="AJ252" s="40"/>
      <c r="AK252" s="40"/>
      <c r="AL252" s="40"/>
      <c r="AM252" s="40"/>
      <c r="AN252" s="40"/>
      <c r="AO252" s="40"/>
      <c r="AP252" s="40"/>
      <c r="AQ252" s="40"/>
    </row>
    <row r="253" spans="1:43" customFormat="1" ht="18" customHeight="1">
      <c r="A253" s="68"/>
      <c r="B253" s="919"/>
      <c r="C253" s="1285"/>
      <c r="D253" s="1285"/>
      <c r="E253" s="1285"/>
      <c r="F253" s="1285"/>
      <c r="G253" s="1285"/>
      <c r="H253" s="1286"/>
      <c r="I253" s="1298"/>
      <c r="J253" s="1217"/>
      <c r="K253" s="1217"/>
      <c r="L253" s="1217"/>
      <c r="M253" s="1217"/>
      <c r="N253" s="1885"/>
      <c r="O253" s="1885"/>
      <c r="P253" s="1885"/>
      <c r="Q253" s="1885"/>
      <c r="R253" s="2414"/>
      <c r="S253" s="2418"/>
      <c r="T253" s="40"/>
      <c r="U253" s="40"/>
      <c r="V253" s="40"/>
      <c r="W253" s="40"/>
      <c r="X253" s="40"/>
      <c r="Y253" s="40"/>
      <c r="Z253" s="40"/>
      <c r="AA253" s="40"/>
      <c r="AB253" s="40"/>
      <c r="AC253" s="40"/>
      <c r="AD253" s="40"/>
      <c r="AE253" s="40"/>
      <c r="AF253" s="40"/>
      <c r="AG253" s="40"/>
      <c r="AH253" s="40"/>
      <c r="AI253" s="40"/>
      <c r="AJ253" s="40"/>
      <c r="AK253" s="40"/>
      <c r="AL253" s="40"/>
      <c r="AM253" s="40"/>
      <c r="AN253" s="40"/>
      <c r="AO253" s="40"/>
      <c r="AP253" s="40"/>
      <c r="AQ253" s="40"/>
    </row>
    <row r="254" spans="1:43" customFormat="1" ht="18" customHeight="1">
      <c r="A254" s="67"/>
      <c r="B254" s="2175" t="s">
        <v>309</v>
      </c>
      <c r="C254" s="1325">
        <v>102</v>
      </c>
      <c r="D254" s="1325">
        <v>6</v>
      </c>
      <c r="E254" s="1325">
        <v>6</v>
      </c>
      <c r="F254" s="1325"/>
      <c r="G254" s="1325"/>
      <c r="H254" s="1387">
        <f>N254</f>
        <v>0</v>
      </c>
      <c r="I254" s="1287">
        <f>I62</f>
        <v>0</v>
      </c>
      <c r="J254" s="1288">
        <f>J62</f>
        <v>0</v>
      </c>
      <c r="K254" s="1288">
        <f>K62</f>
        <v>0</v>
      </c>
      <c r="L254" s="1288">
        <f>L62</f>
        <v>0</v>
      </c>
      <c r="M254" s="1288">
        <f>M62</f>
        <v>0</v>
      </c>
      <c r="N254" s="1885">
        <f>M254</f>
        <v>0</v>
      </c>
      <c r="O254" s="1885">
        <f t="shared" ref="O254:R254" si="108">N254</f>
        <v>0</v>
      </c>
      <c r="P254" s="1885">
        <f t="shared" si="108"/>
        <v>0</v>
      </c>
      <c r="Q254" s="1885">
        <f t="shared" si="108"/>
        <v>0</v>
      </c>
      <c r="R254" s="2414">
        <f t="shared" si="108"/>
        <v>0</v>
      </c>
      <c r="S254" s="2418"/>
      <c r="T254" s="40"/>
      <c r="U254" s="40"/>
      <c r="V254" s="40"/>
      <c r="W254" s="40"/>
      <c r="X254" s="40"/>
      <c r="Y254" s="40"/>
      <c r="Z254" s="40"/>
      <c r="AA254" s="40"/>
      <c r="AB254" s="40"/>
      <c r="AC254" s="40"/>
      <c r="AD254" s="40"/>
      <c r="AE254" s="40"/>
      <c r="AF254" s="40"/>
      <c r="AG254" s="40"/>
      <c r="AH254" s="40"/>
      <c r="AI254" s="40"/>
      <c r="AJ254" s="40"/>
      <c r="AK254" s="40"/>
      <c r="AL254" s="40"/>
      <c r="AM254" s="40"/>
      <c r="AN254" s="40"/>
      <c r="AO254" s="40"/>
      <c r="AP254" s="40"/>
      <c r="AQ254" s="40"/>
    </row>
    <row r="255" spans="1:43" customFormat="1" ht="18" customHeight="1">
      <c r="A255" s="240"/>
      <c r="B255" s="1766"/>
      <c r="C255" s="1221"/>
      <c r="D255" s="1221"/>
      <c r="E255" s="1221"/>
      <c r="F255" s="1221"/>
      <c r="G255" s="1221"/>
      <c r="H255" s="1222"/>
      <c r="I255" s="1328"/>
      <c r="J255" s="1324"/>
      <c r="K255" s="1324"/>
      <c r="L255" s="1324"/>
      <c r="M255" s="1324"/>
      <c r="N255" s="1294"/>
      <c r="O255" s="1294"/>
      <c r="P255" s="1294"/>
      <c r="Q255" s="1294"/>
      <c r="R255" s="2422"/>
      <c r="S255" s="2418"/>
      <c r="T255" s="40"/>
      <c r="U255" s="40"/>
      <c r="V255" s="40"/>
      <c r="W255" s="40"/>
      <c r="X255" s="40"/>
      <c r="Y255" s="40"/>
      <c r="Z255" s="40"/>
      <c r="AA255" s="40"/>
      <c r="AB255" s="40"/>
      <c r="AC255" s="40"/>
      <c r="AD255" s="40"/>
      <c r="AE255" s="40"/>
      <c r="AF255" s="40"/>
      <c r="AG255" s="40"/>
      <c r="AH255" s="40"/>
      <c r="AI255" s="40"/>
      <c r="AJ255" s="40"/>
      <c r="AK255" s="40"/>
      <c r="AL255" s="40"/>
      <c r="AM255" s="40"/>
      <c r="AN255" s="40"/>
      <c r="AO255" s="40"/>
      <c r="AP255" s="40"/>
      <c r="AQ255" s="40"/>
    </row>
    <row r="256" spans="1:43" customFormat="1" ht="18" customHeight="1">
      <c r="A256" s="240"/>
      <c r="B256" s="1766" t="s">
        <v>1590</v>
      </c>
      <c r="C256" s="1325">
        <v>102</v>
      </c>
      <c r="D256" s="1325">
        <v>6</v>
      </c>
      <c r="E256" s="1325">
        <v>6</v>
      </c>
      <c r="F256" s="1325"/>
      <c r="G256" s="1325"/>
      <c r="H256" s="1387">
        <f>N256</f>
        <v>9.2370555648813024E-14</v>
      </c>
      <c r="I256" s="1287">
        <f>I64-I56-I57-I58-I62</f>
        <v>0</v>
      </c>
      <c r="J256" s="1287">
        <f>J64-J56-J57-J58-J62</f>
        <v>0</v>
      </c>
      <c r="K256" s="1287">
        <f>K64-K56-K57-K58-K62</f>
        <v>0</v>
      </c>
      <c r="L256" s="1287">
        <f>L64-L56-L57-L58-L62</f>
        <v>0</v>
      </c>
      <c r="M256" s="1287">
        <f>M64-M56-M57-M58-M62</f>
        <v>9.2370555648813024E-14</v>
      </c>
      <c r="N256" s="1294">
        <f>M256</f>
        <v>9.2370555648813024E-14</v>
      </c>
      <c r="O256" s="1294">
        <f>N256</f>
        <v>9.2370555648813024E-14</v>
      </c>
      <c r="P256" s="1294">
        <f>O256</f>
        <v>9.2370555648813024E-14</v>
      </c>
      <c r="Q256" s="1294">
        <f>P256</f>
        <v>9.2370555648813024E-14</v>
      </c>
      <c r="R256" s="2422">
        <f>Q256</f>
        <v>9.2370555648813024E-14</v>
      </c>
      <c r="S256" s="2418"/>
      <c r="T256" s="40"/>
      <c r="U256" s="40"/>
      <c r="V256" s="40"/>
      <c r="W256" s="40"/>
      <c r="X256" s="40"/>
      <c r="Y256" s="40"/>
      <c r="Z256" s="40"/>
      <c r="AA256" s="40"/>
      <c r="AB256" s="40"/>
      <c r="AC256" s="40"/>
      <c r="AD256" s="40"/>
      <c r="AE256" s="40"/>
      <c r="AF256" s="40"/>
      <c r="AG256" s="40"/>
      <c r="AH256" s="40"/>
      <c r="AI256" s="40"/>
      <c r="AJ256" s="40"/>
      <c r="AK256" s="40"/>
      <c r="AL256" s="40"/>
      <c r="AM256" s="40"/>
      <c r="AN256" s="40"/>
      <c r="AO256" s="40"/>
      <c r="AP256" s="40"/>
      <c r="AQ256" s="40"/>
    </row>
    <row r="257" spans="1:43" customFormat="1" ht="18" customHeight="1">
      <c r="A257" s="67"/>
      <c r="B257" s="2175"/>
      <c r="C257" s="1325"/>
      <c r="D257" s="1325"/>
      <c r="E257" s="1325"/>
      <c r="F257" s="1325"/>
      <c r="G257" s="1325"/>
      <c r="H257" s="1326"/>
      <c r="I257" s="1327"/>
      <c r="J257" s="1321"/>
      <c r="K257" s="1321"/>
      <c r="L257" s="1321"/>
      <c r="M257" s="1321"/>
      <c r="N257" s="1321"/>
      <c r="O257" s="1321"/>
      <c r="P257" s="1321"/>
      <c r="Q257" s="1321"/>
      <c r="R257" s="2428"/>
      <c r="S257" s="2418"/>
      <c r="T257" s="40"/>
      <c r="U257" s="40"/>
      <c r="V257" s="40"/>
      <c r="W257" s="40"/>
      <c r="X257" s="40"/>
      <c r="Y257" s="40"/>
      <c r="Z257" s="40"/>
      <c r="AA257" s="40"/>
      <c r="AB257" s="40"/>
      <c r="AC257" s="40"/>
      <c r="AD257" s="40"/>
      <c r="AE257" s="40"/>
      <c r="AF257" s="40"/>
      <c r="AG257" s="40"/>
      <c r="AH257" s="40"/>
      <c r="AI257" s="40"/>
      <c r="AJ257" s="40"/>
      <c r="AK257" s="40"/>
      <c r="AL257" s="40"/>
      <c r="AM257" s="40"/>
      <c r="AN257" s="40"/>
      <c r="AO257" s="40"/>
      <c r="AP257" s="40"/>
      <c r="AQ257" s="40"/>
    </row>
    <row r="258" spans="1:43" customFormat="1" ht="18" customHeight="1">
      <c r="A258" s="67"/>
      <c r="B258" s="2175" t="s">
        <v>601</v>
      </c>
      <c r="C258" s="1325"/>
      <c r="D258" s="1325"/>
      <c r="E258" s="1325"/>
      <c r="F258" s="1325"/>
      <c r="G258" s="1325"/>
      <c r="H258" s="1326"/>
      <c r="I258" s="1288">
        <f t="shared" ref="I258:R258" si="109">I237+I244+I252+I254+I256</f>
        <v>19.085265039999999</v>
      </c>
      <c r="J258" s="1288">
        <f t="shared" si="109"/>
        <v>16.740403010000001</v>
      </c>
      <c r="K258" s="1288">
        <f t="shared" si="109"/>
        <v>14.39554098</v>
      </c>
      <c r="L258" s="1288">
        <f t="shared" si="109"/>
        <v>15.05067895</v>
      </c>
      <c r="M258" s="1288">
        <f t="shared" si="109"/>
        <v>914.33082597999999</v>
      </c>
      <c r="N258" s="1294">
        <f t="shared" si="109"/>
        <v>914.33082597999999</v>
      </c>
      <c r="O258" s="1294">
        <f t="shared" si="109"/>
        <v>914.33082597999999</v>
      </c>
      <c r="P258" s="1294">
        <f t="shared" si="109"/>
        <v>914.33082597999999</v>
      </c>
      <c r="Q258" s="1294">
        <f t="shared" si="109"/>
        <v>914.33082597999999</v>
      </c>
      <c r="R258" s="2422">
        <f t="shared" si="109"/>
        <v>914.33082597999999</v>
      </c>
      <c r="S258" s="2418"/>
      <c r="T258" s="40"/>
      <c r="U258" s="40"/>
      <c r="V258" s="40"/>
      <c r="W258" s="40"/>
      <c r="X258" s="40"/>
      <c r="Y258" s="40"/>
      <c r="Z258" s="40"/>
      <c r="AA258" s="40"/>
      <c r="AB258" s="40"/>
      <c r="AC258" s="40"/>
      <c r="AD258" s="40"/>
      <c r="AE258" s="40"/>
      <c r="AF258" s="40"/>
      <c r="AG258" s="40"/>
      <c r="AH258" s="40"/>
      <c r="AI258" s="40"/>
      <c r="AJ258" s="40"/>
      <c r="AK258" s="40"/>
      <c r="AL258" s="40"/>
      <c r="AM258" s="40"/>
      <c r="AN258" s="40"/>
      <c r="AO258" s="40"/>
      <c r="AP258" s="40"/>
      <c r="AQ258" s="40"/>
    </row>
    <row r="259" spans="1:43" customFormat="1" ht="18" customHeight="1">
      <c r="A259" s="67"/>
      <c r="B259" s="2175"/>
      <c r="C259" s="1325"/>
      <c r="D259" s="1325"/>
      <c r="E259" s="1325"/>
      <c r="F259" s="1325"/>
      <c r="G259" s="1325"/>
      <c r="H259" s="1326"/>
      <c r="I259" s="1327"/>
      <c r="J259" s="1321"/>
      <c r="K259" s="1321"/>
      <c r="L259" s="1321"/>
      <c r="M259" s="1321"/>
      <c r="N259" s="1217"/>
      <c r="O259" s="1217"/>
      <c r="P259" s="1217"/>
      <c r="Q259" s="1217"/>
      <c r="R259" s="2412"/>
      <c r="S259" s="2418"/>
      <c r="T259" s="40"/>
      <c r="U259" s="40"/>
      <c r="V259" s="40"/>
      <c r="W259" s="40"/>
      <c r="X259" s="40"/>
      <c r="Y259" s="40"/>
      <c r="Z259" s="40"/>
      <c r="AA259" s="40"/>
      <c r="AB259" s="40"/>
      <c r="AC259" s="40"/>
      <c r="AD259" s="40"/>
      <c r="AE259" s="40"/>
      <c r="AF259" s="40"/>
      <c r="AG259" s="40"/>
      <c r="AH259" s="40"/>
      <c r="AI259" s="40"/>
      <c r="AJ259" s="40"/>
      <c r="AK259" s="40"/>
      <c r="AL259" s="40"/>
      <c r="AM259" s="40"/>
      <c r="AN259" s="40"/>
      <c r="AO259" s="40"/>
      <c r="AP259" s="40"/>
      <c r="AQ259" s="40"/>
    </row>
    <row r="260" spans="1:43" customFormat="1" ht="18" customHeight="1" thickBot="1">
      <c r="A260" s="67"/>
      <c r="B260" s="2193" t="s">
        <v>602</v>
      </c>
      <c r="C260" s="1370"/>
      <c r="D260" s="1370"/>
      <c r="E260" s="1370"/>
      <c r="F260" s="1370"/>
      <c r="G260" s="1370"/>
      <c r="H260" s="1371"/>
      <c r="I260" s="1351">
        <f t="shared" ref="I260:R260" si="110">I235+I258</f>
        <v>566.44700620999993</v>
      </c>
      <c r="J260" s="1351">
        <f t="shared" si="110"/>
        <v>655.06563959000016</v>
      </c>
      <c r="K260" s="1351">
        <f t="shared" si="110"/>
        <v>674.52440387000013</v>
      </c>
      <c r="L260" s="1351">
        <f t="shared" si="110"/>
        <v>900.19309187999988</v>
      </c>
      <c r="M260" s="1351">
        <f t="shared" si="110"/>
        <v>1775.8634351300002</v>
      </c>
      <c r="N260" s="1352">
        <f t="shared" ca="1" si="110"/>
        <v>2162.0301589446171</v>
      </c>
      <c r="O260" s="1352">
        <f t="shared" ca="1" si="110"/>
        <v>4548.1060443358401</v>
      </c>
      <c r="P260" s="1352">
        <f t="shared" ca="1" si="110"/>
        <v>6801.276460353537</v>
      </c>
      <c r="Q260" s="1352">
        <f t="shared" ca="1" si="110"/>
        <v>8980.5319123616027</v>
      </c>
      <c r="R260" s="2432">
        <f t="shared" ca="1" si="110"/>
        <v>11253.899608625239</v>
      </c>
      <c r="S260" s="2418"/>
      <c r="T260" s="40"/>
      <c r="U260" s="40"/>
      <c r="V260" s="40"/>
      <c r="W260" s="40"/>
      <c r="X260" s="40"/>
      <c r="Y260" s="40"/>
      <c r="Z260" s="40"/>
      <c r="AA260" s="40"/>
      <c r="AB260" s="40"/>
      <c r="AC260" s="40"/>
      <c r="AD260" s="40"/>
      <c r="AE260" s="40"/>
      <c r="AF260" s="40"/>
      <c r="AG260" s="40"/>
      <c r="AH260" s="40"/>
      <c r="AI260" s="40"/>
      <c r="AJ260" s="40"/>
      <c r="AK260" s="40"/>
      <c r="AL260" s="40"/>
      <c r="AM260" s="40"/>
      <c r="AN260" s="40"/>
      <c r="AO260" s="40"/>
      <c r="AP260" s="40"/>
      <c r="AQ260" s="40"/>
    </row>
    <row r="261" spans="1:43" customFormat="1" ht="18" customHeight="1">
      <c r="A261" s="68"/>
      <c r="B261" s="1372"/>
      <c r="C261" s="1373"/>
      <c r="D261" s="1373"/>
      <c r="E261" s="1373"/>
      <c r="F261" s="1373"/>
      <c r="G261" s="1373"/>
      <c r="H261" s="1373"/>
      <c r="I261" s="1356"/>
      <c r="J261" s="1356"/>
      <c r="K261" s="1356"/>
      <c r="L261" s="1356"/>
      <c r="M261" s="1356"/>
      <c r="N261" s="1356"/>
      <c r="O261" s="1356"/>
      <c r="P261" s="1356"/>
      <c r="Q261" s="1356"/>
      <c r="R261" s="1357"/>
      <c r="S261" s="40"/>
      <c r="T261" s="40"/>
      <c r="U261" s="40"/>
      <c r="V261" s="40"/>
      <c r="W261" s="40"/>
      <c r="X261" s="40"/>
      <c r="Y261" s="40"/>
      <c r="Z261" s="40"/>
      <c r="AA261" s="40"/>
      <c r="AB261" s="40"/>
      <c r="AC261" s="40"/>
      <c r="AD261" s="40"/>
      <c r="AE261" s="40"/>
      <c r="AF261" s="40"/>
      <c r="AG261" s="40"/>
      <c r="AH261" s="40"/>
      <c r="AI261" s="40"/>
      <c r="AJ261" s="40"/>
      <c r="AK261" s="40"/>
      <c r="AL261" s="40"/>
      <c r="AM261" s="40"/>
      <c r="AN261" s="40"/>
      <c r="AO261" s="40"/>
      <c r="AP261" s="40"/>
      <c r="AQ261" s="40"/>
    </row>
    <row r="262" spans="1:43" customFormat="1" ht="15.75" customHeight="1" thickBot="1">
      <c r="A262" s="77"/>
      <c r="B262" s="1374"/>
      <c r="C262" s="1375"/>
      <c r="D262" s="1375"/>
      <c r="E262" s="1375"/>
      <c r="F262" s="1375"/>
      <c r="G262" s="1375"/>
      <c r="H262" s="1375"/>
      <c r="I262" s="1376"/>
      <c r="J262" s="1376"/>
      <c r="K262" s="1376"/>
      <c r="L262" s="1376"/>
      <c r="M262" s="1376"/>
      <c r="N262" s="1376"/>
      <c r="O262" s="1376"/>
      <c r="P262" s="1376"/>
      <c r="Q262" s="1376"/>
      <c r="R262" s="1376"/>
      <c r="S262" s="40"/>
      <c r="T262" s="40"/>
      <c r="U262" s="40"/>
      <c r="V262" s="40"/>
      <c r="W262" s="40"/>
      <c r="X262" s="40"/>
      <c r="Y262" s="40"/>
      <c r="Z262" s="40"/>
      <c r="AA262" s="40"/>
      <c r="AB262" s="40"/>
      <c r="AC262" s="40"/>
      <c r="AD262" s="40"/>
      <c r="AE262" s="40"/>
      <c r="AF262" s="40"/>
      <c r="AG262" s="40"/>
      <c r="AH262" s="40"/>
      <c r="AI262" s="40"/>
      <c r="AJ262" s="40"/>
      <c r="AK262" s="40"/>
      <c r="AL262" s="40"/>
      <c r="AM262" s="40"/>
      <c r="AN262" s="40"/>
      <c r="AO262" s="40"/>
      <c r="AP262" s="40"/>
      <c r="AQ262" s="40"/>
    </row>
    <row r="263" spans="1:43" customFormat="1" ht="18" customHeight="1">
      <c r="A263" s="67"/>
      <c r="B263" s="1377" t="s">
        <v>603</v>
      </c>
      <c r="C263" s="1378"/>
      <c r="D263" s="1378"/>
      <c r="E263" s="1378"/>
      <c r="F263" s="1378"/>
      <c r="G263" s="1378"/>
      <c r="H263" s="1378"/>
      <c r="I263" s="1379"/>
      <c r="J263" s="1379"/>
      <c r="K263" s="1379"/>
      <c r="L263" s="1379"/>
      <c r="M263" s="1379"/>
      <c r="N263" s="1358">
        <f>M264+1</f>
        <v>2020</v>
      </c>
      <c r="O263" s="1358">
        <f>N263+1</f>
        <v>2021</v>
      </c>
      <c r="P263" s="1358">
        <f>O263+1</f>
        <v>2022</v>
      </c>
      <c r="Q263" s="1359"/>
      <c r="R263" s="1360"/>
      <c r="S263" s="2418"/>
      <c r="T263" s="40"/>
      <c r="U263" s="40"/>
      <c r="V263" s="40"/>
      <c r="W263" s="40"/>
      <c r="X263" s="40"/>
      <c r="Y263" s="40"/>
      <c r="Z263" s="40"/>
      <c r="AA263" s="40"/>
      <c r="AB263" s="40"/>
      <c r="AC263" s="40"/>
      <c r="AD263" s="40"/>
      <c r="AE263" s="40"/>
      <c r="AF263" s="40"/>
      <c r="AG263" s="40"/>
      <c r="AH263" s="40"/>
      <c r="AI263" s="40"/>
      <c r="AJ263" s="40"/>
      <c r="AK263" s="40"/>
      <c r="AL263" s="40"/>
      <c r="AM263" s="40"/>
      <c r="AN263" s="40"/>
      <c r="AO263" s="40"/>
      <c r="AP263" s="40"/>
      <c r="AQ263" s="40"/>
    </row>
    <row r="264" spans="1:43" customFormat="1" ht="18" customHeight="1">
      <c r="A264" s="68"/>
      <c r="B264" s="919"/>
      <c r="C264" s="1361"/>
      <c r="D264" s="1361"/>
      <c r="E264" s="1361"/>
      <c r="F264" s="1361"/>
      <c r="G264" s="1361"/>
      <c r="H264" s="1362"/>
      <c r="I264" s="1363">
        <f>利润表!I3</f>
        <v>2015</v>
      </c>
      <c r="J264" s="1364">
        <f>利润表!J3</f>
        <v>2016</v>
      </c>
      <c r="K264" s="1364">
        <f>利润表!K3</f>
        <v>2017</v>
      </c>
      <c r="L264" s="1364">
        <f>利润表!L3</f>
        <v>2018</v>
      </c>
      <c r="M264" s="1364">
        <f>利润表!M3</f>
        <v>2019</v>
      </c>
      <c r="N264" s="1364" t="str">
        <f>利润表!N3</f>
        <v>2020E</v>
      </c>
      <c r="O264" s="1364" t="str">
        <f>利润表!O3</f>
        <v>2021E</v>
      </c>
      <c r="P264" s="1364" t="str">
        <f>利润表!P3</f>
        <v>2022E</v>
      </c>
      <c r="Q264" s="1364" t="str">
        <f>利润表!Q3</f>
        <v>2023E</v>
      </c>
      <c r="R264" s="1365" t="str">
        <f>利润表!R3</f>
        <v>2024E</v>
      </c>
      <c r="S264" s="2418"/>
      <c r="T264" s="40"/>
      <c r="U264" s="40"/>
      <c r="V264" s="40"/>
      <c r="W264" s="40"/>
      <c r="X264" s="40"/>
      <c r="Y264" s="40"/>
      <c r="Z264" s="40"/>
      <c r="AA264" s="40"/>
      <c r="AB264" s="40"/>
      <c r="AC264" s="40"/>
      <c r="AD264" s="40"/>
      <c r="AE264" s="40"/>
      <c r="AF264" s="40"/>
      <c r="AG264" s="40"/>
      <c r="AH264" s="40"/>
      <c r="AI264" s="40"/>
      <c r="AJ264" s="40"/>
      <c r="AK264" s="40"/>
      <c r="AL264" s="40"/>
      <c r="AM264" s="40"/>
      <c r="AN264" s="40"/>
      <c r="AO264" s="40"/>
      <c r="AP264" s="40"/>
      <c r="AQ264" s="40"/>
    </row>
    <row r="265" spans="1:43" customFormat="1" ht="18" customHeight="1">
      <c r="A265" s="67"/>
      <c r="B265" s="2175" t="s">
        <v>604</v>
      </c>
      <c r="C265" s="1325"/>
      <c r="D265" s="1325"/>
      <c r="E265" s="1325"/>
      <c r="F265" s="1325"/>
      <c r="G265" s="1325"/>
      <c r="H265" s="1326"/>
      <c r="I265" s="1287">
        <f>I67</f>
        <v>402</v>
      </c>
      <c r="J265" s="1288">
        <f>J67</f>
        <v>402</v>
      </c>
      <c r="K265" s="1288">
        <f>K67</f>
        <v>402</v>
      </c>
      <c r="L265" s="1288">
        <f>L67</f>
        <v>522.6</v>
      </c>
      <c r="M265" s="1288">
        <f>M67</f>
        <v>522.6</v>
      </c>
      <c r="N265" s="1217">
        <f>N274</f>
        <v>522.6</v>
      </c>
      <c r="O265" s="1217">
        <f>O274</f>
        <v>522.6</v>
      </c>
      <c r="P265" s="1217">
        <f>P274</f>
        <v>522.6</v>
      </c>
      <c r="Q265" s="1217">
        <f>Q274</f>
        <v>522.6</v>
      </c>
      <c r="R265" s="1218">
        <f>R274</f>
        <v>522.6</v>
      </c>
      <c r="S265" s="2418"/>
      <c r="T265" s="40"/>
      <c r="U265" s="40"/>
      <c r="V265" s="40"/>
      <c r="W265" s="40"/>
      <c r="X265" s="40"/>
      <c r="Y265" s="40"/>
      <c r="Z265" s="40"/>
      <c r="AA265" s="40"/>
      <c r="AB265" s="40"/>
      <c r="AC265" s="40"/>
      <c r="AD265" s="40"/>
      <c r="AE265" s="40"/>
      <c r="AF265" s="40"/>
      <c r="AG265" s="40"/>
      <c r="AH265" s="40"/>
      <c r="AI265" s="40"/>
      <c r="AJ265" s="40"/>
      <c r="AK265" s="40"/>
      <c r="AL265" s="40"/>
      <c r="AM265" s="40"/>
      <c r="AN265" s="40"/>
      <c r="AO265" s="40"/>
      <c r="AP265" s="40"/>
      <c r="AQ265" s="40"/>
    </row>
    <row r="266" spans="1:43" customFormat="1" ht="18" customHeight="1">
      <c r="A266" s="67"/>
      <c r="B266" s="1769" t="s">
        <v>555</v>
      </c>
      <c r="C266" s="1333"/>
      <c r="D266" s="1333"/>
      <c r="E266" s="1333"/>
      <c r="F266" s="1333"/>
      <c r="G266" s="1333"/>
      <c r="H266" s="1337"/>
      <c r="I266" s="1287">
        <f>I93</f>
        <v>402</v>
      </c>
      <c r="J266" s="1288">
        <f t="shared" ref="J266:R266" si="111">I274</f>
        <v>402</v>
      </c>
      <c r="K266" s="1288">
        <f t="shared" si="111"/>
        <v>402</v>
      </c>
      <c r="L266" s="1288">
        <f t="shared" si="111"/>
        <v>402</v>
      </c>
      <c r="M266" s="1288">
        <f t="shared" si="111"/>
        <v>522.6</v>
      </c>
      <c r="N266" s="1217">
        <f t="shared" si="111"/>
        <v>522.6</v>
      </c>
      <c r="O266" s="1217">
        <f t="shared" si="111"/>
        <v>522.6</v>
      </c>
      <c r="P266" s="1217">
        <f t="shared" si="111"/>
        <v>522.6</v>
      </c>
      <c r="Q266" s="1217">
        <f t="shared" si="111"/>
        <v>522.6</v>
      </c>
      <c r="R266" s="1218">
        <f t="shared" si="111"/>
        <v>522.6</v>
      </c>
      <c r="S266" s="2418"/>
      <c r="T266" s="40"/>
      <c r="U266" s="40"/>
      <c r="V266" s="40"/>
      <c r="W266" s="40"/>
      <c r="X266" s="40"/>
      <c r="Y266" s="40"/>
      <c r="Z266" s="40"/>
      <c r="AA266" s="40"/>
      <c r="AB266" s="40"/>
      <c r="AC266" s="40"/>
      <c r="AD266" s="40"/>
      <c r="AE266" s="40"/>
      <c r="AF266" s="40"/>
      <c r="AG266" s="40"/>
      <c r="AH266" s="40"/>
      <c r="AI266" s="40"/>
      <c r="AJ266" s="40"/>
      <c r="AK266" s="40"/>
      <c r="AL266" s="40"/>
      <c r="AM266" s="40"/>
      <c r="AN266" s="40"/>
      <c r="AO266" s="40"/>
      <c r="AP266" s="40"/>
      <c r="AQ266" s="40"/>
    </row>
    <row r="267" spans="1:43" customFormat="1" ht="18" customHeight="1">
      <c r="A267" s="74"/>
      <c r="B267" s="2187" t="s">
        <v>605</v>
      </c>
      <c r="C267" s="1345"/>
      <c r="D267" s="1345"/>
      <c r="E267" s="1345"/>
      <c r="F267" s="1345"/>
      <c r="G267" s="1345"/>
      <c r="H267" s="1346"/>
      <c r="I267" s="1310">
        <v>0</v>
      </c>
      <c r="J267" s="1311">
        <v>0</v>
      </c>
      <c r="K267" s="1311">
        <v>0</v>
      </c>
      <c r="L267" s="1311">
        <v>0</v>
      </c>
      <c r="M267" s="1311">
        <v>0</v>
      </c>
      <c r="N267" s="1885">
        <f>N268*公司说明!$E$9</f>
        <v>0</v>
      </c>
      <c r="O267" s="1885">
        <f>O268*公司说明!$E$9</f>
        <v>0</v>
      </c>
      <c r="P267" s="1885">
        <f>P268*公司说明!$E$9</f>
        <v>0</v>
      </c>
      <c r="Q267" s="1885">
        <f>Q268*公司说明!$E$9</f>
        <v>0</v>
      </c>
      <c r="R267" s="1886">
        <f>R268*公司说明!$E$9</f>
        <v>0</v>
      </c>
      <c r="S267" s="2418"/>
      <c r="T267" s="40"/>
      <c r="U267" s="40"/>
      <c r="V267" s="40"/>
      <c r="W267" s="40"/>
      <c r="X267" s="40"/>
      <c r="Y267" s="40"/>
      <c r="Z267" s="40"/>
      <c r="AA267" s="40"/>
      <c r="AB267" s="40"/>
      <c r="AC267" s="40"/>
      <c r="AD267" s="40"/>
      <c r="AE267" s="40"/>
      <c r="AF267" s="40"/>
      <c r="AG267" s="40"/>
      <c r="AH267" s="40"/>
      <c r="AI267" s="40"/>
      <c r="AJ267" s="40"/>
      <c r="AK267" s="40"/>
      <c r="AL267" s="40"/>
      <c r="AM267" s="40"/>
      <c r="AN267" s="40"/>
      <c r="AO267" s="40"/>
      <c r="AP267" s="40"/>
      <c r="AQ267" s="40"/>
    </row>
    <row r="268" spans="1:43" customFormat="1" ht="18" customHeight="1">
      <c r="A268" s="74"/>
      <c r="B268" s="2189" t="s">
        <v>311</v>
      </c>
      <c r="C268" s="1343">
        <v>102</v>
      </c>
      <c r="D268" s="1343">
        <v>7</v>
      </c>
      <c r="E268" s="1343">
        <v>7</v>
      </c>
      <c r="F268" s="1343"/>
      <c r="G268" s="1343"/>
      <c r="H268" s="1327">
        <f>N268</f>
        <v>0</v>
      </c>
      <c r="I268" s="1310">
        <v>0</v>
      </c>
      <c r="J268" s="1311">
        <v>0</v>
      </c>
      <c r="K268" s="1311">
        <v>0</v>
      </c>
      <c r="L268" s="1311">
        <v>0</v>
      </c>
      <c r="M268" s="1311">
        <v>0</v>
      </c>
      <c r="N268" s="1885">
        <f>0</f>
        <v>0</v>
      </c>
      <c r="O268" s="1885">
        <f>0</f>
        <v>0</v>
      </c>
      <c r="P268" s="1885">
        <f>0</f>
        <v>0</v>
      </c>
      <c r="Q268" s="1885">
        <f>0</f>
        <v>0</v>
      </c>
      <c r="R268" s="1886">
        <f>0</f>
        <v>0</v>
      </c>
      <c r="S268" s="2418"/>
      <c r="T268" s="40"/>
      <c r="U268" s="40"/>
      <c r="V268" s="40"/>
      <c r="W268" s="40"/>
      <c r="X268" s="40"/>
      <c r="Y268" s="40"/>
      <c r="Z268" s="40"/>
      <c r="AA268" s="40"/>
      <c r="AB268" s="40"/>
      <c r="AC268" s="40"/>
      <c r="AD268" s="40"/>
      <c r="AE268" s="40"/>
      <c r="AF268" s="40"/>
      <c r="AG268" s="40"/>
      <c r="AH268" s="40"/>
      <c r="AI268" s="40"/>
      <c r="AJ268" s="40"/>
      <c r="AK268" s="40"/>
      <c r="AL268" s="40"/>
      <c r="AM268" s="40"/>
      <c r="AN268" s="40"/>
      <c r="AO268" s="40"/>
      <c r="AP268" s="40"/>
      <c r="AQ268" s="40"/>
    </row>
    <row r="269" spans="1:43" customFormat="1" ht="18" customHeight="1">
      <c r="A269" s="74"/>
      <c r="B269" s="2189" t="s">
        <v>313</v>
      </c>
      <c r="C269" s="1343">
        <v>102</v>
      </c>
      <c r="D269" s="1343">
        <v>7</v>
      </c>
      <c r="E269" s="1343">
        <v>7</v>
      </c>
      <c r="F269" s="1343"/>
      <c r="G269" s="1343"/>
      <c r="H269" s="1327">
        <f>N269</f>
        <v>0</v>
      </c>
      <c r="I269" s="1310">
        <v>0</v>
      </c>
      <c r="J269" s="1311">
        <v>0</v>
      </c>
      <c r="K269" s="1311">
        <v>0</v>
      </c>
      <c r="L269" s="1311">
        <v>0</v>
      </c>
      <c r="M269" s="1311">
        <v>0</v>
      </c>
      <c r="N269" s="1885">
        <f>0</f>
        <v>0</v>
      </c>
      <c r="O269" s="1885">
        <f>0</f>
        <v>0</v>
      </c>
      <c r="P269" s="1885">
        <f>0</f>
        <v>0</v>
      </c>
      <c r="Q269" s="1885">
        <f>0</f>
        <v>0</v>
      </c>
      <c r="R269" s="1886">
        <f>0</f>
        <v>0</v>
      </c>
      <c r="S269" s="2418"/>
      <c r="T269" s="40"/>
      <c r="U269" s="40"/>
      <c r="V269" s="40"/>
      <c r="W269" s="40"/>
      <c r="X269" s="40"/>
      <c r="Y269" s="40"/>
      <c r="Z269" s="40"/>
      <c r="AA269" s="40"/>
      <c r="AB269" s="40"/>
      <c r="AC269" s="40"/>
      <c r="AD269" s="40"/>
      <c r="AE269" s="40"/>
      <c r="AF269" s="40"/>
      <c r="AG269" s="40"/>
      <c r="AH269" s="40"/>
      <c r="AI269" s="40"/>
      <c r="AJ269" s="40"/>
      <c r="AK269" s="40"/>
      <c r="AL269" s="40"/>
      <c r="AM269" s="40"/>
      <c r="AN269" s="40"/>
      <c r="AO269" s="40"/>
      <c r="AP269" s="40"/>
      <c r="AQ269" s="40"/>
    </row>
    <row r="270" spans="1:43" customFormat="1" ht="18" customHeight="1">
      <c r="A270" s="74"/>
      <c r="B270" s="2189" t="s">
        <v>606</v>
      </c>
      <c r="C270" s="1343"/>
      <c r="D270" s="1343"/>
      <c r="E270" s="1343"/>
      <c r="F270" s="1343"/>
      <c r="G270" s="1343"/>
      <c r="H270" s="1327"/>
      <c r="I270" s="1310">
        <v>0</v>
      </c>
      <c r="J270" s="1311">
        <v>0</v>
      </c>
      <c r="K270" s="1311">
        <v>0</v>
      </c>
      <c r="L270" s="1311">
        <v>0</v>
      </c>
      <c r="M270" s="1311">
        <v>0</v>
      </c>
      <c r="N270" s="1217">
        <f>N268*N269</f>
        <v>0</v>
      </c>
      <c r="O270" s="1217">
        <f>O268*O269</f>
        <v>0</v>
      </c>
      <c r="P270" s="1217">
        <f>P268*P269</f>
        <v>0</v>
      </c>
      <c r="Q270" s="1217">
        <f>Q268*Q269</f>
        <v>0</v>
      </c>
      <c r="R270" s="1218">
        <f>R268*R269</f>
        <v>0</v>
      </c>
      <c r="S270" s="2418"/>
      <c r="T270" s="40"/>
      <c r="U270" s="40"/>
      <c r="V270" s="40"/>
      <c r="W270" s="40"/>
      <c r="X270" s="40"/>
      <c r="Y270" s="40"/>
      <c r="Z270" s="40"/>
      <c r="AA270" s="40"/>
      <c r="AB270" s="40"/>
      <c r="AC270" s="40"/>
      <c r="AD270" s="40"/>
      <c r="AE270" s="40"/>
      <c r="AF270" s="40"/>
      <c r="AG270" s="40"/>
      <c r="AH270" s="40"/>
      <c r="AI270" s="40"/>
      <c r="AJ270" s="40"/>
      <c r="AK270" s="40"/>
      <c r="AL270" s="40"/>
      <c r="AM270" s="40"/>
      <c r="AN270" s="40"/>
      <c r="AO270" s="40"/>
      <c r="AP270" s="40"/>
      <c r="AQ270" s="40"/>
    </row>
    <row r="271" spans="1:43" customFormat="1" ht="18" customHeight="1">
      <c r="A271" s="74"/>
      <c r="B271" s="2187" t="s">
        <v>607</v>
      </c>
      <c r="C271" s="1345"/>
      <c r="D271" s="1345"/>
      <c r="E271" s="1345"/>
      <c r="F271" s="1345"/>
      <c r="G271" s="1345"/>
      <c r="H271" s="1346"/>
      <c r="I271" s="1310">
        <v>0</v>
      </c>
      <c r="J271" s="1311">
        <v>0</v>
      </c>
      <c r="K271" s="1311">
        <v>0</v>
      </c>
      <c r="L271" s="1311">
        <v>0</v>
      </c>
      <c r="M271" s="1311">
        <v>0</v>
      </c>
      <c r="N271" s="1217">
        <f>N309</f>
        <v>0</v>
      </c>
      <c r="O271" s="1217">
        <f>O309</f>
        <v>0</v>
      </c>
      <c r="P271" s="1217">
        <f>P309</f>
        <v>0</v>
      </c>
      <c r="Q271" s="1217">
        <f>Q309</f>
        <v>0</v>
      </c>
      <c r="R271" s="1218">
        <f>R309</f>
        <v>0</v>
      </c>
      <c r="S271" s="2418"/>
      <c r="T271" s="40"/>
      <c r="U271" s="40"/>
      <c r="V271" s="40"/>
      <c r="W271" s="40"/>
      <c r="X271" s="40"/>
      <c r="Y271" s="40"/>
      <c r="Z271" s="40"/>
      <c r="AA271" s="40"/>
      <c r="AB271" s="40"/>
      <c r="AC271" s="40"/>
      <c r="AD271" s="40"/>
      <c r="AE271" s="40"/>
      <c r="AF271" s="40"/>
      <c r="AG271" s="40"/>
      <c r="AH271" s="40"/>
      <c r="AI271" s="40"/>
      <c r="AJ271" s="40"/>
      <c r="AK271" s="40"/>
      <c r="AL271" s="40"/>
      <c r="AM271" s="40"/>
      <c r="AN271" s="40"/>
      <c r="AO271" s="40"/>
      <c r="AP271" s="40"/>
      <c r="AQ271" s="40"/>
    </row>
    <row r="272" spans="1:43" customFormat="1" ht="18" customHeight="1">
      <c r="A272" s="74"/>
      <c r="B272" s="2187" t="s">
        <v>608</v>
      </c>
      <c r="C272" s="1345"/>
      <c r="D272" s="1345"/>
      <c r="E272" s="1345"/>
      <c r="F272" s="1345"/>
      <c r="G272" s="1345"/>
      <c r="H272" s="1346"/>
      <c r="I272" s="1310">
        <v>0</v>
      </c>
      <c r="J272" s="1311">
        <v>0</v>
      </c>
      <c r="K272" s="1311">
        <v>0</v>
      </c>
      <c r="L272" s="1311">
        <v>0</v>
      </c>
      <c r="M272" s="1311">
        <v>0</v>
      </c>
      <c r="N272" s="1885">
        <f>N286</f>
        <v>0</v>
      </c>
      <c r="O272" s="1885">
        <f t="shared" ref="O272:R272" si="112">O286</f>
        <v>0</v>
      </c>
      <c r="P272" s="1885">
        <f t="shared" si="112"/>
        <v>0</v>
      </c>
      <c r="Q272" s="1885">
        <f t="shared" si="112"/>
        <v>0</v>
      </c>
      <c r="R272" s="1886">
        <f t="shared" si="112"/>
        <v>0</v>
      </c>
      <c r="S272" s="2418"/>
      <c r="T272" s="40"/>
      <c r="U272" s="40"/>
      <c r="V272" s="40"/>
      <c r="W272" s="40"/>
      <c r="X272" s="40"/>
      <c r="Y272" s="40"/>
      <c r="Z272" s="40"/>
      <c r="AA272" s="40"/>
      <c r="AB272" s="40"/>
      <c r="AC272" s="40"/>
      <c r="AD272" s="40"/>
      <c r="AE272" s="40"/>
      <c r="AF272" s="40"/>
      <c r="AG272" s="40"/>
      <c r="AH272" s="40"/>
      <c r="AI272" s="40"/>
      <c r="AJ272" s="40"/>
      <c r="AK272" s="40"/>
      <c r="AL272" s="40"/>
      <c r="AM272" s="40"/>
      <c r="AN272" s="40"/>
      <c r="AO272" s="40"/>
      <c r="AP272" s="40"/>
      <c r="AQ272" s="40"/>
    </row>
    <row r="273" spans="1:43" customFormat="1" ht="18" customHeight="1">
      <c r="A273" s="74"/>
      <c r="B273" s="2187" t="s">
        <v>315</v>
      </c>
      <c r="C273" s="1345">
        <v>102</v>
      </c>
      <c r="D273" s="1345">
        <v>7</v>
      </c>
      <c r="E273" s="1345">
        <v>7</v>
      </c>
      <c r="F273" s="1345"/>
      <c r="G273" s="1345"/>
      <c r="H273" s="1346">
        <f>N273</f>
        <v>0</v>
      </c>
      <c r="I273" s="1310">
        <v>0</v>
      </c>
      <c r="J273" s="1311">
        <v>0</v>
      </c>
      <c r="K273" s="1311">
        <v>0</v>
      </c>
      <c r="L273" s="1311">
        <v>0</v>
      </c>
      <c r="M273" s="1311">
        <v>0</v>
      </c>
      <c r="N273" s="1885">
        <f>0</f>
        <v>0</v>
      </c>
      <c r="O273" s="1885">
        <f>0</f>
        <v>0</v>
      </c>
      <c r="P273" s="1885">
        <f>0</f>
        <v>0</v>
      </c>
      <c r="Q273" s="1885">
        <f>0</f>
        <v>0</v>
      </c>
      <c r="R273" s="1886">
        <f>0</f>
        <v>0</v>
      </c>
      <c r="S273" s="2418"/>
      <c r="T273" s="40"/>
      <c r="U273" s="40"/>
      <c r="V273" s="40"/>
      <c r="W273" s="40"/>
      <c r="X273" s="40"/>
      <c r="Y273" s="40"/>
      <c r="Z273" s="40"/>
      <c r="AA273" s="40"/>
      <c r="AB273" s="40"/>
      <c r="AC273" s="40"/>
      <c r="AD273" s="40"/>
      <c r="AE273" s="40"/>
      <c r="AF273" s="40"/>
      <c r="AG273" s="40"/>
      <c r="AH273" s="40"/>
      <c r="AI273" s="40"/>
      <c r="AJ273" s="40"/>
      <c r="AK273" s="40"/>
      <c r="AL273" s="40"/>
      <c r="AM273" s="40"/>
      <c r="AN273" s="40"/>
      <c r="AO273" s="40"/>
      <c r="AP273" s="40"/>
      <c r="AQ273" s="40"/>
    </row>
    <row r="274" spans="1:43" customFormat="1" ht="18" customHeight="1">
      <c r="A274" s="68"/>
      <c r="B274" s="1768" t="s">
        <v>609</v>
      </c>
      <c r="C274" s="1336"/>
      <c r="D274" s="1336"/>
      <c r="E274" s="1336"/>
      <c r="F274" s="1336"/>
      <c r="G274" s="1336"/>
      <c r="H274" s="1369"/>
      <c r="I274" s="1287">
        <f>I67</f>
        <v>402</v>
      </c>
      <c r="J274" s="1288">
        <f>J67</f>
        <v>402</v>
      </c>
      <c r="K274" s="1288">
        <f>K67</f>
        <v>402</v>
      </c>
      <c r="L274" s="1288">
        <f>L67</f>
        <v>522.6</v>
      </c>
      <c r="M274" s="1288">
        <f>M67</f>
        <v>522.6</v>
      </c>
      <c r="N274" s="1217">
        <f>N266+N267+N271+N272+N273</f>
        <v>522.6</v>
      </c>
      <c r="O274" s="1217">
        <f>O266+O267+O271+O272+O273</f>
        <v>522.6</v>
      </c>
      <c r="P274" s="1217">
        <f>P266+P267+P271+P272+P273</f>
        <v>522.6</v>
      </c>
      <c r="Q274" s="1217">
        <f>Q266+Q267+Q271+Q272+Q273</f>
        <v>522.6</v>
      </c>
      <c r="R274" s="1218">
        <f>R266+R267+R271+R272+R273</f>
        <v>522.6</v>
      </c>
      <c r="S274" s="2418"/>
      <c r="T274" s="40"/>
      <c r="U274" s="40"/>
      <c r="V274" s="40"/>
      <c r="W274" s="40"/>
      <c r="X274" s="40"/>
      <c r="Y274" s="40"/>
      <c r="Z274" s="40"/>
      <c r="AA274" s="40"/>
      <c r="AB274" s="40"/>
      <c r="AC274" s="40"/>
      <c r="AD274" s="40"/>
      <c r="AE274" s="40"/>
      <c r="AF274" s="40"/>
      <c r="AG274" s="40"/>
      <c r="AH274" s="40"/>
      <c r="AI274" s="40"/>
      <c r="AJ274" s="40"/>
      <c r="AK274" s="40"/>
      <c r="AL274" s="40"/>
      <c r="AM274" s="40"/>
      <c r="AN274" s="40"/>
      <c r="AO274" s="40"/>
      <c r="AP274" s="40"/>
      <c r="AQ274" s="40"/>
    </row>
    <row r="275" spans="1:43" customFormat="1" ht="18" customHeight="1">
      <c r="A275" s="68"/>
      <c r="B275" s="1768"/>
      <c r="C275" s="1336"/>
      <c r="D275" s="1336"/>
      <c r="E275" s="1336"/>
      <c r="F275" s="1336"/>
      <c r="G275" s="1336"/>
      <c r="H275" s="1369"/>
      <c r="I275" s="1298"/>
      <c r="J275" s="1217"/>
      <c r="K275" s="1217"/>
      <c r="L275" s="1217"/>
      <c r="M275" s="1217"/>
      <c r="N275" s="1217"/>
      <c r="O275" s="1217"/>
      <c r="P275" s="1217"/>
      <c r="Q275" s="1217"/>
      <c r="R275" s="1218"/>
      <c r="S275" s="2418"/>
      <c r="T275" s="40"/>
      <c r="U275" s="40"/>
      <c r="V275" s="40"/>
      <c r="W275" s="40"/>
      <c r="X275" s="40"/>
      <c r="Y275" s="40"/>
      <c r="Z275" s="40"/>
      <c r="AA275" s="40"/>
      <c r="AB275" s="40"/>
      <c r="AC275" s="40"/>
      <c r="AD275" s="40"/>
      <c r="AE275" s="40"/>
      <c r="AF275" s="40"/>
      <c r="AG275" s="40"/>
      <c r="AH275" s="40"/>
      <c r="AI275" s="40"/>
      <c r="AJ275" s="40"/>
      <c r="AK275" s="40"/>
      <c r="AL275" s="40"/>
      <c r="AM275" s="40"/>
      <c r="AN275" s="40"/>
      <c r="AO275" s="40"/>
      <c r="AP275" s="40"/>
      <c r="AQ275" s="40"/>
    </row>
    <row r="276" spans="1:43" customFormat="1" ht="18" customHeight="1">
      <c r="A276" s="68"/>
      <c r="B276" s="919" t="s">
        <v>1141</v>
      </c>
      <c r="C276" s="1345">
        <v>102</v>
      </c>
      <c r="D276" s="1345">
        <v>7</v>
      </c>
      <c r="E276" s="1345">
        <v>7</v>
      </c>
      <c r="F276" s="1345"/>
      <c r="G276" s="1345"/>
      <c r="H276" s="1346">
        <f>N276</f>
        <v>0</v>
      </c>
      <c r="I276" s="1287">
        <f>I68</f>
        <v>0</v>
      </c>
      <c r="J276" s="1287">
        <f>J68</f>
        <v>0</v>
      </c>
      <c r="K276" s="1287">
        <f>K68</f>
        <v>0</v>
      </c>
      <c r="L276" s="1287">
        <f>L68</f>
        <v>0</v>
      </c>
      <c r="M276" s="1287">
        <f>M68</f>
        <v>207.44708469999998</v>
      </c>
      <c r="N276" s="1896"/>
      <c r="O276" s="1896"/>
      <c r="P276" s="1896"/>
      <c r="Q276" s="1896"/>
      <c r="R276" s="1897"/>
      <c r="S276" s="2418"/>
      <c r="T276" s="40"/>
      <c r="U276" s="40"/>
      <c r="V276" s="40"/>
      <c r="W276" s="40"/>
      <c r="X276" s="40"/>
      <c r="Y276" s="40"/>
      <c r="Z276" s="40"/>
      <c r="AA276" s="40"/>
      <c r="AB276" s="40"/>
      <c r="AC276" s="40"/>
      <c r="AD276" s="40"/>
      <c r="AE276" s="40"/>
      <c r="AF276" s="40"/>
      <c r="AG276" s="40"/>
      <c r="AH276" s="40"/>
      <c r="AI276" s="40"/>
      <c r="AJ276" s="40"/>
      <c r="AK276" s="40"/>
      <c r="AL276" s="40"/>
      <c r="AM276" s="40"/>
      <c r="AN276" s="40"/>
      <c r="AO276" s="40"/>
      <c r="AP276" s="40"/>
      <c r="AQ276" s="40"/>
    </row>
    <row r="277" spans="1:43" customFormat="1" ht="18" customHeight="1">
      <c r="A277" s="67"/>
      <c r="B277" s="2175"/>
      <c r="C277" s="1325"/>
      <c r="D277" s="1325"/>
      <c r="E277" s="1325"/>
      <c r="F277" s="1325"/>
      <c r="G277" s="1325"/>
      <c r="H277" s="1326"/>
      <c r="I277" s="1298"/>
      <c r="J277" s="1217"/>
      <c r="K277" s="1217"/>
      <c r="L277" s="1217"/>
      <c r="M277" s="1217"/>
      <c r="N277" s="1217"/>
      <c r="O277" s="1217"/>
      <c r="P277" s="1217"/>
      <c r="Q277" s="1217"/>
      <c r="R277" s="1218"/>
      <c r="S277" s="2418"/>
      <c r="T277" s="40"/>
      <c r="U277" s="40"/>
      <c r="V277" s="40"/>
      <c r="W277" s="40"/>
      <c r="X277" s="40"/>
      <c r="Y277" s="40"/>
      <c r="Z277" s="40"/>
      <c r="AA277" s="40"/>
      <c r="AB277" s="40"/>
      <c r="AC277" s="40"/>
      <c r="AD277" s="40"/>
      <c r="AE277" s="40"/>
      <c r="AF277" s="40"/>
      <c r="AG277" s="40"/>
      <c r="AH277" s="40"/>
      <c r="AI277" s="40"/>
      <c r="AJ277" s="40"/>
      <c r="AK277" s="40"/>
      <c r="AL277" s="40"/>
      <c r="AM277" s="40"/>
      <c r="AN277" s="40"/>
      <c r="AO277" s="40"/>
      <c r="AP277" s="40"/>
      <c r="AQ277" s="40"/>
    </row>
    <row r="278" spans="1:43" customFormat="1" ht="18" customHeight="1">
      <c r="A278" s="67"/>
      <c r="B278" s="2175" t="s">
        <v>144</v>
      </c>
      <c r="C278" s="1325"/>
      <c r="D278" s="1325"/>
      <c r="E278" s="1325"/>
      <c r="F278" s="1325"/>
      <c r="G278" s="1325"/>
      <c r="H278" s="1326"/>
      <c r="I278" s="1287">
        <f>I69</f>
        <v>1511.8309422100001</v>
      </c>
      <c r="J278" s="1288">
        <f>J69</f>
        <v>1511.8056089300001</v>
      </c>
      <c r="K278" s="1288">
        <f>K69</f>
        <v>1511.8056089300001</v>
      </c>
      <c r="L278" s="1288">
        <f>L69</f>
        <v>1391.01031685</v>
      </c>
      <c r="M278" s="1288">
        <f>M69</f>
        <v>1391.01031685</v>
      </c>
      <c r="N278" s="1217">
        <f>N288</f>
        <v>1391.01031685</v>
      </c>
      <c r="O278" s="1217">
        <f t="shared" ref="O278:R278" si="113">O288</f>
        <v>1391.01031685</v>
      </c>
      <c r="P278" s="1217">
        <f t="shared" si="113"/>
        <v>1391.01031685</v>
      </c>
      <c r="Q278" s="1217">
        <f t="shared" si="113"/>
        <v>1391.01031685</v>
      </c>
      <c r="R278" s="1218">
        <f t="shared" si="113"/>
        <v>1391.01031685</v>
      </c>
      <c r="S278" s="2418"/>
      <c r="T278" s="40"/>
      <c r="U278" s="40"/>
      <c r="V278" s="40"/>
      <c r="W278" s="40"/>
      <c r="X278" s="40"/>
      <c r="Y278" s="40"/>
      <c r="Z278" s="40"/>
      <c r="AA278" s="40"/>
      <c r="AB278" s="40"/>
      <c r="AC278" s="40"/>
      <c r="AD278" s="40"/>
      <c r="AE278" s="40"/>
      <c r="AF278" s="40"/>
      <c r="AG278" s="40"/>
      <c r="AH278" s="40"/>
      <c r="AI278" s="40"/>
      <c r="AJ278" s="40"/>
      <c r="AK278" s="40"/>
      <c r="AL278" s="40"/>
      <c r="AM278" s="40"/>
      <c r="AN278" s="40"/>
      <c r="AO278" s="40"/>
      <c r="AP278" s="40"/>
      <c r="AQ278" s="40"/>
    </row>
    <row r="279" spans="1:43" customFormat="1" ht="18" customHeight="1">
      <c r="A279" s="74"/>
      <c r="B279" s="2187" t="s">
        <v>556</v>
      </c>
      <c r="C279" s="1345"/>
      <c r="D279" s="1345"/>
      <c r="E279" s="1345"/>
      <c r="F279" s="1345"/>
      <c r="G279" s="1345"/>
      <c r="H279" s="1346"/>
      <c r="I279" s="1287">
        <f>I94</f>
        <v>1511.8309422100001</v>
      </c>
      <c r="J279" s="1288">
        <f t="shared" ref="J279:N279" si="114">I288</f>
        <v>1511.8309422100001</v>
      </c>
      <c r="K279" s="1288">
        <f t="shared" si="114"/>
        <v>1511.8056089300001</v>
      </c>
      <c r="L279" s="1288">
        <f t="shared" si="114"/>
        <v>1511.8056089300001</v>
      </c>
      <c r="M279" s="1288">
        <f t="shared" si="114"/>
        <v>1391.01031685</v>
      </c>
      <c r="N279" s="1217">
        <f t="shared" si="114"/>
        <v>1391.01031685</v>
      </c>
      <c r="O279" s="1217">
        <f t="shared" ref="O279" si="115">N288</f>
        <v>1391.01031685</v>
      </c>
      <c r="P279" s="1217">
        <f t="shared" ref="P279" si="116">O288</f>
        <v>1391.01031685</v>
      </c>
      <c r="Q279" s="1217">
        <f t="shared" ref="Q279" si="117">P288</f>
        <v>1391.01031685</v>
      </c>
      <c r="R279" s="1218">
        <f t="shared" ref="R279" si="118">Q288</f>
        <v>1391.01031685</v>
      </c>
      <c r="S279" s="2418"/>
      <c r="T279" s="40"/>
      <c r="U279" s="40"/>
      <c r="V279" s="40"/>
      <c r="W279" s="40"/>
      <c r="X279" s="40"/>
      <c r="Y279" s="40"/>
      <c r="Z279" s="40"/>
      <c r="AA279" s="40"/>
      <c r="AB279" s="40"/>
      <c r="AC279" s="40"/>
      <c r="AD279" s="40"/>
      <c r="AE279" s="40"/>
      <c r="AF279" s="40"/>
      <c r="AG279" s="40"/>
      <c r="AH279" s="40"/>
      <c r="AI279" s="40"/>
      <c r="AJ279" s="40"/>
      <c r="AK279" s="40"/>
      <c r="AL279" s="40"/>
      <c r="AM279" s="40"/>
      <c r="AN279" s="40"/>
      <c r="AO279" s="40"/>
      <c r="AP279" s="40"/>
      <c r="AQ279" s="40"/>
    </row>
    <row r="280" spans="1:43" customFormat="1" ht="18" customHeight="1">
      <c r="A280" s="75"/>
      <c r="B280" s="2188" t="s">
        <v>610</v>
      </c>
      <c r="C280" s="1380"/>
      <c r="D280" s="1380"/>
      <c r="E280" s="1380"/>
      <c r="F280" s="1380"/>
      <c r="G280" s="1380"/>
      <c r="H280" s="1381"/>
      <c r="I280" s="1287">
        <f>IF(I288-I279&gt;0,I288-I279,0)</f>
        <v>0</v>
      </c>
      <c r="J280" s="1288">
        <f>IF(J288-J279&gt;0,J288-J279,0)</f>
        <v>0</v>
      </c>
      <c r="K280" s="1288">
        <f>IF(K288-K279&gt;0,K288-K279,0)</f>
        <v>0</v>
      </c>
      <c r="L280" s="1288">
        <f>IF(L288-L279&gt;0,L288-L279,0)</f>
        <v>0</v>
      </c>
      <c r="M280" s="1288">
        <f>IF(M288-M279&gt;0,M288-M279,0)</f>
        <v>0</v>
      </c>
      <c r="N280" s="1217">
        <f>N281+N282+N283+N284</f>
        <v>0</v>
      </c>
      <c r="O280" s="1217">
        <f t="shared" ref="O280:R280" si="119">O281+O282+O283+O284</f>
        <v>0</v>
      </c>
      <c r="P280" s="1217">
        <f t="shared" si="119"/>
        <v>0</v>
      </c>
      <c r="Q280" s="1217">
        <f t="shared" si="119"/>
        <v>0</v>
      </c>
      <c r="R280" s="1218">
        <f t="shared" si="119"/>
        <v>0</v>
      </c>
      <c r="S280" s="2418"/>
      <c r="T280" s="40"/>
      <c r="U280" s="40"/>
      <c r="V280" s="40"/>
      <c r="W280" s="40"/>
      <c r="X280" s="40"/>
      <c r="Y280" s="40"/>
      <c r="Z280" s="40"/>
      <c r="AA280" s="40"/>
      <c r="AB280" s="40"/>
      <c r="AC280" s="40"/>
      <c r="AD280" s="40"/>
      <c r="AE280" s="40"/>
      <c r="AF280" s="40"/>
      <c r="AG280" s="40"/>
      <c r="AH280" s="40"/>
      <c r="AI280" s="40"/>
      <c r="AJ280" s="40"/>
      <c r="AK280" s="40"/>
      <c r="AL280" s="40"/>
      <c r="AM280" s="40"/>
      <c r="AN280" s="40"/>
      <c r="AO280" s="40"/>
      <c r="AP280" s="40"/>
      <c r="AQ280" s="40"/>
    </row>
    <row r="281" spans="1:43" customFormat="1" ht="18" customHeight="1">
      <c r="A281" s="74"/>
      <c r="B281" s="2189" t="s">
        <v>611</v>
      </c>
      <c r="C281" s="1343"/>
      <c r="D281" s="1343"/>
      <c r="E281" s="1343"/>
      <c r="F281" s="1343"/>
      <c r="G281" s="1343"/>
      <c r="H281" s="1327"/>
      <c r="I281" s="1310">
        <v>0</v>
      </c>
      <c r="J281" s="1311">
        <v>0</v>
      </c>
      <c r="K281" s="1311">
        <v>0</v>
      </c>
      <c r="L281" s="1311">
        <v>0</v>
      </c>
      <c r="M281" s="1311">
        <v>0</v>
      </c>
      <c r="N281" s="1217">
        <f>N270-N267</f>
        <v>0</v>
      </c>
      <c r="O281" s="1217">
        <f t="shared" ref="O281:R281" si="120">O270-O267</f>
        <v>0</v>
      </c>
      <c r="P281" s="1217">
        <f t="shared" si="120"/>
        <v>0</v>
      </c>
      <c r="Q281" s="1217">
        <f t="shared" si="120"/>
        <v>0</v>
      </c>
      <c r="R281" s="1218">
        <f t="shared" si="120"/>
        <v>0</v>
      </c>
      <c r="S281" s="2418"/>
      <c r="T281" s="40"/>
      <c r="U281" s="40"/>
      <c r="V281" s="40"/>
      <c r="W281" s="40"/>
      <c r="X281" s="40"/>
      <c r="Y281" s="40"/>
      <c r="Z281" s="40"/>
      <c r="AA281" s="40"/>
      <c r="AB281" s="40"/>
      <c r="AC281" s="40"/>
      <c r="AD281" s="40"/>
      <c r="AE281" s="40"/>
      <c r="AF281" s="40"/>
      <c r="AG281" s="40"/>
      <c r="AH281" s="40"/>
      <c r="AI281" s="40"/>
      <c r="AJ281" s="40"/>
      <c r="AK281" s="40"/>
      <c r="AL281" s="40"/>
      <c r="AM281" s="40"/>
      <c r="AN281" s="40"/>
      <c r="AO281" s="40"/>
      <c r="AP281" s="40"/>
      <c r="AQ281" s="40"/>
    </row>
    <row r="282" spans="1:43" customFormat="1" ht="18" customHeight="1">
      <c r="A282" s="74"/>
      <c r="B282" s="2189" t="s">
        <v>612</v>
      </c>
      <c r="C282" s="1343"/>
      <c r="D282" s="1343"/>
      <c r="E282" s="1343"/>
      <c r="F282" s="1343"/>
      <c r="G282" s="1343"/>
      <c r="H282" s="1327"/>
      <c r="I282" s="1310">
        <v>0</v>
      </c>
      <c r="J282" s="1311">
        <v>0</v>
      </c>
      <c r="K282" s="1311">
        <v>0</v>
      </c>
      <c r="L282" s="1311">
        <v>0</v>
      </c>
      <c r="M282" s="1311">
        <v>0</v>
      </c>
      <c r="N282" s="1217">
        <f>N248-N273</f>
        <v>0</v>
      </c>
      <c r="O282" s="1217">
        <f t="shared" ref="O282:R282" si="121">O248-O273</f>
        <v>0</v>
      </c>
      <c r="P282" s="1217">
        <f t="shared" si="121"/>
        <v>0</v>
      </c>
      <c r="Q282" s="1217">
        <f t="shared" si="121"/>
        <v>0</v>
      </c>
      <c r="R282" s="1218">
        <f t="shared" si="121"/>
        <v>0</v>
      </c>
      <c r="S282" s="2418"/>
      <c r="T282" s="40"/>
      <c r="U282" s="40"/>
      <c r="V282" s="40"/>
      <c r="W282" s="40"/>
      <c r="X282" s="40"/>
      <c r="Y282" s="40"/>
      <c r="Z282" s="40"/>
      <c r="AA282" s="40"/>
      <c r="AB282" s="40"/>
      <c r="AC282" s="40"/>
      <c r="AD282" s="40"/>
      <c r="AE282" s="40"/>
      <c r="AF282" s="40"/>
      <c r="AG282" s="40"/>
      <c r="AH282" s="40"/>
      <c r="AI282" s="40"/>
      <c r="AJ282" s="40"/>
      <c r="AK282" s="40"/>
      <c r="AL282" s="40"/>
      <c r="AM282" s="40"/>
      <c r="AN282" s="40"/>
      <c r="AO282" s="40"/>
      <c r="AP282" s="40"/>
      <c r="AQ282" s="40"/>
    </row>
    <row r="283" spans="1:43" customFormat="1" ht="18" customHeight="1">
      <c r="A283" s="75"/>
      <c r="B283" s="2194" t="s">
        <v>613</v>
      </c>
      <c r="C283" s="1344">
        <v>102</v>
      </c>
      <c r="D283" s="1344">
        <v>4</v>
      </c>
      <c r="E283" s="1344">
        <v>4</v>
      </c>
      <c r="F283" s="1344"/>
      <c r="G283" s="1344"/>
      <c r="H283" s="1298">
        <f>N283</f>
        <v>0</v>
      </c>
      <c r="I283" s="1287"/>
      <c r="J283" s="1288"/>
      <c r="K283" s="1288"/>
      <c r="L283" s="1288"/>
      <c r="M283" s="1288"/>
      <c r="N283" s="1896"/>
      <c r="O283" s="1896"/>
      <c r="P283" s="1896"/>
      <c r="Q283" s="1896"/>
      <c r="R283" s="1897"/>
      <c r="S283" s="2418"/>
      <c r="T283" s="40"/>
      <c r="U283" s="40"/>
      <c r="V283" s="40"/>
      <c r="W283" s="40"/>
      <c r="X283" s="40"/>
      <c r="Y283" s="40"/>
      <c r="Z283" s="40"/>
      <c r="AA283" s="40"/>
      <c r="AB283" s="40"/>
      <c r="AC283" s="40"/>
      <c r="AD283" s="40"/>
      <c r="AE283" s="40"/>
      <c r="AF283" s="40"/>
      <c r="AG283" s="40"/>
      <c r="AH283" s="40"/>
      <c r="AI283" s="40"/>
      <c r="AJ283" s="40"/>
      <c r="AK283" s="40"/>
      <c r="AL283" s="40"/>
      <c r="AM283" s="40"/>
      <c r="AN283" s="40"/>
      <c r="AO283" s="40"/>
      <c r="AP283" s="40"/>
      <c r="AQ283" s="40"/>
    </row>
    <row r="284" spans="1:43" customFormat="1" ht="18" customHeight="1">
      <c r="A284" s="74"/>
      <c r="B284" s="2189" t="s">
        <v>614</v>
      </c>
      <c r="C284" s="1343">
        <v>102</v>
      </c>
      <c r="D284" s="1343">
        <v>7</v>
      </c>
      <c r="E284" s="1343">
        <v>7</v>
      </c>
      <c r="F284" s="1343"/>
      <c r="G284" s="1343"/>
      <c r="H284" s="1327">
        <f>N284</f>
        <v>0</v>
      </c>
      <c r="I284" s="1310">
        <v>0</v>
      </c>
      <c r="J284" s="1311">
        <v>0</v>
      </c>
      <c r="K284" s="1311">
        <v>0</v>
      </c>
      <c r="L284" s="1311">
        <v>0</v>
      </c>
      <c r="M284" s="1311">
        <v>0</v>
      </c>
      <c r="N284" s="1294">
        <f>0</f>
        <v>0</v>
      </c>
      <c r="O284" s="1294">
        <f>0</f>
        <v>0</v>
      </c>
      <c r="P284" s="1294">
        <f>0</f>
        <v>0</v>
      </c>
      <c r="Q284" s="1294">
        <f>0</f>
        <v>0</v>
      </c>
      <c r="R284" s="1295">
        <f>0</f>
        <v>0</v>
      </c>
      <c r="S284" s="2418"/>
      <c r="T284" s="40"/>
      <c r="U284" s="40"/>
      <c r="V284" s="40"/>
      <c r="W284" s="40"/>
      <c r="X284" s="40"/>
      <c r="Y284" s="40"/>
      <c r="Z284" s="40"/>
      <c r="AA284" s="40"/>
      <c r="AB284" s="40"/>
      <c r="AC284" s="40"/>
      <c r="AD284" s="40"/>
      <c r="AE284" s="40"/>
      <c r="AF284" s="40"/>
      <c r="AG284" s="40"/>
      <c r="AH284" s="40"/>
      <c r="AI284" s="40"/>
      <c r="AJ284" s="40"/>
      <c r="AK284" s="40"/>
      <c r="AL284" s="40"/>
      <c r="AM284" s="40"/>
      <c r="AN284" s="40"/>
      <c r="AO284" s="40"/>
      <c r="AP284" s="40"/>
      <c r="AQ284" s="40"/>
    </row>
    <row r="285" spans="1:43" customFormat="1" ht="18" customHeight="1">
      <c r="A285" s="75"/>
      <c r="B285" s="2188" t="s">
        <v>615</v>
      </c>
      <c r="C285" s="1380"/>
      <c r="D285" s="1380"/>
      <c r="E285" s="1380"/>
      <c r="F285" s="1380"/>
      <c r="G285" s="1380"/>
      <c r="H285" s="1381"/>
      <c r="I285" s="1287">
        <f>IF(I288-I279&lt;0,I279-I288,0)</f>
        <v>0</v>
      </c>
      <c r="J285" s="1288">
        <f>IF(J288-J279&lt;0,J279-J288,0)</f>
        <v>2.5333280000040759E-2</v>
      </c>
      <c r="K285" s="1288">
        <f>IF(K288-K279&lt;0,K279-K288,0)</f>
        <v>0</v>
      </c>
      <c r="L285" s="1288">
        <f>IF(L288-L279&lt;0,L279-L288,0)</f>
        <v>120.79529208000008</v>
      </c>
      <c r="M285" s="1288">
        <f>IF(M288-M279&lt;0,M279-M288,0)</f>
        <v>0</v>
      </c>
      <c r="N285" s="1217">
        <f>N286+N287</f>
        <v>0</v>
      </c>
      <c r="O285" s="1217">
        <f t="shared" ref="O285:R285" si="122">O286+O287</f>
        <v>0</v>
      </c>
      <c r="P285" s="1217">
        <f t="shared" si="122"/>
        <v>0</v>
      </c>
      <c r="Q285" s="1217">
        <f t="shared" si="122"/>
        <v>0</v>
      </c>
      <c r="R285" s="1218">
        <f t="shared" si="122"/>
        <v>0</v>
      </c>
      <c r="S285" s="2418"/>
      <c r="T285" s="40"/>
      <c r="U285" s="40"/>
      <c r="V285" s="40"/>
      <c r="W285" s="40"/>
      <c r="X285" s="40"/>
      <c r="Y285" s="40"/>
      <c r="Z285" s="40"/>
      <c r="AA285" s="40"/>
      <c r="AB285" s="40"/>
      <c r="AC285" s="40"/>
      <c r="AD285" s="40"/>
      <c r="AE285" s="40"/>
      <c r="AF285" s="40"/>
      <c r="AG285" s="40"/>
      <c r="AH285" s="40"/>
      <c r="AI285" s="40"/>
      <c r="AJ285" s="40"/>
      <c r="AK285" s="40"/>
      <c r="AL285" s="40"/>
      <c r="AM285" s="40"/>
      <c r="AN285" s="40"/>
      <c r="AO285" s="40"/>
      <c r="AP285" s="40"/>
      <c r="AQ285" s="40"/>
    </row>
    <row r="286" spans="1:43" customFormat="1" ht="18" customHeight="1">
      <c r="A286" s="74"/>
      <c r="B286" s="2189" t="s">
        <v>616</v>
      </c>
      <c r="C286" s="1343">
        <v>102</v>
      </c>
      <c r="D286" s="1343">
        <v>7</v>
      </c>
      <c r="E286" s="1343">
        <v>7</v>
      </c>
      <c r="F286" s="1343"/>
      <c r="G286" s="1343"/>
      <c r="H286" s="1327">
        <f>N286</f>
        <v>0</v>
      </c>
      <c r="I286" s="1310">
        <v>0</v>
      </c>
      <c r="J286" s="1311">
        <v>0</v>
      </c>
      <c r="K286" s="1311">
        <v>0</v>
      </c>
      <c r="L286" s="1311">
        <v>0</v>
      </c>
      <c r="M286" s="1311">
        <v>0</v>
      </c>
      <c r="N286" s="1885">
        <f>0</f>
        <v>0</v>
      </c>
      <c r="O286" s="1885">
        <f>0</f>
        <v>0</v>
      </c>
      <c r="P286" s="1885">
        <f>0</f>
        <v>0</v>
      </c>
      <c r="Q286" s="1885">
        <f>0</f>
        <v>0</v>
      </c>
      <c r="R286" s="1886">
        <f>0</f>
        <v>0</v>
      </c>
      <c r="S286" s="2418"/>
      <c r="T286" s="40"/>
      <c r="U286" s="40"/>
      <c r="V286" s="40"/>
      <c r="W286" s="40"/>
      <c r="X286" s="40"/>
      <c r="Y286" s="40"/>
      <c r="Z286" s="40"/>
      <c r="AA286" s="40"/>
      <c r="AB286" s="40"/>
      <c r="AC286" s="40"/>
      <c r="AD286" s="40"/>
      <c r="AE286" s="40"/>
      <c r="AF286" s="40"/>
      <c r="AG286" s="40"/>
      <c r="AH286" s="40"/>
      <c r="AI286" s="40"/>
      <c r="AJ286" s="40"/>
      <c r="AK286" s="40"/>
      <c r="AL286" s="40"/>
      <c r="AM286" s="40"/>
      <c r="AN286" s="40"/>
      <c r="AO286" s="40"/>
      <c r="AP286" s="40"/>
      <c r="AQ286" s="40"/>
    </row>
    <row r="287" spans="1:43" customFormat="1" ht="18" customHeight="1">
      <c r="A287" s="74"/>
      <c r="B287" s="2189" t="s">
        <v>617</v>
      </c>
      <c r="C287" s="1343">
        <v>102</v>
      </c>
      <c r="D287" s="1343">
        <v>7</v>
      </c>
      <c r="E287" s="1343">
        <v>7</v>
      </c>
      <c r="F287" s="1343"/>
      <c r="G287" s="1343"/>
      <c r="H287" s="1327">
        <f>N287</f>
        <v>0</v>
      </c>
      <c r="I287" s="1310">
        <v>0</v>
      </c>
      <c r="J287" s="1311">
        <v>0</v>
      </c>
      <c r="K287" s="1311">
        <v>0</v>
      </c>
      <c r="L287" s="1311">
        <v>0</v>
      </c>
      <c r="M287" s="1311">
        <v>0</v>
      </c>
      <c r="N287" s="1885">
        <f>0</f>
        <v>0</v>
      </c>
      <c r="O287" s="1885">
        <f>0</f>
        <v>0</v>
      </c>
      <c r="P287" s="1885">
        <f>0</f>
        <v>0</v>
      </c>
      <c r="Q287" s="1885">
        <f>0</f>
        <v>0</v>
      </c>
      <c r="R287" s="1886">
        <f>0</f>
        <v>0</v>
      </c>
      <c r="S287" s="2418"/>
      <c r="T287" s="40"/>
      <c r="U287" s="40"/>
      <c r="V287" s="40"/>
      <c r="W287" s="40"/>
      <c r="X287" s="40"/>
      <c r="Y287" s="40"/>
      <c r="Z287" s="40"/>
      <c r="AA287" s="40"/>
      <c r="AB287" s="40"/>
      <c r="AC287" s="40"/>
      <c r="AD287" s="40"/>
      <c r="AE287" s="40"/>
      <c r="AF287" s="40"/>
      <c r="AG287" s="40"/>
      <c r="AH287" s="40"/>
      <c r="AI287" s="40"/>
      <c r="AJ287" s="40"/>
      <c r="AK287" s="40"/>
      <c r="AL287" s="40"/>
      <c r="AM287" s="40"/>
      <c r="AN287" s="40"/>
      <c r="AO287" s="40"/>
      <c r="AP287" s="40"/>
      <c r="AQ287" s="40"/>
    </row>
    <row r="288" spans="1:43" customFormat="1" ht="18" customHeight="1">
      <c r="A288" s="68"/>
      <c r="B288" s="1768" t="s">
        <v>618</v>
      </c>
      <c r="C288" s="1336"/>
      <c r="D288" s="1336"/>
      <c r="E288" s="1336"/>
      <c r="F288" s="1336"/>
      <c r="G288" s="1336"/>
      <c r="H288" s="1369"/>
      <c r="I288" s="1287">
        <f>I69</f>
        <v>1511.8309422100001</v>
      </c>
      <c r="J288" s="1288">
        <f>J69</f>
        <v>1511.8056089300001</v>
      </c>
      <c r="K288" s="1288">
        <f>K69</f>
        <v>1511.8056089300001</v>
      </c>
      <c r="L288" s="1288">
        <f>L69</f>
        <v>1391.01031685</v>
      </c>
      <c r="M288" s="1288">
        <f>M69</f>
        <v>1391.01031685</v>
      </c>
      <c r="N288" s="1217">
        <f>N279+N280-N285</f>
        <v>1391.01031685</v>
      </c>
      <c r="O288" s="1217">
        <f t="shared" ref="O288:R288" si="123">O279+O280-O285</f>
        <v>1391.01031685</v>
      </c>
      <c r="P288" s="1217">
        <f t="shared" si="123"/>
        <v>1391.01031685</v>
      </c>
      <c r="Q288" s="1217">
        <f t="shared" si="123"/>
        <v>1391.01031685</v>
      </c>
      <c r="R288" s="1218">
        <f t="shared" si="123"/>
        <v>1391.01031685</v>
      </c>
      <c r="S288" s="2418"/>
      <c r="T288" s="40"/>
      <c r="U288" s="40"/>
      <c r="V288" s="40"/>
      <c r="W288" s="40"/>
      <c r="X288" s="40"/>
      <c r="Y288" s="40"/>
      <c r="Z288" s="40"/>
      <c r="AA288" s="40"/>
      <c r="AB288" s="40"/>
      <c r="AC288" s="40"/>
      <c r="AD288" s="40"/>
      <c r="AE288" s="40"/>
      <c r="AF288" s="40"/>
      <c r="AG288" s="40"/>
      <c r="AH288" s="40"/>
      <c r="AI288" s="40"/>
      <c r="AJ288" s="40"/>
      <c r="AK288" s="40"/>
      <c r="AL288" s="40"/>
      <c r="AM288" s="40"/>
      <c r="AN288" s="40"/>
      <c r="AO288" s="40"/>
      <c r="AP288" s="40"/>
      <c r="AQ288" s="40"/>
    </row>
    <row r="289" spans="1:43" customFormat="1" ht="18" customHeight="1">
      <c r="A289" s="68"/>
      <c r="B289" s="919"/>
      <c r="C289" s="1336"/>
      <c r="D289" s="1336"/>
      <c r="E289" s="1336"/>
      <c r="F289" s="1336"/>
      <c r="G289" s="1336"/>
      <c r="H289" s="1369"/>
      <c r="I289" s="1298"/>
      <c r="J289" s="1217"/>
      <c r="K289" s="1217"/>
      <c r="L289" s="1217"/>
      <c r="M289" s="1217"/>
      <c r="N289" s="1217"/>
      <c r="O289" s="1217"/>
      <c r="P289" s="1217"/>
      <c r="Q289" s="1217"/>
      <c r="R289" s="1218"/>
      <c r="S289" s="2418"/>
      <c r="T289" s="40"/>
      <c r="U289" s="40"/>
      <c r="V289" s="40"/>
      <c r="W289" s="40"/>
      <c r="X289" s="40"/>
      <c r="Y289" s="40"/>
      <c r="Z289" s="40"/>
      <c r="AA289" s="40"/>
      <c r="AB289" s="40"/>
      <c r="AC289" s="40"/>
      <c r="AD289" s="40"/>
      <c r="AE289" s="40"/>
      <c r="AF289" s="40"/>
      <c r="AG289" s="40"/>
      <c r="AH289" s="40"/>
      <c r="AI289" s="40"/>
      <c r="AJ289" s="40"/>
      <c r="AK289" s="40"/>
      <c r="AL289" s="40"/>
      <c r="AM289" s="40"/>
      <c r="AN289" s="40"/>
      <c r="AO289" s="40"/>
      <c r="AP289" s="40"/>
      <c r="AQ289" s="40"/>
    </row>
    <row r="290" spans="1:43" customFormat="1" ht="18" customHeight="1">
      <c r="A290" s="67"/>
      <c r="B290" s="919" t="s">
        <v>542</v>
      </c>
      <c r="C290" s="1266">
        <v>102</v>
      </c>
      <c r="D290" s="1266">
        <v>6</v>
      </c>
      <c r="E290" s="1266">
        <v>6</v>
      </c>
      <c r="F290" s="1266"/>
      <c r="G290" s="1266"/>
      <c r="H290" s="1908">
        <f>N290</f>
        <v>0</v>
      </c>
      <c r="I290" s="1287">
        <f>I70</f>
        <v>0</v>
      </c>
      <c r="J290" s="1288">
        <f>J70</f>
        <v>0</v>
      </c>
      <c r="K290" s="1288">
        <f>K70</f>
        <v>0</v>
      </c>
      <c r="L290" s="1288">
        <f>L70</f>
        <v>0</v>
      </c>
      <c r="M290" s="1288">
        <f>M70</f>
        <v>0</v>
      </c>
      <c r="N290" s="1885">
        <f>M290</f>
        <v>0</v>
      </c>
      <c r="O290" s="1885">
        <f t="shared" ref="O290:R290" si="124">N290</f>
        <v>0</v>
      </c>
      <c r="P290" s="1885">
        <f t="shared" si="124"/>
        <v>0</v>
      </c>
      <c r="Q290" s="1885">
        <f t="shared" si="124"/>
        <v>0</v>
      </c>
      <c r="R290" s="1886">
        <f t="shared" si="124"/>
        <v>0</v>
      </c>
      <c r="S290" s="2418"/>
      <c r="T290" s="40"/>
      <c r="U290" s="40"/>
      <c r="V290" s="40"/>
      <c r="W290" s="40"/>
      <c r="X290" s="40"/>
      <c r="Y290" s="40"/>
      <c r="Z290" s="40"/>
      <c r="AA290" s="40"/>
      <c r="AB290" s="40"/>
      <c r="AC290" s="40"/>
      <c r="AD290" s="40"/>
      <c r="AE290" s="40"/>
      <c r="AF290" s="40"/>
      <c r="AG290" s="40"/>
      <c r="AH290" s="40"/>
      <c r="AI290" s="40"/>
      <c r="AJ290" s="40"/>
      <c r="AK290" s="40"/>
      <c r="AL290" s="40"/>
      <c r="AM290" s="40"/>
      <c r="AN290" s="40"/>
      <c r="AO290" s="40"/>
      <c r="AP290" s="40"/>
      <c r="AQ290" s="40"/>
    </row>
    <row r="291" spans="1:43" customFormat="1" ht="18" customHeight="1">
      <c r="A291" s="67"/>
      <c r="B291" s="919"/>
      <c r="C291" s="1266"/>
      <c r="D291" s="1266"/>
      <c r="E291" s="1266"/>
      <c r="F291" s="1266"/>
      <c r="G291" s="1266"/>
      <c r="H291" s="1266"/>
      <c r="I291" s="1287"/>
      <c r="J291" s="1288"/>
      <c r="K291" s="1288"/>
      <c r="L291" s="1288"/>
      <c r="M291" s="1288"/>
      <c r="N291" s="1294"/>
      <c r="O291" s="1294"/>
      <c r="P291" s="1294"/>
      <c r="Q291" s="1294"/>
      <c r="R291" s="1295"/>
      <c r="S291" s="2418"/>
      <c r="T291" s="40"/>
      <c r="U291" s="40"/>
      <c r="V291" s="40"/>
      <c r="W291" s="40"/>
      <c r="X291" s="40"/>
      <c r="Y291" s="40"/>
      <c r="Z291" s="40"/>
      <c r="AA291" s="40"/>
      <c r="AB291" s="40"/>
      <c r="AC291" s="40"/>
      <c r="AD291" s="40"/>
      <c r="AE291" s="40"/>
      <c r="AF291" s="40"/>
      <c r="AG291" s="40"/>
      <c r="AH291" s="40"/>
      <c r="AI291" s="40"/>
      <c r="AJ291" s="40"/>
      <c r="AK291" s="40"/>
      <c r="AL291" s="40"/>
      <c r="AM291" s="40"/>
      <c r="AN291" s="40"/>
      <c r="AO291" s="40"/>
      <c r="AP291" s="40"/>
      <c r="AQ291" s="40"/>
    </row>
    <row r="292" spans="1:43" customFormat="1" ht="18" customHeight="1">
      <c r="A292" s="67"/>
      <c r="B292" s="919" t="s">
        <v>1140</v>
      </c>
      <c r="C292" s="1266"/>
      <c r="D292" s="1266"/>
      <c r="E292" s="1266"/>
      <c r="F292" s="1266"/>
      <c r="G292" s="1266"/>
      <c r="H292" s="1266"/>
      <c r="I292" s="1287">
        <f>I71</f>
        <v>0</v>
      </c>
      <c r="J292" s="1287">
        <f>J71</f>
        <v>5.1555380900000003</v>
      </c>
      <c r="K292" s="1287">
        <f>K71</f>
        <v>8.8457204300000001</v>
      </c>
      <c r="L292" s="1287">
        <f>L71</f>
        <v>25.982193670000001</v>
      </c>
      <c r="M292" s="1287">
        <f>M71</f>
        <v>67.738098900000011</v>
      </c>
      <c r="N292" s="1294">
        <f>M292+利润表!N133*资产负债!N293</f>
        <v>67.738098900000011</v>
      </c>
      <c r="O292" s="1294">
        <f>N292+利润表!O133*资产负债!O293</f>
        <v>67.738098900000011</v>
      </c>
      <c r="P292" s="1294">
        <f>O292+利润表!P133*资产负债!P293</f>
        <v>67.738098900000011</v>
      </c>
      <c r="Q292" s="1294">
        <f>P292+利润表!Q133*资产负债!Q293</f>
        <v>67.738098900000011</v>
      </c>
      <c r="R292" s="1295">
        <f>Q292+利润表!R133*资产负债!R293</f>
        <v>67.738098900000011</v>
      </c>
      <c r="S292" s="2418"/>
      <c r="T292" s="40"/>
      <c r="U292" s="40"/>
      <c r="V292" s="40"/>
      <c r="W292" s="40"/>
      <c r="X292" s="40"/>
      <c r="Y292" s="40"/>
      <c r="Z292" s="40"/>
      <c r="AA292" s="40"/>
      <c r="AB292" s="40"/>
      <c r="AC292" s="40"/>
      <c r="AD292" s="40"/>
      <c r="AE292" s="40"/>
      <c r="AF292" s="40"/>
      <c r="AG292" s="40"/>
      <c r="AH292" s="40"/>
      <c r="AI292" s="40"/>
      <c r="AJ292" s="40"/>
      <c r="AK292" s="40"/>
      <c r="AL292" s="40"/>
      <c r="AM292" s="40"/>
      <c r="AN292" s="40"/>
      <c r="AO292" s="40"/>
      <c r="AP292" s="40"/>
      <c r="AQ292" s="40"/>
    </row>
    <row r="293" spans="1:43" customFormat="1" ht="18" customHeight="1">
      <c r="A293" s="67"/>
      <c r="B293" s="1768" t="s">
        <v>1142</v>
      </c>
      <c r="C293" s="1266"/>
      <c r="D293" s="1266"/>
      <c r="E293" s="1266"/>
      <c r="F293" s="1266"/>
      <c r="G293" s="1266"/>
      <c r="H293" s="1266"/>
      <c r="I293" s="1287"/>
      <c r="J293" s="1288"/>
      <c r="K293" s="1288"/>
      <c r="L293" s="1288"/>
      <c r="M293" s="1288"/>
      <c r="N293" s="1779">
        <v>1</v>
      </c>
      <c r="O293" s="1779">
        <v>1</v>
      </c>
      <c r="P293" s="1779">
        <v>1</v>
      </c>
      <c r="Q293" s="1779">
        <v>1</v>
      </c>
      <c r="R293" s="1825">
        <v>1</v>
      </c>
      <c r="S293" s="2418"/>
      <c r="T293" s="40"/>
      <c r="U293" s="40"/>
      <c r="V293" s="40"/>
      <c r="W293" s="40"/>
      <c r="X293" s="40"/>
      <c r="Y293" s="40"/>
      <c r="Z293" s="40"/>
      <c r="AA293" s="40"/>
      <c r="AB293" s="40"/>
      <c r="AC293" s="40"/>
      <c r="AD293" s="40"/>
      <c r="AE293" s="40"/>
      <c r="AF293" s="40"/>
      <c r="AG293" s="40"/>
      <c r="AH293" s="40"/>
      <c r="AI293" s="40"/>
      <c r="AJ293" s="40"/>
      <c r="AK293" s="40"/>
      <c r="AL293" s="40"/>
      <c r="AM293" s="40"/>
      <c r="AN293" s="40"/>
      <c r="AO293" s="40"/>
      <c r="AP293" s="40"/>
      <c r="AQ293" s="40"/>
    </row>
    <row r="294" spans="1:43" customFormat="1" ht="18" customHeight="1">
      <c r="A294" s="67"/>
      <c r="B294" s="2175"/>
      <c r="C294" s="1325"/>
      <c r="D294" s="1325"/>
      <c r="E294" s="1325"/>
      <c r="F294" s="1325"/>
      <c r="G294" s="1325"/>
      <c r="H294" s="1325"/>
      <c r="I294" s="1217"/>
      <c r="J294" s="1217"/>
      <c r="K294" s="1217"/>
      <c r="L294" s="1217"/>
      <c r="M294" s="1217"/>
      <c r="N294" s="1217"/>
      <c r="O294" s="1217"/>
      <c r="P294" s="1217"/>
      <c r="Q294" s="1217"/>
      <c r="R294" s="1218"/>
      <c r="S294" s="2418"/>
      <c r="T294" s="40"/>
      <c r="U294" s="40"/>
      <c r="V294" s="40"/>
      <c r="W294" s="40"/>
      <c r="X294" s="40"/>
      <c r="Y294" s="40"/>
      <c r="Z294" s="40"/>
      <c r="AA294" s="40"/>
      <c r="AB294" s="40"/>
      <c r="AC294" s="40"/>
      <c r="AD294" s="40"/>
      <c r="AE294" s="40"/>
      <c r="AF294" s="40"/>
      <c r="AG294" s="40"/>
      <c r="AH294" s="40"/>
      <c r="AI294" s="40"/>
      <c r="AJ294" s="40"/>
      <c r="AK294" s="40"/>
      <c r="AL294" s="40"/>
      <c r="AM294" s="40"/>
      <c r="AN294" s="40"/>
      <c r="AO294" s="40"/>
      <c r="AP294" s="40"/>
      <c r="AQ294" s="40"/>
    </row>
    <row r="295" spans="1:43" customFormat="1" ht="18" customHeight="1">
      <c r="A295" s="74"/>
      <c r="B295" s="2191" t="s">
        <v>145</v>
      </c>
      <c r="C295" s="1382"/>
      <c r="D295" s="1382"/>
      <c r="E295" s="1382"/>
      <c r="F295" s="1382"/>
      <c r="G295" s="1382"/>
      <c r="H295" s="1382"/>
      <c r="I295" s="1288">
        <f>I72</f>
        <v>206.53784146000001</v>
      </c>
      <c r="J295" s="1288">
        <f>J72</f>
        <v>206.53784146000001</v>
      </c>
      <c r="K295" s="1288">
        <f>K72</f>
        <v>206.53784146000001</v>
      </c>
      <c r="L295" s="1288">
        <f>L72</f>
        <v>206.53784146000001</v>
      </c>
      <c r="M295" s="1288">
        <f>M72</f>
        <v>266.64553011999999</v>
      </c>
      <c r="N295" s="1217">
        <f ca="1">N299</f>
        <v>179.65046189506444</v>
      </c>
      <c r="O295" s="1217">
        <f ca="1">O299</f>
        <v>76.301849774120527</v>
      </c>
      <c r="P295" s="1217">
        <f ca="1">P299</f>
        <v>-26.44642462466885</v>
      </c>
      <c r="Q295" s="1217">
        <f ca="1">Q299</f>
        <v>-129.32710700269374</v>
      </c>
      <c r="R295" s="1218">
        <f ca="1">R299</f>
        <v>-232.31962996861313</v>
      </c>
      <c r="S295" s="2418"/>
      <c r="T295" s="40"/>
      <c r="U295" s="40"/>
      <c r="V295" s="40"/>
      <c r="W295" s="40"/>
      <c r="X295" s="40"/>
      <c r="Y295" s="40"/>
      <c r="Z295" s="40"/>
      <c r="AA295" s="40"/>
      <c r="AB295" s="40"/>
      <c r="AC295" s="40"/>
      <c r="AD295" s="40"/>
      <c r="AE295" s="40"/>
      <c r="AF295" s="40"/>
      <c r="AG295" s="40"/>
      <c r="AH295" s="40"/>
      <c r="AI295" s="40"/>
      <c r="AJ295" s="40"/>
      <c r="AK295" s="40"/>
      <c r="AL295" s="40"/>
      <c r="AM295" s="40"/>
      <c r="AN295" s="40"/>
      <c r="AO295" s="40"/>
      <c r="AP295" s="40"/>
      <c r="AQ295" s="40"/>
    </row>
    <row r="296" spans="1:43" customFormat="1" ht="18" customHeight="1">
      <c r="A296" s="74"/>
      <c r="B296" s="2187" t="s">
        <v>593</v>
      </c>
      <c r="C296" s="1345"/>
      <c r="D296" s="1345"/>
      <c r="E296" s="1345"/>
      <c r="F296" s="1345"/>
      <c r="G296" s="1345"/>
      <c r="H296" s="1345"/>
      <c r="I296" s="1288">
        <f>I95</f>
        <v>206.53784146000001</v>
      </c>
      <c r="J296" s="1288">
        <f t="shared" ref="J296:R296" si="125">I299</f>
        <v>206.53784146000001</v>
      </c>
      <c r="K296" s="1288">
        <f t="shared" si="125"/>
        <v>206.53784146000001</v>
      </c>
      <c r="L296" s="1288">
        <f t="shared" si="125"/>
        <v>206.53784146000001</v>
      </c>
      <c r="M296" s="1288">
        <f t="shared" si="125"/>
        <v>206.53784146000001</v>
      </c>
      <c r="N296" s="1217">
        <f t="shared" si="125"/>
        <v>266.64553011999999</v>
      </c>
      <c r="O296" s="1217">
        <f t="shared" ca="1" si="125"/>
        <v>179.65046189506444</v>
      </c>
      <c r="P296" s="1217">
        <f t="shared" ca="1" si="125"/>
        <v>76.301849774120527</v>
      </c>
      <c r="Q296" s="1217">
        <f t="shared" ca="1" si="125"/>
        <v>-26.44642462466885</v>
      </c>
      <c r="R296" s="1218">
        <f t="shared" ca="1" si="125"/>
        <v>-129.32710700269374</v>
      </c>
      <c r="S296" s="2418"/>
      <c r="T296" s="40"/>
      <c r="U296" s="40"/>
      <c r="V296" s="40"/>
      <c r="W296" s="40"/>
      <c r="X296" s="40"/>
      <c r="Y296" s="40"/>
      <c r="Z296" s="40"/>
      <c r="AA296" s="40"/>
      <c r="AB296" s="40"/>
      <c r="AC296" s="40"/>
      <c r="AD296" s="40"/>
      <c r="AE296" s="40"/>
      <c r="AF296" s="40"/>
      <c r="AG296" s="40"/>
      <c r="AH296" s="40"/>
      <c r="AI296" s="40"/>
      <c r="AJ296" s="40"/>
      <c r="AK296" s="40"/>
      <c r="AL296" s="40"/>
      <c r="AM296" s="40"/>
      <c r="AN296" s="40"/>
      <c r="AO296" s="40"/>
      <c r="AP296" s="40"/>
      <c r="AQ296" s="40"/>
    </row>
    <row r="297" spans="1:43" customFormat="1" ht="18" customHeight="1">
      <c r="A297" s="74"/>
      <c r="B297" s="2189" t="s">
        <v>619</v>
      </c>
      <c r="C297" s="1343"/>
      <c r="D297" s="1343"/>
      <c r="E297" s="1343"/>
      <c r="F297" s="1343"/>
      <c r="G297" s="1343"/>
      <c r="H297" s="1343"/>
      <c r="I297" s="1288">
        <f>IF(I299&gt;I296,I299-I296,0)</f>
        <v>0</v>
      </c>
      <c r="J297" s="1288">
        <f>IF(J299&gt;J296,J299-J296,0)</f>
        <v>0</v>
      </c>
      <c r="K297" s="1288">
        <f>IF(K299&gt;K296,K299-K296,0)</f>
        <v>0</v>
      </c>
      <c r="L297" s="1288">
        <f>IF(L299&gt;L296,L299-L296,0)</f>
        <v>0</v>
      </c>
      <c r="M297" s="1288">
        <f>IF(M299&gt;M296,M299-M296,0)</f>
        <v>60.10768865999998</v>
      </c>
      <c r="N297" s="1294">
        <f ca="1">N304</f>
        <v>-86.995068224935565</v>
      </c>
      <c r="O297" s="1294">
        <f ca="1">O304</f>
        <v>-103.34861212094391</v>
      </c>
      <c r="P297" s="1294">
        <f ca="1">P304</f>
        <v>-102.74827439878938</v>
      </c>
      <c r="Q297" s="1294">
        <f ca="1">Q304</f>
        <v>-102.88068237802489</v>
      </c>
      <c r="R297" s="1295">
        <f ca="1">R304</f>
        <v>-102.99252296591941</v>
      </c>
      <c r="S297" s="2418"/>
      <c r="T297" s="40"/>
      <c r="U297" s="40"/>
      <c r="V297" s="40"/>
      <c r="W297" s="40"/>
      <c r="X297" s="40"/>
      <c r="Y297" s="40"/>
      <c r="Z297" s="40"/>
      <c r="AA297" s="40"/>
      <c r="AB297" s="40"/>
      <c r="AC297" s="40"/>
      <c r="AD297" s="40"/>
      <c r="AE297" s="40"/>
      <c r="AF297" s="40"/>
      <c r="AG297" s="40"/>
      <c r="AH297" s="40"/>
      <c r="AI297" s="40"/>
      <c r="AJ297" s="40"/>
      <c r="AK297" s="40"/>
      <c r="AL297" s="40"/>
      <c r="AM297" s="40"/>
      <c r="AN297" s="40"/>
      <c r="AO297" s="40"/>
      <c r="AP297" s="40"/>
      <c r="AQ297" s="40"/>
    </row>
    <row r="298" spans="1:43" customFormat="1" ht="18" customHeight="1">
      <c r="A298" s="74"/>
      <c r="B298" s="2189" t="s">
        <v>589</v>
      </c>
      <c r="C298" s="1343">
        <v>102</v>
      </c>
      <c r="D298" s="1343">
        <v>7</v>
      </c>
      <c r="E298" s="1343">
        <v>7</v>
      </c>
      <c r="F298" s="1343"/>
      <c r="G298" s="1343"/>
      <c r="H298" s="1343">
        <f>N298</f>
        <v>0</v>
      </c>
      <c r="I298" s="1288">
        <f>IF(I296&gt;I299,I296-I299,0)</f>
        <v>0</v>
      </c>
      <c r="J298" s="1288">
        <f>IF(J296&gt;J299,J296-J299,0)</f>
        <v>0</v>
      </c>
      <c r="K298" s="1288">
        <f>IF(K296&gt;K299,K296-K299,0)</f>
        <v>0</v>
      </c>
      <c r="L298" s="1288">
        <f>IF(L296&gt;L299,L296-L299,0)</f>
        <v>0</v>
      </c>
      <c r="M298" s="1288">
        <f>IF(M296&gt;M299,M296-M299,0)</f>
        <v>0</v>
      </c>
      <c r="N298" s="1885">
        <f>0</f>
        <v>0</v>
      </c>
      <c r="O298" s="1885">
        <f>0</f>
        <v>0</v>
      </c>
      <c r="P298" s="1885">
        <f>0</f>
        <v>0</v>
      </c>
      <c r="Q298" s="1885">
        <f>0</f>
        <v>0</v>
      </c>
      <c r="R298" s="1886">
        <f>0</f>
        <v>0</v>
      </c>
      <c r="S298" s="2418"/>
      <c r="T298" s="40"/>
      <c r="U298" s="40"/>
      <c r="V298" s="40"/>
      <c r="W298" s="40"/>
      <c r="X298" s="40"/>
      <c r="Y298" s="40"/>
      <c r="Z298" s="40"/>
      <c r="AA298" s="40"/>
      <c r="AB298" s="40"/>
      <c r="AC298" s="40"/>
      <c r="AD298" s="40"/>
      <c r="AE298" s="40"/>
      <c r="AF298" s="40"/>
      <c r="AG298" s="40"/>
      <c r="AH298" s="40"/>
      <c r="AI298" s="40"/>
      <c r="AJ298" s="40"/>
      <c r="AK298" s="40"/>
      <c r="AL298" s="40"/>
      <c r="AM298" s="40"/>
      <c r="AN298" s="40"/>
      <c r="AO298" s="40"/>
      <c r="AP298" s="40"/>
      <c r="AQ298" s="40"/>
    </row>
    <row r="299" spans="1:43" customFormat="1" ht="18" customHeight="1">
      <c r="A299" s="75"/>
      <c r="B299" s="2188" t="s">
        <v>597</v>
      </c>
      <c r="C299" s="1380"/>
      <c r="D299" s="1380"/>
      <c r="E299" s="1380"/>
      <c r="F299" s="1380"/>
      <c r="G299" s="1380"/>
      <c r="H299" s="1380"/>
      <c r="I299" s="1288">
        <f>I72</f>
        <v>206.53784146000001</v>
      </c>
      <c r="J299" s="1288">
        <f>J72</f>
        <v>206.53784146000001</v>
      </c>
      <c r="K299" s="1288">
        <f>K72</f>
        <v>206.53784146000001</v>
      </c>
      <c r="L299" s="1288">
        <f>L72</f>
        <v>206.53784146000001</v>
      </c>
      <c r="M299" s="1288">
        <f>M72</f>
        <v>266.64553011999999</v>
      </c>
      <c r="N299" s="1217">
        <f ca="1">N296+N297-N298</f>
        <v>179.65046189506444</v>
      </c>
      <c r="O299" s="1217">
        <f ca="1">O296+O297-O298</f>
        <v>76.301849774120527</v>
      </c>
      <c r="P299" s="1217">
        <f ca="1">P296+P297-P298</f>
        <v>-26.44642462466885</v>
      </c>
      <c r="Q299" s="1217">
        <f ca="1">Q296+Q297-Q298</f>
        <v>-129.32710700269374</v>
      </c>
      <c r="R299" s="1218">
        <f ca="1">R296+R297-R298</f>
        <v>-232.31962996861313</v>
      </c>
      <c r="S299" s="2418"/>
      <c r="T299" s="40"/>
      <c r="U299" s="40"/>
      <c r="V299" s="40"/>
      <c r="W299" s="40"/>
      <c r="X299" s="40"/>
      <c r="Y299" s="40"/>
      <c r="Z299" s="40"/>
      <c r="AA299" s="40"/>
      <c r="AB299" s="40"/>
      <c r="AC299" s="40"/>
      <c r="AD299" s="40"/>
      <c r="AE299" s="40"/>
      <c r="AF299" s="40"/>
      <c r="AG299" s="40"/>
      <c r="AH299" s="40"/>
      <c r="AI299" s="40"/>
      <c r="AJ299" s="40"/>
      <c r="AK299" s="40"/>
      <c r="AL299" s="40"/>
      <c r="AM299" s="40"/>
      <c r="AN299" s="40"/>
      <c r="AO299" s="40"/>
      <c r="AP299" s="40"/>
      <c r="AQ299" s="40"/>
    </row>
    <row r="300" spans="1:43" customFormat="1" ht="18" customHeight="1">
      <c r="A300" s="74"/>
      <c r="B300" s="2191"/>
      <c r="C300" s="1382"/>
      <c r="D300" s="1382"/>
      <c r="E300" s="1382"/>
      <c r="F300" s="1382"/>
      <c r="G300" s="1382"/>
      <c r="H300" s="1382"/>
      <c r="I300" s="1217"/>
      <c r="J300" s="1217"/>
      <c r="K300" s="1217"/>
      <c r="L300" s="1217"/>
      <c r="M300" s="1217"/>
      <c r="N300" s="1217"/>
      <c r="O300" s="1217"/>
      <c r="P300" s="1217"/>
      <c r="Q300" s="1217"/>
      <c r="R300" s="1218"/>
      <c r="S300" s="2418"/>
      <c r="T300" s="40"/>
      <c r="U300" s="40"/>
      <c r="V300" s="40"/>
      <c r="W300" s="40"/>
      <c r="X300" s="40"/>
      <c r="Y300" s="40"/>
      <c r="Z300" s="40"/>
      <c r="AA300" s="40"/>
      <c r="AB300" s="40"/>
      <c r="AC300" s="40"/>
      <c r="AD300" s="40"/>
      <c r="AE300" s="40"/>
      <c r="AF300" s="40"/>
      <c r="AG300" s="40"/>
      <c r="AH300" s="40"/>
      <c r="AI300" s="40"/>
      <c r="AJ300" s="40"/>
      <c r="AK300" s="40"/>
      <c r="AL300" s="40"/>
      <c r="AM300" s="40"/>
      <c r="AN300" s="40"/>
      <c r="AO300" s="40"/>
      <c r="AP300" s="40"/>
      <c r="AQ300" s="40"/>
    </row>
    <row r="301" spans="1:43" customFormat="1" ht="18" customHeight="1">
      <c r="A301" s="74"/>
      <c r="B301" s="2191" t="s">
        <v>146</v>
      </c>
      <c r="C301" s="1382"/>
      <c r="D301" s="1382"/>
      <c r="E301" s="1382"/>
      <c r="F301" s="1382"/>
      <c r="G301" s="1382"/>
      <c r="H301" s="1382"/>
      <c r="I301" s="1288">
        <f>I73</f>
        <v>2148.1731365000001</v>
      </c>
      <c r="J301" s="1288">
        <f>J73</f>
        <v>2714.50903182</v>
      </c>
      <c r="K301" s="1288">
        <f>K73</f>
        <v>2897.7010442300002</v>
      </c>
      <c r="L301" s="1288">
        <f>L73</f>
        <v>3407.7585355000001</v>
      </c>
      <c r="M301" s="1288">
        <f>M73</f>
        <v>4069.5436421499999</v>
      </c>
      <c r="N301" s="1217">
        <f ca="1">N311</f>
        <v>2771.3624537316136</v>
      </c>
      <c r="O301" s="1217">
        <f ca="1">O311</f>
        <v>1229.1460173049136</v>
      </c>
      <c r="P301" s="1217">
        <f ca="1">P311</f>
        <v>-304.11189821363701</v>
      </c>
      <c r="Q301" s="1217">
        <f ca="1">Q311</f>
        <v>-1839.3456676667531</v>
      </c>
      <c r="R301" s="1218">
        <f ca="1">R311</f>
        <v>-3376.248374799542</v>
      </c>
      <c r="S301" s="2418"/>
      <c r="T301" s="40"/>
      <c r="U301" s="40"/>
      <c r="V301" s="40"/>
      <c r="W301" s="40"/>
      <c r="X301" s="40"/>
      <c r="Y301" s="40"/>
      <c r="Z301" s="40"/>
      <c r="AA301" s="40"/>
      <c r="AB301" s="40"/>
      <c r="AC301" s="40"/>
      <c r="AD301" s="40"/>
      <c r="AE301" s="40"/>
      <c r="AF301" s="40"/>
      <c r="AG301" s="40"/>
      <c r="AH301" s="40"/>
      <c r="AI301" s="40"/>
      <c r="AJ301" s="40"/>
      <c r="AK301" s="40"/>
      <c r="AL301" s="40"/>
      <c r="AM301" s="40"/>
      <c r="AN301" s="40"/>
      <c r="AO301" s="40"/>
      <c r="AP301" s="40"/>
      <c r="AQ301" s="40"/>
    </row>
    <row r="302" spans="1:43" customFormat="1" ht="18" customHeight="1">
      <c r="A302" s="74"/>
      <c r="B302" s="2187" t="s">
        <v>593</v>
      </c>
      <c r="C302" s="1345"/>
      <c r="D302" s="1345"/>
      <c r="E302" s="1345"/>
      <c r="F302" s="1345"/>
      <c r="G302" s="1345"/>
      <c r="H302" s="1345"/>
      <c r="I302" s="1288">
        <f>I96</f>
        <v>1681.7785615499999</v>
      </c>
      <c r="J302" s="1288">
        <f t="shared" ref="J302:R302" si="126">I311</f>
        <v>2148.1731365000001</v>
      </c>
      <c r="K302" s="1288">
        <f t="shared" si="126"/>
        <v>2714.50903182</v>
      </c>
      <c r="L302" s="1288">
        <f t="shared" si="126"/>
        <v>2897.7010442300002</v>
      </c>
      <c r="M302" s="1288">
        <f t="shared" si="126"/>
        <v>3407.7585355000001</v>
      </c>
      <c r="N302" s="1217">
        <f t="shared" si="126"/>
        <v>4069.5436421499999</v>
      </c>
      <c r="O302" s="1217">
        <f t="shared" ca="1" si="126"/>
        <v>2771.3624537316136</v>
      </c>
      <c r="P302" s="1217">
        <f t="shared" ca="1" si="126"/>
        <v>1229.1460173049136</v>
      </c>
      <c r="Q302" s="1217">
        <f t="shared" ca="1" si="126"/>
        <v>-304.11189821363701</v>
      </c>
      <c r="R302" s="1218">
        <f t="shared" ca="1" si="126"/>
        <v>-1839.3456676667531</v>
      </c>
      <c r="S302" s="2418"/>
      <c r="T302" s="40"/>
      <c r="U302" s="40"/>
      <c r="V302" s="40"/>
      <c r="W302" s="40"/>
      <c r="X302" s="40"/>
      <c r="Y302" s="40"/>
      <c r="Z302" s="40"/>
      <c r="AA302" s="40"/>
      <c r="AB302" s="40"/>
      <c r="AC302" s="40"/>
      <c r="AD302" s="40"/>
      <c r="AE302" s="40"/>
      <c r="AF302" s="40"/>
      <c r="AG302" s="40"/>
      <c r="AH302" s="40"/>
      <c r="AI302" s="40"/>
      <c r="AJ302" s="40"/>
      <c r="AK302" s="40"/>
      <c r="AL302" s="40"/>
      <c r="AM302" s="40"/>
      <c r="AN302" s="40"/>
      <c r="AO302" s="40"/>
      <c r="AP302" s="40"/>
      <c r="AQ302" s="40"/>
    </row>
    <row r="303" spans="1:43" customFormat="1" ht="18" customHeight="1">
      <c r="A303" s="74"/>
      <c r="B303" s="2187" t="s">
        <v>1043</v>
      </c>
      <c r="C303" s="1345"/>
      <c r="D303" s="1345"/>
      <c r="E303" s="1345"/>
      <c r="F303" s="1345"/>
      <c r="G303" s="1345"/>
      <c r="H303" s="1345"/>
      <c r="I303" s="1288">
        <f>利润表!I32</f>
        <v>647.29457495000008</v>
      </c>
      <c r="J303" s="1288">
        <f>利润表!J32</f>
        <v>847.73589532000005</v>
      </c>
      <c r="K303" s="1288">
        <f>利润表!K32</f>
        <v>585.19201240999996</v>
      </c>
      <c r="L303" s="1288">
        <f>利润表!L32</f>
        <v>751.25749126999995</v>
      </c>
      <c r="M303" s="1288">
        <f>利润表!M32</f>
        <v>957.06279530999996</v>
      </c>
      <c r="N303" s="1217">
        <f ca="1">利润表!N32</f>
        <v>-1385.1762566433215</v>
      </c>
      <c r="O303" s="1217">
        <f ca="1">利润表!O32</f>
        <v>-1645.565048547644</v>
      </c>
      <c r="P303" s="1217">
        <f ca="1">利润表!P32</f>
        <v>-1636.00618991734</v>
      </c>
      <c r="Q303" s="1217">
        <f ca="1">利润表!Q32</f>
        <v>-1638.114451831141</v>
      </c>
      <c r="R303" s="1218">
        <f ca="1">利润表!R32</f>
        <v>-1639.8952300987085</v>
      </c>
      <c r="S303" s="2418"/>
      <c r="T303" s="40"/>
      <c r="U303" s="40"/>
      <c r="V303" s="40"/>
      <c r="W303" s="40"/>
      <c r="X303" s="40"/>
      <c r="Y303" s="40"/>
      <c r="Z303" s="40"/>
      <c r="AA303" s="40"/>
      <c r="AB303" s="40"/>
      <c r="AC303" s="40"/>
      <c r="AD303" s="40"/>
      <c r="AE303" s="40"/>
      <c r="AF303" s="40"/>
      <c r="AG303" s="40"/>
      <c r="AH303" s="40"/>
      <c r="AI303" s="40"/>
      <c r="AJ303" s="40"/>
      <c r="AK303" s="40"/>
      <c r="AL303" s="40"/>
      <c r="AM303" s="40"/>
      <c r="AN303" s="40"/>
      <c r="AO303" s="40"/>
      <c r="AP303" s="40"/>
      <c r="AQ303" s="40"/>
    </row>
    <row r="304" spans="1:43" customFormat="1" ht="18" customHeight="1">
      <c r="A304" s="75"/>
      <c r="B304" s="2188" t="s">
        <v>621</v>
      </c>
      <c r="C304" s="1380">
        <v>101</v>
      </c>
      <c r="D304" s="1380">
        <v>5</v>
      </c>
      <c r="E304" s="1380">
        <v>5</v>
      </c>
      <c r="F304" s="1380">
        <f ca="1">N303*N305</f>
        <v>-86.995068224935565</v>
      </c>
      <c r="G304" s="1380">
        <f ca="1">N304/N303</f>
        <v>6.2804331078955625E-2</v>
      </c>
      <c r="H304" s="1380">
        <f ca="1">N304</f>
        <v>-86.995068224935565</v>
      </c>
      <c r="I304" s="1288">
        <f>I297</f>
        <v>0</v>
      </c>
      <c r="J304" s="1288">
        <f>J297</f>
        <v>0</v>
      </c>
      <c r="K304" s="1288">
        <f>K297</f>
        <v>0</v>
      </c>
      <c r="L304" s="1288">
        <f>L297</f>
        <v>0</v>
      </c>
      <c r="M304" s="1288">
        <f>M297</f>
        <v>60.10768865999998</v>
      </c>
      <c r="N304" s="1885">
        <f ca="1">N303*N305</f>
        <v>-86.995068224935565</v>
      </c>
      <c r="O304" s="1885">
        <f t="shared" ref="O304:R304" ca="1" si="127">O303*O305</f>
        <v>-103.34861212094391</v>
      </c>
      <c r="P304" s="1885">
        <f t="shared" ca="1" si="127"/>
        <v>-102.74827439878938</v>
      </c>
      <c r="Q304" s="1885">
        <f t="shared" ca="1" si="127"/>
        <v>-102.88068237802489</v>
      </c>
      <c r="R304" s="1886">
        <f t="shared" ca="1" si="127"/>
        <v>-102.99252296591941</v>
      </c>
      <c r="S304" s="2418"/>
      <c r="T304" s="40"/>
      <c r="U304" s="40"/>
      <c r="V304" s="40"/>
      <c r="W304" s="40"/>
      <c r="X304" s="40"/>
      <c r="Y304" s="40"/>
      <c r="Z304" s="40"/>
      <c r="AA304" s="40"/>
      <c r="AB304" s="40"/>
      <c r="AC304" s="40"/>
      <c r="AD304" s="40"/>
      <c r="AE304" s="40"/>
      <c r="AF304" s="40"/>
      <c r="AG304" s="40"/>
      <c r="AH304" s="40"/>
      <c r="AI304" s="40"/>
      <c r="AJ304" s="40"/>
      <c r="AK304" s="40"/>
      <c r="AL304" s="40"/>
      <c r="AM304" s="40"/>
      <c r="AN304" s="40"/>
      <c r="AO304" s="40"/>
      <c r="AP304" s="40"/>
      <c r="AQ304" s="40"/>
    </row>
    <row r="305" spans="1:43" customFormat="1" ht="18" customHeight="1">
      <c r="A305" s="75"/>
      <c r="B305" s="2194" t="s">
        <v>334</v>
      </c>
      <c r="C305" s="1344"/>
      <c r="D305" s="1344"/>
      <c r="E305" s="1344"/>
      <c r="F305" s="1344"/>
      <c r="G305" s="1344"/>
      <c r="H305" s="1344"/>
      <c r="I305" s="1306">
        <f>I304/I303</f>
        <v>0</v>
      </c>
      <c r="J305" s="1306">
        <f>J304/J303</f>
        <v>0</v>
      </c>
      <c r="K305" s="1306">
        <f>K304/K303</f>
        <v>0</v>
      </c>
      <c r="L305" s="1306">
        <f>L304/L303</f>
        <v>0</v>
      </c>
      <c r="M305" s="1306">
        <f>M304/M303</f>
        <v>6.2804331078955625E-2</v>
      </c>
      <c r="N305" s="1888">
        <f>M305</f>
        <v>6.2804331078955625E-2</v>
      </c>
      <c r="O305" s="1888">
        <f t="shared" ref="O305:R305" si="128">N305</f>
        <v>6.2804331078955625E-2</v>
      </c>
      <c r="P305" s="1888">
        <f t="shared" si="128"/>
        <v>6.2804331078955625E-2</v>
      </c>
      <c r="Q305" s="1888">
        <f t="shared" si="128"/>
        <v>6.2804331078955625E-2</v>
      </c>
      <c r="R305" s="1890">
        <f t="shared" si="128"/>
        <v>6.2804331078955625E-2</v>
      </c>
      <c r="S305" s="2418"/>
      <c r="T305" s="40"/>
      <c r="U305" s="40"/>
      <c r="V305" s="40"/>
      <c r="W305" s="40"/>
      <c r="X305" s="40"/>
      <c r="Y305" s="40"/>
      <c r="Z305" s="40"/>
      <c r="AA305" s="40"/>
      <c r="AB305" s="40"/>
      <c r="AC305" s="40"/>
      <c r="AD305" s="40"/>
      <c r="AE305" s="40"/>
      <c r="AF305" s="40"/>
      <c r="AG305" s="40"/>
      <c r="AH305" s="40"/>
      <c r="AI305" s="40"/>
      <c r="AJ305" s="40"/>
      <c r="AK305" s="40"/>
      <c r="AL305" s="40"/>
      <c r="AM305" s="40"/>
      <c r="AN305" s="40"/>
      <c r="AO305" s="40"/>
      <c r="AP305" s="40"/>
      <c r="AQ305" s="40"/>
    </row>
    <row r="306" spans="1:43" customFormat="1" ht="18" customHeight="1">
      <c r="A306" s="75"/>
      <c r="B306" s="2188" t="s">
        <v>622</v>
      </c>
      <c r="C306" s="1380"/>
      <c r="D306" s="1380"/>
      <c r="E306" s="1380"/>
      <c r="F306" s="1380"/>
      <c r="G306" s="1380"/>
      <c r="H306" s="1380"/>
      <c r="I306" s="1288">
        <f>I307+I309</f>
        <v>0</v>
      </c>
      <c r="J306" s="1288">
        <f t="shared" ref="J306:R306" si="129">J307+J309</f>
        <v>0</v>
      </c>
      <c r="K306" s="1288">
        <f t="shared" si="129"/>
        <v>0</v>
      </c>
      <c r="L306" s="1288">
        <f t="shared" si="129"/>
        <v>0</v>
      </c>
      <c r="M306" s="1288">
        <f t="shared" si="129"/>
        <v>0</v>
      </c>
      <c r="N306" s="1217">
        <f t="shared" si="129"/>
        <v>0</v>
      </c>
      <c r="O306" s="1217">
        <f t="shared" ca="1" si="129"/>
        <v>0</v>
      </c>
      <c r="P306" s="1217">
        <f t="shared" ca="1" si="129"/>
        <v>0</v>
      </c>
      <c r="Q306" s="1217">
        <f t="shared" ca="1" si="129"/>
        <v>0</v>
      </c>
      <c r="R306" s="1218">
        <f t="shared" ca="1" si="129"/>
        <v>0</v>
      </c>
      <c r="S306" s="2418"/>
      <c r="T306" s="40"/>
      <c r="U306" s="40"/>
      <c r="V306" s="40"/>
      <c r="W306" s="40"/>
      <c r="X306" s="40"/>
      <c r="Y306" s="40"/>
      <c r="Z306" s="40"/>
      <c r="AA306" s="40"/>
      <c r="AB306" s="40"/>
      <c r="AC306" s="40"/>
      <c r="AD306" s="40"/>
      <c r="AE306" s="40"/>
      <c r="AF306" s="40"/>
      <c r="AG306" s="40"/>
      <c r="AH306" s="40"/>
      <c r="AI306" s="40"/>
      <c r="AJ306" s="40"/>
      <c r="AK306" s="40"/>
      <c r="AL306" s="40"/>
      <c r="AM306" s="40"/>
      <c r="AN306" s="40"/>
      <c r="AO306" s="40"/>
      <c r="AP306" s="40"/>
      <c r="AQ306" s="40"/>
    </row>
    <row r="307" spans="1:43" customFormat="1" ht="18" customHeight="1">
      <c r="A307" s="75"/>
      <c r="B307" s="2194" t="s">
        <v>623</v>
      </c>
      <c r="C307" s="1344"/>
      <c r="D307" s="1344"/>
      <c r="E307" s="1344"/>
      <c r="F307" s="1344"/>
      <c r="G307" s="1344"/>
      <c r="H307" s="1344"/>
      <c r="I307" s="1311"/>
      <c r="J307" s="1311"/>
      <c r="K307" s="1311"/>
      <c r="L307" s="1311"/>
      <c r="M307" s="1311"/>
      <c r="N307" s="1217">
        <f>M303*M308</f>
        <v>0</v>
      </c>
      <c r="O307" s="1217">
        <f ca="1">N303*N308</f>
        <v>0</v>
      </c>
      <c r="P307" s="1217">
        <f ca="1">O303*O308</f>
        <v>0</v>
      </c>
      <c r="Q307" s="1217">
        <f ca="1">P303*P308</f>
        <v>0</v>
      </c>
      <c r="R307" s="1218">
        <f ca="1">Q303*Q308</f>
        <v>0</v>
      </c>
      <c r="S307" s="2418"/>
      <c r="T307" s="40"/>
      <c r="U307" s="40"/>
      <c r="V307" s="40"/>
      <c r="W307" s="40"/>
      <c r="X307" s="40"/>
      <c r="Y307" s="40"/>
      <c r="Z307" s="40"/>
      <c r="AA307" s="40"/>
      <c r="AB307" s="40"/>
      <c r="AC307" s="40"/>
      <c r="AD307" s="40"/>
      <c r="AE307" s="40"/>
      <c r="AF307" s="40"/>
      <c r="AG307" s="40"/>
      <c r="AH307" s="40"/>
      <c r="AI307" s="40"/>
      <c r="AJ307" s="40"/>
      <c r="AK307" s="40"/>
      <c r="AL307" s="40"/>
      <c r="AM307" s="40"/>
      <c r="AN307" s="40"/>
      <c r="AO307" s="40"/>
      <c r="AP307" s="40"/>
      <c r="AQ307" s="40"/>
    </row>
    <row r="308" spans="1:43" customFormat="1" ht="18" customHeight="1">
      <c r="A308" s="75"/>
      <c r="B308" s="2194" t="s">
        <v>624</v>
      </c>
      <c r="C308" s="1344"/>
      <c r="D308" s="1344"/>
      <c r="E308" s="1344"/>
      <c r="F308" s="1344"/>
      <c r="G308" s="1344"/>
      <c r="H308" s="1344"/>
      <c r="I308" s="1306">
        <f>J307/I303</f>
        <v>0</v>
      </c>
      <c r="J308" s="1306">
        <f>K307/J303</f>
        <v>0</v>
      </c>
      <c r="K308" s="1306">
        <f>L307/K303</f>
        <v>0</v>
      </c>
      <c r="L308" s="1306">
        <f>M307/L303</f>
        <v>0</v>
      </c>
      <c r="M308" s="1383"/>
      <c r="N308" s="1383"/>
      <c r="O308" s="1383"/>
      <c r="P308" s="1383"/>
      <c r="Q308" s="1383"/>
      <c r="R308" s="1909"/>
      <c r="S308" s="2418"/>
      <c r="T308" s="40"/>
      <c r="U308" s="40"/>
      <c r="V308" s="40"/>
      <c r="W308" s="40"/>
      <c r="X308" s="40"/>
      <c r="Y308" s="40"/>
      <c r="Z308" s="40"/>
      <c r="AA308" s="40"/>
      <c r="AB308" s="40"/>
      <c r="AC308" s="40"/>
      <c r="AD308" s="40"/>
      <c r="AE308" s="40"/>
      <c r="AF308" s="40"/>
      <c r="AG308" s="40"/>
      <c r="AH308" s="40"/>
      <c r="AI308" s="40"/>
      <c r="AJ308" s="40"/>
      <c r="AK308" s="40"/>
      <c r="AL308" s="40"/>
      <c r="AM308" s="40"/>
      <c r="AN308" s="40"/>
      <c r="AO308" s="40"/>
      <c r="AP308" s="40"/>
      <c r="AQ308" s="40"/>
    </row>
    <row r="309" spans="1:43" customFormat="1" ht="18" customHeight="1">
      <c r="A309" s="75"/>
      <c r="B309" s="2194" t="s">
        <v>625</v>
      </c>
      <c r="C309" s="1344"/>
      <c r="D309" s="1344"/>
      <c r="E309" s="1344"/>
      <c r="F309" s="1344"/>
      <c r="G309" s="1344"/>
      <c r="H309" s="1344"/>
      <c r="I309" s="1311"/>
      <c r="J309" s="1311"/>
      <c r="K309" s="1311"/>
      <c r="L309" s="1311"/>
      <c r="M309" s="1311"/>
      <c r="N309" s="1217">
        <f>M310/10*(M274/公司说明!$E$9)</f>
        <v>0</v>
      </c>
      <c r="O309" s="1217">
        <f>N310/10*(N274/公司说明!$E$9)</f>
        <v>0</v>
      </c>
      <c r="P309" s="1217">
        <f>O310/10*(O274/公司说明!$E$9)</f>
        <v>0</v>
      </c>
      <c r="Q309" s="1217">
        <f>P310/10*(P274/公司说明!$E$9)</f>
        <v>0</v>
      </c>
      <c r="R309" s="1218">
        <f>Q310/10*(Q274/公司说明!$E$9)</f>
        <v>0</v>
      </c>
      <c r="S309" s="2418"/>
      <c r="T309" s="40"/>
      <c r="U309" s="40"/>
      <c r="V309" s="40"/>
      <c r="W309" s="40"/>
      <c r="X309" s="40"/>
      <c r="Y309" s="40"/>
      <c r="Z309" s="40"/>
      <c r="AA309" s="40"/>
      <c r="AB309" s="40"/>
      <c r="AC309" s="40"/>
      <c r="AD309" s="40"/>
      <c r="AE309" s="40"/>
      <c r="AF309" s="40"/>
      <c r="AG309" s="40"/>
      <c r="AH309" s="40"/>
      <c r="AI309" s="40"/>
      <c r="AJ309" s="40"/>
      <c r="AK309" s="40"/>
      <c r="AL309" s="40"/>
      <c r="AM309" s="40"/>
      <c r="AN309" s="40"/>
      <c r="AO309" s="40"/>
      <c r="AP309" s="40"/>
      <c r="AQ309" s="40"/>
    </row>
    <row r="310" spans="1:43" customFormat="1" ht="18" customHeight="1">
      <c r="A310" s="75"/>
      <c r="B310" s="2194" t="s">
        <v>626</v>
      </c>
      <c r="C310" s="1344"/>
      <c r="D310" s="1344"/>
      <c r="E310" s="1344"/>
      <c r="F310" s="1344"/>
      <c r="G310" s="1344"/>
      <c r="H310" s="1344"/>
      <c r="I310" s="1288">
        <f>J309/(I274/10/公司说明!$E$9)</f>
        <v>0</v>
      </c>
      <c r="J310" s="1288">
        <f>K309/(J274/10/公司说明!$E$9)</f>
        <v>0</v>
      </c>
      <c r="K310" s="1288">
        <f>L309/(K274/10/公司说明!$E$9)</f>
        <v>0</v>
      </c>
      <c r="L310" s="1288">
        <f>M309/(L274/10/公司说明!$E$9)</f>
        <v>0</v>
      </c>
      <c r="M310" s="1384"/>
      <c r="N310" s="1384"/>
      <c r="O310" s="1384"/>
      <c r="P310" s="1384"/>
      <c r="Q310" s="1384"/>
      <c r="R310" s="1910"/>
      <c r="S310" s="2418"/>
      <c r="T310" s="40"/>
      <c r="U310" s="40"/>
      <c r="V310" s="40"/>
      <c r="W310" s="40"/>
      <c r="X310" s="40"/>
      <c r="Y310" s="40"/>
      <c r="Z310" s="40"/>
      <c r="AA310" s="40"/>
      <c r="AB310" s="40"/>
      <c r="AC310" s="40"/>
      <c r="AD310" s="40"/>
      <c r="AE310" s="40"/>
      <c r="AF310" s="40"/>
      <c r="AG310" s="40"/>
      <c r="AH310" s="40"/>
      <c r="AI310" s="40"/>
      <c r="AJ310" s="40"/>
      <c r="AK310" s="40"/>
      <c r="AL310" s="40"/>
      <c r="AM310" s="40"/>
      <c r="AN310" s="40"/>
      <c r="AO310" s="40"/>
      <c r="AP310" s="40"/>
      <c r="AQ310" s="40"/>
    </row>
    <row r="311" spans="1:43" customFormat="1" ht="18" customHeight="1">
      <c r="A311" s="75"/>
      <c r="B311" s="2188" t="s">
        <v>597</v>
      </c>
      <c r="C311" s="1344"/>
      <c r="D311" s="1344"/>
      <c r="E311" s="1344"/>
      <c r="F311" s="1344"/>
      <c r="G311" s="1344"/>
      <c r="H311" s="1344"/>
      <c r="I311" s="1288">
        <f>I73</f>
        <v>2148.1731365000001</v>
      </c>
      <c r="J311" s="1288">
        <f>J73</f>
        <v>2714.50903182</v>
      </c>
      <c r="K311" s="1288">
        <f>K73</f>
        <v>2897.7010442300002</v>
      </c>
      <c r="L311" s="1288">
        <f>L73</f>
        <v>3407.7585355000001</v>
      </c>
      <c r="M311" s="1288">
        <f>M73</f>
        <v>4069.5436421499999</v>
      </c>
      <c r="N311" s="1217">
        <f ca="1">N302+N303-N306-N304</f>
        <v>2771.3624537316136</v>
      </c>
      <c r="O311" s="1217">
        <f ca="1">O302+O303-O306-O304</f>
        <v>1229.1460173049136</v>
      </c>
      <c r="P311" s="1217">
        <f ca="1">P302+P303-P306-P304</f>
        <v>-304.11189821363701</v>
      </c>
      <c r="Q311" s="1217">
        <f ca="1">Q302+Q303-Q306-Q304</f>
        <v>-1839.3456676667531</v>
      </c>
      <c r="R311" s="1218">
        <f ca="1">R302+R303-R306-R304</f>
        <v>-3376.248374799542</v>
      </c>
      <c r="S311" s="2418"/>
      <c r="T311" s="40"/>
      <c r="U311" s="40"/>
      <c r="V311" s="40"/>
      <c r="W311" s="40"/>
      <c r="X311" s="40"/>
      <c r="Y311" s="40"/>
      <c r="Z311" s="40"/>
      <c r="AA311" s="40"/>
      <c r="AB311" s="40"/>
      <c r="AC311" s="40"/>
      <c r="AD311" s="40"/>
      <c r="AE311" s="40"/>
      <c r="AF311" s="40"/>
      <c r="AG311" s="40"/>
      <c r="AH311" s="40"/>
      <c r="AI311" s="40"/>
      <c r="AJ311" s="40"/>
      <c r="AK311" s="40"/>
      <c r="AL311" s="40"/>
      <c r="AM311" s="40"/>
      <c r="AN311" s="40"/>
      <c r="AO311" s="40"/>
      <c r="AP311" s="40"/>
      <c r="AQ311" s="40"/>
    </row>
    <row r="312" spans="1:43" customFormat="1" ht="18" customHeight="1">
      <c r="A312" s="75"/>
      <c r="B312" s="1778"/>
      <c r="C312" s="1344"/>
      <c r="D312" s="1344"/>
      <c r="E312" s="1344"/>
      <c r="F312" s="1344"/>
      <c r="G312" s="1344"/>
      <c r="H312" s="1344"/>
      <c r="I312" s="1217"/>
      <c r="J312" s="1217"/>
      <c r="K312" s="1217"/>
      <c r="L312" s="1217"/>
      <c r="M312" s="1217"/>
      <c r="N312" s="1217"/>
      <c r="O312" s="1217"/>
      <c r="P312" s="1217"/>
      <c r="Q312" s="1217"/>
      <c r="R312" s="1218"/>
      <c r="S312" s="2418"/>
      <c r="T312" s="40"/>
      <c r="U312" s="40"/>
      <c r="V312" s="40"/>
      <c r="W312" s="40"/>
      <c r="X312" s="40"/>
      <c r="Y312" s="40"/>
      <c r="Z312" s="40"/>
      <c r="AA312" s="40"/>
      <c r="AB312" s="40"/>
      <c r="AC312" s="40"/>
      <c r="AD312" s="40"/>
      <c r="AE312" s="40"/>
      <c r="AF312" s="40"/>
      <c r="AG312" s="40"/>
      <c r="AH312" s="40"/>
      <c r="AI312" s="40"/>
      <c r="AJ312" s="40"/>
      <c r="AK312" s="40"/>
      <c r="AL312" s="40"/>
      <c r="AM312" s="40"/>
      <c r="AN312" s="40"/>
      <c r="AO312" s="40"/>
      <c r="AP312" s="40"/>
      <c r="AQ312" s="40"/>
    </row>
    <row r="313" spans="1:43" s="272" customFormat="1" ht="20.25" customHeight="1">
      <c r="A313" s="75"/>
      <c r="B313" s="1778" t="s">
        <v>1448</v>
      </c>
      <c r="C313" s="1343">
        <v>102</v>
      </c>
      <c r="D313" s="1343">
        <v>7</v>
      </c>
      <c r="E313" s="1343">
        <v>7</v>
      </c>
      <c r="F313" s="1343"/>
      <c r="G313" s="1343"/>
      <c r="H313" s="1327">
        <f>N313</f>
        <v>0</v>
      </c>
      <c r="I313" s="1288">
        <f>I74</f>
        <v>0</v>
      </c>
      <c r="J313" s="1288">
        <f>J74</f>
        <v>0</v>
      </c>
      <c r="K313" s="1288">
        <f>K74</f>
        <v>0</v>
      </c>
      <c r="L313" s="1288">
        <f>L74</f>
        <v>0</v>
      </c>
      <c r="M313" s="1288">
        <f>M74</f>
        <v>0</v>
      </c>
      <c r="N313" s="1217">
        <f>M313</f>
        <v>0</v>
      </c>
      <c r="O313" s="1217">
        <f>N313</f>
        <v>0</v>
      </c>
      <c r="P313" s="1217">
        <f>O313</f>
        <v>0</v>
      </c>
      <c r="Q313" s="1217">
        <f>P313</f>
        <v>0</v>
      </c>
      <c r="R313" s="1218">
        <f>Q313</f>
        <v>0</v>
      </c>
      <c r="S313" s="2434"/>
      <c r="T313" s="288"/>
      <c r="U313" s="288"/>
      <c r="V313" s="288"/>
      <c r="W313" s="288"/>
      <c r="X313" s="288"/>
      <c r="Y313" s="288"/>
      <c r="Z313" s="288"/>
      <c r="AA313" s="288"/>
      <c r="AB313" s="288"/>
      <c r="AC313" s="288"/>
      <c r="AD313" s="288"/>
      <c r="AE313" s="288"/>
      <c r="AF313" s="288"/>
      <c r="AG313" s="288"/>
      <c r="AH313" s="288"/>
      <c r="AI313" s="288"/>
      <c r="AJ313" s="288"/>
      <c r="AK313" s="288"/>
      <c r="AL313" s="288"/>
      <c r="AM313" s="288"/>
      <c r="AN313" s="288"/>
      <c r="AO313" s="288"/>
      <c r="AP313" s="288"/>
      <c r="AQ313" s="288"/>
    </row>
    <row r="314" spans="1:43" customFormat="1" ht="18" customHeight="1">
      <c r="A314" s="74"/>
      <c r="B314" s="2191" t="s">
        <v>1369</v>
      </c>
      <c r="C314" s="1385"/>
      <c r="D314" s="1385"/>
      <c r="E314" s="1385"/>
      <c r="F314" s="1385"/>
      <c r="G314" s="1385"/>
      <c r="H314" s="1386"/>
      <c r="I314" s="1288">
        <f>I265+I278-I290+I295+I301+I276+I292+I313</f>
        <v>4268.5419201700006</v>
      </c>
      <c r="J314" s="1288">
        <f t="shared" ref="J314:M314" si="130">J265+J278-J290+J295+J301+J276+J292+J313</f>
        <v>4840.0080203000007</v>
      </c>
      <c r="K314" s="1288">
        <f t="shared" si="130"/>
        <v>5026.8902150500007</v>
      </c>
      <c r="L314" s="1288">
        <f t="shared" si="130"/>
        <v>5553.8888874800004</v>
      </c>
      <c r="M314" s="1288">
        <f t="shared" si="130"/>
        <v>6524.9846727200002</v>
      </c>
      <c r="N314" s="1217">
        <f ca="1">N265+N278-N290+N295+N301+N276+N292+N313</f>
        <v>4932.3613313766782</v>
      </c>
      <c r="O314" s="1217">
        <f t="shared" ref="O314:R314" ca="1" si="131">O265+O278-O290+O295+O301+O276+O292+O313</f>
        <v>3286.7962828290338</v>
      </c>
      <c r="P314" s="1217">
        <f t="shared" ca="1" si="131"/>
        <v>1650.790092911694</v>
      </c>
      <c r="Q314" s="1217">
        <f t="shared" ca="1" si="131"/>
        <v>12.675641080553021</v>
      </c>
      <c r="R314" s="1218">
        <f t="shared" ca="1" si="131"/>
        <v>-1627.2195890181551</v>
      </c>
      <c r="S314" s="2418"/>
      <c r="T314" s="40"/>
      <c r="U314" s="40"/>
      <c r="V314" s="40"/>
      <c r="W314" s="40"/>
      <c r="X314" s="40"/>
      <c r="Y314" s="40"/>
      <c r="Z314" s="40"/>
      <c r="AA314" s="40"/>
      <c r="AB314" s="40"/>
      <c r="AC314" s="40"/>
      <c r="AD314" s="40"/>
      <c r="AE314" s="40"/>
      <c r="AF314" s="40"/>
      <c r="AG314" s="40"/>
      <c r="AH314" s="40"/>
      <c r="AI314" s="40"/>
      <c r="AJ314" s="40"/>
      <c r="AK314" s="40"/>
      <c r="AL314" s="40"/>
      <c r="AM314" s="40"/>
      <c r="AN314" s="40"/>
      <c r="AO314" s="40"/>
      <c r="AP314" s="40"/>
      <c r="AQ314" s="40"/>
    </row>
    <row r="315" spans="1:43" customFormat="1" ht="18" customHeight="1">
      <c r="A315" s="75"/>
      <c r="B315" s="1778"/>
      <c r="C315" s="1344"/>
      <c r="D315" s="1344"/>
      <c r="E315" s="1344"/>
      <c r="F315" s="1344"/>
      <c r="G315" s="1344"/>
      <c r="H315" s="1298"/>
      <c r="I315" s="1298"/>
      <c r="J315" s="1217"/>
      <c r="K315" s="1217"/>
      <c r="L315" s="1217"/>
      <c r="M315" s="1217"/>
      <c r="N315" s="1217"/>
      <c r="O315" s="1217"/>
      <c r="P315" s="1217"/>
      <c r="Q315" s="1217"/>
      <c r="R315" s="1218"/>
      <c r="S315" s="2418"/>
      <c r="T315" s="40"/>
      <c r="U315" s="40"/>
      <c r="V315" s="40"/>
      <c r="W315" s="40"/>
      <c r="X315" s="40"/>
      <c r="Y315" s="40"/>
      <c r="Z315" s="40"/>
      <c r="AA315" s="40"/>
      <c r="AB315" s="40"/>
      <c r="AC315" s="40"/>
      <c r="AD315" s="40"/>
      <c r="AE315" s="40"/>
      <c r="AF315" s="40"/>
      <c r="AG315" s="40"/>
      <c r="AH315" s="40"/>
      <c r="AI315" s="40"/>
      <c r="AJ315" s="40"/>
      <c r="AK315" s="40"/>
      <c r="AL315" s="40"/>
      <c r="AM315" s="40"/>
      <c r="AN315" s="40"/>
      <c r="AO315" s="40"/>
      <c r="AP315" s="40"/>
      <c r="AQ315" s="40"/>
    </row>
    <row r="316" spans="1:43" customFormat="1" ht="18" customHeight="1">
      <c r="A316" s="67"/>
      <c r="B316" s="2175" t="s">
        <v>543</v>
      </c>
      <c r="C316" s="1325"/>
      <c r="D316" s="1325"/>
      <c r="E316" s="1325"/>
      <c r="F316" s="1325"/>
      <c r="G316" s="1325"/>
      <c r="H316" s="1326"/>
      <c r="I316" s="1287">
        <f>I76</f>
        <v>-1.9081500000000002E-3</v>
      </c>
      <c r="J316" s="1288">
        <f>J76</f>
        <v>1.44294382</v>
      </c>
      <c r="K316" s="1288">
        <f>K76</f>
        <v>1.9503019799999999</v>
      </c>
      <c r="L316" s="1288">
        <f>L76</f>
        <v>1.8358173</v>
      </c>
      <c r="M316" s="1288">
        <f>M76</f>
        <v>4.2588337699999999</v>
      </c>
      <c r="N316" s="1294">
        <f ca="1">M316+利润表!N31+N317</f>
        <v>7.1925278516444759</v>
      </c>
      <c r="O316" s="1294">
        <f ca="1">N316+利润表!O31+O317</f>
        <v>10.67770486123591</v>
      </c>
      <c r="P316" s="1294">
        <f ca="1">O316+利润表!P31+P317</f>
        <v>14.142636962024939</v>
      </c>
      <c r="Q316" s="1294">
        <f ca="1">P316+利润表!Q31+Q317</f>
        <v>17.612034195297589</v>
      </c>
      <c r="R316" s="1295">
        <f ca="1">Q316+利润表!R31+R317</f>
        <v>21.085202976515294</v>
      </c>
      <c r="S316" s="2418"/>
      <c r="T316" s="40"/>
      <c r="U316" s="40"/>
      <c r="V316" s="40"/>
      <c r="W316" s="40"/>
      <c r="X316" s="40"/>
      <c r="Y316" s="40"/>
      <c r="Z316" s="40"/>
      <c r="AA316" s="40"/>
      <c r="AB316" s="40"/>
      <c r="AC316" s="40"/>
      <c r="AD316" s="40"/>
      <c r="AE316" s="40"/>
      <c r="AF316" s="40"/>
      <c r="AG316" s="40"/>
      <c r="AH316" s="40"/>
      <c r="AI316" s="40"/>
      <c r="AJ316" s="40"/>
      <c r="AK316" s="40"/>
      <c r="AL316" s="40"/>
      <c r="AM316" s="40"/>
      <c r="AN316" s="40"/>
      <c r="AO316" s="40"/>
      <c r="AP316" s="40"/>
      <c r="AQ316" s="40"/>
    </row>
    <row r="317" spans="1:43" customFormat="1" ht="18" customHeight="1">
      <c r="A317" s="67"/>
      <c r="B317" s="2187" t="s">
        <v>627</v>
      </c>
      <c r="C317" s="1343">
        <v>102</v>
      </c>
      <c r="D317" s="1343">
        <v>7</v>
      </c>
      <c r="E317" s="1343">
        <v>7</v>
      </c>
      <c r="F317" s="1343"/>
      <c r="G317" s="1343"/>
      <c r="H317" s="1327">
        <f>N317</f>
        <v>0</v>
      </c>
      <c r="I317" s="1310">
        <v>0</v>
      </c>
      <c r="J317" s="1311">
        <v>0</v>
      </c>
      <c r="K317" s="1311">
        <v>0</v>
      </c>
      <c r="L317" s="1311">
        <v>0</v>
      </c>
      <c r="M317" s="1311">
        <v>0</v>
      </c>
      <c r="N317" s="1885">
        <f>0</f>
        <v>0</v>
      </c>
      <c r="O317" s="1885">
        <f>0</f>
        <v>0</v>
      </c>
      <c r="P317" s="1885">
        <f>0</f>
        <v>0</v>
      </c>
      <c r="Q317" s="1885">
        <f>0</f>
        <v>0</v>
      </c>
      <c r="R317" s="1886">
        <f>0</f>
        <v>0</v>
      </c>
      <c r="S317" s="2418"/>
      <c r="T317" s="40"/>
      <c r="U317" s="40"/>
      <c r="V317" s="40"/>
      <c r="W317" s="40"/>
      <c r="X317" s="40"/>
      <c r="Y317" s="40"/>
      <c r="Z317" s="40"/>
      <c r="AA317" s="40"/>
      <c r="AB317" s="40"/>
      <c r="AC317" s="40"/>
      <c r="AD317" s="40"/>
      <c r="AE317" s="40"/>
      <c r="AF317" s="40"/>
      <c r="AG317" s="40"/>
      <c r="AH317" s="40"/>
      <c r="AI317" s="40"/>
      <c r="AJ317" s="40"/>
      <c r="AK317" s="40"/>
      <c r="AL317" s="40"/>
      <c r="AM317" s="40"/>
      <c r="AN317" s="40"/>
      <c r="AO317" s="40"/>
      <c r="AP317" s="40"/>
      <c r="AQ317" s="40"/>
    </row>
    <row r="318" spans="1:43" customFormat="1" ht="18" customHeight="1">
      <c r="A318" s="74"/>
      <c r="B318" s="2191"/>
      <c r="C318" s="1382"/>
      <c r="D318" s="1382"/>
      <c r="E318" s="1382"/>
      <c r="F318" s="1382"/>
      <c r="G318" s="1382"/>
      <c r="H318" s="1387"/>
      <c r="I318" s="1298"/>
      <c r="J318" s="1217"/>
      <c r="K318" s="1217"/>
      <c r="L318" s="1217"/>
      <c r="M318" s="1217"/>
      <c r="N318" s="1217"/>
      <c r="O318" s="1217"/>
      <c r="P318" s="1217"/>
      <c r="Q318" s="1217"/>
      <c r="R318" s="1218"/>
      <c r="S318" s="2418"/>
      <c r="T318" s="40"/>
      <c r="U318" s="40"/>
      <c r="V318" s="40"/>
      <c r="W318" s="40"/>
      <c r="X318" s="40"/>
      <c r="Y318" s="40"/>
      <c r="Z318" s="40"/>
      <c r="AA318" s="40"/>
      <c r="AB318" s="40"/>
      <c r="AC318" s="40"/>
      <c r="AD318" s="40"/>
      <c r="AE318" s="40"/>
      <c r="AF318" s="40"/>
      <c r="AG318" s="40"/>
      <c r="AH318" s="40"/>
      <c r="AI318" s="40"/>
      <c r="AJ318" s="40"/>
      <c r="AK318" s="40"/>
      <c r="AL318" s="40"/>
      <c r="AM318" s="40"/>
      <c r="AN318" s="40"/>
      <c r="AO318" s="40"/>
      <c r="AP318" s="40"/>
      <c r="AQ318" s="40"/>
    </row>
    <row r="319" spans="1:43" customFormat="1" ht="18" customHeight="1" thickBot="1">
      <c r="A319" s="74"/>
      <c r="B319" s="2190" t="s">
        <v>628</v>
      </c>
      <c r="C319" s="1388"/>
      <c r="D319" s="1388"/>
      <c r="E319" s="1388"/>
      <c r="F319" s="1388"/>
      <c r="G319" s="1388"/>
      <c r="H319" s="1389"/>
      <c r="I319" s="1351">
        <f t="shared" ref="I319:R319" si="132">I314+I316</f>
        <v>4268.5400120200002</v>
      </c>
      <c r="J319" s="1351">
        <f t="shared" si="132"/>
        <v>4841.4509641200011</v>
      </c>
      <c r="K319" s="1351">
        <f t="shared" si="132"/>
        <v>5028.8405170300011</v>
      </c>
      <c r="L319" s="1351">
        <f t="shared" si="132"/>
        <v>5555.7247047800001</v>
      </c>
      <c r="M319" s="1351">
        <f t="shared" si="132"/>
        <v>6529.2435064900001</v>
      </c>
      <c r="N319" s="1352">
        <f t="shared" ca="1" si="132"/>
        <v>4939.5538592283228</v>
      </c>
      <c r="O319" s="1352">
        <f t="shared" ca="1" si="132"/>
        <v>3297.4739876902695</v>
      </c>
      <c r="P319" s="1352">
        <f t="shared" ca="1" si="132"/>
        <v>1664.9327298737189</v>
      </c>
      <c r="Q319" s="1352">
        <f t="shared" ca="1" si="132"/>
        <v>30.28767527585061</v>
      </c>
      <c r="R319" s="1353">
        <f t="shared" ca="1" si="132"/>
        <v>-1606.1343860416398</v>
      </c>
      <c r="S319" s="2418"/>
      <c r="T319" s="40"/>
      <c r="U319" s="40"/>
      <c r="V319" s="40"/>
      <c r="W319" s="40"/>
      <c r="X319" s="40"/>
      <c r="Y319" s="40"/>
      <c r="Z319" s="40"/>
      <c r="AA319" s="40"/>
      <c r="AB319" s="40"/>
      <c r="AC319" s="40"/>
      <c r="AD319" s="40"/>
      <c r="AE319" s="40"/>
      <c r="AF319" s="40"/>
      <c r="AG319" s="40"/>
      <c r="AH319" s="40"/>
      <c r="AI319" s="40"/>
      <c r="AJ319" s="40"/>
      <c r="AK319" s="40"/>
      <c r="AL319" s="40"/>
      <c r="AM319" s="40"/>
      <c r="AN319" s="40"/>
      <c r="AO319" s="40"/>
      <c r="AP319" s="40"/>
      <c r="AQ319" s="40"/>
    </row>
    <row r="320" spans="1:43" s="272" customFormat="1" ht="17.25" hidden="1" customHeight="1" thickBot="1">
      <c r="A320" s="75"/>
      <c r="B320" s="2195" t="s">
        <v>155</v>
      </c>
      <c r="C320" s="1390"/>
      <c r="D320" s="1390"/>
      <c r="E320" s="1390"/>
      <c r="F320" s="1390"/>
      <c r="G320" s="1390"/>
      <c r="H320" s="1391"/>
      <c r="I320" s="1392"/>
      <c r="J320" s="1393"/>
      <c r="K320" s="1393"/>
      <c r="L320" s="1393"/>
      <c r="M320" s="1393"/>
      <c r="N320" s="1393"/>
      <c r="O320" s="1393"/>
      <c r="P320" s="1393"/>
      <c r="Q320" s="1393"/>
      <c r="R320" s="1394"/>
      <c r="S320" s="288"/>
      <c r="T320" s="288"/>
      <c r="U320" s="288"/>
      <c r="V320" s="288"/>
      <c r="W320" s="288"/>
      <c r="X320" s="288"/>
      <c r="Y320" s="288"/>
      <c r="Z320" s="288"/>
      <c r="AA320" s="288"/>
      <c r="AB320" s="288"/>
      <c r="AC320" s="288"/>
      <c r="AD320" s="288"/>
      <c r="AE320" s="288"/>
      <c r="AF320" s="288"/>
      <c r="AG320" s="288"/>
      <c r="AH320" s="288"/>
      <c r="AI320" s="288"/>
      <c r="AJ320" s="288"/>
      <c r="AK320" s="288"/>
      <c r="AL320" s="288"/>
      <c r="AM320" s="288"/>
      <c r="AN320" s="288"/>
      <c r="AO320" s="288"/>
      <c r="AP320" s="288"/>
      <c r="AQ320" s="288"/>
    </row>
    <row r="321" spans="1:43" customFormat="1" ht="18" customHeight="1">
      <c r="A321" s="67"/>
      <c r="B321" s="1375"/>
      <c r="C321" s="1375"/>
      <c r="D321" s="1375"/>
      <c r="E321" s="1375"/>
      <c r="F321" s="1375"/>
      <c r="G321" s="1375"/>
      <c r="H321" s="1375"/>
      <c r="I321" s="1395"/>
      <c r="J321" s="1395"/>
      <c r="K321" s="1395"/>
      <c r="L321" s="1395"/>
      <c r="M321" s="1395"/>
      <c r="N321" s="1395"/>
      <c r="O321" s="1395"/>
      <c r="P321" s="1395"/>
      <c r="Q321" s="1395"/>
      <c r="R321" s="1357"/>
      <c r="S321" s="40"/>
      <c r="T321" s="40"/>
      <c r="U321" s="40"/>
      <c r="V321" s="40"/>
      <c r="W321" s="40"/>
      <c r="X321" s="40"/>
      <c r="Y321" s="40"/>
      <c r="Z321" s="40"/>
      <c r="AA321" s="40"/>
      <c r="AB321" s="40"/>
      <c r="AC321" s="40"/>
      <c r="AD321" s="40"/>
      <c r="AE321" s="40"/>
      <c r="AF321" s="40"/>
      <c r="AG321" s="40"/>
      <c r="AH321" s="40"/>
      <c r="AI321" s="40"/>
      <c r="AJ321" s="40"/>
      <c r="AK321" s="40"/>
      <c r="AL321" s="40"/>
      <c r="AM321" s="40"/>
      <c r="AN321" s="40"/>
      <c r="AO321" s="40"/>
      <c r="AP321" s="40"/>
      <c r="AQ321" s="40"/>
    </row>
    <row r="322" spans="1:43" customFormat="1" ht="15.75" customHeight="1" thickBot="1">
      <c r="A322" s="67"/>
      <c r="B322" s="1375"/>
      <c r="C322" s="1375"/>
      <c r="D322" s="1375"/>
      <c r="E322" s="1375"/>
      <c r="F322" s="1375"/>
      <c r="G322" s="1375"/>
      <c r="H322" s="1375"/>
      <c r="I322" s="1395"/>
      <c r="J322" s="1395"/>
      <c r="K322" s="1395"/>
      <c r="L322" s="1395"/>
      <c r="M322" s="1395"/>
      <c r="N322" s="1395"/>
      <c r="O322" s="1395"/>
      <c r="P322" s="1395"/>
      <c r="Q322" s="1395"/>
      <c r="R322" s="1356"/>
      <c r="S322" s="40"/>
      <c r="T322" s="40"/>
      <c r="U322" s="40"/>
      <c r="V322" s="40"/>
      <c r="W322" s="40"/>
      <c r="X322" s="40"/>
      <c r="Y322" s="40"/>
      <c r="Z322" s="40"/>
      <c r="AA322" s="40"/>
      <c r="AB322" s="40"/>
      <c r="AC322" s="40"/>
      <c r="AD322" s="40"/>
      <c r="AE322" s="40"/>
      <c r="AF322" s="40"/>
      <c r="AG322" s="40"/>
      <c r="AH322" s="40"/>
      <c r="AI322" s="40"/>
      <c r="AJ322" s="40"/>
      <c r="AK322" s="40"/>
      <c r="AL322" s="40"/>
      <c r="AM322" s="40"/>
      <c r="AN322" s="40"/>
      <c r="AO322" s="40"/>
      <c r="AP322" s="40"/>
      <c r="AQ322" s="40"/>
    </row>
    <row r="323" spans="1:43" customFormat="1" ht="18" customHeight="1">
      <c r="A323" s="67"/>
      <c r="B323" s="180" t="s">
        <v>629</v>
      </c>
      <c r="C323" s="1396"/>
      <c r="D323" s="1396"/>
      <c r="E323" s="1396"/>
      <c r="F323" s="1396"/>
      <c r="G323" s="1396"/>
      <c r="H323" s="1396"/>
      <c r="I323" s="1397"/>
      <c r="J323" s="1397"/>
      <c r="K323" s="1397"/>
      <c r="L323" s="1397"/>
      <c r="M323" s="1397"/>
      <c r="N323" s="1398">
        <v>3</v>
      </c>
      <c r="O323" s="1398">
        <v>4</v>
      </c>
      <c r="P323" s="1397"/>
      <c r="Q323" s="1397"/>
      <c r="R323" s="1399"/>
      <c r="S323" s="40"/>
      <c r="T323" s="40"/>
      <c r="U323" s="40"/>
      <c r="V323" s="40"/>
      <c r="W323" s="40"/>
      <c r="X323" s="40"/>
      <c r="Y323" s="40"/>
      <c r="Z323" s="40"/>
      <c r="AA323" s="40"/>
      <c r="AB323" s="40"/>
      <c r="AC323" s="40"/>
      <c r="AD323" s="40"/>
      <c r="AE323" s="40"/>
      <c r="AF323" s="40"/>
      <c r="AG323" s="40"/>
      <c r="AH323" s="40"/>
      <c r="AI323" s="40"/>
      <c r="AJ323" s="40"/>
      <c r="AK323" s="40"/>
      <c r="AL323" s="40"/>
      <c r="AM323" s="40"/>
      <c r="AN323" s="40"/>
      <c r="AO323" s="40"/>
      <c r="AP323" s="40"/>
      <c r="AQ323" s="40"/>
    </row>
    <row r="324" spans="1:43" customFormat="1" ht="18" customHeight="1">
      <c r="A324" s="67"/>
      <c r="B324" s="796"/>
      <c r="C324" s="603"/>
      <c r="D324" s="603"/>
      <c r="E324" s="603"/>
      <c r="F324" s="603"/>
      <c r="G324" s="603"/>
      <c r="H324" s="603"/>
      <c r="I324" s="1400">
        <f>I3</f>
        <v>2015</v>
      </c>
      <c r="J324" s="1400">
        <f t="shared" ref="J324:R324" si="133">J3</f>
        <v>2016</v>
      </c>
      <c r="K324" s="1400">
        <f t="shared" si="133"/>
        <v>2017</v>
      </c>
      <c r="L324" s="1400">
        <f t="shared" si="133"/>
        <v>2018</v>
      </c>
      <c r="M324" s="1400">
        <f t="shared" si="133"/>
        <v>2019</v>
      </c>
      <c r="N324" s="1400" t="str">
        <f t="shared" si="133"/>
        <v>2020E</v>
      </c>
      <c r="O324" s="1400" t="str">
        <f t="shared" si="133"/>
        <v>2021E</v>
      </c>
      <c r="P324" s="1400" t="str">
        <f t="shared" si="133"/>
        <v>2022E</v>
      </c>
      <c r="Q324" s="1400" t="str">
        <f t="shared" si="133"/>
        <v>2023E</v>
      </c>
      <c r="R324" s="1401" t="str">
        <f t="shared" si="133"/>
        <v>2024E</v>
      </c>
    </row>
    <row r="325" spans="1:43" customFormat="1" ht="18" customHeight="1">
      <c r="A325" s="67"/>
      <c r="B325" s="1402" t="str">
        <f ca="1">OFFSET(B3,$N$323,0)</f>
        <v>衍生金融资产</v>
      </c>
      <c r="C325" s="1403"/>
      <c r="D325" s="1403"/>
      <c r="E325" s="1403"/>
      <c r="F325" s="1403"/>
      <c r="G325" s="1403"/>
      <c r="H325" s="1403"/>
      <c r="I325" s="802">
        <f ca="1">OFFSET(I3,$N$323,0)</f>
        <v>0</v>
      </c>
      <c r="J325" s="802">
        <f t="shared" ref="J325:R325" ca="1" si="134">OFFSET(J3,$N$323,0)</f>
        <v>0</v>
      </c>
      <c r="K325" s="802">
        <f t="shared" ca="1" si="134"/>
        <v>0</v>
      </c>
      <c r="L325" s="802">
        <f t="shared" ca="1" si="134"/>
        <v>0</v>
      </c>
      <c r="M325" s="802">
        <f t="shared" ca="1" si="134"/>
        <v>0</v>
      </c>
      <c r="N325" s="807">
        <f t="shared" ca="1" si="134"/>
        <v>0</v>
      </c>
      <c r="O325" s="807">
        <f t="shared" ca="1" si="134"/>
        <v>0</v>
      </c>
      <c r="P325" s="807">
        <f t="shared" ca="1" si="134"/>
        <v>0</v>
      </c>
      <c r="Q325" s="807">
        <f t="shared" ca="1" si="134"/>
        <v>0</v>
      </c>
      <c r="R325" s="827">
        <f t="shared" ca="1" si="134"/>
        <v>0</v>
      </c>
    </row>
    <row r="326" spans="1:43" customFormat="1" ht="18" customHeight="1" thickBot="1">
      <c r="A326" s="67"/>
      <c r="B326" s="1404" t="str">
        <f ca="1">OFFSET(B3,$O$323,0)</f>
        <v>经营性应收款项</v>
      </c>
      <c r="C326" s="1405"/>
      <c r="D326" s="1405"/>
      <c r="E326" s="1405"/>
      <c r="F326" s="1405"/>
      <c r="G326" s="1405"/>
      <c r="H326" s="1405"/>
      <c r="I326" s="813">
        <f t="shared" ref="I326:R326" ca="1" si="135">OFFSET(I3,$O$323,0)</f>
        <v>1634.33176303</v>
      </c>
      <c r="J326" s="813">
        <f t="shared" ca="1" si="135"/>
        <v>2137.78180449</v>
      </c>
      <c r="K326" s="813">
        <f t="shared" ca="1" si="135"/>
        <v>2511.3960870700002</v>
      </c>
      <c r="L326" s="813">
        <f t="shared" ca="1" si="135"/>
        <v>2808.4926688400001</v>
      </c>
      <c r="M326" s="813">
        <f t="shared" ca="1" si="135"/>
        <v>3134.4389875899997</v>
      </c>
      <c r="N326" s="1406">
        <f t="shared" ca="1" si="135"/>
        <v>2980.7602065722731</v>
      </c>
      <c r="O326" s="1406">
        <f t="shared" ca="1" si="135"/>
        <v>3039.9996469481107</v>
      </c>
      <c r="P326" s="1406">
        <f t="shared" ca="1" si="135"/>
        <v>3049.1746957530345</v>
      </c>
      <c r="Q326" s="1406">
        <f t="shared" ca="1" si="135"/>
        <v>3022.6990388918239</v>
      </c>
      <c r="R326" s="1407">
        <f t="shared" ca="1" si="135"/>
        <v>3037.2124281229826</v>
      </c>
    </row>
    <row r="327" spans="1:43" customFormat="1" ht="17.100000000000001" customHeight="1">
      <c r="A327" s="67"/>
      <c r="B327" s="453"/>
      <c r="C327" s="77"/>
      <c r="D327" s="77"/>
      <c r="E327" s="77"/>
      <c r="F327" s="77"/>
      <c r="G327" s="77"/>
      <c r="H327" s="77"/>
      <c r="I327" s="250"/>
      <c r="J327" s="250"/>
      <c r="K327" s="250"/>
      <c r="L327" s="250"/>
      <c r="M327" s="250"/>
      <c r="N327" s="250"/>
      <c r="O327" s="250"/>
      <c r="P327" s="250"/>
      <c r="Q327" s="250"/>
      <c r="R327" s="251"/>
    </row>
    <row r="328" spans="1:43" customFormat="1" ht="17.100000000000001" customHeight="1">
      <c r="A328" s="67"/>
      <c r="B328" s="453"/>
      <c r="C328" s="77"/>
      <c r="D328" s="77"/>
      <c r="E328" s="77"/>
      <c r="F328" s="77"/>
      <c r="G328" s="77"/>
      <c r="H328" s="77"/>
      <c r="I328" s="249"/>
      <c r="J328" s="249"/>
      <c r="K328" s="249"/>
      <c r="L328" s="249"/>
      <c r="M328" s="249"/>
      <c r="N328" s="249"/>
      <c r="O328" s="249"/>
      <c r="P328" s="249"/>
      <c r="Q328" s="249"/>
      <c r="R328" s="252"/>
    </row>
    <row r="329" spans="1:43" customFormat="1" ht="17.100000000000001" customHeight="1">
      <c r="A329" s="67"/>
      <c r="B329" s="453"/>
      <c r="C329" s="77"/>
      <c r="D329" s="77"/>
      <c r="E329" s="77"/>
      <c r="F329" s="77"/>
      <c r="G329" s="77"/>
      <c r="H329" s="77"/>
      <c r="I329" s="249"/>
      <c r="J329" s="249"/>
      <c r="K329" s="249"/>
      <c r="L329" s="249"/>
      <c r="M329" s="249"/>
      <c r="N329" s="249"/>
      <c r="O329" s="249"/>
      <c r="P329" s="249"/>
      <c r="Q329" s="249"/>
      <c r="R329" s="252"/>
    </row>
    <row r="330" spans="1:43" customFormat="1" ht="17.100000000000001" customHeight="1">
      <c r="A330" s="67"/>
      <c r="B330" s="453"/>
      <c r="C330" s="77"/>
      <c r="D330" s="77"/>
      <c r="E330" s="77"/>
      <c r="F330" s="77"/>
      <c r="G330" s="77"/>
      <c r="H330" s="77"/>
      <c r="I330" s="249"/>
      <c r="J330" s="249"/>
      <c r="K330" s="249"/>
      <c r="L330" s="249"/>
      <c r="M330" s="249"/>
      <c r="N330" s="249"/>
      <c r="O330" s="249"/>
      <c r="P330" s="249"/>
      <c r="Q330" s="249"/>
      <c r="R330" s="252"/>
    </row>
    <row r="331" spans="1:43" customFormat="1" ht="17.100000000000001" customHeight="1">
      <c r="A331" s="67"/>
      <c r="B331" s="453"/>
      <c r="C331" s="77"/>
      <c r="D331" s="77"/>
      <c r="E331" s="77"/>
      <c r="F331" s="77"/>
      <c r="G331" s="77"/>
      <c r="H331" s="77"/>
      <c r="I331" s="249"/>
      <c r="J331" s="249"/>
      <c r="K331" s="249"/>
      <c r="L331" s="249"/>
      <c r="M331" s="249"/>
      <c r="N331" s="249"/>
      <c r="O331" s="249"/>
      <c r="P331" s="249"/>
      <c r="Q331" s="249"/>
      <c r="R331" s="252"/>
    </row>
    <row r="332" spans="1:43" customFormat="1" ht="17.100000000000001" customHeight="1">
      <c r="A332" s="67"/>
      <c r="B332" s="453"/>
      <c r="C332" s="77"/>
      <c r="D332" s="77"/>
      <c r="E332" s="77"/>
      <c r="F332" s="77"/>
      <c r="G332" s="77"/>
      <c r="H332" s="77"/>
      <c r="I332" s="249"/>
      <c r="J332" s="249"/>
      <c r="K332" s="249"/>
      <c r="L332" s="249"/>
      <c r="M332" s="249"/>
      <c r="N332" s="249"/>
      <c r="O332" s="249"/>
      <c r="P332" s="249"/>
      <c r="Q332" s="249"/>
      <c r="R332" s="252"/>
    </row>
    <row r="333" spans="1:43" customFormat="1" ht="17.100000000000001" customHeight="1">
      <c r="A333" s="67"/>
      <c r="B333" s="453"/>
      <c r="C333" s="77"/>
      <c r="D333" s="77"/>
      <c r="E333" s="77"/>
      <c r="F333" s="77"/>
      <c r="G333" s="77"/>
      <c r="H333" s="77"/>
      <c r="I333" s="249"/>
      <c r="J333" s="249"/>
      <c r="K333" s="249"/>
      <c r="L333" s="249"/>
      <c r="M333" s="249"/>
      <c r="N333" s="249"/>
      <c r="O333" s="249"/>
      <c r="P333" s="249"/>
      <c r="Q333" s="249"/>
      <c r="R333" s="252"/>
    </row>
    <row r="334" spans="1:43" customFormat="1" ht="17.100000000000001" customHeight="1">
      <c r="A334" s="67"/>
      <c r="B334" s="453"/>
      <c r="C334" s="77"/>
      <c r="D334" s="77"/>
      <c r="E334" s="77"/>
      <c r="F334" s="77"/>
      <c r="G334" s="77"/>
      <c r="H334" s="77"/>
      <c r="I334" s="249"/>
      <c r="J334" s="249"/>
      <c r="K334" s="249"/>
      <c r="L334" s="249"/>
      <c r="M334" s="249"/>
      <c r="N334" s="249"/>
      <c r="O334" s="249"/>
      <c r="P334" s="249"/>
      <c r="Q334" s="249"/>
      <c r="R334" s="252"/>
    </row>
    <row r="335" spans="1:43" customFormat="1" ht="17.100000000000001" customHeight="1">
      <c r="A335" s="67"/>
      <c r="B335" s="453"/>
      <c r="C335" s="77"/>
      <c r="D335" s="77"/>
      <c r="E335" s="77"/>
      <c r="F335" s="77"/>
      <c r="G335" s="77"/>
      <c r="H335" s="77"/>
      <c r="I335" s="249"/>
      <c r="J335" s="249"/>
      <c r="K335" s="249"/>
      <c r="L335" s="249"/>
      <c r="M335" s="249"/>
      <c r="N335" s="249"/>
      <c r="O335" s="249"/>
      <c r="P335" s="249"/>
      <c r="Q335" s="249"/>
      <c r="R335" s="252"/>
    </row>
    <row r="336" spans="1:43" customFormat="1" ht="17.100000000000001" customHeight="1">
      <c r="A336" s="67"/>
      <c r="B336" s="454"/>
      <c r="C336" s="78"/>
      <c r="D336" s="78"/>
      <c r="E336" s="78"/>
      <c r="F336" s="78"/>
      <c r="G336" s="78"/>
      <c r="H336" s="78"/>
      <c r="I336" s="76"/>
      <c r="J336" s="249"/>
      <c r="K336" s="249"/>
      <c r="L336" s="249"/>
      <c r="M336" s="249"/>
      <c r="N336" s="249"/>
      <c r="O336" s="249"/>
      <c r="P336" s="249"/>
      <c r="Q336" s="249"/>
      <c r="R336" s="252"/>
    </row>
    <row r="337" spans="1:18" customFormat="1" ht="17.100000000000001" customHeight="1">
      <c r="A337" s="67"/>
      <c r="B337" s="453"/>
      <c r="C337" s="77"/>
      <c r="D337" s="77"/>
      <c r="E337" s="77"/>
      <c r="F337" s="77"/>
      <c r="G337" s="77"/>
      <c r="H337" s="77"/>
      <c r="I337" s="249"/>
      <c r="J337" s="249"/>
      <c r="K337" s="249"/>
      <c r="L337" s="249"/>
      <c r="M337" s="249"/>
      <c r="N337" s="249"/>
      <c r="O337" s="249"/>
      <c r="P337" s="249"/>
      <c r="Q337" s="249"/>
      <c r="R337" s="252"/>
    </row>
    <row r="338" spans="1:18" customFormat="1" ht="17.100000000000001" customHeight="1">
      <c r="A338" s="67"/>
      <c r="B338" s="453"/>
      <c r="C338" s="77"/>
      <c r="D338" s="77"/>
      <c r="E338" s="77"/>
      <c r="F338" s="77"/>
      <c r="G338" s="77"/>
      <c r="H338" s="77"/>
      <c r="I338" s="249"/>
      <c r="J338" s="249"/>
      <c r="K338" s="249"/>
      <c r="L338" s="249"/>
      <c r="M338" s="249"/>
      <c r="N338" s="249"/>
      <c r="O338" s="249"/>
      <c r="P338" s="249"/>
      <c r="Q338" s="249"/>
      <c r="R338" s="252"/>
    </row>
    <row r="339" spans="1:18" customFormat="1" ht="17.100000000000001" customHeight="1" thickBot="1">
      <c r="A339" s="67"/>
      <c r="B339" s="455"/>
      <c r="C339" s="262"/>
      <c r="D339" s="262"/>
      <c r="E339" s="262"/>
      <c r="F339" s="262"/>
      <c r="G339" s="262"/>
      <c r="H339" s="262"/>
      <c r="I339" s="253"/>
      <c r="J339" s="253"/>
      <c r="K339" s="253"/>
      <c r="L339" s="253"/>
      <c r="M339" s="253"/>
      <c r="N339" s="253"/>
      <c r="O339" s="253"/>
      <c r="P339" s="253"/>
      <c r="Q339" s="253"/>
      <c r="R339" s="254"/>
    </row>
    <row r="340" spans="1:18" customFormat="1" ht="17.100000000000001" customHeight="1">
      <c r="A340" s="67"/>
      <c r="B340" s="77"/>
      <c r="C340" s="77"/>
      <c r="D340" s="77"/>
      <c r="E340" s="77"/>
      <c r="F340" s="77"/>
      <c r="G340" s="77"/>
      <c r="H340" s="77"/>
      <c r="I340" s="255"/>
      <c r="J340" s="255"/>
      <c r="K340" s="255"/>
      <c r="L340" s="255"/>
      <c r="M340" s="255"/>
      <c r="N340" s="255"/>
      <c r="O340" s="255"/>
      <c r="P340" s="255"/>
      <c r="Q340" s="255"/>
      <c r="R340" s="249"/>
    </row>
  </sheetData>
  <phoneticPr fontId="64" type="noConversion"/>
  <pageMargins left="0.75" right="0.75" top="1" bottom="1" header="0.5" footer="0.5"/>
  <pageSetup firstPageNumber="4294963191" orientation="portrait" r:id="rId1"/>
  <headerFooter alignWithMargins="0"/>
  <drawing r:id="rId2"/>
  <legacyDrawing r:id="rId3"/>
  <controls>
    <mc:AlternateContent xmlns:mc="http://schemas.openxmlformats.org/markup-compatibility/2006">
      <mc:Choice Requires="x14">
        <control shapeId="14732" r:id="rId4" name="cbFormula191">
          <controlPr defaultSize="0" linkedCell="D229" listFillRange="SYSDATA!E2:F5" r:id="rId5">
            <anchor moveWithCells="1">
              <from>
                <xdr:col>2</xdr:col>
                <xdr:colOff>9525</xdr:colOff>
                <xdr:row>228</xdr:row>
                <xdr:rowOff>9525</xdr:rowOff>
              </from>
              <to>
                <xdr:col>8</xdr:col>
                <xdr:colOff>47625</xdr:colOff>
                <xdr:row>229</xdr:row>
                <xdr:rowOff>9525</xdr:rowOff>
              </to>
            </anchor>
          </controlPr>
        </control>
      </mc:Choice>
      <mc:Fallback>
        <control shapeId="14732" r:id="rId4" name="cbFormula191"/>
      </mc:Fallback>
    </mc:AlternateContent>
    <mc:AlternateContent xmlns:mc="http://schemas.openxmlformats.org/markup-compatibility/2006">
      <mc:Choice Requires="x14">
        <control shapeId="14731" r:id="rId6" name="cbFormula176">
          <controlPr defaultSize="0" linkedCell="D110" listFillRange="SYSDATA!E2:F5" r:id="rId7">
            <anchor moveWithCells="1">
              <from>
                <xdr:col>2</xdr:col>
                <xdr:colOff>9525</xdr:colOff>
                <xdr:row>109</xdr:row>
                <xdr:rowOff>9525</xdr:rowOff>
              </from>
              <to>
                <xdr:col>8</xdr:col>
                <xdr:colOff>47625</xdr:colOff>
                <xdr:row>110</xdr:row>
                <xdr:rowOff>9525</xdr:rowOff>
              </to>
            </anchor>
          </controlPr>
        </control>
      </mc:Choice>
      <mc:Fallback>
        <control shapeId="14731" r:id="rId6" name="cbFormula176"/>
      </mc:Fallback>
    </mc:AlternateContent>
    <mc:AlternateContent xmlns:mc="http://schemas.openxmlformats.org/markup-compatibility/2006">
      <mc:Choice Requires="x14">
        <control shapeId="14730" r:id="rId8" name="cbFormula175">
          <controlPr defaultSize="0" linkedCell="D109" listFillRange="SYSDATA!E2:F5" r:id="rId9">
            <anchor moveWithCells="1">
              <from>
                <xdr:col>2</xdr:col>
                <xdr:colOff>9525</xdr:colOff>
                <xdr:row>108</xdr:row>
                <xdr:rowOff>9525</xdr:rowOff>
              </from>
              <to>
                <xdr:col>8</xdr:col>
                <xdr:colOff>47625</xdr:colOff>
                <xdr:row>109</xdr:row>
                <xdr:rowOff>9525</xdr:rowOff>
              </to>
            </anchor>
          </controlPr>
        </control>
      </mc:Choice>
      <mc:Fallback>
        <control shapeId="14730" r:id="rId8" name="cbFormula175"/>
      </mc:Fallback>
    </mc:AlternateContent>
    <mc:AlternateContent xmlns:mc="http://schemas.openxmlformats.org/markup-compatibility/2006">
      <mc:Choice Requires="x14">
        <control shapeId="14727" r:id="rId10" name="cbFormula174">
          <controlPr defaultSize="0" linkedCell="D106" listFillRange="SYSDATA!B2:C8" r:id="rId11">
            <anchor moveWithCells="1">
              <from>
                <xdr:col>1</xdr:col>
                <xdr:colOff>1790700</xdr:colOff>
                <xdr:row>105</xdr:row>
                <xdr:rowOff>9525</xdr:rowOff>
              </from>
              <to>
                <xdr:col>8</xdr:col>
                <xdr:colOff>28575</xdr:colOff>
                <xdr:row>106</xdr:row>
                <xdr:rowOff>9525</xdr:rowOff>
              </to>
            </anchor>
          </controlPr>
        </control>
      </mc:Choice>
      <mc:Fallback>
        <control shapeId="14727" r:id="rId10" name="cbFormula174"/>
      </mc:Fallback>
    </mc:AlternateContent>
    <mc:AlternateContent xmlns:mc="http://schemas.openxmlformats.org/markup-compatibility/2006">
      <mc:Choice Requires="x14">
        <control shapeId="14726" r:id="rId12" name="cbFormula179">
          <controlPr defaultSize="0" linkedCell="D134" listFillRange="SYSDATA!E2:F5" r:id="rId13">
            <anchor moveWithCells="1">
              <from>
                <xdr:col>2</xdr:col>
                <xdr:colOff>9525</xdr:colOff>
                <xdr:row>133</xdr:row>
                <xdr:rowOff>9525</xdr:rowOff>
              </from>
              <to>
                <xdr:col>8</xdr:col>
                <xdr:colOff>47625</xdr:colOff>
                <xdr:row>134</xdr:row>
                <xdr:rowOff>9525</xdr:rowOff>
              </to>
            </anchor>
          </controlPr>
        </control>
      </mc:Choice>
      <mc:Fallback>
        <control shapeId="14726" r:id="rId12" name="cbFormula179"/>
      </mc:Fallback>
    </mc:AlternateContent>
    <mc:AlternateContent xmlns:mc="http://schemas.openxmlformats.org/markup-compatibility/2006">
      <mc:Choice Requires="x14">
        <control shapeId="14725" r:id="rId14" name="cbFormula178">
          <controlPr defaultSize="0" linkedCell="D132" listFillRange="SYSDATA!B2:C8" r:id="rId15">
            <anchor moveWithCells="1">
              <from>
                <xdr:col>2</xdr:col>
                <xdr:colOff>9525</xdr:colOff>
                <xdr:row>131</xdr:row>
                <xdr:rowOff>9525</xdr:rowOff>
              </from>
              <to>
                <xdr:col>8</xdr:col>
                <xdr:colOff>47625</xdr:colOff>
                <xdr:row>132</xdr:row>
                <xdr:rowOff>9525</xdr:rowOff>
              </to>
            </anchor>
          </controlPr>
        </control>
      </mc:Choice>
      <mc:Fallback>
        <control shapeId="14725" r:id="rId14" name="cbFormula178"/>
      </mc:Fallback>
    </mc:AlternateContent>
    <mc:AlternateContent xmlns:mc="http://schemas.openxmlformats.org/markup-compatibility/2006">
      <mc:Choice Requires="x14">
        <control shapeId="14724" r:id="rId16" name="cbFormula190">
          <controlPr defaultSize="0" linkedCell="D313" listFillRange="SYSDATA!E2:F5" r:id="rId17">
            <anchor moveWithCells="1">
              <from>
                <xdr:col>2</xdr:col>
                <xdr:colOff>9525</xdr:colOff>
                <xdr:row>312</xdr:row>
                <xdr:rowOff>9525</xdr:rowOff>
              </from>
              <to>
                <xdr:col>8</xdr:col>
                <xdr:colOff>47625</xdr:colOff>
                <xdr:row>312</xdr:row>
                <xdr:rowOff>238125</xdr:rowOff>
              </to>
            </anchor>
          </controlPr>
        </control>
      </mc:Choice>
      <mc:Fallback>
        <control shapeId="14724" r:id="rId16" name="cbFormula190"/>
      </mc:Fallback>
    </mc:AlternateContent>
    <mc:AlternateContent xmlns:mc="http://schemas.openxmlformats.org/markup-compatibility/2006">
      <mc:Choice Requires="x14">
        <control shapeId="14723" r:id="rId18" name="cbFormula189">
          <controlPr defaultSize="0" linkedCell="D276" listFillRange="SYSDATA!E2:F5" r:id="rId19">
            <anchor moveWithCells="1">
              <from>
                <xdr:col>2</xdr:col>
                <xdr:colOff>9525</xdr:colOff>
                <xdr:row>275</xdr:row>
                <xdr:rowOff>9525</xdr:rowOff>
              </from>
              <to>
                <xdr:col>8</xdr:col>
                <xdr:colOff>47625</xdr:colOff>
                <xdr:row>276</xdr:row>
                <xdr:rowOff>9525</xdr:rowOff>
              </to>
            </anchor>
          </controlPr>
        </control>
      </mc:Choice>
      <mc:Fallback>
        <control shapeId="14723" r:id="rId18" name="cbFormula189"/>
      </mc:Fallback>
    </mc:AlternateContent>
    <mc:AlternateContent xmlns:mc="http://schemas.openxmlformats.org/markup-compatibility/2006">
      <mc:Choice Requires="x14">
        <control shapeId="14722" r:id="rId20" name="cbFormula188">
          <controlPr defaultSize="0" linkedCell="D256" listFillRange="SYSDATA!E2:F5" r:id="rId21">
            <anchor moveWithCells="1">
              <from>
                <xdr:col>2</xdr:col>
                <xdr:colOff>9525</xdr:colOff>
                <xdr:row>255</xdr:row>
                <xdr:rowOff>9525</xdr:rowOff>
              </from>
              <to>
                <xdr:col>8</xdr:col>
                <xdr:colOff>47625</xdr:colOff>
                <xdr:row>256</xdr:row>
                <xdr:rowOff>9525</xdr:rowOff>
              </to>
            </anchor>
          </controlPr>
        </control>
      </mc:Choice>
      <mc:Fallback>
        <control shapeId="14722" r:id="rId20" name="cbFormula188"/>
      </mc:Fallback>
    </mc:AlternateContent>
    <mc:AlternateContent xmlns:mc="http://schemas.openxmlformats.org/markup-compatibility/2006">
      <mc:Choice Requires="x14">
        <control shapeId="14721" r:id="rId22" name="cbFormula187">
          <controlPr defaultSize="0" linkedCell="D233" listFillRange="SYSDATA!E2:F5" r:id="rId23">
            <anchor moveWithCells="1">
              <from>
                <xdr:col>2</xdr:col>
                <xdr:colOff>9525</xdr:colOff>
                <xdr:row>232</xdr:row>
                <xdr:rowOff>9525</xdr:rowOff>
              </from>
              <to>
                <xdr:col>8</xdr:col>
                <xdr:colOff>47625</xdr:colOff>
                <xdr:row>232</xdr:row>
                <xdr:rowOff>238125</xdr:rowOff>
              </to>
            </anchor>
          </controlPr>
        </control>
      </mc:Choice>
      <mc:Fallback>
        <control shapeId="14721" r:id="rId22" name="cbFormula187"/>
      </mc:Fallback>
    </mc:AlternateContent>
    <mc:AlternateContent xmlns:mc="http://schemas.openxmlformats.org/markup-compatibility/2006">
      <mc:Choice Requires="x14">
        <control shapeId="14719" r:id="rId24" name="cbFormula186">
          <controlPr defaultSize="0" linkedCell="D213" listFillRange="SYSDATA!E2:F5" r:id="rId25">
            <anchor moveWithCells="1">
              <from>
                <xdr:col>2</xdr:col>
                <xdr:colOff>9525</xdr:colOff>
                <xdr:row>212</xdr:row>
                <xdr:rowOff>9525</xdr:rowOff>
              </from>
              <to>
                <xdr:col>8</xdr:col>
                <xdr:colOff>47625</xdr:colOff>
                <xdr:row>213</xdr:row>
                <xdr:rowOff>38100</xdr:rowOff>
              </to>
            </anchor>
          </controlPr>
        </control>
      </mc:Choice>
      <mc:Fallback>
        <control shapeId="14719" r:id="rId24" name="cbFormula186"/>
      </mc:Fallback>
    </mc:AlternateContent>
    <mc:AlternateContent xmlns:mc="http://schemas.openxmlformats.org/markup-compatibility/2006">
      <mc:Choice Requires="x14">
        <control shapeId="14717" r:id="rId26" name="cbFormula185">
          <controlPr defaultSize="0" linkedCell="D161" listFillRange="SYSDATA!E2:F5" r:id="rId27">
            <anchor moveWithCells="1">
              <from>
                <xdr:col>2</xdr:col>
                <xdr:colOff>9525</xdr:colOff>
                <xdr:row>160</xdr:row>
                <xdr:rowOff>9525</xdr:rowOff>
              </from>
              <to>
                <xdr:col>8</xdr:col>
                <xdr:colOff>47625</xdr:colOff>
                <xdr:row>161</xdr:row>
                <xdr:rowOff>9525</xdr:rowOff>
              </to>
            </anchor>
          </controlPr>
        </control>
      </mc:Choice>
      <mc:Fallback>
        <control shapeId="14717" r:id="rId26" name="cbFormula185"/>
      </mc:Fallback>
    </mc:AlternateContent>
    <mc:AlternateContent xmlns:mc="http://schemas.openxmlformats.org/markup-compatibility/2006">
      <mc:Choice Requires="x14">
        <control shapeId="14716" r:id="rId28" name="cbFormula184">
          <controlPr defaultSize="0" linkedCell="D148" listFillRange="SYSDATA!E2:F5" r:id="rId29">
            <anchor moveWithCells="1">
              <from>
                <xdr:col>2</xdr:col>
                <xdr:colOff>0</xdr:colOff>
                <xdr:row>147</xdr:row>
                <xdr:rowOff>0</xdr:rowOff>
              </from>
              <to>
                <xdr:col>8</xdr:col>
                <xdr:colOff>38100</xdr:colOff>
                <xdr:row>148</xdr:row>
                <xdr:rowOff>0</xdr:rowOff>
              </to>
            </anchor>
          </controlPr>
        </control>
      </mc:Choice>
      <mc:Fallback>
        <control shapeId="14716" r:id="rId28" name="cbFormula184"/>
      </mc:Fallback>
    </mc:AlternateContent>
    <mc:AlternateContent xmlns:mc="http://schemas.openxmlformats.org/markup-compatibility/2006">
      <mc:Choice Requires="x14">
        <control shapeId="14715" r:id="rId30" name="cbFormula183">
          <controlPr defaultSize="0" linkedCell="D147" listFillRange="SYSDATA!E2:F5" r:id="rId31">
            <anchor moveWithCells="1">
              <from>
                <xdr:col>2</xdr:col>
                <xdr:colOff>0</xdr:colOff>
                <xdr:row>146</xdr:row>
                <xdr:rowOff>0</xdr:rowOff>
              </from>
              <to>
                <xdr:col>8</xdr:col>
                <xdr:colOff>38100</xdr:colOff>
                <xdr:row>147</xdr:row>
                <xdr:rowOff>0</xdr:rowOff>
              </to>
            </anchor>
          </controlPr>
        </control>
      </mc:Choice>
      <mc:Fallback>
        <control shapeId="14715" r:id="rId30" name="cbFormula183"/>
      </mc:Fallback>
    </mc:AlternateContent>
    <mc:AlternateContent xmlns:mc="http://schemas.openxmlformats.org/markup-compatibility/2006">
      <mc:Choice Requires="x14">
        <control shapeId="14714" r:id="rId32" name="cbFormula182">
          <controlPr defaultSize="0" linkedCell="D144" listFillRange="SYSDATA!E2:F5" r:id="rId33">
            <anchor moveWithCells="1">
              <from>
                <xdr:col>2</xdr:col>
                <xdr:colOff>0</xdr:colOff>
                <xdr:row>143</xdr:row>
                <xdr:rowOff>0</xdr:rowOff>
              </from>
              <to>
                <xdr:col>8</xdr:col>
                <xdr:colOff>38100</xdr:colOff>
                <xdr:row>144</xdr:row>
                <xdr:rowOff>0</xdr:rowOff>
              </to>
            </anchor>
          </controlPr>
        </control>
      </mc:Choice>
      <mc:Fallback>
        <control shapeId="14714" r:id="rId32" name="cbFormula182"/>
      </mc:Fallback>
    </mc:AlternateContent>
    <mc:AlternateContent xmlns:mc="http://schemas.openxmlformats.org/markup-compatibility/2006">
      <mc:Choice Requires="x14">
        <control shapeId="14713" r:id="rId34" name="cbFormula181">
          <controlPr defaultSize="0" linkedCell="D143" listFillRange="SYSDATA!E2:F5" r:id="rId35">
            <anchor moveWithCells="1">
              <from>
                <xdr:col>2</xdr:col>
                <xdr:colOff>0</xdr:colOff>
                <xdr:row>142</xdr:row>
                <xdr:rowOff>0</xdr:rowOff>
              </from>
              <to>
                <xdr:col>8</xdr:col>
                <xdr:colOff>38100</xdr:colOff>
                <xdr:row>143</xdr:row>
                <xdr:rowOff>0</xdr:rowOff>
              </to>
            </anchor>
          </controlPr>
        </control>
      </mc:Choice>
      <mc:Fallback>
        <control shapeId="14713" r:id="rId34" name="cbFormula181"/>
      </mc:Fallback>
    </mc:AlternateContent>
    <mc:AlternateContent xmlns:mc="http://schemas.openxmlformats.org/markup-compatibility/2006">
      <mc:Choice Requires="x14">
        <control shapeId="14711" r:id="rId36" name="cbFormula180">
          <controlPr defaultSize="0" linkedCell="D138" listFillRange="SYSDATA!E2:F5" r:id="rId37">
            <anchor moveWithCells="1">
              <from>
                <xdr:col>2</xdr:col>
                <xdr:colOff>0</xdr:colOff>
                <xdr:row>137</xdr:row>
                <xdr:rowOff>0</xdr:rowOff>
              </from>
              <to>
                <xdr:col>8</xdr:col>
                <xdr:colOff>38100</xdr:colOff>
                <xdr:row>138</xdr:row>
                <xdr:rowOff>47625</xdr:rowOff>
              </to>
            </anchor>
          </controlPr>
        </control>
      </mc:Choice>
      <mc:Fallback>
        <control shapeId="14711" r:id="rId36" name="cbFormula180"/>
      </mc:Fallback>
    </mc:AlternateContent>
    <mc:AlternateContent xmlns:mc="http://schemas.openxmlformats.org/markup-compatibility/2006">
      <mc:Choice Requires="x14">
        <control shapeId="14710" r:id="rId38" name="cbFormula177">
          <controlPr defaultSize="0" linkedCell="D118" listFillRange="SYSDATA!E2:F5" r:id="rId39">
            <anchor moveWithCells="1">
              <from>
                <xdr:col>2</xdr:col>
                <xdr:colOff>0</xdr:colOff>
                <xdr:row>117</xdr:row>
                <xdr:rowOff>9525</xdr:rowOff>
              </from>
              <to>
                <xdr:col>8</xdr:col>
                <xdr:colOff>38100</xdr:colOff>
                <xdr:row>118</xdr:row>
                <xdr:rowOff>9525</xdr:rowOff>
              </to>
            </anchor>
          </controlPr>
        </control>
      </mc:Choice>
      <mc:Fallback>
        <control shapeId="14710" r:id="rId38" name="cbFormula177"/>
      </mc:Fallback>
    </mc:AlternateContent>
    <mc:AlternateContent xmlns:mc="http://schemas.openxmlformats.org/markup-compatibility/2006">
      <mc:Choice Requires="x14">
        <control shapeId="14543" r:id="rId40" name="cbFormula101">
          <controlPr defaultSize="0" linkedCell="D105" listFillRange="SYSDATA!B2:C8" r:id="rId41">
            <anchor moveWithCells="1">
              <from>
                <xdr:col>1</xdr:col>
                <xdr:colOff>1790700</xdr:colOff>
                <xdr:row>104</xdr:row>
                <xdr:rowOff>9525</xdr:rowOff>
              </from>
              <to>
                <xdr:col>8</xdr:col>
                <xdr:colOff>28575</xdr:colOff>
                <xdr:row>105</xdr:row>
                <xdr:rowOff>9525</xdr:rowOff>
              </to>
            </anchor>
          </controlPr>
        </control>
      </mc:Choice>
      <mc:Fallback>
        <control shapeId="14543" r:id="rId40" name="cbFormula101"/>
      </mc:Fallback>
    </mc:AlternateContent>
    <mc:AlternateContent xmlns:mc="http://schemas.openxmlformats.org/markup-compatibility/2006">
      <mc:Choice Requires="x14">
        <control shapeId="14544" r:id="rId42" name="cbFormula102">
          <controlPr defaultSize="0" linkedCell="D114" listFillRange="SYSDATA!B2:C8" r:id="rId43">
            <anchor moveWithCells="1">
              <from>
                <xdr:col>2</xdr:col>
                <xdr:colOff>9525</xdr:colOff>
                <xdr:row>113</xdr:row>
                <xdr:rowOff>9525</xdr:rowOff>
              </from>
              <to>
                <xdr:col>8</xdr:col>
                <xdr:colOff>47625</xdr:colOff>
                <xdr:row>114</xdr:row>
                <xdr:rowOff>9525</xdr:rowOff>
              </to>
            </anchor>
          </controlPr>
        </control>
      </mc:Choice>
      <mc:Fallback>
        <control shapeId="14544" r:id="rId42" name="cbFormula102"/>
      </mc:Fallback>
    </mc:AlternateContent>
    <mc:AlternateContent xmlns:mc="http://schemas.openxmlformats.org/markup-compatibility/2006">
      <mc:Choice Requires="x14">
        <control shapeId="14545" r:id="rId44" name="cbFormula103">
          <controlPr defaultSize="0" linkedCell="D116" listFillRange="SYSDATA!B2:C8" r:id="rId45">
            <anchor moveWithCells="1">
              <from>
                <xdr:col>2</xdr:col>
                <xdr:colOff>9525</xdr:colOff>
                <xdr:row>115</xdr:row>
                <xdr:rowOff>0</xdr:rowOff>
              </from>
              <to>
                <xdr:col>8</xdr:col>
                <xdr:colOff>47625</xdr:colOff>
                <xdr:row>116</xdr:row>
                <xdr:rowOff>0</xdr:rowOff>
              </to>
            </anchor>
          </controlPr>
        </control>
      </mc:Choice>
      <mc:Fallback>
        <control shapeId="14545" r:id="rId44" name="cbFormula103"/>
      </mc:Fallback>
    </mc:AlternateContent>
    <mc:AlternateContent xmlns:mc="http://schemas.openxmlformats.org/markup-compatibility/2006">
      <mc:Choice Requires="x14">
        <control shapeId="14546" r:id="rId46" name="cbFormula104">
          <controlPr defaultSize="0" linkedCell="D121" listFillRange="SYSDATA!E2:F5" r:id="rId47">
            <anchor moveWithCells="1">
              <from>
                <xdr:col>2</xdr:col>
                <xdr:colOff>0</xdr:colOff>
                <xdr:row>119</xdr:row>
                <xdr:rowOff>219075</xdr:rowOff>
              </from>
              <to>
                <xdr:col>8</xdr:col>
                <xdr:colOff>38100</xdr:colOff>
                <xdr:row>120</xdr:row>
                <xdr:rowOff>219075</xdr:rowOff>
              </to>
            </anchor>
          </controlPr>
        </control>
      </mc:Choice>
      <mc:Fallback>
        <control shapeId="14546" r:id="rId46" name="cbFormula104"/>
      </mc:Fallback>
    </mc:AlternateContent>
    <mc:AlternateContent xmlns:mc="http://schemas.openxmlformats.org/markup-compatibility/2006">
      <mc:Choice Requires="x14">
        <control shapeId="14549" r:id="rId48" name="cbFormula105">
          <controlPr defaultSize="0" linkedCell="D122" listFillRange="SYSDATA!E2:F5" r:id="rId49">
            <anchor moveWithCells="1">
              <from>
                <xdr:col>2</xdr:col>
                <xdr:colOff>9525</xdr:colOff>
                <xdr:row>121</xdr:row>
                <xdr:rowOff>9525</xdr:rowOff>
              </from>
              <to>
                <xdr:col>8</xdr:col>
                <xdr:colOff>47625</xdr:colOff>
                <xdr:row>122</xdr:row>
                <xdr:rowOff>9525</xdr:rowOff>
              </to>
            </anchor>
          </controlPr>
        </control>
      </mc:Choice>
      <mc:Fallback>
        <control shapeId="14549" r:id="rId48" name="cbFormula105"/>
      </mc:Fallback>
    </mc:AlternateContent>
    <mc:AlternateContent xmlns:mc="http://schemas.openxmlformats.org/markup-compatibility/2006">
      <mc:Choice Requires="x14">
        <control shapeId="14550" r:id="rId50" name="cbFormula106">
          <controlPr defaultSize="0" linkedCell="D124" listFillRange="SYSDATA!E2:F5" r:id="rId51">
            <anchor moveWithCells="1">
              <from>
                <xdr:col>2</xdr:col>
                <xdr:colOff>9525</xdr:colOff>
                <xdr:row>123</xdr:row>
                <xdr:rowOff>9525</xdr:rowOff>
              </from>
              <to>
                <xdr:col>8</xdr:col>
                <xdr:colOff>47625</xdr:colOff>
                <xdr:row>124</xdr:row>
                <xdr:rowOff>9525</xdr:rowOff>
              </to>
            </anchor>
          </controlPr>
        </control>
      </mc:Choice>
      <mc:Fallback>
        <control shapeId="14550" r:id="rId50" name="cbFormula106"/>
      </mc:Fallback>
    </mc:AlternateContent>
    <mc:AlternateContent xmlns:mc="http://schemas.openxmlformats.org/markup-compatibility/2006">
      <mc:Choice Requires="x14">
        <control shapeId="14552" r:id="rId52" name="cbFormula108">
          <controlPr defaultSize="0" linkedCell="D127" listFillRange="SYSDATA!B2:C8" r:id="rId53">
            <anchor moveWithCells="1">
              <from>
                <xdr:col>2</xdr:col>
                <xdr:colOff>9525</xdr:colOff>
                <xdr:row>126</xdr:row>
                <xdr:rowOff>9525</xdr:rowOff>
              </from>
              <to>
                <xdr:col>8</xdr:col>
                <xdr:colOff>47625</xdr:colOff>
                <xdr:row>127</xdr:row>
                <xdr:rowOff>9525</xdr:rowOff>
              </to>
            </anchor>
          </controlPr>
        </control>
      </mc:Choice>
      <mc:Fallback>
        <control shapeId="14552" r:id="rId52" name="cbFormula108"/>
      </mc:Fallback>
    </mc:AlternateContent>
    <mc:AlternateContent xmlns:mc="http://schemas.openxmlformats.org/markup-compatibility/2006">
      <mc:Choice Requires="x14">
        <control shapeId="14553" r:id="rId54" name="cbFormula109">
          <controlPr defaultSize="0" linkedCell="D129" listFillRange="SYSDATA!E2:F5" r:id="rId55">
            <anchor moveWithCells="1">
              <from>
                <xdr:col>2</xdr:col>
                <xdr:colOff>9525</xdr:colOff>
                <xdr:row>128</xdr:row>
                <xdr:rowOff>9525</xdr:rowOff>
              </from>
              <to>
                <xdr:col>8</xdr:col>
                <xdr:colOff>47625</xdr:colOff>
                <xdr:row>129</xdr:row>
                <xdr:rowOff>9525</xdr:rowOff>
              </to>
            </anchor>
          </controlPr>
        </control>
      </mc:Choice>
      <mc:Fallback>
        <control shapeId="14553" r:id="rId54" name="cbFormula109"/>
      </mc:Fallback>
    </mc:AlternateContent>
    <mc:AlternateContent xmlns:mc="http://schemas.openxmlformats.org/markup-compatibility/2006">
      <mc:Choice Requires="x14">
        <control shapeId="14554" r:id="rId56" name="cbFormula110">
          <controlPr defaultSize="0" linkedCell="D136" listFillRange="SYSDATA!E2:F5" r:id="rId57">
            <anchor moveWithCells="1">
              <from>
                <xdr:col>2</xdr:col>
                <xdr:colOff>9525</xdr:colOff>
                <xdr:row>135</xdr:row>
                <xdr:rowOff>9525</xdr:rowOff>
              </from>
              <to>
                <xdr:col>8</xdr:col>
                <xdr:colOff>47625</xdr:colOff>
                <xdr:row>136</xdr:row>
                <xdr:rowOff>9525</xdr:rowOff>
              </to>
            </anchor>
          </controlPr>
        </control>
      </mc:Choice>
      <mc:Fallback>
        <control shapeId="14554" r:id="rId56" name="cbFormula110"/>
      </mc:Fallback>
    </mc:AlternateContent>
    <mc:AlternateContent xmlns:mc="http://schemas.openxmlformats.org/markup-compatibility/2006">
      <mc:Choice Requires="x14">
        <control shapeId="14556" r:id="rId58" name="cbFormula112">
          <controlPr defaultSize="0" linkedCell="D150" listFillRange="SYSDATA!E2:F5" r:id="rId59">
            <anchor moveWithCells="1">
              <from>
                <xdr:col>2</xdr:col>
                <xdr:colOff>9525</xdr:colOff>
                <xdr:row>149</xdr:row>
                <xdr:rowOff>9525</xdr:rowOff>
              </from>
              <to>
                <xdr:col>8</xdr:col>
                <xdr:colOff>47625</xdr:colOff>
                <xdr:row>150</xdr:row>
                <xdr:rowOff>9525</xdr:rowOff>
              </to>
            </anchor>
          </controlPr>
        </control>
      </mc:Choice>
      <mc:Fallback>
        <control shapeId="14556" r:id="rId58" name="cbFormula112"/>
      </mc:Fallback>
    </mc:AlternateContent>
    <mc:AlternateContent xmlns:mc="http://schemas.openxmlformats.org/markup-compatibility/2006">
      <mc:Choice Requires="x14">
        <control shapeId="14557" r:id="rId60" name="cbFormula113">
          <controlPr defaultSize="0" linkedCell="D151" listFillRange="SYSDATA!E2:F5" r:id="rId61">
            <anchor moveWithCells="1">
              <from>
                <xdr:col>2</xdr:col>
                <xdr:colOff>9525</xdr:colOff>
                <xdr:row>150</xdr:row>
                <xdr:rowOff>9525</xdr:rowOff>
              </from>
              <to>
                <xdr:col>8</xdr:col>
                <xdr:colOff>47625</xdr:colOff>
                <xdr:row>151</xdr:row>
                <xdr:rowOff>9525</xdr:rowOff>
              </to>
            </anchor>
          </controlPr>
        </control>
      </mc:Choice>
      <mc:Fallback>
        <control shapeId="14557" r:id="rId60" name="cbFormula113"/>
      </mc:Fallback>
    </mc:AlternateContent>
    <mc:AlternateContent xmlns:mc="http://schemas.openxmlformats.org/markup-compatibility/2006">
      <mc:Choice Requires="x14">
        <control shapeId="14558" r:id="rId62" name="cbFormula114">
          <controlPr defaultSize="0" linkedCell="D152" listFillRange="SYSDATA!E2:F5" r:id="rId63">
            <anchor moveWithCells="1">
              <from>
                <xdr:col>2</xdr:col>
                <xdr:colOff>9525</xdr:colOff>
                <xdr:row>151</xdr:row>
                <xdr:rowOff>9525</xdr:rowOff>
              </from>
              <to>
                <xdr:col>8</xdr:col>
                <xdr:colOff>47625</xdr:colOff>
                <xdr:row>152</xdr:row>
                <xdr:rowOff>9525</xdr:rowOff>
              </to>
            </anchor>
          </controlPr>
        </control>
      </mc:Choice>
      <mc:Fallback>
        <control shapeId="14558" r:id="rId62" name="cbFormula114"/>
      </mc:Fallback>
    </mc:AlternateContent>
    <mc:AlternateContent xmlns:mc="http://schemas.openxmlformats.org/markup-compatibility/2006">
      <mc:Choice Requires="x14">
        <control shapeId="14559" r:id="rId64" name="cbFormula115">
          <controlPr defaultSize="0" linkedCell="D156" listFillRange="SYSDATA!E2:F5" r:id="rId65">
            <anchor moveWithCells="1">
              <from>
                <xdr:col>2</xdr:col>
                <xdr:colOff>9525</xdr:colOff>
                <xdr:row>155</xdr:row>
                <xdr:rowOff>9525</xdr:rowOff>
              </from>
              <to>
                <xdr:col>8</xdr:col>
                <xdr:colOff>47625</xdr:colOff>
                <xdr:row>156</xdr:row>
                <xdr:rowOff>9525</xdr:rowOff>
              </to>
            </anchor>
          </controlPr>
        </control>
      </mc:Choice>
      <mc:Fallback>
        <control shapeId="14559" r:id="rId64" name="cbFormula115"/>
      </mc:Fallback>
    </mc:AlternateContent>
    <mc:AlternateContent xmlns:mc="http://schemas.openxmlformats.org/markup-compatibility/2006">
      <mc:Choice Requires="x14">
        <control shapeId="14560" r:id="rId66" name="cbFormula116">
          <controlPr defaultSize="0" linkedCell="D157" listFillRange="SYSDATA!E2:F5" r:id="rId67">
            <anchor moveWithCells="1">
              <from>
                <xdr:col>2</xdr:col>
                <xdr:colOff>9525</xdr:colOff>
                <xdr:row>156</xdr:row>
                <xdr:rowOff>9525</xdr:rowOff>
              </from>
              <to>
                <xdr:col>8</xdr:col>
                <xdr:colOff>47625</xdr:colOff>
                <xdr:row>157</xdr:row>
                <xdr:rowOff>9525</xdr:rowOff>
              </to>
            </anchor>
          </controlPr>
        </control>
      </mc:Choice>
      <mc:Fallback>
        <control shapeId="14560" r:id="rId66" name="cbFormula116"/>
      </mc:Fallback>
    </mc:AlternateContent>
    <mc:AlternateContent xmlns:mc="http://schemas.openxmlformats.org/markup-compatibility/2006">
      <mc:Choice Requires="x14">
        <control shapeId="14561" r:id="rId68" name="cbFormula117">
          <controlPr defaultSize="0" linkedCell="D159" listFillRange="SYSDATA!E2:F5" r:id="rId69">
            <anchor moveWithCells="1">
              <from>
                <xdr:col>2</xdr:col>
                <xdr:colOff>9525</xdr:colOff>
                <xdr:row>158</xdr:row>
                <xdr:rowOff>9525</xdr:rowOff>
              </from>
              <to>
                <xdr:col>8</xdr:col>
                <xdr:colOff>47625</xdr:colOff>
                <xdr:row>159</xdr:row>
                <xdr:rowOff>38100</xdr:rowOff>
              </to>
            </anchor>
          </controlPr>
        </control>
      </mc:Choice>
      <mc:Fallback>
        <control shapeId="14561" r:id="rId68" name="cbFormula117"/>
      </mc:Fallback>
    </mc:AlternateContent>
    <mc:AlternateContent xmlns:mc="http://schemas.openxmlformats.org/markup-compatibility/2006">
      <mc:Choice Requires="x14">
        <control shapeId="14563" r:id="rId70" name="cbFormula119">
          <controlPr defaultSize="0" linkedCell="D162" listFillRange="SYSDATA!E2:F5" r:id="rId71">
            <anchor moveWithCells="1">
              <from>
                <xdr:col>2</xdr:col>
                <xdr:colOff>9525</xdr:colOff>
                <xdr:row>161</xdr:row>
                <xdr:rowOff>9525</xdr:rowOff>
              </from>
              <to>
                <xdr:col>8</xdr:col>
                <xdr:colOff>47625</xdr:colOff>
                <xdr:row>162</xdr:row>
                <xdr:rowOff>9525</xdr:rowOff>
              </to>
            </anchor>
          </controlPr>
        </control>
      </mc:Choice>
      <mc:Fallback>
        <control shapeId="14563" r:id="rId70" name="cbFormula119"/>
      </mc:Fallback>
    </mc:AlternateContent>
    <mc:AlternateContent xmlns:mc="http://schemas.openxmlformats.org/markup-compatibility/2006">
      <mc:Choice Requires="x14">
        <control shapeId="14564" r:id="rId72" name="cbFormula120">
          <controlPr defaultSize="0" linkedCell="D165" listFillRange="SYSDATA!E2:F6" r:id="rId73">
            <anchor moveWithCells="1">
              <from>
                <xdr:col>2</xdr:col>
                <xdr:colOff>9525</xdr:colOff>
                <xdr:row>164</xdr:row>
                <xdr:rowOff>9525</xdr:rowOff>
              </from>
              <to>
                <xdr:col>8</xdr:col>
                <xdr:colOff>47625</xdr:colOff>
                <xdr:row>165</xdr:row>
                <xdr:rowOff>9525</xdr:rowOff>
              </to>
            </anchor>
          </controlPr>
        </control>
      </mc:Choice>
      <mc:Fallback>
        <control shapeId="14564" r:id="rId72" name="cbFormula120"/>
      </mc:Fallback>
    </mc:AlternateContent>
    <mc:AlternateContent xmlns:mc="http://schemas.openxmlformats.org/markup-compatibility/2006">
      <mc:Choice Requires="x14">
        <control shapeId="14565" r:id="rId74" name="cbFormula121">
          <controlPr defaultSize="0" linkedCell="D166" listFillRange="SYSDATA!E2:F5" r:id="rId75">
            <anchor moveWithCells="1">
              <from>
                <xdr:col>2</xdr:col>
                <xdr:colOff>9525</xdr:colOff>
                <xdr:row>165</xdr:row>
                <xdr:rowOff>9525</xdr:rowOff>
              </from>
              <to>
                <xdr:col>8</xdr:col>
                <xdr:colOff>47625</xdr:colOff>
                <xdr:row>166</xdr:row>
                <xdr:rowOff>9525</xdr:rowOff>
              </to>
            </anchor>
          </controlPr>
        </control>
      </mc:Choice>
      <mc:Fallback>
        <control shapeId="14565" r:id="rId74" name="cbFormula121"/>
      </mc:Fallback>
    </mc:AlternateContent>
    <mc:AlternateContent xmlns:mc="http://schemas.openxmlformats.org/markup-compatibility/2006">
      <mc:Choice Requires="x14">
        <control shapeId="14566" r:id="rId76" name="cbFormula122">
          <controlPr defaultSize="0" linkedCell="D172" listFillRange="SYSDATA!E2:F5" r:id="rId77">
            <anchor moveWithCells="1">
              <from>
                <xdr:col>2</xdr:col>
                <xdr:colOff>9525</xdr:colOff>
                <xdr:row>171</xdr:row>
                <xdr:rowOff>9525</xdr:rowOff>
              </from>
              <to>
                <xdr:col>8</xdr:col>
                <xdr:colOff>47625</xdr:colOff>
                <xdr:row>172</xdr:row>
                <xdr:rowOff>9525</xdr:rowOff>
              </to>
            </anchor>
          </controlPr>
        </control>
      </mc:Choice>
      <mc:Fallback>
        <control shapeId="14566" r:id="rId76" name="cbFormula122"/>
      </mc:Fallback>
    </mc:AlternateContent>
    <mc:AlternateContent xmlns:mc="http://schemas.openxmlformats.org/markup-compatibility/2006">
      <mc:Choice Requires="x14">
        <control shapeId="14572" r:id="rId78" name="cbFormula128">
          <controlPr defaultSize="0" linkedCell="D198" listFillRange="SYSDATA!E2:F5" r:id="rId79">
            <anchor moveWithCells="1">
              <from>
                <xdr:col>2</xdr:col>
                <xdr:colOff>9525</xdr:colOff>
                <xdr:row>197</xdr:row>
                <xdr:rowOff>9525</xdr:rowOff>
              </from>
              <to>
                <xdr:col>8</xdr:col>
                <xdr:colOff>47625</xdr:colOff>
                <xdr:row>198</xdr:row>
                <xdr:rowOff>9525</xdr:rowOff>
              </to>
            </anchor>
          </controlPr>
        </control>
      </mc:Choice>
      <mc:Fallback>
        <control shapeId="14572" r:id="rId78" name="cbFormula128"/>
      </mc:Fallback>
    </mc:AlternateContent>
    <mc:AlternateContent xmlns:mc="http://schemas.openxmlformats.org/markup-compatibility/2006">
      <mc:Choice Requires="x14">
        <control shapeId="14573" r:id="rId80" name="cbFormula129">
          <controlPr defaultSize="0" linkedCell="D199" listFillRange="SYSDATA!E2:F5" r:id="rId81">
            <anchor moveWithCells="1">
              <from>
                <xdr:col>2</xdr:col>
                <xdr:colOff>9525</xdr:colOff>
                <xdr:row>198</xdr:row>
                <xdr:rowOff>9525</xdr:rowOff>
              </from>
              <to>
                <xdr:col>8</xdr:col>
                <xdr:colOff>47625</xdr:colOff>
                <xdr:row>199</xdr:row>
                <xdr:rowOff>9525</xdr:rowOff>
              </to>
            </anchor>
          </controlPr>
        </control>
      </mc:Choice>
      <mc:Fallback>
        <control shapeId="14573" r:id="rId80" name="cbFormula129"/>
      </mc:Fallback>
    </mc:AlternateContent>
    <mc:AlternateContent xmlns:mc="http://schemas.openxmlformats.org/markup-compatibility/2006">
      <mc:Choice Requires="x14">
        <control shapeId="14574" r:id="rId82" name="cbFormula130">
          <controlPr defaultSize="0" linkedCell="D200" listFillRange="SYSDATA!B2:C8" r:id="rId83">
            <anchor moveWithCells="1">
              <from>
                <xdr:col>2</xdr:col>
                <xdr:colOff>9525</xdr:colOff>
                <xdr:row>199</xdr:row>
                <xdr:rowOff>9525</xdr:rowOff>
              </from>
              <to>
                <xdr:col>8</xdr:col>
                <xdr:colOff>47625</xdr:colOff>
                <xdr:row>200</xdr:row>
                <xdr:rowOff>9525</xdr:rowOff>
              </to>
            </anchor>
          </controlPr>
        </control>
      </mc:Choice>
      <mc:Fallback>
        <control shapeId="14574" r:id="rId82" name="cbFormula130"/>
      </mc:Fallback>
    </mc:AlternateContent>
    <mc:AlternateContent xmlns:mc="http://schemas.openxmlformats.org/markup-compatibility/2006">
      <mc:Choice Requires="x14">
        <control shapeId="14575" r:id="rId84" name="cbFormula131">
          <controlPr defaultSize="0" linkedCell="D203" listFillRange="SYSDATA!E2:F5" r:id="rId85">
            <anchor moveWithCells="1">
              <from>
                <xdr:col>2</xdr:col>
                <xdr:colOff>9525</xdr:colOff>
                <xdr:row>202</xdr:row>
                <xdr:rowOff>9525</xdr:rowOff>
              </from>
              <to>
                <xdr:col>8</xdr:col>
                <xdr:colOff>47625</xdr:colOff>
                <xdr:row>203</xdr:row>
                <xdr:rowOff>9525</xdr:rowOff>
              </to>
            </anchor>
          </controlPr>
        </control>
      </mc:Choice>
      <mc:Fallback>
        <control shapeId="14575" r:id="rId84" name="cbFormula131"/>
      </mc:Fallback>
    </mc:AlternateContent>
    <mc:AlternateContent xmlns:mc="http://schemas.openxmlformats.org/markup-compatibility/2006">
      <mc:Choice Requires="x14">
        <control shapeId="14576" r:id="rId86" name="cbFormula132">
          <controlPr defaultSize="0" linkedCell="D204" listFillRange="SYSDATA!E2:F5" r:id="rId87">
            <anchor moveWithCells="1">
              <from>
                <xdr:col>2</xdr:col>
                <xdr:colOff>9525</xdr:colOff>
                <xdr:row>203</xdr:row>
                <xdr:rowOff>9525</xdr:rowOff>
              </from>
              <to>
                <xdr:col>8</xdr:col>
                <xdr:colOff>47625</xdr:colOff>
                <xdr:row>204</xdr:row>
                <xdr:rowOff>9525</xdr:rowOff>
              </to>
            </anchor>
          </controlPr>
        </control>
      </mc:Choice>
      <mc:Fallback>
        <control shapeId="14576" r:id="rId86" name="cbFormula132"/>
      </mc:Fallback>
    </mc:AlternateContent>
    <mc:AlternateContent xmlns:mc="http://schemas.openxmlformats.org/markup-compatibility/2006">
      <mc:Choice Requires="x14">
        <control shapeId="14577" r:id="rId88" name="cbFormula133">
          <controlPr defaultSize="0" linkedCell="D206" listFillRange="SYSDATA!E2:F5" r:id="rId89">
            <anchor moveWithCells="1">
              <from>
                <xdr:col>2</xdr:col>
                <xdr:colOff>9525</xdr:colOff>
                <xdr:row>205</xdr:row>
                <xdr:rowOff>9525</xdr:rowOff>
              </from>
              <to>
                <xdr:col>8</xdr:col>
                <xdr:colOff>47625</xdr:colOff>
                <xdr:row>206</xdr:row>
                <xdr:rowOff>9525</xdr:rowOff>
              </to>
            </anchor>
          </controlPr>
        </control>
      </mc:Choice>
      <mc:Fallback>
        <control shapeId="14577" r:id="rId88" name="cbFormula133"/>
      </mc:Fallback>
    </mc:AlternateContent>
    <mc:AlternateContent xmlns:mc="http://schemas.openxmlformats.org/markup-compatibility/2006">
      <mc:Choice Requires="x14">
        <control shapeId="14578" r:id="rId90" name="cbFormula134">
          <controlPr defaultSize="0" linkedCell="D207" listFillRange="SYSDATA!E2:F5" r:id="rId91">
            <anchor moveWithCells="1">
              <from>
                <xdr:col>2</xdr:col>
                <xdr:colOff>9525</xdr:colOff>
                <xdr:row>206</xdr:row>
                <xdr:rowOff>9525</xdr:rowOff>
              </from>
              <to>
                <xdr:col>8</xdr:col>
                <xdr:colOff>47625</xdr:colOff>
                <xdr:row>207</xdr:row>
                <xdr:rowOff>9525</xdr:rowOff>
              </to>
            </anchor>
          </controlPr>
        </control>
      </mc:Choice>
      <mc:Fallback>
        <control shapeId="14578" r:id="rId90" name="cbFormula134"/>
      </mc:Fallback>
    </mc:AlternateContent>
    <mc:AlternateContent xmlns:mc="http://schemas.openxmlformats.org/markup-compatibility/2006">
      <mc:Choice Requires="x14">
        <control shapeId="14579" r:id="rId92" name="cbFormula135">
          <controlPr defaultSize="0" linkedCell="D209" listFillRange="SYSDATA!E2:F5" r:id="rId93">
            <anchor moveWithCells="1">
              <from>
                <xdr:col>2</xdr:col>
                <xdr:colOff>9525</xdr:colOff>
                <xdr:row>208</xdr:row>
                <xdr:rowOff>9525</xdr:rowOff>
              </from>
              <to>
                <xdr:col>8</xdr:col>
                <xdr:colOff>47625</xdr:colOff>
                <xdr:row>209</xdr:row>
                <xdr:rowOff>9525</xdr:rowOff>
              </to>
            </anchor>
          </controlPr>
        </control>
      </mc:Choice>
      <mc:Fallback>
        <control shapeId="14579" r:id="rId92" name="cbFormula135"/>
      </mc:Fallback>
    </mc:AlternateContent>
    <mc:AlternateContent xmlns:mc="http://schemas.openxmlformats.org/markup-compatibility/2006">
      <mc:Choice Requires="x14">
        <control shapeId="14580" r:id="rId94" name="cbFormula136">
          <controlPr defaultSize="0" linkedCell="D210" listFillRange="SYSDATA!E2:F5" r:id="rId95">
            <anchor moveWithCells="1">
              <from>
                <xdr:col>2</xdr:col>
                <xdr:colOff>9525</xdr:colOff>
                <xdr:row>209</xdr:row>
                <xdr:rowOff>9525</xdr:rowOff>
              </from>
              <to>
                <xdr:col>8</xdr:col>
                <xdr:colOff>47625</xdr:colOff>
                <xdr:row>210</xdr:row>
                <xdr:rowOff>9525</xdr:rowOff>
              </to>
            </anchor>
          </controlPr>
        </control>
      </mc:Choice>
      <mc:Fallback>
        <control shapeId="14580" r:id="rId94" name="cbFormula136"/>
      </mc:Fallback>
    </mc:AlternateContent>
    <mc:AlternateContent xmlns:mc="http://schemas.openxmlformats.org/markup-compatibility/2006">
      <mc:Choice Requires="x14">
        <control shapeId="14581" r:id="rId96" name="cbFormula137">
          <controlPr defaultSize="0" linkedCell="D211" listFillRange="SYSDATA!E2:F5" r:id="rId97">
            <anchor moveWithCells="1">
              <from>
                <xdr:col>2</xdr:col>
                <xdr:colOff>9525</xdr:colOff>
                <xdr:row>210</xdr:row>
                <xdr:rowOff>9525</xdr:rowOff>
              </from>
              <to>
                <xdr:col>8</xdr:col>
                <xdr:colOff>47625</xdr:colOff>
                <xdr:row>211</xdr:row>
                <xdr:rowOff>9525</xdr:rowOff>
              </to>
            </anchor>
          </controlPr>
        </control>
      </mc:Choice>
      <mc:Fallback>
        <control shapeId="14581" r:id="rId96" name="cbFormula137"/>
      </mc:Fallback>
    </mc:AlternateContent>
    <mc:AlternateContent xmlns:mc="http://schemas.openxmlformats.org/markup-compatibility/2006">
      <mc:Choice Requires="x14">
        <control shapeId="14584" r:id="rId98" name="cbFormula140">
          <controlPr defaultSize="0" linkedCell="D224" listFillRange="SYSDATA!E2:F5" r:id="rId99">
            <anchor moveWithCells="1">
              <from>
                <xdr:col>2</xdr:col>
                <xdr:colOff>9525</xdr:colOff>
                <xdr:row>223</xdr:row>
                <xdr:rowOff>9525</xdr:rowOff>
              </from>
              <to>
                <xdr:col>8</xdr:col>
                <xdr:colOff>47625</xdr:colOff>
                <xdr:row>224</xdr:row>
                <xdr:rowOff>9525</xdr:rowOff>
              </to>
            </anchor>
          </controlPr>
        </control>
      </mc:Choice>
      <mc:Fallback>
        <control shapeId="14584" r:id="rId98" name="cbFormula140"/>
      </mc:Fallback>
    </mc:AlternateContent>
    <mc:AlternateContent xmlns:mc="http://schemas.openxmlformats.org/markup-compatibility/2006">
      <mc:Choice Requires="x14">
        <control shapeId="14586" r:id="rId100" name="cbFormula141">
          <controlPr defaultSize="0" linkedCell="D226" listFillRange="SYSDATA!B2:C8" r:id="rId101">
            <anchor moveWithCells="1">
              <from>
                <xdr:col>2</xdr:col>
                <xdr:colOff>9525</xdr:colOff>
                <xdr:row>225</xdr:row>
                <xdr:rowOff>9525</xdr:rowOff>
              </from>
              <to>
                <xdr:col>8</xdr:col>
                <xdr:colOff>47625</xdr:colOff>
                <xdr:row>226</xdr:row>
                <xdr:rowOff>9525</xdr:rowOff>
              </to>
            </anchor>
          </controlPr>
        </control>
      </mc:Choice>
      <mc:Fallback>
        <control shapeId="14586" r:id="rId100" name="cbFormula141"/>
      </mc:Fallback>
    </mc:AlternateContent>
    <mc:AlternateContent xmlns:mc="http://schemas.openxmlformats.org/markup-compatibility/2006">
      <mc:Choice Requires="x14">
        <control shapeId="14588" r:id="rId102" name="cbFormula143">
          <controlPr defaultSize="0" linkedCell="D230" listFillRange="SYSDATA!E2:F5" r:id="rId103">
            <anchor moveWithCells="1">
              <from>
                <xdr:col>2</xdr:col>
                <xdr:colOff>9525</xdr:colOff>
                <xdr:row>229</xdr:row>
                <xdr:rowOff>9525</xdr:rowOff>
              </from>
              <to>
                <xdr:col>8</xdr:col>
                <xdr:colOff>47625</xdr:colOff>
                <xdr:row>230</xdr:row>
                <xdr:rowOff>9525</xdr:rowOff>
              </to>
            </anchor>
          </controlPr>
        </control>
      </mc:Choice>
      <mc:Fallback>
        <control shapeId="14588" r:id="rId102" name="cbFormula143"/>
      </mc:Fallback>
    </mc:AlternateContent>
    <mc:AlternateContent xmlns:mc="http://schemas.openxmlformats.org/markup-compatibility/2006">
      <mc:Choice Requires="x14">
        <control shapeId="14589" r:id="rId104" name="cbFormula144">
          <controlPr defaultSize="0" linkedCell="D231" listFillRange="SYSDATA!E2:F5" r:id="rId105">
            <anchor moveWithCells="1">
              <from>
                <xdr:col>2</xdr:col>
                <xdr:colOff>9525</xdr:colOff>
                <xdr:row>230</xdr:row>
                <xdr:rowOff>9525</xdr:rowOff>
              </from>
              <to>
                <xdr:col>8</xdr:col>
                <xdr:colOff>47625</xdr:colOff>
                <xdr:row>231</xdr:row>
                <xdr:rowOff>9525</xdr:rowOff>
              </to>
            </anchor>
          </controlPr>
        </control>
      </mc:Choice>
      <mc:Fallback>
        <control shapeId="14589" r:id="rId104" name="cbFormula144"/>
      </mc:Fallback>
    </mc:AlternateContent>
    <mc:AlternateContent xmlns:mc="http://schemas.openxmlformats.org/markup-compatibility/2006">
      <mc:Choice Requires="x14">
        <control shapeId="14591" r:id="rId106" name="cbFormula146">
          <controlPr defaultSize="0" linkedCell="D239" listFillRange="SYSDATA!E2:F5" r:id="rId107">
            <anchor moveWithCells="1">
              <from>
                <xdr:col>2</xdr:col>
                <xdr:colOff>9525</xdr:colOff>
                <xdr:row>238</xdr:row>
                <xdr:rowOff>9525</xdr:rowOff>
              </from>
              <to>
                <xdr:col>8</xdr:col>
                <xdr:colOff>47625</xdr:colOff>
                <xdr:row>239</xdr:row>
                <xdr:rowOff>9525</xdr:rowOff>
              </to>
            </anchor>
          </controlPr>
        </control>
      </mc:Choice>
      <mc:Fallback>
        <control shapeId="14591" r:id="rId106" name="cbFormula146"/>
      </mc:Fallback>
    </mc:AlternateContent>
    <mc:AlternateContent xmlns:mc="http://schemas.openxmlformats.org/markup-compatibility/2006">
      <mc:Choice Requires="x14">
        <control shapeId="14592" r:id="rId108" name="cbFormula147">
          <controlPr defaultSize="0" linkedCell="D240" listFillRange="SYSDATA!E2:F5" r:id="rId109">
            <anchor moveWithCells="1">
              <from>
                <xdr:col>2</xdr:col>
                <xdr:colOff>9525</xdr:colOff>
                <xdr:row>239</xdr:row>
                <xdr:rowOff>9525</xdr:rowOff>
              </from>
              <to>
                <xdr:col>8</xdr:col>
                <xdr:colOff>47625</xdr:colOff>
                <xdr:row>240</xdr:row>
                <xdr:rowOff>9525</xdr:rowOff>
              </to>
            </anchor>
          </controlPr>
        </control>
      </mc:Choice>
      <mc:Fallback>
        <control shapeId="14592" r:id="rId108" name="cbFormula147"/>
      </mc:Fallback>
    </mc:AlternateContent>
    <mc:AlternateContent xmlns:mc="http://schemas.openxmlformats.org/markup-compatibility/2006">
      <mc:Choice Requires="x14">
        <control shapeId="14593" r:id="rId110" name="cbFormula148">
          <controlPr defaultSize="0" linkedCell="D241" listFillRange="SYSDATA!E2:F5" r:id="rId111">
            <anchor moveWithCells="1">
              <from>
                <xdr:col>2</xdr:col>
                <xdr:colOff>9525</xdr:colOff>
                <xdr:row>240</xdr:row>
                <xdr:rowOff>9525</xdr:rowOff>
              </from>
              <to>
                <xdr:col>8</xdr:col>
                <xdr:colOff>47625</xdr:colOff>
                <xdr:row>241</xdr:row>
                <xdr:rowOff>9525</xdr:rowOff>
              </to>
            </anchor>
          </controlPr>
        </control>
      </mc:Choice>
      <mc:Fallback>
        <control shapeId="14593" r:id="rId110" name="cbFormula148"/>
      </mc:Fallback>
    </mc:AlternateContent>
    <mc:AlternateContent xmlns:mc="http://schemas.openxmlformats.org/markup-compatibility/2006">
      <mc:Choice Requires="x14">
        <control shapeId="14594" r:id="rId112" name="cbFormula149">
          <controlPr defaultSize="0" linkedCell="D246" listFillRange="SYSDATA!E2:F5" r:id="rId113">
            <anchor moveWithCells="1">
              <from>
                <xdr:col>2</xdr:col>
                <xdr:colOff>9525</xdr:colOff>
                <xdr:row>245</xdr:row>
                <xdr:rowOff>9525</xdr:rowOff>
              </from>
              <to>
                <xdr:col>8</xdr:col>
                <xdr:colOff>47625</xdr:colOff>
                <xdr:row>246</xdr:row>
                <xdr:rowOff>9525</xdr:rowOff>
              </to>
            </anchor>
          </controlPr>
        </control>
      </mc:Choice>
      <mc:Fallback>
        <control shapeId="14594" r:id="rId112" name="cbFormula149"/>
      </mc:Fallback>
    </mc:AlternateContent>
    <mc:AlternateContent xmlns:mc="http://schemas.openxmlformats.org/markup-compatibility/2006">
      <mc:Choice Requires="x14">
        <control shapeId="14595" r:id="rId114" name="cbFormula150">
          <controlPr defaultSize="0" linkedCell="D248" listFillRange="SYSDATA!E2:F5" r:id="rId115">
            <anchor moveWithCells="1">
              <from>
                <xdr:col>2</xdr:col>
                <xdr:colOff>9525</xdr:colOff>
                <xdr:row>247</xdr:row>
                <xdr:rowOff>9525</xdr:rowOff>
              </from>
              <to>
                <xdr:col>8</xdr:col>
                <xdr:colOff>47625</xdr:colOff>
                <xdr:row>248</xdr:row>
                <xdr:rowOff>9525</xdr:rowOff>
              </to>
            </anchor>
          </controlPr>
        </control>
      </mc:Choice>
      <mc:Fallback>
        <control shapeId="14595" r:id="rId114" name="cbFormula150"/>
      </mc:Fallback>
    </mc:AlternateContent>
    <mc:AlternateContent xmlns:mc="http://schemas.openxmlformats.org/markup-compatibility/2006">
      <mc:Choice Requires="x14">
        <control shapeId="14596" r:id="rId116" name="cbFormula151">
          <controlPr defaultSize="0" linkedCell="D249" listFillRange="SYSDATA!E2:F5" r:id="rId117">
            <anchor moveWithCells="1">
              <from>
                <xdr:col>2</xdr:col>
                <xdr:colOff>9525</xdr:colOff>
                <xdr:row>248</xdr:row>
                <xdr:rowOff>9525</xdr:rowOff>
              </from>
              <to>
                <xdr:col>8</xdr:col>
                <xdr:colOff>47625</xdr:colOff>
                <xdr:row>249</xdr:row>
                <xdr:rowOff>9525</xdr:rowOff>
              </to>
            </anchor>
          </controlPr>
        </control>
      </mc:Choice>
      <mc:Fallback>
        <control shapeId="14596" r:id="rId116" name="cbFormula151"/>
      </mc:Fallback>
    </mc:AlternateContent>
    <mc:AlternateContent xmlns:mc="http://schemas.openxmlformats.org/markup-compatibility/2006">
      <mc:Choice Requires="x14">
        <control shapeId="14597" r:id="rId118" name="cbFormula152">
          <controlPr defaultSize="0" linkedCell="D252" listFillRange="SYSDATA!E2:F5" r:id="rId119">
            <anchor moveWithCells="1">
              <from>
                <xdr:col>2</xdr:col>
                <xdr:colOff>9525</xdr:colOff>
                <xdr:row>251</xdr:row>
                <xdr:rowOff>9525</xdr:rowOff>
              </from>
              <to>
                <xdr:col>8</xdr:col>
                <xdr:colOff>47625</xdr:colOff>
                <xdr:row>252</xdr:row>
                <xdr:rowOff>9525</xdr:rowOff>
              </to>
            </anchor>
          </controlPr>
        </control>
      </mc:Choice>
      <mc:Fallback>
        <control shapeId="14597" r:id="rId118" name="cbFormula152"/>
      </mc:Fallback>
    </mc:AlternateContent>
    <mc:AlternateContent xmlns:mc="http://schemas.openxmlformats.org/markup-compatibility/2006">
      <mc:Choice Requires="x14">
        <control shapeId="14598" r:id="rId120" name="cbFormula153">
          <controlPr defaultSize="0" linkedCell="D254" listFillRange="SYSDATA!E2:F5" r:id="rId121">
            <anchor moveWithCells="1">
              <from>
                <xdr:col>2</xdr:col>
                <xdr:colOff>9525</xdr:colOff>
                <xdr:row>253</xdr:row>
                <xdr:rowOff>9525</xdr:rowOff>
              </from>
              <to>
                <xdr:col>8</xdr:col>
                <xdr:colOff>47625</xdr:colOff>
                <xdr:row>254</xdr:row>
                <xdr:rowOff>9525</xdr:rowOff>
              </to>
            </anchor>
          </controlPr>
        </control>
      </mc:Choice>
      <mc:Fallback>
        <control shapeId="14598" r:id="rId120" name="cbFormula153"/>
      </mc:Fallback>
    </mc:AlternateContent>
    <mc:AlternateContent xmlns:mc="http://schemas.openxmlformats.org/markup-compatibility/2006">
      <mc:Choice Requires="x14">
        <control shapeId="14600" r:id="rId122" name="cbFormula155">
          <controlPr defaultSize="0" linkedCell="D268" listFillRange="SYSDATA!E2:F5" r:id="rId123">
            <anchor moveWithCells="1">
              <from>
                <xdr:col>2</xdr:col>
                <xdr:colOff>9525</xdr:colOff>
                <xdr:row>267</xdr:row>
                <xdr:rowOff>9525</xdr:rowOff>
              </from>
              <to>
                <xdr:col>8</xdr:col>
                <xdr:colOff>47625</xdr:colOff>
                <xdr:row>268</xdr:row>
                <xdr:rowOff>9525</xdr:rowOff>
              </to>
            </anchor>
          </controlPr>
        </control>
      </mc:Choice>
      <mc:Fallback>
        <control shapeId="14600" r:id="rId122" name="cbFormula155"/>
      </mc:Fallback>
    </mc:AlternateContent>
    <mc:AlternateContent xmlns:mc="http://schemas.openxmlformats.org/markup-compatibility/2006">
      <mc:Choice Requires="x14">
        <control shapeId="14601" r:id="rId124" name="cbFormula156">
          <controlPr defaultSize="0" linkedCell="D269" listFillRange="SYSDATA!E2:F5" r:id="rId125">
            <anchor moveWithCells="1">
              <from>
                <xdr:col>2</xdr:col>
                <xdr:colOff>9525</xdr:colOff>
                <xdr:row>268</xdr:row>
                <xdr:rowOff>9525</xdr:rowOff>
              </from>
              <to>
                <xdr:col>8</xdr:col>
                <xdr:colOff>47625</xdr:colOff>
                <xdr:row>269</xdr:row>
                <xdr:rowOff>9525</xdr:rowOff>
              </to>
            </anchor>
          </controlPr>
        </control>
      </mc:Choice>
      <mc:Fallback>
        <control shapeId="14601" r:id="rId124" name="cbFormula156"/>
      </mc:Fallback>
    </mc:AlternateContent>
    <mc:AlternateContent xmlns:mc="http://schemas.openxmlformats.org/markup-compatibility/2006">
      <mc:Choice Requires="x14">
        <control shapeId="14602" r:id="rId126" name="cbFormula157">
          <controlPr defaultSize="0" linkedCell="D273" listFillRange="SYSDATA!E2:F5" r:id="rId127">
            <anchor moveWithCells="1">
              <from>
                <xdr:col>2</xdr:col>
                <xdr:colOff>9525</xdr:colOff>
                <xdr:row>272</xdr:row>
                <xdr:rowOff>9525</xdr:rowOff>
              </from>
              <to>
                <xdr:col>8</xdr:col>
                <xdr:colOff>47625</xdr:colOff>
                <xdr:row>273</xdr:row>
                <xdr:rowOff>9525</xdr:rowOff>
              </to>
            </anchor>
          </controlPr>
        </control>
      </mc:Choice>
      <mc:Fallback>
        <control shapeId="14602" r:id="rId126" name="cbFormula157"/>
      </mc:Fallback>
    </mc:AlternateContent>
    <mc:AlternateContent xmlns:mc="http://schemas.openxmlformats.org/markup-compatibility/2006">
      <mc:Choice Requires="x14">
        <control shapeId="14603" r:id="rId128" name="cbFormula158">
          <controlPr defaultSize="0" linkedCell="D283" listFillRange="SYSDATA!E2:F5" r:id="rId129">
            <anchor moveWithCells="1">
              <from>
                <xdr:col>2</xdr:col>
                <xdr:colOff>9525</xdr:colOff>
                <xdr:row>282</xdr:row>
                <xdr:rowOff>0</xdr:rowOff>
              </from>
              <to>
                <xdr:col>8</xdr:col>
                <xdr:colOff>47625</xdr:colOff>
                <xdr:row>283</xdr:row>
                <xdr:rowOff>0</xdr:rowOff>
              </to>
            </anchor>
          </controlPr>
        </control>
      </mc:Choice>
      <mc:Fallback>
        <control shapeId="14603" r:id="rId128" name="cbFormula158"/>
      </mc:Fallback>
    </mc:AlternateContent>
    <mc:AlternateContent xmlns:mc="http://schemas.openxmlformats.org/markup-compatibility/2006">
      <mc:Choice Requires="x14">
        <control shapeId="14604" r:id="rId130" name="cbFormula159">
          <controlPr defaultSize="0" linkedCell="D284" listFillRange="SYSDATA!E2:F5" r:id="rId131">
            <anchor moveWithCells="1">
              <from>
                <xdr:col>2</xdr:col>
                <xdr:colOff>9525</xdr:colOff>
                <xdr:row>283</xdr:row>
                <xdr:rowOff>9525</xdr:rowOff>
              </from>
              <to>
                <xdr:col>8</xdr:col>
                <xdr:colOff>47625</xdr:colOff>
                <xdr:row>284</xdr:row>
                <xdr:rowOff>9525</xdr:rowOff>
              </to>
            </anchor>
          </controlPr>
        </control>
      </mc:Choice>
      <mc:Fallback>
        <control shapeId="14604" r:id="rId130" name="cbFormula159"/>
      </mc:Fallback>
    </mc:AlternateContent>
    <mc:AlternateContent xmlns:mc="http://schemas.openxmlformats.org/markup-compatibility/2006">
      <mc:Choice Requires="x14">
        <control shapeId="14605" r:id="rId132" name="cbFormula160">
          <controlPr defaultSize="0" linkedCell="D286" listFillRange="SYSDATA!E2:F5" r:id="rId133">
            <anchor moveWithCells="1">
              <from>
                <xdr:col>2</xdr:col>
                <xdr:colOff>9525</xdr:colOff>
                <xdr:row>285</xdr:row>
                <xdr:rowOff>9525</xdr:rowOff>
              </from>
              <to>
                <xdr:col>8</xdr:col>
                <xdr:colOff>47625</xdr:colOff>
                <xdr:row>286</xdr:row>
                <xdr:rowOff>9525</xdr:rowOff>
              </to>
            </anchor>
          </controlPr>
        </control>
      </mc:Choice>
      <mc:Fallback>
        <control shapeId="14605" r:id="rId132" name="cbFormula160"/>
      </mc:Fallback>
    </mc:AlternateContent>
    <mc:AlternateContent xmlns:mc="http://schemas.openxmlformats.org/markup-compatibility/2006">
      <mc:Choice Requires="x14">
        <control shapeId="14606" r:id="rId134" name="cbFormula161">
          <controlPr defaultSize="0" linkedCell="D287" listFillRange="SYSDATA!E2:F5" r:id="rId135">
            <anchor moveWithCells="1">
              <from>
                <xdr:col>2</xdr:col>
                <xdr:colOff>9525</xdr:colOff>
                <xdr:row>286</xdr:row>
                <xdr:rowOff>9525</xdr:rowOff>
              </from>
              <to>
                <xdr:col>8</xdr:col>
                <xdr:colOff>47625</xdr:colOff>
                <xdr:row>287</xdr:row>
                <xdr:rowOff>9525</xdr:rowOff>
              </to>
            </anchor>
          </controlPr>
        </control>
      </mc:Choice>
      <mc:Fallback>
        <control shapeId="14606" r:id="rId134" name="cbFormula161"/>
      </mc:Fallback>
    </mc:AlternateContent>
    <mc:AlternateContent xmlns:mc="http://schemas.openxmlformats.org/markup-compatibility/2006">
      <mc:Choice Requires="x14">
        <control shapeId="14608" r:id="rId136" name="cbFormula163">
          <controlPr defaultSize="0" linkedCell="D290" listFillRange="SYSDATA!E2:F5" r:id="rId137">
            <anchor moveWithCells="1">
              <from>
                <xdr:col>2</xdr:col>
                <xdr:colOff>9525</xdr:colOff>
                <xdr:row>289</xdr:row>
                <xdr:rowOff>9525</xdr:rowOff>
              </from>
              <to>
                <xdr:col>8</xdr:col>
                <xdr:colOff>47625</xdr:colOff>
                <xdr:row>290</xdr:row>
                <xdr:rowOff>9525</xdr:rowOff>
              </to>
            </anchor>
          </controlPr>
        </control>
      </mc:Choice>
      <mc:Fallback>
        <control shapeId="14608" r:id="rId136" name="cbFormula163"/>
      </mc:Fallback>
    </mc:AlternateContent>
    <mc:AlternateContent xmlns:mc="http://schemas.openxmlformats.org/markup-compatibility/2006">
      <mc:Choice Requires="x14">
        <control shapeId="14609" r:id="rId138" name="cbFormula164">
          <controlPr defaultSize="0" linkedCell="D298" listFillRange="SYSDATA!E2:F5" r:id="rId139">
            <anchor moveWithCells="1">
              <from>
                <xdr:col>2</xdr:col>
                <xdr:colOff>9525</xdr:colOff>
                <xdr:row>297</xdr:row>
                <xdr:rowOff>9525</xdr:rowOff>
              </from>
              <to>
                <xdr:col>8</xdr:col>
                <xdr:colOff>47625</xdr:colOff>
                <xdr:row>298</xdr:row>
                <xdr:rowOff>9525</xdr:rowOff>
              </to>
            </anchor>
          </controlPr>
        </control>
      </mc:Choice>
      <mc:Fallback>
        <control shapeId="14609" r:id="rId138" name="cbFormula164"/>
      </mc:Fallback>
    </mc:AlternateContent>
    <mc:AlternateContent xmlns:mc="http://schemas.openxmlformats.org/markup-compatibility/2006">
      <mc:Choice Requires="x14">
        <control shapeId="14610" r:id="rId140" name="cbFormula165">
          <controlPr defaultSize="0" linkedCell="D304" listFillRange="SYSDATA!B2:C8" r:id="rId141">
            <anchor moveWithCells="1">
              <from>
                <xdr:col>2</xdr:col>
                <xdr:colOff>9525</xdr:colOff>
                <xdr:row>303</xdr:row>
                <xdr:rowOff>9525</xdr:rowOff>
              </from>
              <to>
                <xdr:col>8</xdr:col>
                <xdr:colOff>47625</xdr:colOff>
                <xdr:row>304</xdr:row>
                <xdr:rowOff>9525</xdr:rowOff>
              </to>
            </anchor>
          </controlPr>
        </control>
      </mc:Choice>
      <mc:Fallback>
        <control shapeId="14610" r:id="rId140" name="cbFormula165"/>
      </mc:Fallback>
    </mc:AlternateContent>
    <mc:AlternateContent xmlns:mc="http://schemas.openxmlformats.org/markup-compatibility/2006">
      <mc:Choice Requires="x14">
        <control shapeId="14612" r:id="rId142" name="cbFormula167">
          <controlPr defaultSize="0" linkedCell="D317" listFillRange="SYSDATA!E2:F5" r:id="rId143">
            <anchor moveWithCells="1">
              <from>
                <xdr:col>2</xdr:col>
                <xdr:colOff>9525</xdr:colOff>
                <xdr:row>316</xdr:row>
                <xdr:rowOff>9525</xdr:rowOff>
              </from>
              <to>
                <xdr:col>8</xdr:col>
                <xdr:colOff>47625</xdr:colOff>
                <xdr:row>317</xdr:row>
                <xdr:rowOff>9525</xdr:rowOff>
              </to>
            </anchor>
          </controlPr>
        </control>
      </mc:Choice>
      <mc:Fallback>
        <control shapeId="14612" r:id="rId142" name="cbFormula167"/>
      </mc:Fallback>
    </mc:AlternateContent>
    <mc:AlternateContent xmlns:mc="http://schemas.openxmlformats.org/markup-compatibility/2006">
      <mc:Choice Requires="x14">
        <control shapeId="14615" r:id="rId144" name="cbFormula168">
          <controlPr defaultSize="0" linkedCell="D181" listFillRange="SYSDATA!E2:F5" r:id="rId145">
            <anchor moveWithCells="1">
              <from>
                <xdr:col>2</xdr:col>
                <xdr:colOff>9525</xdr:colOff>
                <xdr:row>180</xdr:row>
                <xdr:rowOff>9525</xdr:rowOff>
              </from>
              <to>
                <xdr:col>8</xdr:col>
                <xdr:colOff>47625</xdr:colOff>
                <xdr:row>181</xdr:row>
                <xdr:rowOff>9525</xdr:rowOff>
              </to>
            </anchor>
          </controlPr>
        </control>
      </mc:Choice>
      <mc:Fallback>
        <control shapeId="14615" r:id="rId144" name="cbFormula168"/>
      </mc:Fallback>
    </mc:AlternateContent>
    <mc:AlternateContent xmlns:mc="http://schemas.openxmlformats.org/markup-compatibility/2006">
      <mc:Choice Requires="x14">
        <control shapeId="14616" r:id="rId146" name="cbFormula169">
          <controlPr defaultSize="0" linkedCell="D182" listFillRange="SYSDATA!E2:F5" r:id="rId147">
            <anchor moveWithCells="1">
              <from>
                <xdr:col>2</xdr:col>
                <xdr:colOff>9525</xdr:colOff>
                <xdr:row>181</xdr:row>
                <xdr:rowOff>9525</xdr:rowOff>
              </from>
              <to>
                <xdr:col>8</xdr:col>
                <xdr:colOff>47625</xdr:colOff>
                <xdr:row>182</xdr:row>
                <xdr:rowOff>9525</xdr:rowOff>
              </to>
            </anchor>
          </controlPr>
        </control>
      </mc:Choice>
      <mc:Fallback>
        <control shapeId="14616" r:id="rId146" name="cbFormula169"/>
      </mc:Fallback>
    </mc:AlternateContent>
    <mc:AlternateContent xmlns:mc="http://schemas.openxmlformats.org/markup-compatibility/2006">
      <mc:Choice Requires="x14">
        <control shapeId="14677" r:id="rId148" name="cbFormula173">
          <controlPr defaultSize="0" linkedCell="D221" listFillRange="SYSDATA!E2:F5" r:id="rId149">
            <anchor moveWithCells="1">
              <from>
                <xdr:col>1</xdr:col>
                <xdr:colOff>1781175</xdr:colOff>
                <xdr:row>220</xdr:row>
                <xdr:rowOff>9525</xdr:rowOff>
              </from>
              <to>
                <xdr:col>8</xdr:col>
                <xdr:colOff>19050</xdr:colOff>
                <xdr:row>221</xdr:row>
                <xdr:rowOff>9525</xdr:rowOff>
              </to>
            </anchor>
          </controlPr>
        </control>
      </mc:Choice>
      <mc:Fallback>
        <control shapeId="14677" r:id="rId148" name="cbFormula173"/>
      </mc:Fallback>
    </mc:AlternateContent>
    <mc:AlternateContent xmlns:mc="http://schemas.openxmlformats.org/markup-compatibility/2006">
      <mc:Choice Requires="x14">
        <control shapeId="14680" r:id="rId150" name="cbFormula172">
          <controlPr defaultSize="0" linkedCell="D101" listFillRange="SYSDATA!B2:C8" r:id="rId151">
            <anchor moveWithCells="1">
              <from>
                <xdr:col>1</xdr:col>
                <xdr:colOff>1790700</xdr:colOff>
                <xdr:row>100</xdr:row>
                <xdr:rowOff>0</xdr:rowOff>
              </from>
              <to>
                <xdr:col>8</xdr:col>
                <xdr:colOff>28575</xdr:colOff>
                <xdr:row>101</xdr:row>
                <xdr:rowOff>0</xdr:rowOff>
              </to>
            </anchor>
          </controlPr>
        </control>
      </mc:Choice>
      <mc:Fallback>
        <control shapeId="14680" r:id="rId150" name="cbFormula172"/>
      </mc:Fallback>
    </mc:AlternateContent>
    <mc:AlternateContent xmlns:mc="http://schemas.openxmlformats.org/markup-compatibility/2006">
      <mc:Choice Requires="x14">
        <control shapeId="14380" r:id="rId152" name="Drop Down 44">
          <controlPr defaultSize="0" autoLine="0" autoPict="0">
            <anchor moveWithCells="1">
              <from>
                <xdr:col>1</xdr:col>
                <xdr:colOff>0</xdr:colOff>
                <xdr:row>324</xdr:row>
                <xdr:rowOff>0</xdr:rowOff>
              </from>
              <to>
                <xdr:col>1</xdr:col>
                <xdr:colOff>1543050</xdr:colOff>
                <xdr:row>324</xdr:row>
                <xdr:rowOff>190500</xdr:rowOff>
              </to>
            </anchor>
          </controlPr>
        </control>
      </mc:Choice>
    </mc:AlternateContent>
    <mc:AlternateContent xmlns:mc="http://schemas.openxmlformats.org/markup-compatibility/2006">
      <mc:Choice Requires="x14">
        <control shapeId="14395" r:id="rId153" name="Drop Down 59">
          <controlPr defaultSize="0" autoLine="0" autoPict="0">
            <anchor moveWithCells="1">
              <from>
                <xdr:col>1</xdr:col>
                <xdr:colOff>19050</xdr:colOff>
                <xdr:row>325</xdr:row>
                <xdr:rowOff>0</xdr:rowOff>
              </from>
              <to>
                <xdr:col>1</xdr:col>
                <xdr:colOff>1562100</xdr:colOff>
                <xdr:row>325</xdr:row>
                <xdr:rowOff>190500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10"/>
    <pageSetUpPr autoPageBreaks="0"/>
  </sheetPr>
  <dimension ref="A1:BF329"/>
  <sheetViews>
    <sheetView showGridLines="0" workbookViewId="0">
      <pane xSplit="8" ySplit="3" topLeftCell="I4" activePane="bottomRight" state="frozen"/>
      <selection pane="topRight"/>
      <selection pane="bottomLeft"/>
      <selection pane="bottomRight" activeCell="A2" sqref="A2"/>
    </sheetView>
  </sheetViews>
  <sheetFormatPr defaultRowHeight="17.100000000000001" customHeight="1"/>
  <cols>
    <col min="1" max="1" width="2.375" style="4" customWidth="1"/>
    <col min="2" max="2" width="43" style="4" customWidth="1"/>
    <col min="3" max="7" width="2.625" style="4" hidden="1" customWidth="1"/>
    <col min="8" max="8" width="13.75" style="4" customWidth="1"/>
    <col min="9" max="17" width="9.625" style="6" customWidth="1"/>
    <col min="18" max="18" width="9.625" style="248" customWidth="1"/>
    <col min="19" max="16384" width="9" style="4"/>
  </cols>
  <sheetData>
    <row r="1" spans="1:58" ht="12" customHeight="1" thickBot="1">
      <c r="A1" s="62"/>
      <c r="B1" s="62"/>
      <c r="C1" s="62"/>
      <c r="D1" s="62"/>
      <c r="E1" s="62"/>
      <c r="F1" s="62"/>
      <c r="G1" s="62"/>
      <c r="H1" s="62"/>
      <c r="I1" s="63"/>
      <c r="J1" s="63"/>
      <c r="K1" s="63"/>
      <c r="L1" s="63"/>
      <c r="M1" s="63"/>
      <c r="N1" s="63"/>
      <c r="O1" s="63"/>
      <c r="P1" s="63"/>
      <c r="Q1" s="63"/>
      <c r="R1" s="246"/>
      <c r="S1" s="62"/>
      <c r="T1" s="62"/>
      <c r="U1" s="62"/>
      <c r="V1" s="62"/>
      <c r="W1" s="62"/>
      <c r="X1" s="62"/>
      <c r="Y1" s="62"/>
      <c r="Z1" s="62"/>
      <c r="AA1" s="62"/>
      <c r="AB1" s="62"/>
      <c r="AC1" s="62"/>
      <c r="AD1" s="62"/>
      <c r="AE1" s="62"/>
      <c r="AF1" s="62"/>
      <c r="AG1" s="62"/>
      <c r="AH1" s="62"/>
      <c r="AI1" s="62"/>
      <c r="AJ1" s="62"/>
      <c r="AK1" s="62"/>
      <c r="AL1" s="62"/>
      <c r="AM1" s="62"/>
      <c r="AN1" s="62"/>
      <c r="AO1" s="62"/>
      <c r="AP1" s="62"/>
      <c r="AQ1" s="62"/>
      <c r="AR1" s="62"/>
      <c r="AS1" s="62"/>
      <c r="AT1" s="62"/>
      <c r="AU1" s="62"/>
      <c r="AV1" s="62"/>
      <c r="AW1" s="62"/>
      <c r="AX1" s="62"/>
      <c r="AY1" s="62"/>
      <c r="AZ1" s="62"/>
      <c r="BA1" s="62"/>
      <c r="BB1" s="62"/>
      <c r="BC1" s="62"/>
      <c r="BD1" s="62"/>
      <c r="BE1" s="62"/>
      <c r="BF1" s="62"/>
    </row>
    <row r="2" spans="1:58" ht="18" customHeight="1">
      <c r="A2" s="14"/>
      <c r="B2" s="180" t="s">
        <v>337</v>
      </c>
      <c r="C2" s="181"/>
      <c r="D2" s="181"/>
      <c r="E2" s="181"/>
      <c r="F2" s="181"/>
      <c r="G2" s="181"/>
      <c r="H2" s="181"/>
      <c r="I2" s="174"/>
      <c r="J2" s="174"/>
      <c r="K2" s="174"/>
      <c r="L2" s="174"/>
      <c r="M2" s="174"/>
      <c r="N2" s="174">
        <f>M3+1</f>
        <v>2020</v>
      </c>
      <c r="O2" s="174">
        <f>N2+1</f>
        <v>2021</v>
      </c>
      <c r="P2" s="174">
        <f>O2+1</f>
        <v>2022</v>
      </c>
      <c r="Q2" s="174">
        <f>P2+1</f>
        <v>2023</v>
      </c>
      <c r="R2" s="175">
        <f>Q2+1</f>
        <v>2024</v>
      </c>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row>
    <row r="3" spans="1:58" s="5" customFormat="1" ht="18" customHeight="1">
      <c r="A3" s="13"/>
      <c r="B3" s="2196"/>
      <c r="C3" s="1408"/>
      <c r="D3" s="1408"/>
      <c r="E3" s="1408"/>
      <c r="F3" s="1408"/>
      <c r="G3" s="1408"/>
      <c r="H3" s="1409"/>
      <c r="I3" s="1210">
        <f>利润表!I3</f>
        <v>2015</v>
      </c>
      <c r="J3" s="1211">
        <f>利润表!J3</f>
        <v>2016</v>
      </c>
      <c r="K3" s="1211">
        <f>利润表!K3</f>
        <v>2017</v>
      </c>
      <c r="L3" s="1211">
        <f>利润表!L3</f>
        <v>2018</v>
      </c>
      <c r="M3" s="1211">
        <f>利润表!M3</f>
        <v>2019</v>
      </c>
      <c r="N3" s="1211" t="str">
        <f>利润表!N3</f>
        <v>2020E</v>
      </c>
      <c r="O3" s="1211" t="str">
        <f>利润表!O3</f>
        <v>2021E</v>
      </c>
      <c r="P3" s="1211" t="str">
        <f>利润表!P3</f>
        <v>2022E</v>
      </c>
      <c r="Q3" s="1211" t="str">
        <f>利润表!Q3</f>
        <v>2023E</v>
      </c>
      <c r="R3" s="1212" t="str">
        <f>利润表!R3</f>
        <v>2024E</v>
      </c>
      <c r="S3" s="13"/>
      <c r="T3" s="13"/>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3"/>
      <c r="BB3" s="13"/>
      <c r="BC3" s="13"/>
      <c r="BD3" s="13"/>
      <c r="BE3" s="13"/>
      <c r="BF3" s="13"/>
    </row>
    <row r="4" spans="1:58" ht="18" customHeight="1">
      <c r="A4" s="14"/>
      <c r="B4" s="2197" t="s">
        <v>1382</v>
      </c>
      <c r="C4" s="1213"/>
      <c r="D4" s="1213"/>
      <c r="E4" s="1213"/>
      <c r="F4" s="1213"/>
      <c r="G4" s="1213"/>
      <c r="H4" s="1214"/>
      <c r="I4" s="1216">
        <v>647.29266680000001</v>
      </c>
      <c r="J4" s="1216">
        <v>847.75541400999998</v>
      </c>
      <c r="K4" s="1216">
        <v>585.19937057000004</v>
      </c>
      <c r="L4" s="1216">
        <v>750.05513647999999</v>
      </c>
      <c r="M4" s="1216">
        <v>955.03581178000002</v>
      </c>
      <c r="N4" s="1217">
        <f ca="1">利润表!N28</f>
        <v>-1382.242562561677</v>
      </c>
      <c r="O4" s="1217">
        <f ca="1">利润表!O28</f>
        <v>-1642.0798715380527</v>
      </c>
      <c r="P4" s="1217">
        <f ca="1">利润表!P28</f>
        <v>-1632.541257816551</v>
      </c>
      <c r="Q4" s="1217">
        <f ca="1">利润表!Q28</f>
        <v>-1634.6450545978682</v>
      </c>
      <c r="R4" s="1218">
        <f ca="1">利润表!R28</f>
        <v>-1636.4220613174907</v>
      </c>
      <c r="S4" s="83"/>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row>
    <row r="5" spans="1:58" ht="18" customHeight="1">
      <c r="A5" s="14"/>
      <c r="B5" s="2198" t="s">
        <v>630</v>
      </c>
      <c r="C5" s="1221"/>
      <c r="D5" s="1221"/>
      <c r="E5" s="1221"/>
      <c r="F5" s="1221"/>
      <c r="G5" s="1221"/>
      <c r="H5" s="1222"/>
      <c r="I5" s="1216">
        <v>130.23169993000002</v>
      </c>
      <c r="J5" s="1216">
        <v>-32.895416400000002</v>
      </c>
      <c r="K5" s="1216">
        <v>-16.120135449999999</v>
      </c>
      <c r="L5" s="1216">
        <v>103.31049887</v>
      </c>
      <c r="M5" s="1216">
        <v>-106.7418151</v>
      </c>
      <c r="N5" s="1217">
        <f>-(利润表!N20+利润表!N19)</f>
        <v>0</v>
      </c>
      <c r="O5" s="1217">
        <f>-(利润表!O20+利润表!O19)</f>
        <v>0</v>
      </c>
      <c r="P5" s="1217">
        <f>-(利润表!P20+利润表!P19)</f>
        <v>0</v>
      </c>
      <c r="Q5" s="1217">
        <f>-(利润表!Q20+利润表!Q19)</f>
        <v>0</v>
      </c>
      <c r="R5" s="1217">
        <f>-(利润表!R20+利润表!R19)</f>
        <v>0</v>
      </c>
      <c r="S5" s="83"/>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row>
    <row r="6" spans="1:58" ht="18" customHeight="1">
      <c r="A6" s="14"/>
      <c r="B6" s="1767" t="s">
        <v>631</v>
      </c>
      <c r="C6" s="1410"/>
      <c r="D6" s="1410"/>
      <c r="E6" s="1410"/>
      <c r="F6" s="1410"/>
      <c r="G6" s="1410"/>
      <c r="H6" s="1411"/>
      <c r="I6" s="1216">
        <v>38.355745349999999</v>
      </c>
      <c r="J6" s="1216">
        <v>53.620666960000001</v>
      </c>
      <c r="K6" s="1216">
        <v>69.553491019999996</v>
      </c>
      <c r="L6" s="1216">
        <v>87.408883369999998</v>
      </c>
      <c r="M6" s="1216">
        <v>106.76042969</v>
      </c>
      <c r="N6" s="1217">
        <f>资产负债!N186+CAPEX!E151</f>
        <v>72.224709549333326</v>
      </c>
      <c r="O6" s="1217">
        <f>资产负债!O186+CAPEX!F151</f>
        <v>72.224709549333326</v>
      </c>
      <c r="P6" s="1217">
        <f>资产负债!P186+CAPEX!G151</f>
        <v>72.224709549333326</v>
      </c>
      <c r="Q6" s="1217">
        <f>资产负债!Q186+CAPEX!H151</f>
        <v>72.224709549333326</v>
      </c>
      <c r="R6" s="1218">
        <f>资产负债!R186+CAPEX!I151</f>
        <v>72.224709549333326</v>
      </c>
      <c r="S6" s="83"/>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c r="AU6" s="14"/>
      <c r="AV6" s="14"/>
      <c r="AW6" s="14"/>
      <c r="AX6" s="14"/>
      <c r="AY6" s="14"/>
      <c r="AZ6" s="14"/>
      <c r="BA6" s="14"/>
      <c r="BB6" s="14"/>
      <c r="BC6" s="14"/>
      <c r="BD6" s="14"/>
      <c r="BE6" s="14"/>
      <c r="BF6" s="14"/>
    </row>
    <row r="7" spans="1:58" ht="18" customHeight="1">
      <c r="A7" s="14"/>
      <c r="B7" s="1767" t="s">
        <v>1370</v>
      </c>
      <c r="C7" s="1410"/>
      <c r="D7" s="1410"/>
      <c r="E7" s="1410"/>
      <c r="F7" s="1410"/>
      <c r="G7" s="1410"/>
      <c r="H7" s="1411"/>
      <c r="I7" s="1216">
        <v>2.67331385</v>
      </c>
      <c r="J7" s="1216">
        <v>3.1631020099999998</v>
      </c>
      <c r="K7" s="1216">
        <v>3.75113852</v>
      </c>
      <c r="L7" s="1216">
        <v>4.90696639</v>
      </c>
      <c r="M7" s="1216">
        <v>4.8328618399999996</v>
      </c>
      <c r="N7" s="1217">
        <f>资产负债!N200</f>
        <v>0</v>
      </c>
      <c r="O7" s="1217">
        <f>资产负债!O200</f>
        <v>0</v>
      </c>
      <c r="P7" s="1217">
        <f>资产负债!P200</f>
        <v>0</v>
      </c>
      <c r="Q7" s="1217">
        <f>资产负债!Q200</f>
        <v>0</v>
      </c>
      <c r="R7" s="1217">
        <f>资产负债!R200</f>
        <v>0</v>
      </c>
      <c r="S7" s="83"/>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row>
    <row r="8" spans="1:58" ht="18" customHeight="1">
      <c r="A8" s="14"/>
      <c r="B8" s="1767" t="s">
        <v>632</v>
      </c>
      <c r="C8" s="1410"/>
      <c r="D8" s="1410"/>
      <c r="E8" s="1410"/>
      <c r="F8" s="1410"/>
      <c r="G8" s="1410"/>
      <c r="H8" s="1411"/>
      <c r="I8" s="1216">
        <v>0.44275521000000001</v>
      </c>
      <c r="J8" s="1216">
        <v>0.64103993999999997</v>
      </c>
      <c r="K8" s="1216">
        <v>1.4916602400000001</v>
      </c>
      <c r="L8" s="1216">
        <v>9.5999999999999992E-3</v>
      </c>
      <c r="M8" s="1216">
        <v>2.0388E-2</v>
      </c>
      <c r="N8" s="1217">
        <f>资产负债!M209-资产负债!N209</f>
        <v>0</v>
      </c>
      <c r="O8" s="1217">
        <f>资产负债!N209-资产负债!O209</f>
        <v>0</v>
      </c>
      <c r="P8" s="1217">
        <f>资产负债!O209-资产负债!P209</f>
        <v>0</v>
      </c>
      <c r="Q8" s="1217">
        <f>资产负债!P209-资产负债!Q209</f>
        <v>0</v>
      </c>
      <c r="R8" s="1218">
        <f>资产负债!Q209-资产负债!R209</f>
        <v>0</v>
      </c>
      <c r="S8" s="83"/>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c r="AU8" s="14"/>
      <c r="AV8" s="14"/>
      <c r="AW8" s="14"/>
      <c r="AX8" s="14"/>
      <c r="AY8" s="14"/>
      <c r="AZ8" s="14"/>
      <c r="BA8" s="14"/>
      <c r="BB8" s="14"/>
      <c r="BC8" s="14"/>
      <c r="BD8" s="14"/>
      <c r="BE8" s="14"/>
      <c r="BF8" s="14"/>
    </row>
    <row r="9" spans="1:58" ht="15" customHeight="1">
      <c r="A9" s="14"/>
      <c r="B9" s="1767" t="s">
        <v>1381</v>
      </c>
      <c r="C9" s="1410"/>
      <c r="D9" s="1410"/>
      <c r="E9" s="1410"/>
      <c r="F9" s="1410"/>
      <c r="G9" s="1410"/>
      <c r="H9" s="1411"/>
      <c r="I9" s="1216">
        <v>0.36732003999999996</v>
      </c>
      <c r="J9" s="1216">
        <v>0.76108692</v>
      </c>
      <c r="K9" s="1216">
        <v>6.6013670499999995</v>
      </c>
      <c r="L9" s="1216">
        <v>4.7505499999999999E-2</v>
      </c>
      <c r="M9" s="1216">
        <v>-66.626262619999991</v>
      </c>
      <c r="N9" s="1294">
        <f>-利润表!N21</f>
        <v>-66.626262619999991</v>
      </c>
      <c r="O9" s="1294">
        <f>-利润表!O21</f>
        <v>-66.626262619999991</v>
      </c>
      <c r="P9" s="1294">
        <f>-利润表!P21</f>
        <v>-66.626262619999991</v>
      </c>
      <c r="Q9" s="1294">
        <f>-利润表!Q21</f>
        <v>-66.626262619999991</v>
      </c>
      <c r="R9" s="1294">
        <f>-利润表!R21</f>
        <v>-66.626262619999991</v>
      </c>
      <c r="S9" s="83"/>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row>
    <row r="10" spans="1:58" ht="18" customHeight="1">
      <c r="A10" s="14"/>
      <c r="B10" s="1767" t="s">
        <v>633</v>
      </c>
      <c r="C10" s="1410"/>
      <c r="D10" s="1410"/>
      <c r="E10" s="1410"/>
      <c r="F10" s="1410"/>
      <c r="G10" s="1410"/>
      <c r="H10" s="1411"/>
      <c r="I10" s="1216">
        <v>0</v>
      </c>
      <c r="J10" s="1216">
        <v>0</v>
      </c>
      <c r="K10" s="1216">
        <v>-1.0483</v>
      </c>
      <c r="L10" s="1216">
        <v>0.26352584000000001</v>
      </c>
      <c r="M10" s="1216">
        <v>0.30307613999999999</v>
      </c>
      <c r="N10" s="1217">
        <f>-利润表!N18-利润表!N17</f>
        <v>0</v>
      </c>
      <c r="O10" s="1217">
        <f>-利润表!O18-利润表!O17</f>
        <v>0</v>
      </c>
      <c r="P10" s="1217">
        <f>-利润表!P18-利润表!P17</f>
        <v>0</v>
      </c>
      <c r="Q10" s="1217">
        <f>-利润表!Q18-利润表!Q17</f>
        <v>0</v>
      </c>
      <c r="R10" s="1217">
        <f>-利润表!R18-利润表!R17</f>
        <v>0</v>
      </c>
      <c r="S10" s="83"/>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row>
    <row r="11" spans="1:58" ht="18" customHeight="1">
      <c r="A11" s="14"/>
      <c r="B11" s="1767" t="s">
        <v>1371</v>
      </c>
      <c r="C11" s="1410"/>
      <c r="D11" s="1410"/>
      <c r="E11" s="1410"/>
      <c r="F11" s="1410"/>
      <c r="G11" s="1410"/>
      <c r="H11" s="1411"/>
      <c r="I11" s="1216">
        <v>29.885208469999998</v>
      </c>
      <c r="J11" s="1216">
        <v>4.5482970499999995</v>
      </c>
      <c r="K11" s="1216">
        <v>12.675548619999999</v>
      </c>
      <c r="L11" s="1216">
        <v>-9.429398990000001</v>
      </c>
      <c r="M11" s="1216">
        <v>4.8983030799999998</v>
      </c>
      <c r="N11" s="1217">
        <f ca="1">利润表!N14</f>
        <v>2366.7043487452747</v>
      </c>
      <c r="O11" s="1217">
        <f ca="1">利润表!O14</f>
        <v>2613.7758206225985</v>
      </c>
      <c r="P11" s="1217">
        <f ca="1">利润表!P14</f>
        <v>2613.7758206225985</v>
      </c>
      <c r="Q11" s="1217">
        <f ca="1">利润表!Q14</f>
        <v>2613.7758206225985</v>
      </c>
      <c r="R11" s="1218">
        <f ca="1">利润表!R14</f>
        <v>2613.7758206225985</v>
      </c>
      <c r="S11" s="83"/>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row>
    <row r="12" spans="1:58" ht="18" customHeight="1">
      <c r="A12" s="14"/>
      <c r="B12" s="1767" t="s">
        <v>634</v>
      </c>
      <c r="C12" s="1410"/>
      <c r="D12" s="1410"/>
      <c r="E12" s="1410"/>
      <c r="F12" s="1410"/>
      <c r="G12" s="1410"/>
      <c r="H12" s="1411"/>
      <c r="I12" s="1216">
        <v>-75.772078430000008</v>
      </c>
      <c r="J12" s="1216">
        <v>-47.882001659999993</v>
      </c>
      <c r="K12" s="1216">
        <v>-47.830630929999998</v>
      </c>
      <c r="L12" s="1216">
        <v>-61.685950349999999</v>
      </c>
      <c r="M12" s="1216">
        <v>-26.918021679999999</v>
      </c>
      <c r="N12" s="1217">
        <f>-利润表!N16</f>
        <v>-26.918021679999999</v>
      </c>
      <c r="O12" s="1217">
        <f>-利润表!O16</f>
        <v>-26.918021679999999</v>
      </c>
      <c r="P12" s="1217">
        <f>-利润表!P16</f>
        <v>-26.918021679999999</v>
      </c>
      <c r="Q12" s="1217">
        <f>-利润表!Q16</f>
        <v>-26.918021679999999</v>
      </c>
      <c r="R12" s="1218">
        <f>-利润表!R16</f>
        <v>-26.918021679999999</v>
      </c>
      <c r="S12" s="83"/>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row>
    <row r="13" spans="1:58" ht="18" customHeight="1">
      <c r="A13" s="14"/>
      <c r="B13" s="1767" t="s">
        <v>635</v>
      </c>
      <c r="C13" s="1410"/>
      <c r="D13" s="1410"/>
      <c r="E13" s="1410"/>
      <c r="F13" s="1410"/>
      <c r="G13" s="1410"/>
      <c r="H13" s="1411"/>
      <c r="I13" s="1216">
        <v>-20.47013973</v>
      </c>
      <c r="J13" s="1216">
        <v>5.2144739800000002</v>
      </c>
      <c r="K13" s="1216">
        <v>4.0364973800000001</v>
      </c>
      <c r="L13" s="1216">
        <v>-12.417972890000001</v>
      </c>
      <c r="M13" s="1216">
        <v>16.658385750000001</v>
      </c>
      <c r="N13" s="1217">
        <f>资产负债!M210-资产负债!N210</f>
        <v>0</v>
      </c>
      <c r="O13" s="1217">
        <f>资产负债!N210-资产负债!O210</f>
        <v>0</v>
      </c>
      <c r="P13" s="1217">
        <f>资产负债!O210-资产负债!P210</f>
        <v>0</v>
      </c>
      <c r="Q13" s="1217">
        <f>资产负债!P210-资产负债!Q210</f>
        <v>0</v>
      </c>
      <c r="R13" s="1218">
        <f>资产负债!Q210-资产负债!R210</f>
        <v>0</v>
      </c>
      <c r="S13" s="83"/>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row>
    <row r="14" spans="1:58" ht="18" customHeight="1">
      <c r="A14" s="14"/>
      <c r="B14" s="1767" t="s">
        <v>636</v>
      </c>
      <c r="C14" s="1410"/>
      <c r="D14" s="1410"/>
      <c r="E14" s="1410"/>
      <c r="F14" s="1410"/>
      <c r="G14" s="1410"/>
      <c r="H14" s="1411"/>
      <c r="I14" s="1216">
        <v>0</v>
      </c>
      <c r="J14" s="1216">
        <v>0</v>
      </c>
      <c r="K14" s="1216">
        <v>0</v>
      </c>
      <c r="L14" s="1216">
        <v>0</v>
      </c>
      <c r="M14" s="1216">
        <v>0</v>
      </c>
      <c r="N14" s="1217">
        <f>资产负债!N254-资产负债!M254+资产负债!N283</f>
        <v>0</v>
      </c>
      <c r="O14" s="1217">
        <f>资产负债!O254-资产负债!N254+资产负债!O283</f>
        <v>0</v>
      </c>
      <c r="P14" s="1217">
        <f>资产负债!P254-资产负债!O254+资产负债!P283</f>
        <v>0</v>
      </c>
      <c r="Q14" s="1217">
        <f>资产负债!Q254-资产负债!P254+资产负债!Q283</f>
        <v>0</v>
      </c>
      <c r="R14" s="1218">
        <f>资产负债!R254-资产负债!Q254+资产负债!R283</f>
        <v>0</v>
      </c>
      <c r="S14" s="83"/>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row>
    <row r="15" spans="1:58" ht="18" customHeight="1">
      <c r="A15" s="14"/>
      <c r="B15" s="1767" t="s">
        <v>1372</v>
      </c>
      <c r="C15" s="1410"/>
      <c r="D15" s="1410"/>
      <c r="E15" s="1410"/>
      <c r="F15" s="1410"/>
      <c r="G15" s="1410"/>
      <c r="H15" s="1411"/>
      <c r="I15" s="1216">
        <v>33.447810160000003</v>
      </c>
      <c r="J15" s="1216">
        <v>-45.200017939999995</v>
      </c>
      <c r="K15" s="1216">
        <v>-20.000288090000002</v>
      </c>
      <c r="L15" s="1216">
        <v>-313.59872288999998</v>
      </c>
      <c r="M15" s="1216">
        <v>-155.60947131999998</v>
      </c>
      <c r="N15" s="1217">
        <f>资产负债!M127-资产负债!N127</f>
        <v>186.43967924000003</v>
      </c>
      <c r="O15" s="1217">
        <f>资产负债!N127-资产负债!O127</f>
        <v>-81.269414296666582</v>
      </c>
      <c r="P15" s="1217">
        <f>资产负债!O127-资产负债!P127</f>
        <v>-7.9669502155555847</v>
      </c>
      <c r="Q15" s="1217">
        <f>资产负债!P127-资产负债!Q127</f>
        <v>32.401104909259175</v>
      </c>
      <c r="R15" s="1218">
        <f>资产负债!Q127-资产负债!R127</f>
        <v>-18.945086534320922</v>
      </c>
      <c r="S15" s="83"/>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row>
    <row r="16" spans="1:58" ht="18" customHeight="1">
      <c r="A16" s="14"/>
      <c r="B16" s="1767" t="s">
        <v>1373</v>
      </c>
      <c r="C16" s="1410"/>
      <c r="D16" s="1410"/>
      <c r="E16" s="1410"/>
      <c r="F16" s="1410"/>
      <c r="G16" s="1410"/>
      <c r="H16" s="1411"/>
      <c r="I16" s="1216">
        <v>-460.39309580000003</v>
      </c>
      <c r="J16" s="1216">
        <v>-624.42237425999997</v>
      </c>
      <c r="K16" s="1216">
        <v>-438.76997767</v>
      </c>
      <c r="L16" s="1216">
        <v>-538.8370668</v>
      </c>
      <c r="M16" s="1216">
        <v>-343.36554411000003</v>
      </c>
      <c r="N16" s="1217">
        <f>资产负债!M114-资产负债!N114+资产负债!M118-资产负债!N118+资产负债!M121-资产负债!N121+资产负债!M124-资产负债!N124+资产负债!M132-资产负债!N132</f>
        <v>153.67878101772658</v>
      </c>
      <c r="O16" s="1217">
        <f>资产负债!N114-资产负债!O114+资产负债!N118-资产负债!O118+资产负债!N121-资产负债!O121+资产负债!N124-资产负债!O124+资产负债!N132-资产负债!O132</f>
        <v>-59.239440375837376</v>
      </c>
      <c r="P16" s="1217">
        <f>资产负债!O114-资产负债!P114+资产负债!O118-资产负债!P118+资产负债!O121-资产负债!P121+资产负债!O124-资产负债!P124+资产负债!O132-资产负债!P132</f>
        <v>-9.1750488049237902</v>
      </c>
      <c r="Q16" s="1217">
        <f>资产负债!P114-资产负债!Q114+资产负债!P118-资产负债!Q118+资产负债!P121-资产负债!Q121+资产负债!P124-资产负债!Q124+资产负债!P132-资产负债!Q132</f>
        <v>26.47565686121083</v>
      </c>
      <c r="R16" s="1217">
        <f>资产负债!Q114-资产负债!R114+资产负债!Q118-资产负债!R118+资产负债!Q121-资产负债!R121+资产负债!Q124-资产负债!R124+资产负债!Q132-资产负债!R132</f>
        <v>-14.513389231158953</v>
      </c>
      <c r="S16" s="83"/>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row>
    <row r="17" spans="1:58" ht="18" customHeight="1">
      <c r="A17" s="14"/>
      <c r="B17" s="1767" t="s">
        <v>637</v>
      </c>
      <c r="C17" s="1410"/>
      <c r="D17" s="1410"/>
      <c r="E17" s="1410"/>
      <c r="F17" s="1410"/>
      <c r="G17" s="1410"/>
      <c r="H17" s="1411"/>
      <c r="I17" s="1216">
        <v>88.184337580000005</v>
      </c>
      <c r="J17" s="1216">
        <v>129.78368827</v>
      </c>
      <c r="K17" s="1216">
        <v>83.418704890000001</v>
      </c>
      <c r="L17" s="1216">
        <v>159.50204755999999</v>
      </c>
      <c r="M17" s="1216">
        <v>45.151637469999997</v>
      </c>
      <c r="N17" s="1217">
        <f>资产负债!N226-资产负债!M226+资产负债!N229-资产负债!M229</f>
        <v>0</v>
      </c>
      <c r="O17" s="1217">
        <f>资产负债!O226-资产负债!N226+资产负债!O229-资产负债!N229</f>
        <v>0</v>
      </c>
      <c r="P17" s="1217">
        <f>资产负债!P226-资产负债!O226+资产负债!P229-资产负债!O229</f>
        <v>0</v>
      </c>
      <c r="Q17" s="1217">
        <f>资产负债!Q226-资产负债!P226+资产负债!Q229-资产负债!P229</f>
        <v>0</v>
      </c>
      <c r="R17" s="1217">
        <f>资产负债!R226-资产负债!Q226+资产负债!R229-资产负债!Q229</f>
        <v>0</v>
      </c>
      <c r="S17" s="83"/>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row>
    <row r="18" spans="1:58" ht="18" customHeight="1">
      <c r="A18" s="14"/>
      <c r="B18" s="1767" t="s">
        <v>1374</v>
      </c>
      <c r="C18" s="1410"/>
      <c r="D18" s="1410"/>
      <c r="E18" s="1410"/>
      <c r="F18" s="1410"/>
      <c r="G18" s="1410"/>
      <c r="H18" s="1411"/>
      <c r="I18" s="1307">
        <f>I19-SUM(I4:I17)</f>
        <v>1.70056983000012</v>
      </c>
      <c r="J18" s="1307">
        <f>J19-SUM(J4:J17)</f>
        <v>0</v>
      </c>
      <c r="K18" s="1307">
        <f t="shared" ref="K18:M18" si="0">K19-SUM(K4:K17)</f>
        <v>3.6029499999585823E-3</v>
      </c>
      <c r="L18" s="1307">
        <f t="shared" si="0"/>
        <v>3.8988289999792869E-2</v>
      </c>
      <c r="M18" s="1307">
        <f t="shared" si="0"/>
        <v>0.54187207000012449</v>
      </c>
      <c r="N18" s="1217">
        <f>(资产负债!M136-资产负债!N136)+(资产负债!N230-资产负债!M230)+(资产负债!N231-资产负债!M231)+(资产负债!M138-资产负债!N138)+(资产负债!N233-资产负债!M233)+(资产负债!N256-资产负债!M256)</f>
        <v>0</v>
      </c>
      <c r="O18" s="1217">
        <f>(资产负债!N136-资产负债!O136)+(资产负债!O230-资产负债!N230)+(资产负债!O231-资产负债!N231)+(资产负债!N138-资产负债!O138)+(资产负债!O233-资产负债!N233)+(资产负债!O256-资产负债!N256)</f>
        <v>0</v>
      </c>
      <c r="P18" s="1217">
        <f>(资产负债!O136-资产负债!P136)+(资产负债!P230-资产负债!O230)+(资产负债!P231-资产负债!O231)+(资产负债!O138-资产负债!P138)+(资产负债!P233-资产负债!O233)+(资产负债!P256-资产负债!O256)</f>
        <v>0</v>
      </c>
      <c r="Q18" s="1217">
        <f>(资产负债!P136-资产负债!Q136)+(资产负债!Q230-资产负债!P230)+(资产负债!Q231-资产负债!P231)+(资产负债!P138-资产负债!Q138)+(资产负债!Q233-资产负债!P233)+(资产负债!Q256-资产负债!P256)</f>
        <v>0</v>
      </c>
      <c r="R18" s="1217">
        <f>(资产负债!Q136-资产负债!R136)+(资产负债!R230-资产负债!Q230)+(资产负债!R231-资产负债!Q231)+(资产负债!Q138-资产负债!R138)+(资产负债!R233-资产负债!Q233)+(资产负债!R256-资产负债!Q256)</f>
        <v>0</v>
      </c>
      <c r="S18" s="83"/>
      <c r="T18" s="14"/>
      <c r="U18" s="14"/>
      <c r="V18" s="14"/>
      <c r="W18" s="14"/>
      <c r="X18" s="14"/>
      <c r="Y18" s="14"/>
      <c r="Z18" s="14"/>
      <c r="AA18" s="14"/>
      <c r="AB18" s="14"/>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row>
    <row r="19" spans="1:58" ht="18" customHeight="1">
      <c r="A19" s="14"/>
      <c r="B19" s="2199" t="s">
        <v>1384</v>
      </c>
      <c r="C19" s="1231"/>
      <c r="D19" s="1231"/>
      <c r="E19" s="1231"/>
      <c r="F19" s="1231"/>
      <c r="G19" s="1231"/>
      <c r="H19" s="1232"/>
      <c r="I19" s="1228">
        <v>415.94611326</v>
      </c>
      <c r="J19" s="1228">
        <v>295.08795887999997</v>
      </c>
      <c r="K19" s="1228">
        <v>242.9620491</v>
      </c>
      <c r="L19" s="1228">
        <v>169.57404037999999</v>
      </c>
      <c r="M19" s="1228">
        <v>434.94165099000003</v>
      </c>
      <c r="N19" s="1412">
        <f ca="1">N4+SUM(N5:N18)</f>
        <v>1303.2606716906575</v>
      </c>
      <c r="O19" s="1412">
        <f ca="1">O4+SUM(O5:O18)</f>
        <v>809.86751966137558</v>
      </c>
      <c r="P19" s="1412">
        <f ca="1">P4+SUM(P5:P18)</f>
        <v>942.77298903490146</v>
      </c>
      <c r="Q19" s="1412">
        <f ca="1">Q4+SUM(Q5:Q18)</f>
        <v>1016.6879530445335</v>
      </c>
      <c r="R19" s="1413">
        <f ca="1">R4+SUM(R5:R18)</f>
        <v>922.57570878896104</v>
      </c>
      <c r="S19" s="83"/>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row>
    <row r="20" spans="1:58" ht="18" customHeight="1">
      <c r="A20" s="14"/>
      <c r="B20" s="2200"/>
      <c r="C20" s="1414"/>
      <c r="D20" s="1414"/>
      <c r="E20" s="1414"/>
      <c r="F20" s="1414"/>
      <c r="G20" s="1414"/>
      <c r="H20" s="1415"/>
      <c r="I20" s="1416"/>
      <c r="J20" s="1416"/>
      <c r="K20" s="1416"/>
      <c r="L20" s="1416"/>
      <c r="M20" s="1416"/>
      <c r="N20" s="1417"/>
      <c r="O20" s="1417"/>
      <c r="P20" s="1417"/>
      <c r="Q20" s="1417"/>
      <c r="R20" s="1418"/>
      <c r="S20" s="83"/>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row>
    <row r="21" spans="1:58" ht="18" customHeight="1">
      <c r="A21" s="14"/>
      <c r="B21" s="1767" t="s">
        <v>1375</v>
      </c>
      <c r="C21" s="1410"/>
      <c r="D21" s="1410"/>
      <c r="E21" s="1410"/>
      <c r="F21" s="1410"/>
      <c r="G21" s="1410"/>
      <c r="H21" s="1411"/>
      <c r="I21" s="1216">
        <v>0</v>
      </c>
      <c r="J21" s="1216">
        <v>0</v>
      </c>
      <c r="K21" s="1216">
        <v>0</v>
      </c>
      <c r="L21" s="1216">
        <v>0</v>
      </c>
      <c r="M21" s="1216">
        <v>5.4786999999999999</v>
      </c>
      <c r="N21" s="1217">
        <f>资产负债!N157+(资产负债!N224-资产负债!M224)</f>
        <v>0</v>
      </c>
      <c r="O21" s="1217">
        <f>资产负债!O157+(资产负债!O224-资产负债!N224)</f>
        <v>0</v>
      </c>
      <c r="P21" s="1217">
        <f>资产负债!P157+(资产负债!P224-资产负债!O224)</f>
        <v>0</v>
      </c>
      <c r="Q21" s="1217">
        <f>资产负债!Q157+(资产负债!Q224-资产负债!P224)</f>
        <v>0</v>
      </c>
      <c r="R21" s="1217">
        <f>资产负债!R157+(资产负债!R224-资产负债!Q224)</f>
        <v>0</v>
      </c>
      <c r="S21" s="83"/>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row>
    <row r="22" spans="1:58" ht="18" customHeight="1">
      <c r="A22" s="14"/>
      <c r="B22" s="1767" t="s">
        <v>638</v>
      </c>
      <c r="C22" s="1410"/>
      <c r="D22" s="1410"/>
      <c r="E22" s="1410"/>
      <c r="F22" s="1410"/>
      <c r="G22" s="1410"/>
      <c r="H22" s="1411"/>
      <c r="I22" s="1216">
        <v>79.794122560000005</v>
      </c>
      <c r="J22" s="1216">
        <v>53.164988510000001</v>
      </c>
      <c r="K22" s="1216">
        <v>46.14628562</v>
      </c>
      <c r="L22" s="1216">
        <v>57.885379130000004</v>
      </c>
      <c r="M22" s="1216">
        <v>39.126007380000004</v>
      </c>
      <c r="N22" s="1419">
        <f>利润表!N16</f>
        <v>26.918021679999999</v>
      </c>
      <c r="O22" s="1419">
        <f>利润表!O16</f>
        <v>26.918021679999999</v>
      </c>
      <c r="P22" s="1419">
        <f>利润表!P16</f>
        <v>26.918021679999999</v>
      </c>
      <c r="Q22" s="1419">
        <f>利润表!Q16</f>
        <v>26.918021679999999</v>
      </c>
      <c r="R22" s="1419">
        <f>利润表!R16</f>
        <v>26.918021679999999</v>
      </c>
      <c r="S22" s="83"/>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row>
    <row r="23" spans="1:58" ht="18" customHeight="1">
      <c r="A23" s="14"/>
      <c r="B23" s="1767" t="s">
        <v>639</v>
      </c>
      <c r="C23" s="1410"/>
      <c r="D23" s="1410"/>
      <c r="E23" s="1410"/>
      <c r="F23" s="1410"/>
      <c r="G23" s="1410"/>
      <c r="H23" s="1411"/>
      <c r="I23" s="1216">
        <v>0.29229834999999998</v>
      </c>
      <c r="J23" s="1216">
        <v>12.404894990000001</v>
      </c>
      <c r="K23" s="1216">
        <v>0.33730640000000001</v>
      </c>
      <c r="L23" s="1216">
        <v>0.32138207000000002</v>
      </c>
      <c r="M23" s="1216">
        <v>118.29572201000001</v>
      </c>
      <c r="N23" s="1217">
        <f>利润表!N21+资产负债!N183+资产负债!N199+资产负债!N207</f>
        <v>66.626262619999991</v>
      </c>
      <c r="O23" s="1217">
        <f>利润表!O21+资产负债!O183+资产负债!O199+资产负债!O207</f>
        <v>66.626262619999991</v>
      </c>
      <c r="P23" s="1217">
        <f>利润表!P21+资产负债!P183+资产负债!P199+资产负债!P207</f>
        <v>66.626262619999991</v>
      </c>
      <c r="Q23" s="1217">
        <f>利润表!Q21+资产负债!Q183+资产负债!Q199+资产负债!Q207</f>
        <v>66.626262619999991</v>
      </c>
      <c r="R23" s="1217">
        <f>利润表!R21+资产负债!R183+资产负债!R199+资产负债!R207</f>
        <v>66.626262619999991</v>
      </c>
      <c r="S23" s="83"/>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c r="BF23" s="14"/>
    </row>
    <row r="24" spans="1:58" ht="18" hidden="1" customHeight="1">
      <c r="A24" s="14"/>
      <c r="B24" s="1767" t="s">
        <v>1472</v>
      </c>
      <c r="C24" s="1410"/>
      <c r="D24" s="1410"/>
      <c r="E24" s="1410"/>
      <c r="F24" s="1410"/>
      <c r="G24" s="1410"/>
      <c r="H24" s="1411"/>
      <c r="I24" s="1216">
        <v>0</v>
      </c>
      <c r="J24" s="1216">
        <v>0</v>
      </c>
      <c r="K24" s="1216">
        <v>0</v>
      </c>
      <c r="L24" s="1216">
        <v>0</v>
      </c>
      <c r="M24" s="1216">
        <v>0</v>
      </c>
      <c r="N24" s="1217"/>
      <c r="O24" s="1217"/>
      <c r="P24" s="1217"/>
      <c r="Q24" s="1217"/>
      <c r="R24" s="1217"/>
      <c r="S24" s="83"/>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c r="BF24" s="14"/>
    </row>
    <row r="25" spans="1:58" ht="20.25" customHeight="1">
      <c r="A25" s="14"/>
      <c r="B25" s="1767" t="s">
        <v>1213</v>
      </c>
      <c r="C25" s="1410"/>
      <c r="D25" s="1410"/>
      <c r="E25" s="1410"/>
      <c r="F25" s="1410"/>
      <c r="G25" s="1410"/>
      <c r="H25" s="1411"/>
      <c r="I25" s="1216">
        <v>4768.7619999999997</v>
      </c>
      <c r="J25" s="1216">
        <v>11910.456147499999</v>
      </c>
      <c r="K25" s="1216">
        <v>10076.524852500001</v>
      </c>
      <c r="L25" s="1216">
        <v>7241.7259208800006</v>
      </c>
      <c r="M25" s="1216">
        <v>3874.2211586200001</v>
      </c>
      <c r="N25" s="1294">
        <f>资产负债!N292-资产负债!M292</f>
        <v>0</v>
      </c>
      <c r="O25" s="1294">
        <f>资产负债!O292-资产负债!N292</f>
        <v>0</v>
      </c>
      <c r="P25" s="1294">
        <f>资产负债!P292-资产负债!O292</f>
        <v>0</v>
      </c>
      <c r="Q25" s="1294">
        <f>资产负债!Q292-资产负债!P292</f>
        <v>0</v>
      </c>
      <c r="R25" s="1294">
        <f>资产负债!R292-资产负债!Q292</f>
        <v>0</v>
      </c>
      <c r="S25" s="83"/>
      <c r="T25" s="14"/>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c r="BF25" s="14"/>
    </row>
    <row r="26" spans="1:58" ht="18" customHeight="1">
      <c r="A26" s="14"/>
      <c r="B26" s="1240" t="s">
        <v>640</v>
      </c>
      <c r="C26" s="1347"/>
      <c r="D26" s="1347"/>
      <c r="E26" s="1347"/>
      <c r="F26" s="1347"/>
      <c r="G26" s="1347"/>
      <c r="H26" s="1348"/>
      <c r="I26" s="1216">
        <v>4848.8484209099997</v>
      </c>
      <c r="J26" s="1216">
        <v>11976.026030999999</v>
      </c>
      <c r="K26" s="1216">
        <v>10123.008444520001</v>
      </c>
      <c r="L26" s="1216">
        <v>7299.9326820799997</v>
      </c>
      <c r="M26" s="1216">
        <v>4037.1215880100003</v>
      </c>
      <c r="N26" s="1217">
        <f>SUM(N21:N25)</f>
        <v>93.544284299999987</v>
      </c>
      <c r="O26" s="1217">
        <f t="shared" ref="O26:R26" si="1">SUM(O21:O25)</f>
        <v>93.544284299999987</v>
      </c>
      <c r="P26" s="1217">
        <f t="shared" si="1"/>
        <v>93.544284299999987</v>
      </c>
      <c r="Q26" s="1217">
        <f t="shared" si="1"/>
        <v>93.544284299999987</v>
      </c>
      <c r="R26" s="1217">
        <f t="shared" si="1"/>
        <v>93.544284299999987</v>
      </c>
      <c r="S26" s="83"/>
      <c r="T26" s="14"/>
      <c r="U26" s="14"/>
      <c r="V26" s="14"/>
      <c r="W26" s="14"/>
      <c r="X26" s="14"/>
      <c r="Y26" s="14"/>
      <c r="Z26" s="14"/>
      <c r="AA26" s="14"/>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c r="BF26" s="14"/>
    </row>
    <row r="27" spans="1:58" ht="18" customHeight="1">
      <c r="A27" s="14"/>
      <c r="B27" s="1824" t="s">
        <v>641</v>
      </c>
      <c r="C27" s="1420"/>
      <c r="D27" s="1420"/>
      <c r="E27" s="1420"/>
      <c r="F27" s="1420"/>
      <c r="G27" s="1420"/>
      <c r="H27" s="1421"/>
      <c r="I27" s="1216">
        <v>114.46005587000001</v>
      </c>
      <c r="J27" s="1216">
        <v>283.25818550999998</v>
      </c>
      <c r="K27" s="1216">
        <v>204.65606362</v>
      </c>
      <c r="L27" s="1216">
        <v>195.50726399000001</v>
      </c>
      <c r="M27" s="1216">
        <v>165.31960244000001</v>
      </c>
      <c r="N27" s="1422">
        <f>(资产负债!N165-资产负债!M165)+资产负债!N178+资产负债!N189+资产负债!N198+资产负债!N206</f>
        <v>0</v>
      </c>
      <c r="O27" s="1422">
        <f>(资产负债!O165-资产负债!N165)+资产负债!O178+资产负债!O189+资产负债!O198+资产负债!O206</f>
        <v>0</v>
      </c>
      <c r="P27" s="1422">
        <f>(资产负债!P165-资产负债!O165)+资产负债!P178+资产负债!P189+资产负债!P198+资产负债!P206</f>
        <v>0</v>
      </c>
      <c r="Q27" s="1422">
        <f>(资产负债!Q165-资产负债!P165)+资产负债!Q178+资产负债!Q189+资产负债!Q198+资产负债!Q206</f>
        <v>0</v>
      </c>
      <c r="R27" s="1422">
        <f>(资产负债!R165-资产负债!Q165)+资产负债!R178+资产负债!R189+资产负债!R198+资产负债!R206</f>
        <v>0</v>
      </c>
      <c r="S27" s="83"/>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row>
    <row r="28" spans="1:58" ht="18" customHeight="1">
      <c r="A28" s="14"/>
      <c r="B28" s="1767" t="s">
        <v>642</v>
      </c>
      <c r="C28" s="1410"/>
      <c r="D28" s="1410"/>
      <c r="E28" s="1410"/>
      <c r="F28" s="1410"/>
      <c r="G28" s="1410"/>
      <c r="H28" s="1411"/>
      <c r="I28" s="1216">
        <v>0</v>
      </c>
      <c r="J28" s="1216">
        <v>4.32</v>
      </c>
      <c r="K28" s="1216">
        <v>0</v>
      </c>
      <c r="L28" s="1216">
        <v>0</v>
      </c>
      <c r="M28" s="1216">
        <v>0</v>
      </c>
      <c r="N28" s="1217">
        <f>资产负债!N105+资产负债!N109+(资产负债!N150-资产负债!M150)+(资产负债!N151-资产负债!M151)+(资产负债!N143-资产负债!M143)+(资产负债!N147-资产负债!M147)+资产负债!N161-资产负债!M161+资产负债!N162-资产负债!M162+资产负债!N156</f>
        <v>675.71186872999999</v>
      </c>
      <c r="O28" s="1217">
        <f>资产负债!O105+资产负债!O109+(资产负债!O150-资产负债!N150)+(资产负债!O151-资产负债!N151)+(资产负债!O143-资产负债!N143)+(资产负债!O147-资产负债!N147)+资产负债!O161-资产负债!N161+资产负债!O162-资产负债!N162+资产负债!O156</f>
        <v>675.71186872999999</v>
      </c>
      <c r="P28" s="1217">
        <f>资产负债!P105+资产负债!P109+(资产负债!P150-资产负债!O150)+(资产负债!P151-资产负债!O151)+(资产负债!P143-资产负债!O143)+(资产负债!P147-资产负债!O147)+资产负债!P161-资产负债!O161+资产负债!P162-资产负债!O162+资产负债!P156</f>
        <v>675.71186872999999</v>
      </c>
      <c r="Q28" s="1217">
        <f>资产负债!Q105+资产负债!Q109+(资产负债!Q150-资产负债!P150)+(资产负债!Q151-资产负债!P151)+(资产负债!Q143-资产负债!P143)+(资产负债!Q147-资产负债!P147)+资产负债!Q161-资产负债!P161+资产负债!Q162-资产负债!P162+资产负债!Q156</f>
        <v>675.71186872999999</v>
      </c>
      <c r="R28" s="1217">
        <f>资产负债!R105+资产负债!R109+(资产负债!R150-资产负债!Q150)+(资产负债!R151-资产负债!Q151)+(资产负债!R143-资产负债!Q143)+(资产负债!R147-资产负债!Q147)+资产负债!R161-资产负债!Q161+资产负债!R162-资产负债!Q162+资产负债!R156</f>
        <v>675.71186872999999</v>
      </c>
      <c r="S28" s="83"/>
      <c r="T28" s="14"/>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row>
    <row r="29" spans="1:58" ht="20.25" hidden="1" customHeight="1">
      <c r="A29" s="14"/>
      <c r="B29" s="1767" t="s">
        <v>1214</v>
      </c>
      <c r="C29" s="1410"/>
      <c r="D29" s="1410"/>
      <c r="E29" s="1410"/>
      <c r="F29" s="1410"/>
      <c r="G29" s="1410"/>
      <c r="H29" s="1411"/>
      <c r="I29" s="1216">
        <v>0</v>
      </c>
      <c r="J29" s="1216">
        <v>0</v>
      </c>
      <c r="K29" s="1216">
        <v>0</v>
      </c>
      <c r="L29" s="1216">
        <v>0</v>
      </c>
      <c r="M29" s="1216">
        <v>0</v>
      </c>
      <c r="N29" s="1294"/>
      <c r="O29" s="1294"/>
      <c r="P29" s="1294"/>
      <c r="Q29" s="1294"/>
      <c r="R29" s="1294"/>
      <c r="S29" s="83"/>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row>
    <row r="30" spans="1:58" ht="21.75" customHeight="1">
      <c r="A30" s="14"/>
      <c r="B30" s="1767" t="s">
        <v>1215</v>
      </c>
      <c r="C30" s="1410"/>
      <c r="D30" s="1410"/>
      <c r="E30" s="1410"/>
      <c r="F30" s="1410"/>
      <c r="G30" s="1410"/>
      <c r="H30" s="1411"/>
      <c r="I30" s="1216">
        <v>4933.8519999999999</v>
      </c>
      <c r="J30" s="1216">
        <v>12205.68</v>
      </c>
      <c r="K30" s="1216">
        <v>9677.741</v>
      </c>
      <c r="L30" s="1216">
        <v>6953.4381696</v>
      </c>
      <c r="M30" s="1216">
        <v>3891.4248249099996</v>
      </c>
      <c r="N30" s="1294">
        <f>(资产负债!N211-资产负债!M211)+(资产负债!N213-资产负债!M213)+(资产负债!N203-资产负债!M203)</f>
        <v>0</v>
      </c>
      <c r="O30" s="1294">
        <f>(资产负债!O211-资产负债!N211)+(资产负债!O213-资产负债!N213)+(资产负债!O203-资产负债!N203)</f>
        <v>0</v>
      </c>
      <c r="P30" s="1294">
        <f>(资产负债!P211-资产负债!O211)+(资产负债!P213-资产负债!O213)+(资产负债!P203-资产负债!O203)</f>
        <v>0</v>
      </c>
      <c r="Q30" s="1294">
        <f>(资产负债!Q211-资产负债!P211)+(资产负债!Q213-资产负债!P213)+(资产负债!Q203-资产负债!P203)</f>
        <v>0</v>
      </c>
      <c r="R30" s="1294">
        <f>(资产负债!R211-资产负债!Q211)+(资产负债!R213-资产负债!Q213)+(资产负债!R203-资产负债!Q203)</f>
        <v>0</v>
      </c>
      <c r="S30" s="83"/>
      <c r="T30" s="14"/>
      <c r="U30" s="14"/>
      <c r="V30" s="14"/>
      <c r="W30" s="14"/>
      <c r="X30" s="14"/>
      <c r="Y30" s="14"/>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row>
    <row r="31" spans="1:58" ht="18" customHeight="1">
      <c r="A31" s="14"/>
      <c r="B31" s="1240" t="s">
        <v>643</v>
      </c>
      <c r="C31" s="1347"/>
      <c r="D31" s="1347"/>
      <c r="E31" s="1347"/>
      <c r="F31" s="1347"/>
      <c r="G31" s="1347"/>
      <c r="H31" s="1348"/>
      <c r="I31" s="1216">
        <v>5048.3120558700002</v>
      </c>
      <c r="J31" s="1216">
        <v>12493.25818551</v>
      </c>
      <c r="K31" s="1216">
        <v>9882.3970636200011</v>
      </c>
      <c r="L31" s="1216">
        <v>7148.94543359</v>
      </c>
      <c r="M31" s="1216">
        <v>4056.74442735</v>
      </c>
      <c r="N31" s="1217">
        <f>SUM(N27:N30)</f>
        <v>675.71186872999999</v>
      </c>
      <c r="O31" s="1217">
        <f t="shared" ref="O31:R31" si="2">SUM(O27:O30)</f>
        <v>675.71186872999999</v>
      </c>
      <c r="P31" s="1217">
        <f t="shared" si="2"/>
        <v>675.71186872999999</v>
      </c>
      <c r="Q31" s="1217">
        <f t="shared" si="2"/>
        <v>675.71186872999999</v>
      </c>
      <c r="R31" s="1217">
        <f t="shared" si="2"/>
        <v>675.71186872999999</v>
      </c>
      <c r="S31" s="83"/>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row>
    <row r="32" spans="1:58" ht="18" customHeight="1">
      <c r="A32" s="14"/>
      <c r="B32" s="2201" t="s">
        <v>1385</v>
      </c>
      <c r="C32" s="1231"/>
      <c r="D32" s="1231"/>
      <c r="E32" s="1231"/>
      <c r="F32" s="1231"/>
      <c r="G32" s="1231"/>
      <c r="H32" s="1232"/>
      <c r="I32" s="1228">
        <v>-199.46363496000001</v>
      </c>
      <c r="J32" s="1228">
        <v>-517.23215450999999</v>
      </c>
      <c r="K32" s="1228">
        <v>240.6113809</v>
      </c>
      <c r="L32" s="1228">
        <v>150.98724849000001</v>
      </c>
      <c r="M32" s="1228">
        <v>-19.622839339999999</v>
      </c>
      <c r="N32" s="1229">
        <f>N26-N31</f>
        <v>-582.16758443000003</v>
      </c>
      <c r="O32" s="1229">
        <f>O26-O31</f>
        <v>-582.16758443000003</v>
      </c>
      <c r="P32" s="1229">
        <f>P26-P31</f>
        <v>-582.16758443000003</v>
      </c>
      <c r="Q32" s="1229">
        <f>Q26-Q31</f>
        <v>-582.16758443000003</v>
      </c>
      <c r="R32" s="1230">
        <f>R26-R31</f>
        <v>-582.16758443000003</v>
      </c>
      <c r="S32" s="83"/>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row>
    <row r="33" spans="1:58" ht="18" customHeight="1">
      <c r="A33" s="14"/>
      <c r="B33" s="2198"/>
      <c r="C33" s="1219"/>
      <c r="D33" s="1219"/>
      <c r="E33" s="1219"/>
      <c r="F33" s="1219"/>
      <c r="G33" s="1219"/>
      <c r="H33" s="1220"/>
      <c r="I33" s="1217"/>
      <c r="J33" s="1217"/>
      <c r="K33" s="1217"/>
      <c r="L33" s="1217"/>
      <c r="M33" s="1217"/>
      <c r="N33" s="1217"/>
      <c r="O33" s="1217"/>
      <c r="P33" s="1217"/>
      <c r="Q33" s="1217"/>
      <c r="R33" s="1218"/>
      <c r="S33" s="83"/>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row>
    <row r="34" spans="1:58" ht="18" customHeight="1">
      <c r="A34" s="14"/>
      <c r="B34" s="1767" t="s">
        <v>1376</v>
      </c>
      <c r="C34" s="1410"/>
      <c r="D34" s="1410"/>
      <c r="E34" s="1410"/>
      <c r="F34" s="1410"/>
      <c r="G34" s="1410"/>
      <c r="H34" s="1411"/>
      <c r="I34" s="1216">
        <v>0</v>
      </c>
      <c r="J34" s="1216">
        <v>1.4</v>
      </c>
      <c r="K34" s="1216">
        <v>0.5</v>
      </c>
      <c r="L34" s="1216">
        <v>0</v>
      </c>
      <c r="M34" s="1216">
        <v>211.27692361999999</v>
      </c>
      <c r="N34" s="1217">
        <f>资产负债!N270+资产负债!N317</f>
        <v>0</v>
      </c>
      <c r="O34" s="1217">
        <f>资产负债!O270+资产负债!O317</f>
        <v>0</v>
      </c>
      <c r="P34" s="1217">
        <f>资产负债!P270+资产负债!P317</f>
        <v>0</v>
      </c>
      <c r="Q34" s="1217">
        <f>资产负债!Q270+资产负债!Q317</f>
        <v>0</v>
      </c>
      <c r="R34" s="1218">
        <f>资产负债!R270+资产负债!R317</f>
        <v>0</v>
      </c>
      <c r="S34" s="83"/>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row>
    <row r="35" spans="1:58" ht="18" customHeight="1">
      <c r="A35" s="14"/>
      <c r="B35" s="1767" t="s">
        <v>644</v>
      </c>
      <c r="C35" s="1410"/>
      <c r="D35" s="1410"/>
      <c r="E35" s="1410"/>
      <c r="F35" s="1410"/>
      <c r="G35" s="1410"/>
      <c r="H35" s="1411"/>
      <c r="I35" s="1216">
        <v>0</v>
      </c>
      <c r="J35" s="1216">
        <v>0</v>
      </c>
      <c r="K35" s="1216">
        <v>0</v>
      </c>
      <c r="L35" s="1216">
        <v>15.408259220000001</v>
      </c>
      <c r="M35" s="1216">
        <v>905.82416343</v>
      </c>
      <c r="N35" s="1217">
        <f ca="1">N69+资产负债!N239-资产负债!N222+资产负债!M222</f>
        <v>386.16672381461706</v>
      </c>
      <c r="O35" s="1217">
        <f ca="1">O69+资产负债!O239-资产负债!O222+资产负债!N222</f>
        <v>2386.075885391223</v>
      </c>
      <c r="P35" s="1217">
        <f ca="1">P69+资产负债!P239-资产负债!P222+资产负债!O222</f>
        <v>2253.1704160176973</v>
      </c>
      <c r="Q35" s="1217">
        <f ca="1">Q69+资产负债!Q239-资产负债!Q222+资产负债!P222</f>
        <v>2179.2554520080653</v>
      </c>
      <c r="R35" s="1217">
        <f ca="1">R69+资产负债!R239-资产负债!R222+资产负债!Q222</f>
        <v>2273.3676962636378</v>
      </c>
      <c r="S35" s="83"/>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row>
    <row r="36" spans="1:58" ht="18" customHeight="1">
      <c r="A36" s="14"/>
      <c r="B36" s="1767" t="s">
        <v>645</v>
      </c>
      <c r="C36" s="1410"/>
      <c r="D36" s="1410"/>
      <c r="E36" s="1410"/>
      <c r="F36" s="1410"/>
      <c r="G36" s="1410"/>
      <c r="H36" s="1411"/>
      <c r="I36" s="1216">
        <v>0</v>
      </c>
      <c r="J36" s="1216">
        <v>43.655913149999996</v>
      </c>
      <c r="K36" s="1216">
        <v>0</v>
      </c>
      <c r="L36" s="1216">
        <v>0</v>
      </c>
      <c r="M36" s="1216">
        <v>0</v>
      </c>
      <c r="N36" s="1419">
        <f>(资产负债!M152-资产负债!N152)+资产负债!N276-资产负债!M276+资产负债!N313-资产负债!M313</f>
        <v>-207.44708469999998</v>
      </c>
      <c r="O36" s="1419">
        <f>(资产负债!N152-资产负债!O152)+资产负债!O276-资产负债!N276+资产负债!O313-资产负债!N313</f>
        <v>0</v>
      </c>
      <c r="P36" s="1419">
        <f>(资产负债!O152-资产负债!P152)+资产负债!P276-资产负债!O276+资产负债!P313-资产负债!O313</f>
        <v>0</v>
      </c>
      <c r="Q36" s="1419">
        <f>(资产负债!P152-资产负债!Q152)+资产负债!Q276-资产负债!P276+资产负债!Q313-资产负债!P313</f>
        <v>0</v>
      </c>
      <c r="R36" s="1419">
        <f>(资产负债!Q152-资产负债!R152)+资产负债!R276-资产负债!Q276+资产负债!R313-资产负债!Q313</f>
        <v>0</v>
      </c>
      <c r="S36" s="83"/>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c r="BF36" s="14"/>
    </row>
    <row r="37" spans="1:58" ht="18" customHeight="1">
      <c r="A37" s="14"/>
      <c r="B37" s="1824" t="s">
        <v>1216</v>
      </c>
      <c r="C37" s="1420"/>
      <c r="D37" s="1420"/>
      <c r="E37" s="1420"/>
      <c r="F37" s="1420"/>
      <c r="G37" s="1420"/>
      <c r="H37" s="1421"/>
      <c r="I37" s="1216">
        <v>0</v>
      </c>
      <c r="J37" s="1216">
        <v>0</v>
      </c>
      <c r="K37" s="1216">
        <v>0</v>
      </c>
      <c r="L37" s="1216">
        <v>0</v>
      </c>
      <c r="M37" s="1216">
        <v>0</v>
      </c>
      <c r="N37" s="1217">
        <f>资产负债!N246</f>
        <v>0</v>
      </c>
      <c r="O37" s="1217">
        <f>资产负债!O246</f>
        <v>0</v>
      </c>
      <c r="P37" s="1217">
        <f>资产负债!P246</f>
        <v>0</v>
      </c>
      <c r="Q37" s="1217">
        <f>资产负债!Q246</f>
        <v>0</v>
      </c>
      <c r="R37" s="1217">
        <f>资产负债!R246</f>
        <v>0</v>
      </c>
      <c r="S37" s="83"/>
      <c r="T37" s="14"/>
      <c r="U37" s="14"/>
      <c r="V37" s="14"/>
      <c r="W37" s="14"/>
      <c r="X37" s="14"/>
      <c r="Y37" s="14"/>
      <c r="Z37" s="14"/>
      <c r="AA37" s="14"/>
      <c r="AB37" s="14"/>
      <c r="AC37" s="14"/>
      <c r="AD37" s="14"/>
      <c r="AE37" s="14"/>
      <c r="AF37" s="14"/>
      <c r="AG37" s="14"/>
      <c r="AH37" s="14"/>
      <c r="AI37" s="14"/>
      <c r="AJ37" s="14"/>
      <c r="AK37" s="14"/>
      <c r="AL37" s="14"/>
      <c r="AM37" s="14"/>
      <c r="AN37" s="14"/>
      <c r="AO37" s="14"/>
      <c r="AP37" s="14"/>
      <c r="AQ37" s="14"/>
      <c r="AR37" s="14"/>
      <c r="AS37" s="14"/>
      <c r="AT37" s="14"/>
      <c r="AU37" s="14"/>
      <c r="AV37" s="14"/>
      <c r="AW37" s="14"/>
      <c r="AX37" s="14"/>
      <c r="AY37" s="14"/>
      <c r="AZ37" s="14"/>
      <c r="BA37" s="14"/>
      <c r="BB37" s="14"/>
      <c r="BC37" s="14"/>
      <c r="BD37" s="14"/>
      <c r="BE37" s="14"/>
      <c r="BF37" s="14"/>
    </row>
    <row r="38" spans="1:58" ht="18" customHeight="1">
      <c r="A38" s="14"/>
      <c r="B38" s="1240" t="s">
        <v>646</v>
      </c>
      <c r="C38" s="1347"/>
      <c r="D38" s="1347"/>
      <c r="E38" s="1347"/>
      <c r="F38" s="1347"/>
      <c r="G38" s="1347"/>
      <c r="H38" s="1348"/>
      <c r="I38" s="1216">
        <v>0</v>
      </c>
      <c r="J38" s="1216">
        <v>45.055913149999995</v>
      </c>
      <c r="K38" s="1216">
        <v>0.5</v>
      </c>
      <c r="L38" s="1216">
        <v>15.408259220000001</v>
      </c>
      <c r="M38" s="1216">
        <v>1117.1010870499999</v>
      </c>
      <c r="N38" s="1217">
        <f ca="1">SUM(N34:N37)</f>
        <v>178.71963911461708</v>
      </c>
      <c r="O38" s="1217">
        <f t="shared" ref="O38:R38" ca="1" si="3">SUM(O34:O37)</f>
        <v>2386.075885391223</v>
      </c>
      <c r="P38" s="1217">
        <f t="shared" ca="1" si="3"/>
        <v>2253.1704160176973</v>
      </c>
      <c r="Q38" s="1217">
        <f t="shared" ca="1" si="3"/>
        <v>2179.2554520080653</v>
      </c>
      <c r="R38" s="1217">
        <f t="shared" ca="1" si="3"/>
        <v>2273.3676962636378</v>
      </c>
      <c r="S38" s="83"/>
      <c r="T38" s="14"/>
      <c r="U38" s="14"/>
      <c r="V38" s="14"/>
      <c r="W38" s="14"/>
      <c r="X38" s="14"/>
      <c r="Y38" s="14"/>
      <c r="Z38" s="14"/>
      <c r="AA38" s="14"/>
      <c r="AB38" s="14"/>
      <c r="AC38" s="14"/>
      <c r="AD38" s="14"/>
      <c r="AE38" s="14"/>
      <c r="AF38" s="14"/>
      <c r="AG38" s="14"/>
      <c r="AH38" s="14"/>
      <c r="AI38" s="14"/>
      <c r="AJ38" s="14"/>
      <c r="AK38" s="14"/>
      <c r="AL38" s="14"/>
      <c r="AM38" s="14"/>
      <c r="AN38" s="14"/>
      <c r="AO38" s="14"/>
      <c r="AP38" s="14"/>
      <c r="AQ38" s="14"/>
      <c r="AR38" s="14"/>
      <c r="AS38" s="14"/>
      <c r="AT38" s="14"/>
      <c r="AU38" s="14"/>
      <c r="AV38" s="14"/>
      <c r="AW38" s="14"/>
      <c r="AX38" s="14"/>
      <c r="AY38" s="14"/>
      <c r="AZ38" s="14"/>
      <c r="BA38" s="14"/>
      <c r="BB38" s="14"/>
      <c r="BC38" s="14"/>
      <c r="BD38" s="14"/>
      <c r="BE38" s="14"/>
      <c r="BF38" s="14"/>
    </row>
    <row r="39" spans="1:58" ht="18" customHeight="1">
      <c r="A39" s="14"/>
      <c r="B39" s="1240"/>
      <c r="C39" s="1347"/>
      <c r="D39" s="1347"/>
      <c r="E39" s="1347"/>
      <c r="F39" s="1347"/>
      <c r="G39" s="1347"/>
      <c r="H39" s="1348"/>
      <c r="I39" s="1216"/>
      <c r="J39" s="1216"/>
      <c r="K39" s="1216"/>
      <c r="L39" s="1216"/>
      <c r="M39" s="1216"/>
      <c r="N39" s="1217"/>
      <c r="O39" s="1217"/>
      <c r="P39" s="1217"/>
      <c r="Q39" s="1217"/>
      <c r="R39" s="1218"/>
      <c r="S39" s="83"/>
      <c r="T39" s="14"/>
      <c r="U39" s="14"/>
      <c r="V39" s="14"/>
      <c r="W39" s="14"/>
      <c r="X39" s="14"/>
      <c r="Y39" s="14"/>
      <c r="Z39" s="14"/>
      <c r="AA39" s="14"/>
      <c r="AB39" s="14"/>
      <c r="AC39" s="14"/>
      <c r="AD39" s="14"/>
      <c r="AE39" s="14"/>
      <c r="AF39" s="14"/>
      <c r="AG39" s="14"/>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c r="BF39" s="14"/>
    </row>
    <row r="40" spans="1:58" ht="18" customHeight="1">
      <c r="A40" s="14"/>
      <c r="B40" s="1767" t="s">
        <v>1377</v>
      </c>
      <c r="C40" s="1410"/>
      <c r="D40" s="1410"/>
      <c r="E40" s="1410"/>
      <c r="F40" s="1410"/>
      <c r="G40" s="1410"/>
      <c r="H40" s="1411"/>
      <c r="I40" s="1216">
        <v>9.1173099999999998</v>
      </c>
      <c r="J40" s="1216">
        <v>0</v>
      </c>
      <c r="K40" s="1216">
        <v>0</v>
      </c>
      <c r="L40" s="1216">
        <v>0</v>
      </c>
      <c r="M40" s="1216">
        <v>15.408259220000001</v>
      </c>
      <c r="N40" s="1217">
        <f>资产负债!N240+资产负债!N249+资产负债!M241</f>
        <v>0</v>
      </c>
      <c r="O40" s="1217">
        <f>资产负债!O240+资产负债!O249+资产负债!N241</f>
        <v>0</v>
      </c>
      <c r="P40" s="1217">
        <f>资产负债!P240+资产负债!P249+资产负债!O241</f>
        <v>0</v>
      </c>
      <c r="Q40" s="1217">
        <f>资产负债!Q240+资产负债!Q249+资产负债!P241</f>
        <v>0</v>
      </c>
      <c r="R40" s="1217">
        <f>资产负债!R240+资产负债!R249+资产负债!Q241</f>
        <v>0</v>
      </c>
      <c r="S40" s="83"/>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c r="BA40" s="14"/>
      <c r="BB40" s="14"/>
      <c r="BC40" s="14"/>
      <c r="BD40" s="14"/>
      <c r="BE40" s="14"/>
      <c r="BF40" s="14"/>
    </row>
    <row r="41" spans="1:58" ht="18" customHeight="1">
      <c r="A41" s="14"/>
      <c r="B41" s="1767" t="s">
        <v>647</v>
      </c>
      <c r="C41" s="1410"/>
      <c r="D41" s="1410"/>
      <c r="E41" s="1410"/>
      <c r="F41" s="1410"/>
      <c r="G41" s="1410"/>
      <c r="H41" s="1411"/>
      <c r="I41" s="1216">
        <v>180.94612753999999</v>
      </c>
      <c r="J41" s="1216">
        <v>281.39999999999998</v>
      </c>
      <c r="K41" s="1216">
        <v>402</v>
      </c>
      <c r="L41" s="1216">
        <v>241.72258099999999</v>
      </c>
      <c r="M41" s="1216">
        <v>235.17</v>
      </c>
      <c r="N41" s="1217">
        <f ca="1">利润表!N68+资产负债!N306-资产负债!N271</f>
        <v>2366.7043487452747</v>
      </c>
      <c r="O41" s="1217">
        <f ca="1">利润表!O68+资产负债!O306-资产负债!O271</f>
        <v>2613.7758206225985</v>
      </c>
      <c r="P41" s="1217">
        <f ca="1">利润表!P68+资产负债!P306-资产负债!P271</f>
        <v>2613.7758206225985</v>
      </c>
      <c r="Q41" s="1217">
        <f ca="1">利润表!Q68+资产负债!Q306-资产负债!Q271</f>
        <v>2613.7758206225985</v>
      </c>
      <c r="R41" s="1217">
        <f ca="1">利润表!R68+资产负债!R306-资产负债!R271</f>
        <v>2613.7758206225985</v>
      </c>
      <c r="S41" s="83"/>
      <c r="T41" s="14"/>
      <c r="U41" s="14"/>
      <c r="V41" s="14"/>
      <c r="W41" s="14"/>
      <c r="X41" s="14"/>
      <c r="Y41" s="14"/>
      <c r="Z41" s="14"/>
      <c r="AA41" s="14"/>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c r="BF41" s="14"/>
    </row>
    <row r="42" spans="1:58" ht="18" customHeight="1">
      <c r="A42" s="14"/>
      <c r="B42" s="1767" t="s">
        <v>648</v>
      </c>
      <c r="C42" s="1410"/>
      <c r="D42" s="1410"/>
      <c r="E42" s="1410"/>
      <c r="F42" s="1410"/>
      <c r="G42" s="1410"/>
      <c r="H42" s="1411"/>
      <c r="I42" s="1216">
        <v>1.14943397</v>
      </c>
      <c r="J42" s="1216">
        <v>0</v>
      </c>
      <c r="K42" s="1216">
        <v>43.655913149999996</v>
      </c>
      <c r="L42" s="1216">
        <v>0</v>
      </c>
      <c r="M42" s="1216">
        <v>2.4925849100000002</v>
      </c>
      <c r="N42" s="1217">
        <f>资产负债!N290-资产负债!M290-(资产负债!N284-资产负债!N287-资产负债!N298)+(资产负债!M252-资产负债!N252)</f>
        <v>0</v>
      </c>
      <c r="O42" s="1217">
        <f>资产负债!O290-资产负债!N290-(资产负债!O284-资产负债!O287-资产负债!O298)+(资产负债!N252-资产负债!O252)</f>
        <v>0</v>
      </c>
      <c r="P42" s="1217">
        <f>资产负债!P290-资产负债!O290-(资产负债!P284-资产负债!P287-资产负债!P298)+(资产负债!O252-资产负债!P252)</f>
        <v>0</v>
      </c>
      <c r="Q42" s="1217">
        <f>资产负债!Q290-资产负债!P290-(资产负债!Q284-资产负债!Q287-资产负债!Q298)+(资产负债!P252-资产负债!Q252)</f>
        <v>0</v>
      </c>
      <c r="R42" s="1217">
        <f>资产负债!R290-资产负债!Q290-(资产负债!R284-资产负债!R287-资产负债!R298)+(资产负债!Q252-资产负债!R252)</f>
        <v>0</v>
      </c>
      <c r="S42" s="83"/>
      <c r="T42" s="14"/>
      <c r="U42" s="14"/>
      <c r="V42" s="14"/>
      <c r="W42" s="14"/>
      <c r="X42" s="14"/>
      <c r="Y42" s="14"/>
      <c r="Z42" s="14"/>
      <c r="AA42" s="14"/>
      <c r="AB42" s="14"/>
      <c r="AC42" s="14"/>
      <c r="AD42" s="14"/>
      <c r="AE42" s="14"/>
      <c r="AF42" s="14"/>
      <c r="AG42" s="14"/>
      <c r="AH42" s="14"/>
      <c r="AI42" s="14"/>
      <c r="AJ42" s="14"/>
      <c r="AK42" s="14"/>
      <c r="AL42" s="14"/>
      <c r="AM42" s="14"/>
      <c r="AN42" s="14"/>
      <c r="AO42" s="14"/>
      <c r="AP42" s="14"/>
      <c r="AQ42" s="14"/>
      <c r="AR42" s="14"/>
      <c r="AS42" s="14"/>
      <c r="AT42" s="14"/>
      <c r="AU42" s="14"/>
      <c r="AV42" s="14"/>
      <c r="AW42" s="14"/>
      <c r="AX42" s="14"/>
      <c r="AY42" s="14"/>
      <c r="AZ42" s="14"/>
      <c r="BA42" s="14"/>
      <c r="BB42" s="14"/>
      <c r="BC42" s="14"/>
      <c r="BD42" s="14"/>
      <c r="BE42" s="14"/>
      <c r="BF42" s="14"/>
    </row>
    <row r="43" spans="1:58" ht="18" hidden="1" customHeight="1">
      <c r="A43" s="14"/>
      <c r="B43" s="1824"/>
      <c r="C43" s="1420"/>
      <c r="D43" s="1420"/>
      <c r="E43" s="1420"/>
      <c r="F43" s="1420"/>
      <c r="G43" s="1420"/>
      <c r="H43" s="1421"/>
      <c r="I43" s="1307"/>
      <c r="J43" s="1307"/>
      <c r="K43" s="1307"/>
      <c r="L43" s="1307"/>
      <c r="M43" s="1307"/>
      <c r="N43" s="1294"/>
      <c r="O43" s="1294"/>
      <c r="P43" s="1294"/>
      <c r="Q43" s="1294"/>
      <c r="R43" s="1295"/>
      <c r="S43" s="83"/>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c r="BA43" s="14"/>
      <c r="BB43" s="14"/>
      <c r="BC43" s="14"/>
      <c r="BD43" s="14"/>
      <c r="BE43" s="14"/>
      <c r="BF43" s="14"/>
    </row>
    <row r="44" spans="1:58" ht="18" customHeight="1">
      <c r="A44" s="14"/>
      <c r="B44" s="1240" t="s">
        <v>649</v>
      </c>
      <c r="C44" s="1347"/>
      <c r="D44" s="1347"/>
      <c r="E44" s="1347"/>
      <c r="F44" s="1347"/>
      <c r="G44" s="1347"/>
      <c r="H44" s="1348"/>
      <c r="I44" s="1216">
        <v>191.21287150999999</v>
      </c>
      <c r="J44" s="1216">
        <v>281.39999999999998</v>
      </c>
      <c r="K44" s="1216">
        <v>445.65591315</v>
      </c>
      <c r="L44" s="1216">
        <v>241.72258099999999</v>
      </c>
      <c r="M44" s="1216">
        <v>253.07084412999998</v>
      </c>
      <c r="N44" s="1217">
        <f ca="1">SUM(N40:N42)</f>
        <v>2366.7043487452747</v>
      </c>
      <c r="O44" s="1217">
        <f ca="1">SUM(O40:O42)</f>
        <v>2613.7758206225985</v>
      </c>
      <c r="P44" s="1217">
        <f ca="1">SUM(P40:P42)</f>
        <v>2613.7758206225985</v>
      </c>
      <c r="Q44" s="1217">
        <f ca="1">SUM(Q40:Q42)</f>
        <v>2613.7758206225985</v>
      </c>
      <c r="R44" s="1218">
        <f ca="1">SUM(R40:R42)</f>
        <v>2613.7758206225985</v>
      </c>
      <c r="S44" s="83"/>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c r="BF44" s="14"/>
    </row>
    <row r="45" spans="1:58" ht="18" customHeight="1">
      <c r="A45" s="14"/>
      <c r="B45" s="2201" t="s">
        <v>1383</v>
      </c>
      <c r="C45" s="1231"/>
      <c r="D45" s="1231"/>
      <c r="E45" s="1231"/>
      <c r="F45" s="1231"/>
      <c r="G45" s="1231"/>
      <c r="H45" s="1232"/>
      <c r="I45" s="1228">
        <v>-191.21287150999999</v>
      </c>
      <c r="J45" s="1228">
        <v>-236.34408685</v>
      </c>
      <c r="K45" s="1228">
        <v>-445.15591315</v>
      </c>
      <c r="L45" s="1228">
        <v>-226.31432178</v>
      </c>
      <c r="M45" s="1228">
        <v>864.03024291999998</v>
      </c>
      <c r="N45" s="1229">
        <f ca="1">N38-N44</f>
        <v>-2187.9847096306576</v>
      </c>
      <c r="O45" s="1229">
        <f ca="1">O38-O44</f>
        <v>-227.69993523137555</v>
      </c>
      <c r="P45" s="1229">
        <f ca="1">P38-P44</f>
        <v>-360.6054046049012</v>
      </c>
      <c r="Q45" s="1229">
        <f ca="1">Q38-Q44</f>
        <v>-434.52036861453325</v>
      </c>
      <c r="R45" s="1230">
        <f ca="1">R38-R44</f>
        <v>-340.40812435896078</v>
      </c>
      <c r="S45" s="83"/>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c r="AS45" s="14"/>
      <c r="AT45" s="14"/>
      <c r="AU45" s="14"/>
      <c r="AV45" s="14"/>
      <c r="AW45" s="14"/>
      <c r="AX45" s="14"/>
      <c r="AY45" s="14"/>
      <c r="AZ45" s="14"/>
      <c r="BA45" s="14"/>
      <c r="BB45" s="14"/>
      <c r="BC45" s="14"/>
      <c r="BD45" s="14"/>
      <c r="BE45" s="14"/>
      <c r="BF45" s="14"/>
    </row>
    <row r="46" spans="1:58" ht="18" customHeight="1">
      <c r="A46" s="14"/>
      <c r="B46" s="2198"/>
      <c r="C46" s="1219"/>
      <c r="D46" s="1219"/>
      <c r="E46" s="1219"/>
      <c r="F46" s="1219"/>
      <c r="G46" s="1219"/>
      <c r="H46" s="1220"/>
      <c r="I46" s="1217"/>
      <c r="J46" s="1217"/>
      <c r="K46" s="1217"/>
      <c r="L46" s="1217"/>
      <c r="M46" s="1217"/>
      <c r="N46" s="1217"/>
      <c r="O46" s="1217"/>
      <c r="P46" s="1217"/>
      <c r="Q46" s="1217"/>
      <c r="R46" s="1218"/>
      <c r="S46" s="83"/>
      <c r="T46" s="14"/>
      <c r="U46" s="14"/>
      <c r="V46" s="14"/>
      <c r="W46" s="14"/>
      <c r="X46" s="14"/>
      <c r="Y46" s="14"/>
      <c r="Z46" s="14"/>
      <c r="AA46" s="14"/>
      <c r="AB46" s="14"/>
      <c r="AC46" s="14"/>
      <c r="AD46" s="14"/>
      <c r="AE46" s="14"/>
      <c r="AF46" s="14"/>
      <c r="AG46" s="14"/>
      <c r="AH46" s="14"/>
      <c r="AI46" s="14"/>
      <c r="AJ46" s="14"/>
      <c r="AK46" s="14"/>
      <c r="AL46" s="14"/>
      <c r="AM46" s="14"/>
      <c r="AN46" s="14"/>
      <c r="AO46" s="14"/>
      <c r="AP46" s="14"/>
      <c r="AQ46" s="14"/>
      <c r="AR46" s="14"/>
      <c r="AS46" s="14"/>
      <c r="AT46" s="14"/>
      <c r="AU46" s="14"/>
      <c r="AV46" s="14"/>
      <c r="AW46" s="14"/>
      <c r="AX46" s="14"/>
      <c r="AY46" s="14"/>
      <c r="AZ46" s="14"/>
      <c r="BA46" s="14"/>
      <c r="BB46" s="14"/>
      <c r="BC46" s="14"/>
      <c r="BD46" s="14"/>
      <c r="BE46" s="14"/>
      <c r="BF46" s="14"/>
    </row>
    <row r="47" spans="1:58" ht="18" customHeight="1">
      <c r="A47" s="14"/>
      <c r="B47" s="2201" t="s">
        <v>1378</v>
      </c>
      <c r="C47" s="1231"/>
      <c r="D47" s="1231"/>
      <c r="E47" s="1231"/>
      <c r="F47" s="1231"/>
      <c r="G47" s="1231"/>
      <c r="H47" s="1232"/>
      <c r="I47" s="1228">
        <v>6.6598314000000007</v>
      </c>
      <c r="J47" s="1228">
        <v>-456.42947411</v>
      </c>
      <c r="K47" s="1228">
        <v>32.935337050000001</v>
      </c>
      <c r="L47" s="1228">
        <v>109.70910626999999</v>
      </c>
      <c r="M47" s="1228">
        <v>1311.11239746</v>
      </c>
      <c r="N47" s="1229">
        <f ca="1">N32+N45+N19</f>
        <v>-1466.8916223699998</v>
      </c>
      <c r="O47" s="1229">
        <f ca="1">O32+O45+O19</f>
        <v>0</v>
      </c>
      <c r="P47" s="1229">
        <f ca="1">P32+P45+P19</f>
        <v>0</v>
      </c>
      <c r="Q47" s="1229">
        <f ca="1">Q32+Q45+Q19</f>
        <v>0</v>
      </c>
      <c r="R47" s="1230">
        <f ca="1">R32+R45+R19</f>
        <v>0</v>
      </c>
      <c r="S47" s="83"/>
      <c r="T47" s="14"/>
      <c r="U47" s="14"/>
      <c r="V47" s="14"/>
      <c r="W47" s="14"/>
      <c r="X47" s="14"/>
      <c r="Y47" s="14"/>
      <c r="Z47" s="14"/>
      <c r="AA47" s="14"/>
      <c r="AB47" s="14"/>
      <c r="AC47" s="14"/>
      <c r="AD47" s="14"/>
      <c r="AE47" s="14"/>
      <c r="AF47" s="14"/>
      <c r="AG47" s="14"/>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c r="BF47" s="14"/>
    </row>
    <row r="48" spans="1:58" ht="18" customHeight="1">
      <c r="A48" s="14"/>
      <c r="B48" s="1767" t="s">
        <v>1379</v>
      </c>
      <c r="C48" s="1410"/>
      <c r="D48" s="1410"/>
      <c r="E48" s="1410"/>
      <c r="F48" s="1410"/>
      <c r="G48" s="1410"/>
      <c r="H48" s="1411"/>
      <c r="I48" s="1216">
        <v>721.47893023999995</v>
      </c>
      <c r="J48" s="1216">
        <v>728.13876163999998</v>
      </c>
      <c r="K48" s="1216">
        <v>271.70928752999998</v>
      </c>
      <c r="L48" s="1216">
        <v>304.64462457999997</v>
      </c>
      <c r="M48" s="1216">
        <v>414.35373085000003</v>
      </c>
      <c r="N48" s="1217">
        <f>资产负债!M4</f>
        <v>1881.24535322</v>
      </c>
      <c r="O48" s="1217">
        <f ca="1">资产负债!N4</f>
        <v>414.35373085000003</v>
      </c>
      <c r="P48" s="1217">
        <f ca="1">资产负债!O4</f>
        <v>414.35373085000003</v>
      </c>
      <c r="Q48" s="1217">
        <f ca="1">资产负债!P4</f>
        <v>414.35373085000003</v>
      </c>
      <c r="R48" s="1218">
        <f ca="1">资产负债!Q4</f>
        <v>414.35373085000003</v>
      </c>
      <c r="S48" s="83"/>
      <c r="T48" s="14"/>
      <c r="U48" s="14"/>
      <c r="V48" s="14"/>
      <c r="W48" s="14"/>
      <c r="X48" s="14"/>
      <c r="Y48" s="14"/>
      <c r="Z48" s="14"/>
      <c r="AA48" s="14"/>
      <c r="AB48" s="14"/>
      <c r="AC48" s="14"/>
      <c r="AD48" s="14"/>
      <c r="AE48" s="14"/>
      <c r="AF48" s="14"/>
      <c r="AG48" s="14"/>
      <c r="AH48" s="14"/>
      <c r="AI48" s="14"/>
      <c r="AJ48" s="14"/>
      <c r="AK48" s="14"/>
      <c r="AL48" s="14"/>
      <c r="AM48" s="14"/>
      <c r="AN48" s="14"/>
      <c r="AO48" s="14"/>
      <c r="AP48" s="14"/>
      <c r="AQ48" s="14"/>
      <c r="AR48" s="14"/>
      <c r="AS48" s="14"/>
      <c r="AT48" s="14"/>
      <c r="AU48" s="14"/>
      <c r="AV48" s="14"/>
      <c r="AW48" s="14"/>
      <c r="AX48" s="14"/>
      <c r="AY48" s="14"/>
      <c r="AZ48" s="14"/>
      <c r="BA48" s="14"/>
      <c r="BB48" s="14"/>
      <c r="BC48" s="14"/>
      <c r="BD48" s="14"/>
      <c r="BE48" s="14"/>
      <c r="BF48" s="14"/>
    </row>
    <row r="49" spans="1:58" ht="18" customHeight="1">
      <c r="A49" s="14"/>
      <c r="B49" s="1767" t="s">
        <v>1380</v>
      </c>
      <c r="C49" s="1410"/>
      <c r="D49" s="1410"/>
      <c r="E49" s="1410"/>
      <c r="F49" s="1410"/>
      <c r="G49" s="1410"/>
      <c r="H49" s="1411"/>
      <c r="I49" s="1216">
        <v>728.13876163999998</v>
      </c>
      <c r="J49" s="1216">
        <v>271.70928752999998</v>
      </c>
      <c r="K49" s="1216">
        <v>304.64462457999997</v>
      </c>
      <c r="L49" s="1216">
        <v>414.35373085000003</v>
      </c>
      <c r="M49" s="1216">
        <v>1725.4661283099999</v>
      </c>
      <c r="N49" s="1217">
        <f ca="1">N47+N48</f>
        <v>414.35373085000015</v>
      </c>
      <c r="O49" s="1217">
        <f ca="1">O47+O48</f>
        <v>414.35373085000003</v>
      </c>
      <c r="P49" s="1217">
        <f ca="1">P47+P48</f>
        <v>414.35373085000003</v>
      </c>
      <c r="Q49" s="1217">
        <f ca="1">Q47+Q48</f>
        <v>414.35373085000003</v>
      </c>
      <c r="R49" s="1218">
        <f ca="1">R47+R48</f>
        <v>414.35373085000003</v>
      </c>
      <c r="S49" s="83"/>
      <c r="T49" s="14"/>
      <c r="U49" s="14"/>
      <c r="V49" s="14"/>
      <c r="W49" s="14"/>
      <c r="X49" s="14"/>
      <c r="Y49" s="14"/>
      <c r="Z49" s="14"/>
      <c r="AA49" s="14"/>
      <c r="AB49" s="14"/>
      <c r="AC49" s="14"/>
      <c r="AD49" s="14"/>
      <c r="AE49" s="14"/>
      <c r="AF49" s="14"/>
      <c r="AG49" s="14"/>
      <c r="AH49" s="14"/>
      <c r="AI49" s="14"/>
      <c r="AJ49" s="14"/>
      <c r="AK49" s="14"/>
      <c r="AL49" s="14"/>
      <c r="AM49" s="14"/>
      <c r="AN49" s="14"/>
      <c r="AO49" s="14"/>
      <c r="AP49" s="14"/>
      <c r="AQ49" s="14"/>
      <c r="AR49" s="14"/>
      <c r="AS49" s="14"/>
      <c r="AT49" s="14"/>
      <c r="AU49" s="14"/>
      <c r="AV49" s="14"/>
      <c r="AW49" s="14"/>
      <c r="AX49" s="14"/>
      <c r="AY49" s="14"/>
      <c r="AZ49" s="14"/>
      <c r="BA49" s="14"/>
      <c r="BB49" s="14"/>
      <c r="BC49" s="14"/>
      <c r="BD49" s="14"/>
      <c r="BE49" s="14"/>
      <c r="BF49" s="14"/>
    </row>
    <row r="50" spans="1:58" s="5" customFormat="1" ht="18" hidden="1" customHeight="1">
      <c r="A50" s="13"/>
      <c r="B50" s="2198" t="s">
        <v>650</v>
      </c>
      <c r="C50" s="1221"/>
      <c r="D50" s="1221"/>
      <c r="E50" s="1221"/>
      <c r="F50" s="1221"/>
      <c r="G50" s="1221"/>
      <c r="H50" s="1222"/>
      <c r="I50" s="1423"/>
      <c r="J50" s="1423"/>
      <c r="K50" s="1423"/>
      <c r="L50" s="1423"/>
      <c r="M50" s="1423"/>
      <c r="N50" s="1423"/>
      <c r="O50" s="1423"/>
      <c r="P50" s="1423"/>
      <c r="Q50" s="1423"/>
      <c r="R50" s="1424"/>
      <c r="S50" s="36"/>
      <c r="T50" s="13"/>
      <c r="U50" s="13"/>
      <c r="V50" s="13"/>
      <c r="W50" s="13"/>
      <c r="X50" s="13"/>
      <c r="Y50" s="13"/>
      <c r="Z50" s="13"/>
      <c r="AA50" s="13"/>
      <c r="AB50" s="13"/>
      <c r="AC50" s="13"/>
      <c r="AD50" s="13"/>
      <c r="AE50" s="13"/>
      <c r="AF50" s="13"/>
      <c r="AG50" s="13"/>
      <c r="AH50" s="13"/>
      <c r="AI50" s="13"/>
      <c r="AJ50" s="13"/>
      <c r="AK50" s="13"/>
      <c r="AL50" s="13"/>
      <c r="AM50" s="13"/>
      <c r="AN50" s="13"/>
      <c r="AO50" s="13"/>
      <c r="AP50" s="13"/>
      <c r="AQ50" s="13"/>
      <c r="AR50" s="13"/>
      <c r="AS50" s="13"/>
      <c r="AT50" s="13"/>
      <c r="AU50" s="13"/>
      <c r="AV50" s="13"/>
      <c r="AW50" s="13"/>
      <c r="AX50" s="13"/>
      <c r="AY50" s="13"/>
      <c r="AZ50" s="13"/>
      <c r="BA50" s="13"/>
      <c r="BB50" s="13"/>
      <c r="BC50" s="13"/>
      <c r="BD50" s="13"/>
      <c r="BE50" s="13"/>
      <c r="BF50" s="13"/>
    </row>
    <row r="51" spans="1:58" ht="18" customHeight="1">
      <c r="A51" s="14"/>
      <c r="B51" s="2197"/>
      <c r="C51" s="1231"/>
      <c r="D51" s="1231"/>
      <c r="E51" s="1231"/>
      <c r="F51" s="1231"/>
      <c r="G51" s="1231"/>
      <c r="H51" s="1232"/>
      <c r="I51" s="1423"/>
      <c r="J51" s="1423"/>
      <c r="K51" s="1423"/>
      <c r="L51" s="1423"/>
      <c r="M51" s="1423"/>
      <c r="N51" s="1423"/>
      <c r="O51" s="1423"/>
      <c r="P51" s="1423"/>
      <c r="Q51" s="1423"/>
      <c r="R51" s="142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c r="AS51" s="14"/>
      <c r="AT51" s="14"/>
      <c r="AU51" s="14"/>
      <c r="AV51" s="14"/>
      <c r="AW51" s="14"/>
      <c r="AX51" s="14"/>
      <c r="AY51" s="14"/>
      <c r="AZ51" s="14"/>
      <c r="BA51" s="14"/>
      <c r="BB51" s="14"/>
      <c r="BC51" s="14"/>
      <c r="BD51" s="14"/>
      <c r="BE51" s="14"/>
      <c r="BF51" s="14"/>
    </row>
    <row r="52" spans="1:58" s="5" customFormat="1" ht="18" customHeight="1">
      <c r="A52" s="13"/>
      <c r="B52" s="1824" t="s">
        <v>651</v>
      </c>
      <c r="C52" s="1420"/>
      <c r="D52" s="1420"/>
      <c r="E52" s="1420"/>
      <c r="F52" s="1420"/>
      <c r="G52" s="1420"/>
      <c r="H52" s="1421"/>
      <c r="I52" s="1425">
        <f>资产负债!I4-I49</f>
        <v>-58.408532179999952</v>
      </c>
      <c r="J52" s="1425">
        <f>资产负债!J4-J49</f>
        <v>52.513852499999985</v>
      </c>
      <c r="K52" s="1425">
        <f>资产负债!K4-K49</f>
        <v>33.93100000000004</v>
      </c>
      <c r="L52" s="1425">
        <f>资产负债!L4-L49</f>
        <v>79.246722649999981</v>
      </c>
      <c r="M52" s="1425">
        <f>资产负债!M4-M49</f>
        <v>155.77922491000004</v>
      </c>
      <c r="N52" s="1417"/>
      <c r="O52" s="1417"/>
      <c r="P52" s="1417"/>
      <c r="Q52" s="1417"/>
      <c r="R52" s="1418"/>
      <c r="S52" s="13"/>
      <c r="T52" s="13"/>
      <c r="U52" s="13"/>
      <c r="V52" s="13"/>
      <c r="W52" s="13"/>
      <c r="X52" s="13"/>
      <c r="Y52" s="13"/>
      <c r="Z52" s="13"/>
      <c r="AA52" s="13"/>
      <c r="AB52" s="13"/>
      <c r="AC52" s="13"/>
      <c r="AD52" s="13"/>
      <c r="AE52" s="13"/>
      <c r="AF52" s="13"/>
      <c r="AG52" s="13"/>
      <c r="AH52" s="13"/>
      <c r="AI52" s="13"/>
      <c r="AJ52" s="13"/>
      <c r="AK52" s="13"/>
      <c r="AL52" s="13"/>
      <c r="AM52" s="13"/>
      <c r="AN52" s="13"/>
      <c r="AO52" s="13"/>
      <c r="AP52" s="13"/>
      <c r="AQ52" s="13"/>
      <c r="AR52" s="13"/>
      <c r="AS52" s="13"/>
      <c r="AT52" s="13"/>
      <c r="AU52" s="13"/>
      <c r="AV52" s="13"/>
      <c r="AW52" s="13"/>
      <c r="AX52" s="13"/>
      <c r="AY52" s="13"/>
      <c r="AZ52" s="13"/>
      <c r="BA52" s="13"/>
      <c r="BB52" s="13"/>
      <c r="BC52" s="13"/>
      <c r="BD52" s="13"/>
      <c r="BE52" s="13"/>
      <c r="BF52" s="13"/>
    </row>
    <row r="53" spans="1:58" s="10" customFormat="1" ht="18" customHeight="1" thickBot="1">
      <c r="A53" s="13"/>
      <c r="B53" s="2202" t="s">
        <v>544</v>
      </c>
      <c r="C53" s="1426"/>
      <c r="D53" s="1426"/>
      <c r="E53" s="1426"/>
      <c r="F53" s="1426"/>
      <c r="G53" s="1426"/>
      <c r="H53" s="1427"/>
      <c r="I53" s="1428">
        <f>资产负债!I100-现金流量!I49-I52</f>
        <v>0</v>
      </c>
      <c r="J53" s="1428">
        <f>资产负债!J100-现金流量!J49-J52</f>
        <v>0</v>
      </c>
      <c r="K53" s="1428">
        <f>资产负债!K100-现金流量!K49-K52</f>
        <v>0</v>
      </c>
      <c r="L53" s="1428">
        <f>资产负债!L100-现金流量!L49-L52</f>
        <v>0</v>
      </c>
      <c r="M53" s="1428">
        <f>资产负债!M100-现金流量!M49-M52</f>
        <v>0</v>
      </c>
      <c r="N53" s="1429">
        <f ca="1">资产负债!N100-现金流量!N49</f>
        <v>0</v>
      </c>
      <c r="O53" s="1429">
        <f ca="1">资产负债!O100-现金流量!O49</f>
        <v>0</v>
      </c>
      <c r="P53" s="1429">
        <f ca="1">资产负债!P100-现金流量!P49</f>
        <v>0</v>
      </c>
      <c r="Q53" s="1429">
        <f ca="1">资产负债!Q100-现金流量!Q49</f>
        <v>0</v>
      </c>
      <c r="R53" s="1430">
        <f ca="1">资产负债!R100-现金流量!R49</f>
        <v>0</v>
      </c>
      <c r="S53" s="91"/>
      <c r="T53" s="91"/>
      <c r="U53" s="91"/>
      <c r="V53" s="91"/>
      <c r="W53" s="91"/>
      <c r="X53" s="91"/>
      <c r="Y53" s="91"/>
      <c r="Z53" s="91"/>
      <c r="AA53" s="91"/>
      <c r="AB53" s="91"/>
      <c r="AC53" s="91"/>
      <c r="AD53" s="91"/>
      <c r="AE53" s="91"/>
      <c r="AF53" s="91"/>
      <c r="AG53" s="91"/>
      <c r="AH53" s="91"/>
      <c r="AI53" s="91"/>
      <c r="AJ53" s="91"/>
      <c r="AK53" s="91"/>
      <c r="AL53" s="91"/>
      <c r="AM53" s="91"/>
      <c r="AN53" s="91"/>
      <c r="AO53" s="91"/>
      <c r="AP53" s="91"/>
      <c r="AQ53" s="91"/>
      <c r="AR53" s="91"/>
      <c r="AS53" s="91"/>
      <c r="AT53" s="91"/>
      <c r="AU53" s="91"/>
      <c r="AV53" s="91"/>
      <c r="AW53" s="91"/>
      <c r="AX53" s="91"/>
      <c r="AY53" s="91"/>
      <c r="AZ53" s="91"/>
      <c r="BA53" s="91"/>
      <c r="BB53" s="91"/>
      <c r="BC53" s="91"/>
      <c r="BD53" s="91"/>
      <c r="BE53" s="91"/>
      <c r="BF53" s="91"/>
    </row>
    <row r="54" spans="1:58" s="5" customFormat="1" ht="18" hidden="1" customHeight="1">
      <c r="A54" s="13"/>
      <c r="B54" s="1431"/>
      <c r="C54" s="1432"/>
      <c r="D54" s="1432"/>
      <c r="E54" s="1432"/>
      <c r="F54" s="1432"/>
      <c r="G54" s="1432"/>
      <c r="H54" s="1433"/>
      <c r="I54" s="1434"/>
      <c r="J54" s="1435"/>
      <c r="K54" s="1435"/>
      <c r="L54" s="1435"/>
      <c r="M54" s="1435"/>
      <c r="N54" s="1435"/>
      <c r="O54" s="1435"/>
      <c r="P54" s="1435"/>
      <c r="Q54" s="1435"/>
      <c r="R54" s="1436"/>
      <c r="S54" s="13"/>
      <c r="T54" s="13"/>
      <c r="U54" s="13"/>
      <c r="V54" s="13"/>
      <c r="W54" s="13"/>
      <c r="X54" s="13"/>
      <c r="Y54" s="13"/>
      <c r="Z54" s="13"/>
      <c r="AA54" s="13"/>
      <c r="AB54" s="13"/>
      <c r="AC54" s="13"/>
      <c r="AD54" s="13"/>
      <c r="AE54" s="13"/>
      <c r="AF54" s="13"/>
      <c r="AG54" s="13"/>
      <c r="AH54" s="13"/>
      <c r="AI54" s="13"/>
      <c r="AJ54" s="13"/>
      <c r="AK54" s="13"/>
      <c r="AL54" s="13"/>
      <c r="AM54" s="13"/>
      <c r="AN54" s="13"/>
      <c r="AO54" s="13"/>
      <c r="AP54" s="13"/>
      <c r="AQ54" s="13"/>
      <c r="AR54" s="13"/>
      <c r="AS54" s="13"/>
      <c r="AT54" s="13"/>
      <c r="AU54" s="13"/>
      <c r="AV54" s="13"/>
      <c r="AW54" s="13"/>
      <c r="AX54" s="13"/>
      <c r="AY54" s="13"/>
      <c r="AZ54" s="13"/>
      <c r="BA54" s="13"/>
      <c r="BB54" s="13"/>
      <c r="BC54" s="13"/>
      <c r="BD54" s="13"/>
      <c r="BE54" s="13"/>
      <c r="BF54" s="13"/>
    </row>
    <row r="55" spans="1:58" ht="18" customHeight="1" thickBot="1">
      <c r="A55" s="14"/>
      <c r="B55" s="1437"/>
      <c r="C55" s="1437"/>
      <c r="D55" s="1437"/>
      <c r="E55" s="1437"/>
      <c r="F55" s="1437"/>
      <c r="G55" s="1437"/>
      <c r="H55" s="1437"/>
      <c r="I55" s="1438"/>
      <c r="J55" s="1438"/>
      <c r="K55" s="1438"/>
      <c r="L55" s="1438"/>
      <c r="M55" s="1438"/>
      <c r="N55" s="1438"/>
      <c r="O55" s="1438"/>
      <c r="P55" s="1438"/>
      <c r="Q55" s="1438"/>
      <c r="R55" s="1439"/>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AQ55" s="14"/>
      <c r="AR55" s="14"/>
      <c r="AS55" s="14"/>
      <c r="AT55" s="14"/>
      <c r="AU55" s="14"/>
      <c r="AV55" s="14"/>
      <c r="AW55" s="14"/>
      <c r="AX55" s="14"/>
      <c r="AY55" s="14"/>
      <c r="AZ55" s="14"/>
      <c r="BA55" s="14"/>
      <c r="BB55" s="14"/>
      <c r="BC55" s="14"/>
      <c r="BD55" s="14"/>
      <c r="BE55" s="14"/>
      <c r="BF55" s="14"/>
    </row>
    <row r="56" spans="1:58" ht="18" hidden="1" customHeight="1" thickBot="1">
      <c r="A56" s="14"/>
      <c r="B56" s="1437"/>
      <c r="C56" s="1437"/>
      <c r="D56" s="1437"/>
      <c r="E56" s="1437"/>
      <c r="F56" s="1437"/>
      <c r="G56" s="1437"/>
      <c r="H56" s="1437"/>
      <c r="I56" s="1438"/>
      <c r="J56" s="1438"/>
      <c r="K56" s="1438"/>
      <c r="L56" s="1438"/>
      <c r="M56" s="1438"/>
      <c r="N56" s="1438"/>
      <c r="O56" s="1438"/>
      <c r="P56" s="1438"/>
      <c r="Q56" s="1438"/>
      <c r="R56" s="1440"/>
      <c r="S56" s="14"/>
      <c r="T56" s="14"/>
      <c r="U56" s="14"/>
      <c r="V56" s="14"/>
      <c r="W56" s="14"/>
      <c r="X56" s="14"/>
      <c r="Y56" s="14"/>
      <c r="Z56" s="14"/>
      <c r="AA56" s="14"/>
      <c r="AB56" s="14"/>
      <c r="AC56" s="14"/>
      <c r="AD56" s="14"/>
      <c r="AE56" s="14"/>
      <c r="AF56" s="14"/>
      <c r="AG56" s="14"/>
      <c r="AH56" s="14"/>
      <c r="AI56" s="14"/>
      <c r="AJ56" s="14"/>
      <c r="AK56" s="14"/>
      <c r="AL56" s="14"/>
      <c r="AM56" s="14"/>
      <c r="AN56" s="14"/>
      <c r="AO56" s="14"/>
      <c r="AP56" s="14"/>
      <c r="AQ56" s="14"/>
      <c r="AR56" s="14"/>
      <c r="AS56" s="14"/>
      <c r="AT56" s="14"/>
      <c r="AU56" s="14"/>
      <c r="AV56" s="14"/>
      <c r="AW56" s="14"/>
      <c r="AX56" s="14"/>
      <c r="AY56" s="14"/>
      <c r="AZ56" s="14"/>
      <c r="BA56" s="14"/>
      <c r="BB56" s="14"/>
      <c r="BC56" s="14"/>
      <c r="BD56" s="14"/>
      <c r="BE56" s="14"/>
      <c r="BF56" s="14"/>
    </row>
    <row r="57" spans="1:58" ht="18" customHeight="1" thickBot="1">
      <c r="A57" s="14"/>
      <c r="B57" s="1441" t="s">
        <v>652</v>
      </c>
      <c r="C57" s="1442"/>
      <c r="D57" s="1442"/>
      <c r="E57" s="1442"/>
      <c r="F57" s="1442"/>
      <c r="G57" s="1442"/>
      <c r="H57" s="1442"/>
      <c r="I57" s="1359"/>
      <c r="J57" s="1359"/>
      <c r="K57" s="1359"/>
      <c r="L57" s="1359"/>
      <c r="M57" s="1359"/>
      <c r="N57" s="1359">
        <f>M58+1</f>
        <v>2020</v>
      </c>
      <c r="O57" s="1359">
        <f>N57+1</f>
        <v>2021</v>
      </c>
      <c r="P57" s="1359">
        <f>O57+1</f>
        <v>2022</v>
      </c>
      <c r="Q57" s="1359">
        <f>P57+1</f>
        <v>2023</v>
      </c>
      <c r="R57" s="1359">
        <f>Q57+1</f>
        <v>2024</v>
      </c>
      <c r="S57" s="83"/>
      <c r="T57" s="14"/>
      <c r="U57" s="14"/>
      <c r="V57" s="14"/>
      <c r="W57" s="14"/>
      <c r="X57" s="14"/>
      <c r="Y57" s="14"/>
      <c r="Z57" s="14"/>
      <c r="AA57" s="14"/>
      <c r="AB57" s="14"/>
      <c r="AC57" s="14"/>
      <c r="AD57" s="14"/>
      <c r="AE57" s="14"/>
      <c r="AF57" s="14"/>
      <c r="AG57" s="14"/>
      <c r="AH57" s="14"/>
      <c r="AI57" s="14"/>
      <c r="AJ57" s="14"/>
      <c r="AK57" s="14"/>
      <c r="AL57" s="14"/>
      <c r="AM57" s="14"/>
      <c r="AN57" s="14"/>
      <c r="AO57" s="14"/>
      <c r="AP57" s="14"/>
      <c r="AQ57" s="14"/>
      <c r="AR57" s="14"/>
      <c r="AS57" s="14"/>
      <c r="AT57" s="14"/>
      <c r="AU57" s="14"/>
      <c r="AV57" s="14"/>
      <c r="AW57" s="14"/>
      <c r="AX57" s="14"/>
      <c r="AY57" s="14"/>
      <c r="AZ57" s="14"/>
      <c r="BA57" s="14"/>
      <c r="BB57" s="14"/>
      <c r="BC57" s="14"/>
      <c r="BD57" s="14"/>
      <c r="BE57" s="14"/>
      <c r="BF57" s="14"/>
    </row>
    <row r="58" spans="1:58" ht="18" customHeight="1">
      <c r="A58" s="14"/>
      <c r="B58" s="2203"/>
      <c r="C58" s="1443"/>
      <c r="D58" s="1443"/>
      <c r="E58" s="1443"/>
      <c r="F58" s="1443"/>
      <c r="G58" s="1443"/>
      <c r="H58" s="1444"/>
      <c r="I58" s="1445">
        <f>利润表!I3</f>
        <v>2015</v>
      </c>
      <c r="J58" s="1446">
        <f>利润表!J3</f>
        <v>2016</v>
      </c>
      <c r="K58" s="1446">
        <f>利润表!K3</f>
        <v>2017</v>
      </c>
      <c r="L58" s="1446">
        <f>利润表!L3</f>
        <v>2018</v>
      </c>
      <c r="M58" s="1446">
        <f>利润表!M3</f>
        <v>2019</v>
      </c>
      <c r="N58" s="1446" t="str">
        <f>利润表!N3</f>
        <v>2020E</v>
      </c>
      <c r="O58" s="1446" t="str">
        <f>利润表!O3</f>
        <v>2021E</v>
      </c>
      <c r="P58" s="1446" t="str">
        <f>利润表!P3</f>
        <v>2022E</v>
      </c>
      <c r="Q58" s="1446" t="str">
        <f>利润表!Q3</f>
        <v>2023E</v>
      </c>
      <c r="R58" s="2435" t="str">
        <f>利润表!R3</f>
        <v>2024E</v>
      </c>
      <c r="S58" s="83"/>
      <c r="T58" s="14"/>
      <c r="U58" s="14"/>
      <c r="V58" s="14"/>
      <c r="W58" s="14"/>
      <c r="X58" s="14"/>
      <c r="Y58" s="14"/>
      <c r="Z58" s="14"/>
      <c r="AA58" s="14"/>
      <c r="AB58" s="14"/>
      <c r="AC58" s="14"/>
      <c r="AD58" s="14"/>
      <c r="AE58" s="14"/>
      <c r="AF58" s="14"/>
      <c r="AG58" s="14"/>
      <c r="AH58" s="14"/>
      <c r="AI58" s="14"/>
      <c r="AJ58" s="14"/>
      <c r="AK58" s="14"/>
      <c r="AL58" s="14"/>
      <c r="AM58" s="14"/>
      <c r="AN58" s="14"/>
      <c r="AO58" s="14"/>
      <c r="AP58" s="14"/>
      <c r="AQ58" s="14"/>
      <c r="AR58" s="14"/>
      <c r="AS58" s="14"/>
      <c r="AT58" s="14"/>
      <c r="AU58" s="14"/>
      <c r="AV58" s="14"/>
      <c r="AW58" s="14"/>
      <c r="AX58" s="14"/>
      <c r="AY58" s="14"/>
      <c r="AZ58" s="14"/>
      <c r="BA58" s="14"/>
      <c r="BB58" s="14"/>
      <c r="BC58" s="14"/>
      <c r="BD58" s="14"/>
      <c r="BE58" s="14"/>
      <c r="BF58" s="14"/>
    </row>
    <row r="59" spans="1:58" ht="18" customHeight="1">
      <c r="A59" s="14"/>
      <c r="B59" s="2204" t="s">
        <v>653</v>
      </c>
      <c r="C59" s="1447"/>
      <c r="D59" s="1447"/>
      <c r="E59" s="1447"/>
      <c r="F59" s="1447"/>
      <c r="G59" s="1447"/>
      <c r="H59" s="1448"/>
      <c r="I59" s="1449"/>
      <c r="J59" s="1450">
        <f t="shared" ref="J59:R59" si="4">J48</f>
        <v>728.13876163999998</v>
      </c>
      <c r="K59" s="1450">
        <f t="shared" si="4"/>
        <v>271.70928752999998</v>
      </c>
      <c r="L59" s="1450">
        <f t="shared" si="4"/>
        <v>304.64462457999997</v>
      </c>
      <c r="M59" s="1450">
        <f t="shared" si="4"/>
        <v>414.35373085000003</v>
      </c>
      <c r="N59" s="1451">
        <f t="shared" si="4"/>
        <v>1881.24535322</v>
      </c>
      <c r="O59" s="1451">
        <f t="shared" ca="1" si="4"/>
        <v>414.35373085000003</v>
      </c>
      <c r="P59" s="1451">
        <f t="shared" ca="1" si="4"/>
        <v>414.35373085000003</v>
      </c>
      <c r="Q59" s="1451">
        <f t="shared" ca="1" si="4"/>
        <v>414.35373085000003</v>
      </c>
      <c r="R59" s="2436">
        <f t="shared" ca="1" si="4"/>
        <v>414.35373085000003</v>
      </c>
      <c r="S59" s="83"/>
      <c r="T59" s="14"/>
      <c r="U59" s="14"/>
      <c r="V59" s="14"/>
      <c r="W59" s="14"/>
      <c r="X59" s="14"/>
      <c r="Y59" s="14"/>
      <c r="Z59" s="14"/>
      <c r="AA59" s="14"/>
      <c r="AB59" s="14"/>
      <c r="AC59" s="14"/>
      <c r="AD59" s="14"/>
      <c r="AE59" s="14"/>
      <c r="AF59" s="14"/>
      <c r="AG59" s="14"/>
      <c r="AH59" s="14"/>
      <c r="AI59" s="14"/>
      <c r="AJ59" s="14"/>
      <c r="AK59" s="14"/>
      <c r="AL59" s="14"/>
      <c r="AM59" s="14"/>
      <c r="AN59" s="14"/>
      <c r="AO59" s="14"/>
      <c r="AP59" s="14"/>
      <c r="AQ59" s="14"/>
      <c r="AR59" s="14"/>
      <c r="AS59" s="14"/>
      <c r="AT59" s="14"/>
      <c r="AU59" s="14"/>
      <c r="AV59" s="14"/>
      <c r="AW59" s="14"/>
      <c r="AX59" s="14"/>
      <c r="AY59" s="14"/>
      <c r="AZ59" s="14"/>
      <c r="BA59" s="14"/>
      <c r="BB59" s="14"/>
      <c r="BC59" s="14"/>
      <c r="BD59" s="14"/>
      <c r="BE59" s="14"/>
      <c r="BF59" s="14"/>
    </row>
    <row r="60" spans="1:58" ht="18" customHeight="1">
      <c r="A60" s="14"/>
      <c r="B60" s="2204" t="s">
        <v>654</v>
      </c>
      <c r="C60" s="1447"/>
      <c r="D60" s="1447"/>
      <c r="E60" s="1447"/>
      <c r="F60" s="1447"/>
      <c r="G60" s="1447"/>
      <c r="H60" s="1448"/>
      <c r="I60" s="1452"/>
      <c r="J60" s="1453"/>
      <c r="K60" s="1453"/>
      <c r="L60" s="1451"/>
      <c r="M60" s="1451"/>
      <c r="N60" s="1454"/>
      <c r="O60" s="1454"/>
      <c r="P60" s="1454"/>
      <c r="Q60" s="1454"/>
      <c r="R60" s="2437"/>
      <c r="S60" s="83"/>
      <c r="T60" s="14"/>
      <c r="U60" s="14"/>
      <c r="V60" s="14"/>
      <c r="W60" s="14"/>
      <c r="X60" s="14"/>
      <c r="Y60" s="14"/>
      <c r="Z60" s="14"/>
      <c r="AA60" s="14"/>
      <c r="AB60" s="14"/>
      <c r="AC60" s="14"/>
      <c r="AD60" s="14"/>
      <c r="AE60" s="14"/>
      <c r="AF60" s="14"/>
      <c r="AG60" s="14"/>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c r="BF60" s="14"/>
    </row>
    <row r="61" spans="1:58" ht="18" customHeight="1">
      <c r="A61" s="14"/>
      <c r="B61" s="2205" t="s">
        <v>655</v>
      </c>
      <c r="C61" s="1455"/>
      <c r="D61" s="1455"/>
      <c r="E61" s="1455"/>
      <c r="F61" s="1455"/>
      <c r="G61" s="1455"/>
      <c r="H61" s="1456"/>
      <c r="I61" s="1457"/>
      <c r="J61" s="1425">
        <f t="shared" ref="J61:R61" si="5">J19</f>
        <v>295.08795887999997</v>
      </c>
      <c r="K61" s="1425">
        <f t="shared" si="5"/>
        <v>242.9620491</v>
      </c>
      <c r="L61" s="1425">
        <f t="shared" si="5"/>
        <v>169.57404037999999</v>
      </c>
      <c r="M61" s="1425">
        <f t="shared" si="5"/>
        <v>434.94165099000003</v>
      </c>
      <c r="N61" s="1454">
        <f t="shared" ca="1" si="5"/>
        <v>1303.2606716906575</v>
      </c>
      <c r="O61" s="1454">
        <f t="shared" ca="1" si="5"/>
        <v>809.86751966137558</v>
      </c>
      <c r="P61" s="1454">
        <f t="shared" ca="1" si="5"/>
        <v>942.77298903490146</v>
      </c>
      <c r="Q61" s="1454">
        <f t="shared" ca="1" si="5"/>
        <v>1016.6879530445335</v>
      </c>
      <c r="R61" s="2437">
        <f t="shared" ca="1" si="5"/>
        <v>922.57570878896104</v>
      </c>
      <c r="S61" s="83"/>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row>
    <row r="62" spans="1:58" ht="18" customHeight="1">
      <c r="A62" s="14"/>
      <c r="B62" s="2205" t="s">
        <v>656</v>
      </c>
      <c r="C62" s="1455"/>
      <c r="D62" s="1455"/>
      <c r="E62" s="1455"/>
      <c r="F62" s="1455"/>
      <c r="G62" s="1455"/>
      <c r="H62" s="1456"/>
      <c r="I62" s="1457"/>
      <c r="J62" s="1425">
        <f t="shared" ref="J62:R62" si="6">J32</f>
        <v>-517.23215450999999</v>
      </c>
      <c r="K62" s="1425">
        <f t="shared" si="6"/>
        <v>240.6113809</v>
      </c>
      <c r="L62" s="1425">
        <f t="shared" si="6"/>
        <v>150.98724849000001</v>
      </c>
      <c r="M62" s="1425">
        <f t="shared" si="6"/>
        <v>-19.622839339999999</v>
      </c>
      <c r="N62" s="1454">
        <f t="shared" si="6"/>
        <v>-582.16758443000003</v>
      </c>
      <c r="O62" s="1454">
        <f t="shared" si="6"/>
        <v>-582.16758443000003</v>
      </c>
      <c r="P62" s="1454">
        <f t="shared" si="6"/>
        <v>-582.16758443000003</v>
      </c>
      <c r="Q62" s="1454">
        <f t="shared" si="6"/>
        <v>-582.16758443000003</v>
      </c>
      <c r="R62" s="2437">
        <f t="shared" si="6"/>
        <v>-582.16758443000003</v>
      </c>
      <c r="S62" s="83"/>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c r="BF62" s="14"/>
    </row>
    <row r="63" spans="1:58" ht="18" customHeight="1">
      <c r="A63" s="14"/>
      <c r="B63" s="2205" t="s">
        <v>657</v>
      </c>
      <c r="C63" s="1455"/>
      <c r="D63" s="1455"/>
      <c r="E63" s="1455"/>
      <c r="F63" s="1455"/>
      <c r="G63" s="1455"/>
      <c r="H63" s="1456"/>
      <c r="I63" s="1457"/>
      <c r="J63" s="1425">
        <f>J45-(资产负债!J41-资产负债!I41)</f>
        <v>-236.34408685</v>
      </c>
      <c r="K63" s="1425">
        <f>K45-(资产负债!K41-资产负债!J41)</f>
        <v>-445.15591315</v>
      </c>
      <c r="L63" s="1425">
        <f>L45-(资产负债!L41-资产负债!K41)</f>
        <v>-241.72258099999999</v>
      </c>
      <c r="M63" s="1425">
        <f>M45-(资产负债!M41-资产负债!L41)</f>
        <v>859.53375696000001</v>
      </c>
      <c r="N63" s="1454">
        <f ca="1">(N34+N36+N37-N41-N42-N43)+(资产负债!N242-资产负债!M242)-资产负债!N249</f>
        <v>-2574.1514334452745</v>
      </c>
      <c r="O63" s="1454">
        <f ca="1">(O34+O36+O37-O41-O42-O43)+(资产负债!O242-资产负债!N242)-资产负债!O249</f>
        <v>-2613.7758206225985</v>
      </c>
      <c r="P63" s="1454">
        <f ca="1">(P34+P36+P37-P41-P42-P43)+(资产负债!P242-资产负债!O242)-资产负债!P249</f>
        <v>-2613.7758206225985</v>
      </c>
      <c r="Q63" s="1454">
        <f ca="1">(Q34+Q36+Q37-Q41-Q42-Q43)+(资产负债!Q242-资产负债!P242)-资产负债!Q249</f>
        <v>-2613.7758206225985</v>
      </c>
      <c r="R63" s="2437">
        <f ca="1">(R34+R36+R37-R41-R42-R43)+(资产负债!R242-资产负债!Q242)-资产负债!R249</f>
        <v>-2613.7758206225985</v>
      </c>
      <c r="S63" s="83"/>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14"/>
      <c r="AX63" s="14"/>
      <c r="AY63" s="14"/>
      <c r="AZ63" s="14"/>
      <c r="BA63" s="14"/>
      <c r="BB63" s="14"/>
      <c r="BC63" s="14"/>
      <c r="BD63" s="14"/>
      <c r="BE63" s="14"/>
      <c r="BF63" s="14"/>
    </row>
    <row r="64" spans="1:58" ht="18" customHeight="1">
      <c r="A64" s="14"/>
      <c r="B64" s="2206" t="s">
        <v>339</v>
      </c>
      <c r="C64" s="1447"/>
      <c r="D64" s="1447"/>
      <c r="E64" s="1447"/>
      <c r="F64" s="1447"/>
      <c r="G64" s="1447"/>
      <c r="H64" s="1448"/>
      <c r="I64" s="1449">
        <f>I48</f>
        <v>721.47893023999995</v>
      </c>
      <c r="J64" s="1450">
        <f>J48</f>
        <v>728.13876163999998</v>
      </c>
      <c r="K64" s="1450">
        <f>K48</f>
        <v>271.70928752999998</v>
      </c>
      <c r="L64" s="1450">
        <f>L48</f>
        <v>304.64462457999997</v>
      </c>
      <c r="M64" s="1450">
        <f>M48</f>
        <v>414.35373085000003</v>
      </c>
      <c r="N64" s="1451">
        <f>资产负债!N101</f>
        <v>414.35373085000003</v>
      </c>
      <c r="O64" s="1451">
        <f>资产负债!O101</f>
        <v>414.35373085000003</v>
      </c>
      <c r="P64" s="1451">
        <f>资产负债!P101</f>
        <v>414.35373085000003</v>
      </c>
      <c r="Q64" s="1451">
        <f>资产负债!Q101</f>
        <v>414.35373085000003</v>
      </c>
      <c r="R64" s="2436">
        <f>资产负债!R101</f>
        <v>414.35373085000003</v>
      </c>
      <c r="S64" s="83"/>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c r="BF64" s="14"/>
    </row>
    <row r="65" spans="1:58" ht="18" customHeight="1">
      <c r="A65" s="14"/>
      <c r="B65" s="427" t="s">
        <v>1387</v>
      </c>
      <c r="C65" s="1458"/>
      <c r="D65" s="1458"/>
      <c r="E65" s="1458"/>
      <c r="F65" s="1458"/>
      <c r="G65" s="1458"/>
      <c r="H65" s="1459"/>
      <c r="I65" s="1457"/>
      <c r="J65" s="1450">
        <f t="shared" ref="J65:R65" si="7">J59+J61+J62+J63-J64</f>
        <v>-458.48828248000001</v>
      </c>
      <c r="K65" s="1450">
        <f t="shared" si="7"/>
        <v>38.417516850000027</v>
      </c>
      <c r="L65" s="1450">
        <f t="shared" si="7"/>
        <v>78.838707870000064</v>
      </c>
      <c r="M65" s="1450">
        <f t="shared" si="7"/>
        <v>1274.8525686100002</v>
      </c>
      <c r="N65" s="1460">
        <f t="shared" ca="1" si="7"/>
        <v>-386.16672381461706</v>
      </c>
      <c r="O65" s="1460">
        <f t="shared" ca="1" si="7"/>
        <v>-2386.075885391223</v>
      </c>
      <c r="P65" s="1460">
        <f t="shared" ca="1" si="7"/>
        <v>-2253.1704160176973</v>
      </c>
      <c r="Q65" s="1460">
        <f t="shared" ca="1" si="7"/>
        <v>-2179.2554520080653</v>
      </c>
      <c r="R65" s="2438">
        <f t="shared" ca="1" si="7"/>
        <v>-2273.3676962636378</v>
      </c>
      <c r="S65" s="83"/>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14"/>
      <c r="AX65" s="14"/>
      <c r="AY65" s="14"/>
      <c r="AZ65" s="14"/>
      <c r="BA65" s="14"/>
      <c r="BB65" s="14"/>
      <c r="BC65" s="14"/>
      <c r="BD65" s="14"/>
      <c r="BE65" s="14"/>
      <c r="BF65" s="14"/>
    </row>
    <row r="66" spans="1:58" ht="18" customHeight="1">
      <c r="A66" s="14"/>
      <c r="B66" s="2206"/>
      <c r="C66" s="1447"/>
      <c r="D66" s="1447"/>
      <c r="E66" s="1447"/>
      <c r="F66" s="1447"/>
      <c r="G66" s="1447"/>
      <c r="H66" s="1448"/>
      <c r="I66" s="1461"/>
      <c r="J66" s="1462"/>
      <c r="K66" s="1462"/>
      <c r="L66" s="1463"/>
      <c r="M66" s="1463"/>
      <c r="N66" s="1454"/>
      <c r="O66" s="1454"/>
      <c r="P66" s="1454"/>
      <c r="Q66" s="1454"/>
      <c r="R66" s="2437"/>
      <c r="S66" s="83"/>
      <c r="T66" s="14"/>
      <c r="U66" s="14"/>
      <c r="V66" s="14"/>
      <c r="W66" s="14"/>
      <c r="X66" s="14"/>
      <c r="Y66" s="14"/>
      <c r="Z66" s="14"/>
      <c r="AA66" s="14"/>
      <c r="AB66" s="14"/>
      <c r="AC66" s="14"/>
      <c r="AD66" s="14"/>
      <c r="AE66" s="14"/>
      <c r="AF66" s="14"/>
      <c r="AG66" s="14"/>
      <c r="AH66" s="14"/>
      <c r="AI66" s="14"/>
      <c r="AJ66" s="14"/>
      <c r="AK66" s="14"/>
      <c r="AL66" s="14"/>
      <c r="AM66" s="14"/>
      <c r="AN66" s="14"/>
      <c r="AO66" s="14"/>
      <c r="AP66" s="14"/>
      <c r="AQ66" s="14"/>
      <c r="AR66" s="14"/>
      <c r="AS66" s="14"/>
      <c r="AT66" s="14"/>
      <c r="AU66" s="14"/>
      <c r="AV66" s="14"/>
      <c r="AW66" s="14"/>
      <c r="AX66" s="14"/>
      <c r="AY66" s="14"/>
      <c r="AZ66" s="14"/>
      <c r="BA66" s="14"/>
      <c r="BB66" s="14"/>
      <c r="BC66" s="14"/>
      <c r="BD66" s="14"/>
      <c r="BE66" s="14"/>
      <c r="BF66" s="14"/>
    </row>
    <row r="67" spans="1:58" ht="18" customHeight="1">
      <c r="A67" s="14"/>
      <c r="B67" s="427" t="s">
        <v>658</v>
      </c>
      <c r="C67" s="1458"/>
      <c r="D67" s="1458"/>
      <c r="E67" s="1458"/>
      <c r="F67" s="1458"/>
      <c r="G67" s="1458"/>
      <c r="H67" s="1459"/>
      <c r="I67" s="1449"/>
      <c r="J67" s="1450">
        <f>资产负债!I41</f>
        <v>0</v>
      </c>
      <c r="K67" s="1450">
        <f>资产负债!J41</f>
        <v>0</v>
      </c>
      <c r="L67" s="1450">
        <f>资产负债!K41</f>
        <v>0</v>
      </c>
      <c r="M67" s="1450">
        <f>资产负债!L41</f>
        <v>15.408259220000001</v>
      </c>
      <c r="N67" s="1454">
        <f>M70</f>
        <v>19.904745179999999</v>
      </c>
      <c r="O67" s="1454">
        <f ca="1">N70</f>
        <v>406.07146899461708</v>
      </c>
      <c r="P67" s="1454">
        <f ca="1">O70</f>
        <v>2792.1473543858401</v>
      </c>
      <c r="Q67" s="1454">
        <f ca="1">P70</f>
        <v>5045.317770403537</v>
      </c>
      <c r="R67" s="2437">
        <f ca="1">Q70</f>
        <v>7224.5732224116018</v>
      </c>
      <c r="S67" s="83"/>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c r="BF67" s="14"/>
    </row>
    <row r="68" spans="1:58" ht="18" customHeight="1">
      <c r="A68" s="14"/>
      <c r="B68" s="427" t="s">
        <v>1082</v>
      </c>
      <c r="C68" s="1458"/>
      <c r="D68" s="1458"/>
      <c r="E68" s="1458"/>
      <c r="F68" s="1458"/>
      <c r="G68" s="1458"/>
      <c r="H68" s="1459"/>
      <c r="I68" s="1450">
        <f>资产负债!I221</f>
        <v>0</v>
      </c>
      <c r="J68" s="1450">
        <f>资产负债!J221</f>
        <v>0</v>
      </c>
      <c r="K68" s="1450">
        <f>资产负债!K221</f>
        <v>0</v>
      </c>
      <c r="L68" s="1450">
        <f>资产负债!L221</f>
        <v>15.408259220000001</v>
      </c>
      <c r="M68" s="1450">
        <f>资产负债!M221</f>
        <v>19.904745179999999</v>
      </c>
      <c r="N68" s="1460">
        <f>资产负债!N221</f>
        <v>19.904745179999999</v>
      </c>
      <c r="O68" s="1460">
        <f>资产负债!O221</f>
        <v>19.904745179999999</v>
      </c>
      <c r="P68" s="1460">
        <f>资产负债!P221</f>
        <v>19.904745179999999</v>
      </c>
      <c r="Q68" s="1460">
        <f>资产负债!Q221</f>
        <v>19.904745179999999</v>
      </c>
      <c r="R68" s="2438">
        <f>资产负债!R221</f>
        <v>19.904745179999999</v>
      </c>
      <c r="S68" s="83"/>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c r="BF68" s="14"/>
    </row>
    <row r="69" spans="1:58" ht="18" customHeight="1">
      <c r="A69" s="14"/>
      <c r="B69" s="427" t="s">
        <v>1386</v>
      </c>
      <c r="C69" s="1458"/>
      <c r="D69" s="1458"/>
      <c r="E69" s="1458"/>
      <c r="F69" s="1458"/>
      <c r="G69" s="1458"/>
      <c r="H69" s="1459"/>
      <c r="I69" s="1449"/>
      <c r="J69" s="1450">
        <f>J70-J67</f>
        <v>0</v>
      </c>
      <c r="K69" s="1450">
        <f>K70-K67</f>
        <v>0</v>
      </c>
      <c r="L69" s="1450">
        <f>L70-L67</f>
        <v>15.408259220000001</v>
      </c>
      <c r="M69" s="1450">
        <f>M70-M67</f>
        <v>4.4964859599999976</v>
      </c>
      <c r="N69" s="1454">
        <f ca="1">IF(N65&gt;0,IF(N67&gt;N68,IF(N65&gt;N67,N68-N67,IF((N67-N65)&gt;N68,-N65,N68-N67)),N68-N67),IF((N67-N65)&gt;N68,-N65,N68-N67))</f>
        <v>386.16672381461706</v>
      </c>
      <c r="O69" s="1454">
        <f t="shared" ref="O69:R69" ca="1" si="8">IF(O65&gt;0,IF(O67&gt;O68,IF(O65&gt;O67,O68-O67,IF((O67-O65)&gt;O68,-O65,O68-O67)),O68-O67),IF((O67-O65)&gt;O68,-O65,O68-O67))</f>
        <v>2386.075885391223</v>
      </c>
      <c r="P69" s="1454">
        <f t="shared" ca="1" si="8"/>
        <v>2253.1704160176973</v>
      </c>
      <c r="Q69" s="1454">
        <f t="shared" ca="1" si="8"/>
        <v>2179.2554520080653</v>
      </c>
      <c r="R69" s="2437">
        <f t="shared" ca="1" si="8"/>
        <v>2273.3676962636378</v>
      </c>
      <c r="S69" s="83"/>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c r="BF69" s="14"/>
    </row>
    <row r="70" spans="1:58" ht="18" customHeight="1">
      <c r="A70" s="14"/>
      <c r="B70" s="2206" t="s">
        <v>659</v>
      </c>
      <c r="C70" s="1447"/>
      <c r="D70" s="1447"/>
      <c r="E70" s="1447"/>
      <c r="F70" s="1447"/>
      <c r="G70" s="1447"/>
      <c r="H70" s="1448"/>
      <c r="I70" s="1449"/>
      <c r="J70" s="1450">
        <f>资产负债!J41</f>
        <v>0</v>
      </c>
      <c r="K70" s="1450">
        <f>资产负债!K41</f>
        <v>0</v>
      </c>
      <c r="L70" s="1450">
        <f>资产负债!L41</f>
        <v>15.408259220000001</v>
      </c>
      <c r="M70" s="1450">
        <f>资产负债!M41</f>
        <v>19.904745179999999</v>
      </c>
      <c r="N70" s="1454">
        <f ca="1">N67+N69</f>
        <v>406.07146899461708</v>
      </c>
      <c r="O70" s="1454">
        <f ca="1">O67+O69</f>
        <v>2792.1473543858401</v>
      </c>
      <c r="P70" s="1454">
        <f ca="1">P67+P69</f>
        <v>5045.317770403537</v>
      </c>
      <c r="Q70" s="1454">
        <f ca="1">Q67+Q69</f>
        <v>7224.5732224116018</v>
      </c>
      <c r="R70" s="2437">
        <f ca="1">R67+R69</f>
        <v>9497.94091867524</v>
      </c>
      <c r="S70" s="83"/>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c r="BF70" s="14"/>
    </row>
    <row r="71" spans="1:58" ht="18" customHeight="1">
      <c r="A71" s="14"/>
      <c r="B71" s="2207"/>
      <c r="C71" s="1464"/>
      <c r="D71" s="1464"/>
      <c r="E71" s="1464"/>
      <c r="F71" s="1464"/>
      <c r="G71" s="1464"/>
      <c r="H71" s="1465"/>
      <c r="I71" s="1466"/>
      <c r="J71" s="1463"/>
      <c r="K71" s="1463"/>
      <c r="L71" s="1463"/>
      <c r="M71" s="1463"/>
      <c r="N71" s="1463"/>
      <c r="O71" s="1463"/>
      <c r="P71" s="1463"/>
      <c r="Q71" s="1463"/>
      <c r="R71" s="2439"/>
      <c r="S71" s="83"/>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14"/>
      <c r="AX71" s="14"/>
      <c r="AY71" s="14"/>
      <c r="AZ71" s="14"/>
      <c r="BA71" s="14"/>
      <c r="BB71" s="14"/>
      <c r="BC71" s="14"/>
      <c r="BD71" s="14"/>
      <c r="BE71" s="14"/>
      <c r="BF71" s="14"/>
    </row>
    <row r="72" spans="1:58" ht="18" customHeight="1" thickBot="1">
      <c r="A72" s="14"/>
      <c r="B72" s="2208" t="s">
        <v>660</v>
      </c>
      <c r="C72" s="1467"/>
      <c r="D72" s="1467"/>
      <c r="E72" s="1467"/>
      <c r="F72" s="1467"/>
      <c r="G72" s="1467"/>
      <c r="H72" s="1468"/>
      <c r="I72" s="1469"/>
      <c r="J72" s="1470">
        <f>J49</f>
        <v>271.70928752999998</v>
      </c>
      <c r="K72" s="1470">
        <f>K49</f>
        <v>304.64462457999997</v>
      </c>
      <c r="L72" s="1470">
        <f>L49</f>
        <v>414.35373085000003</v>
      </c>
      <c r="M72" s="1470">
        <f>M49</f>
        <v>1725.4661283099999</v>
      </c>
      <c r="N72" s="1471">
        <f ca="1">N64+IF(N65&gt;0,N65+N69,0)</f>
        <v>414.35373085000003</v>
      </c>
      <c r="O72" s="1471">
        <f ca="1">O64+IF(O65&gt;0,O65+O69,0)</f>
        <v>414.35373085000003</v>
      </c>
      <c r="P72" s="1471">
        <f ca="1">P64+IF(P65&gt;0,P65+P69,0)</f>
        <v>414.35373085000003</v>
      </c>
      <c r="Q72" s="1471">
        <f ca="1">Q64+IF(Q65&gt;0,Q65+Q69,0)</f>
        <v>414.35373085000003</v>
      </c>
      <c r="R72" s="2440">
        <f ca="1">R64+IF(R65&gt;0,R65+R69,0)</f>
        <v>414.35373085000003</v>
      </c>
      <c r="S72" s="83"/>
      <c r="T72" s="14"/>
      <c r="U72" s="14"/>
      <c r="V72" s="14"/>
      <c r="W72" s="14"/>
      <c r="X72" s="14"/>
      <c r="Y72" s="14"/>
      <c r="Z72" s="14"/>
      <c r="AA72" s="14"/>
      <c r="AB72" s="14"/>
      <c r="AC72" s="14"/>
      <c r="AD72" s="14"/>
      <c r="AE72" s="14"/>
      <c r="AF72" s="14"/>
      <c r="AG72" s="14"/>
      <c r="AH72" s="14"/>
      <c r="AI72" s="14"/>
      <c r="AJ72" s="14"/>
      <c r="AK72" s="14"/>
      <c r="AL72" s="14"/>
      <c r="AM72" s="14"/>
      <c r="AN72" s="14"/>
      <c r="AO72" s="14"/>
      <c r="AP72" s="14"/>
      <c r="AQ72" s="14"/>
      <c r="AR72" s="14"/>
      <c r="AS72" s="14"/>
      <c r="AT72" s="14"/>
      <c r="AU72" s="14"/>
      <c r="AV72" s="14"/>
      <c r="AW72" s="14"/>
      <c r="AX72" s="14"/>
      <c r="AY72" s="14"/>
      <c r="AZ72" s="14"/>
      <c r="BA72" s="14"/>
      <c r="BB72" s="14"/>
      <c r="BC72" s="14"/>
      <c r="BD72" s="14"/>
      <c r="BE72" s="14"/>
      <c r="BF72" s="14"/>
    </row>
    <row r="73" spans="1:58" ht="18" customHeight="1" thickBot="1">
      <c r="A73" s="14"/>
      <c r="B73" s="484"/>
      <c r="C73" s="484"/>
      <c r="D73" s="484"/>
      <c r="E73" s="484"/>
      <c r="F73" s="484"/>
      <c r="G73" s="484"/>
      <c r="H73" s="484"/>
      <c r="I73" s="1472"/>
      <c r="J73" s="1472"/>
      <c r="K73" s="1472"/>
      <c r="L73" s="1472"/>
      <c r="M73" s="1472"/>
      <c r="N73" s="1473"/>
      <c r="O73" s="1473"/>
      <c r="P73" s="1473"/>
      <c r="Q73" s="1473"/>
      <c r="R73" s="1474"/>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14"/>
      <c r="AX73" s="14"/>
      <c r="AY73" s="14"/>
      <c r="AZ73" s="14"/>
      <c r="BA73" s="14"/>
      <c r="BB73" s="14"/>
      <c r="BC73" s="14"/>
      <c r="BD73" s="14"/>
      <c r="BE73" s="14"/>
      <c r="BF73" s="14"/>
    </row>
    <row r="74" spans="1:58" ht="18" hidden="1" customHeight="1" thickBot="1">
      <c r="A74" s="14"/>
      <c r="B74" s="1475"/>
      <c r="C74" s="1475"/>
      <c r="D74" s="1475"/>
      <c r="E74" s="1475"/>
      <c r="F74" s="1475"/>
      <c r="G74" s="1475"/>
      <c r="H74" s="1475"/>
      <c r="I74" s="1476"/>
      <c r="J74" s="1476"/>
      <c r="K74" s="1476"/>
      <c r="L74" s="1476"/>
      <c r="M74" s="1476"/>
      <c r="N74" s="1477"/>
      <c r="O74" s="1477"/>
      <c r="P74" s="1477"/>
      <c r="Q74" s="1477"/>
      <c r="R74" s="1478"/>
      <c r="S74" s="14"/>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14"/>
      <c r="AX74" s="14"/>
      <c r="AY74" s="14"/>
      <c r="AZ74" s="14"/>
      <c r="BA74" s="14"/>
      <c r="BB74" s="14"/>
      <c r="BC74" s="14"/>
      <c r="BD74" s="14"/>
      <c r="BE74" s="14"/>
      <c r="BF74" s="14"/>
    </row>
    <row r="75" spans="1:58" ht="18" customHeight="1">
      <c r="A75" s="14"/>
      <c r="B75" s="1441" t="s">
        <v>661</v>
      </c>
      <c r="C75" s="1479"/>
      <c r="D75" s="1479"/>
      <c r="E75" s="1479"/>
      <c r="F75" s="1479"/>
      <c r="G75" s="1479"/>
      <c r="H75" s="1479"/>
      <c r="I75" s="1442"/>
      <c r="J75" s="1442"/>
      <c r="K75" s="1442"/>
      <c r="L75" s="1442"/>
      <c r="M75" s="1442"/>
      <c r="N75" s="1480">
        <v>8</v>
      </c>
      <c r="O75" s="1480">
        <v>1</v>
      </c>
      <c r="P75" s="1442"/>
      <c r="Q75" s="1442"/>
      <c r="R75" s="1481"/>
      <c r="S75" s="14"/>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14"/>
      <c r="AX75" s="14"/>
      <c r="AY75" s="14"/>
      <c r="AZ75" s="14"/>
      <c r="BA75" s="14"/>
      <c r="BB75" s="14"/>
      <c r="BC75" s="14"/>
      <c r="BD75" s="14"/>
      <c r="BE75" s="14"/>
      <c r="BF75" s="14"/>
    </row>
    <row r="76" spans="1:58" ht="18" customHeight="1">
      <c r="A76" s="14"/>
      <c r="B76" s="800"/>
      <c r="C76" s="1482"/>
      <c r="D76" s="1482"/>
      <c r="E76" s="1482"/>
      <c r="F76" s="1482"/>
      <c r="G76" s="1482"/>
      <c r="H76" s="1482"/>
      <c r="I76" s="875">
        <f>I3</f>
        <v>2015</v>
      </c>
      <c r="J76" s="876">
        <f t="shared" ref="J76:R76" si="9">J3</f>
        <v>2016</v>
      </c>
      <c r="K76" s="876">
        <f t="shared" si="9"/>
        <v>2017</v>
      </c>
      <c r="L76" s="876">
        <f t="shared" si="9"/>
        <v>2018</v>
      </c>
      <c r="M76" s="876">
        <f t="shared" si="9"/>
        <v>2019</v>
      </c>
      <c r="N76" s="876" t="str">
        <f t="shared" si="9"/>
        <v>2020E</v>
      </c>
      <c r="O76" s="876" t="str">
        <f t="shared" si="9"/>
        <v>2021E</v>
      </c>
      <c r="P76" s="876" t="str">
        <f t="shared" si="9"/>
        <v>2022E</v>
      </c>
      <c r="Q76" s="876" t="str">
        <f t="shared" si="9"/>
        <v>2023E</v>
      </c>
      <c r="R76" s="877" t="str">
        <f t="shared" si="9"/>
        <v>2024E</v>
      </c>
      <c r="S76" s="14"/>
      <c r="T76" s="14"/>
      <c r="U76" s="14"/>
      <c r="V76" s="14"/>
      <c r="W76" s="14"/>
      <c r="X76" s="14"/>
      <c r="Y76" s="14"/>
      <c r="Z76" s="14"/>
      <c r="AA76" s="14"/>
      <c r="AB76" s="14"/>
      <c r="AC76" s="14"/>
      <c r="AD76" s="14"/>
      <c r="AE76" s="14"/>
      <c r="AF76" s="14"/>
      <c r="AG76" s="14"/>
      <c r="AH76" s="14"/>
      <c r="AI76" s="14"/>
      <c r="AJ76" s="14"/>
      <c r="AK76" s="14"/>
      <c r="AL76" s="14"/>
      <c r="AM76" s="14"/>
      <c r="AN76" s="14"/>
      <c r="AO76" s="14"/>
      <c r="AP76" s="14"/>
      <c r="AQ76" s="14"/>
      <c r="AR76" s="14"/>
      <c r="AS76" s="14"/>
      <c r="AT76" s="14"/>
      <c r="AU76" s="14"/>
      <c r="AV76" s="14"/>
      <c r="AW76" s="14"/>
      <c r="AX76" s="14"/>
      <c r="AY76" s="14"/>
      <c r="AZ76" s="14"/>
      <c r="BA76" s="14"/>
      <c r="BB76" s="14"/>
      <c r="BC76" s="14"/>
      <c r="BD76" s="14"/>
      <c r="BE76" s="14"/>
      <c r="BF76" s="14"/>
    </row>
    <row r="77" spans="1:58" ht="18" customHeight="1">
      <c r="A77" s="14"/>
      <c r="B77" s="1483" t="str">
        <f ca="1">OFFSET(B3,$N$75,0)</f>
        <v>财务费用 （收益以“—”号列示）</v>
      </c>
      <c r="C77" s="1403"/>
      <c r="D77" s="1403"/>
      <c r="E77" s="1403"/>
      <c r="F77" s="1403"/>
      <c r="G77" s="1403"/>
      <c r="H77" s="1403"/>
      <c r="I77" s="1484">
        <f ca="1">OFFSET(I3,$N$75,0)</f>
        <v>29.885208469999998</v>
      </c>
      <c r="J77" s="1485">
        <f t="shared" ref="J77:R77" ca="1" si="10">OFFSET(J3,$N$75,0)</f>
        <v>4.5482970499999995</v>
      </c>
      <c r="K77" s="1485">
        <f t="shared" ca="1" si="10"/>
        <v>12.675548619999999</v>
      </c>
      <c r="L77" s="1485">
        <f t="shared" ca="1" si="10"/>
        <v>-9.429398990000001</v>
      </c>
      <c r="M77" s="1485">
        <f t="shared" ca="1" si="10"/>
        <v>4.8983030799999998</v>
      </c>
      <c r="N77" s="1486">
        <f t="shared" ca="1" si="10"/>
        <v>2366.7043487452747</v>
      </c>
      <c r="O77" s="1486">
        <f t="shared" ca="1" si="10"/>
        <v>2613.7758206225985</v>
      </c>
      <c r="P77" s="1486">
        <f t="shared" ca="1" si="10"/>
        <v>2613.7758206225985</v>
      </c>
      <c r="Q77" s="1486">
        <f t="shared" ca="1" si="10"/>
        <v>2613.7758206225985</v>
      </c>
      <c r="R77" s="1487">
        <f t="shared" ca="1" si="10"/>
        <v>2613.7758206225985</v>
      </c>
      <c r="S77" s="14"/>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c r="AS77" s="14"/>
      <c r="AT77" s="14"/>
      <c r="AU77" s="14"/>
      <c r="AV77" s="14"/>
      <c r="AW77" s="14"/>
      <c r="AX77" s="14"/>
      <c r="AY77" s="14"/>
      <c r="AZ77" s="14"/>
      <c r="BA77" s="14"/>
      <c r="BB77" s="14"/>
      <c r="BC77" s="14"/>
      <c r="BD77" s="14"/>
      <c r="BE77" s="14"/>
      <c r="BF77" s="14"/>
    </row>
    <row r="78" spans="1:58" ht="18" customHeight="1" thickBot="1">
      <c r="A78" s="14"/>
      <c r="B78" s="1488" t="str">
        <f ca="1">OFFSET(B3,$O$75,0)</f>
        <v xml:space="preserve">净利润 </v>
      </c>
      <c r="C78" s="1405"/>
      <c r="D78" s="1405"/>
      <c r="E78" s="1405"/>
      <c r="F78" s="1405"/>
      <c r="G78" s="1405"/>
      <c r="H78" s="1405"/>
      <c r="I78" s="1489">
        <f ca="1">OFFSET(I3,$O$75,0)</f>
        <v>647.29266680000001</v>
      </c>
      <c r="J78" s="1490">
        <f t="shared" ref="J78:R78" ca="1" si="11">OFFSET(J3,$O$75,0)</f>
        <v>847.75541400999998</v>
      </c>
      <c r="K78" s="1490">
        <f t="shared" ca="1" si="11"/>
        <v>585.19937057000004</v>
      </c>
      <c r="L78" s="1490">
        <f t="shared" ca="1" si="11"/>
        <v>750.05513647999999</v>
      </c>
      <c r="M78" s="1490">
        <f t="shared" ca="1" si="11"/>
        <v>955.03581178000002</v>
      </c>
      <c r="N78" s="1491">
        <f t="shared" ca="1" si="11"/>
        <v>-1382.242562561677</v>
      </c>
      <c r="O78" s="1491">
        <f t="shared" ca="1" si="11"/>
        <v>-1642.0798715380527</v>
      </c>
      <c r="P78" s="1491">
        <f t="shared" ca="1" si="11"/>
        <v>-1632.541257816551</v>
      </c>
      <c r="Q78" s="1491">
        <f t="shared" ca="1" si="11"/>
        <v>-1634.6450545978682</v>
      </c>
      <c r="R78" s="1492">
        <f t="shared" ca="1" si="11"/>
        <v>-1636.4220613174907</v>
      </c>
      <c r="S78" s="14"/>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c r="AS78" s="14"/>
      <c r="AT78" s="14"/>
      <c r="AU78" s="14"/>
      <c r="AV78" s="14"/>
      <c r="AW78" s="14"/>
      <c r="AX78" s="14"/>
      <c r="AY78" s="14"/>
      <c r="AZ78" s="14"/>
      <c r="BA78" s="14"/>
      <c r="BB78" s="14"/>
      <c r="BC78" s="14"/>
      <c r="BD78" s="14"/>
      <c r="BE78" s="14"/>
      <c r="BF78" s="14"/>
    </row>
    <row r="79" spans="1:58" ht="17.100000000000001" customHeight="1">
      <c r="A79" s="14"/>
      <c r="B79" s="80"/>
      <c r="C79" s="300"/>
      <c r="D79" s="300"/>
      <c r="E79" s="300"/>
      <c r="F79" s="300"/>
      <c r="G79" s="300"/>
      <c r="H79" s="300"/>
      <c r="I79" s="81"/>
      <c r="J79" s="81"/>
      <c r="K79" s="81"/>
      <c r="L79" s="81"/>
      <c r="M79" s="81"/>
      <c r="N79" s="81"/>
      <c r="O79" s="81"/>
      <c r="P79" s="81"/>
      <c r="Q79" s="81"/>
      <c r="R79" s="82"/>
      <c r="S79" s="14"/>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c r="AS79" s="14"/>
      <c r="AT79" s="14"/>
      <c r="AU79" s="14"/>
      <c r="AV79" s="14"/>
      <c r="AW79" s="14"/>
      <c r="AX79" s="14"/>
      <c r="AY79" s="14"/>
      <c r="AZ79" s="14"/>
      <c r="BA79" s="14"/>
      <c r="BB79" s="14"/>
      <c r="BC79" s="14"/>
      <c r="BD79" s="14"/>
      <c r="BE79" s="14"/>
      <c r="BF79" s="14"/>
    </row>
    <row r="80" spans="1:58" ht="17.100000000000001" customHeight="1">
      <c r="A80" s="14"/>
      <c r="B80" s="83"/>
      <c r="C80" s="16"/>
      <c r="D80" s="16"/>
      <c r="E80" s="16"/>
      <c r="F80" s="16"/>
      <c r="G80" s="16"/>
      <c r="H80" s="16"/>
      <c r="I80" s="84"/>
      <c r="J80" s="84"/>
      <c r="K80" s="84"/>
      <c r="L80" s="84"/>
      <c r="M80" s="84"/>
      <c r="N80" s="84"/>
      <c r="O80" s="84"/>
      <c r="P80" s="84"/>
      <c r="Q80" s="84"/>
      <c r="R80" s="85"/>
      <c r="S80" s="14"/>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14"/>
      <c r="AX80" s="14"/>
      <c r="AY80" s="14"/>
      <c r="AZ80" s="14"/>
      <c r="BA80" s="14"/>
      <c r="BB80" s="14"/>
      <c r="BC80" s="14"/>
      <c r="BD80" s="14"/>
      <c r="BE80" s="14"/>
      <c r="BF80" s="14"/>
    </row>
    <row r="81" spans="1:58" ht="17.100000000000001" customHeight="1">
      <c r="A81" s="14"/>
      <c r="B81" s="83"/>
      <c r="C81" s="16"/>
      <c r="D81" s="16"/>
      <c r="E81" s="16"/>
      <c r="F81" s="16"/>
      <c r="G81" s="16"/>
      <c r="H81" s="16"/>
      <c r="I81" s="84"/>
      <c r="J81" s="84"/>
      <c r="K81" s="84"/>
      <c r="L81" s="84"/>
      <c r="M81" s="84"/>
      <c r="N81" s="84"/>
      <c r="O81" s="84"/>
      <c r="P81" s="84"/>
      <c r="Q81" s="84"/>
      <c r="R81" s="85"/>
      <c r="S81" s="14"/>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c r="AS81" s="14"/>
      <c r="AT81" s="14"/>
      <c r="AU81" s="14"/>
      <c r="AV81" s="14"/>
      <c r="AW81" s="14"/>
      <c r="AX81" s="14"/>
      <c r="AY81" s="14"/>
      <c r="AZ81" s="14"/>
      <c r="BA81" s="14"/>
      <c r="BB81" s="14"/>
      <c r="BC81" s="14"/>
      <c r="BD81" s="14"/>
      <c r="BE81" s="14"/>
      <c r="BF81" s="14"/>
    </row>
    <row r="82" spans="1:58" ht="17.100000000000001" customHeight="1">
      <c r="A82" s="14"/>
      <c r="B82" s="83"/>
      <c r="C82" s="16"/>
      <c r="D82" s="16"/>
      <c r="E82" s="16"/>
      <c r="F82" s="16"/>
      <c r="G82" s="16"/>
      <c r="H82" s="16"/>
      <c r="I82" s="84"/>
      <c r="J82" s="84"/>
      <c r="K82" s="84"/>
      <c r="L82" s="84"/>
      <c r="M82" s="84"/>
      <c r="N82" s="84"/>
      <c r="O82" s="84"/>
      <c r="P82" s="84"/>
      <c r="Q82" s="84"/>
      <c r="R82" s="85"/>
      <c r="S82" s="14"/>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c r="AS82" s="14"/>
      <c r="AT82" s="14"/>
      <c r="AU82" s="14"/>
      <c r="AV82" s="14"/>
      <c r="AW82" s="14"/>
      <c r="AX82" s="14"/>
      <c r="AY82" s="14"/>
      <c r="AZ82" s="14"/>
      <c r="BA82" s="14"/>
      <c r="BB82" s="14"/>
      <c r="BC82" s="14"/>
      <c r="BD82" s="14"/>
      <c r="BE82" s="14"/>
      <c r="BF82" s="14"/>
    </row>
    <row r="83" spans="1:58" ht="17.100000000000001" customHeight="1">
      <c r="A83" s="14"/>
      <c r="B83" s="83"/>
      <c r="C83" s="16"/>
      <c r="D83" s="16"/>
      <c r="E83" s="16"/>
      <c r="F83" s="16"/>
      <c r="G83" s="16"/>
      <c r="H83" s="16"/>
      <c r="I83" s="84"/>
      <c r="J83" s="84"/>
      <c r="K83" s="84"/>
      <c r="L83" s="84"/>
      <c r="M83" s="84"/>
      <c r="N83" s="84"/>
      <c r="O83" s="84"/>
      <c r="P83" s="84"/>
      <c r="Q83" s="84"/>
      <c r="R83" s="85"/>
      <c r="S83" s="14"/>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14"/>
      <c r="AX83" s="14"/>
      <c r="AY83" s="14"/>
      <c r="AZ83" s="14"/>
      <c r="BA83" s="14"/>
      <c r="BB83" s="14"/>
      <c r="BC83" s="14"/>
      <c r="BD83" s="14"/>
      <c r="BE83" s="14"/>
      <c r="BF83" s="14"/>
    </row>
    <row r="84" spans="1:58" ht="17.100000000000001" customHeight="1">
      <c r="A84" s="14"/>
      <c r="B84" s="83"/>
      <c r="C84" s="16"/>
      <c r="D84" s="16"/>
      <c r="E84" s="16"/>
      <c r="F84" s="16"/>
      <c r="G84" s="16"/>
      <c r="H84" s="16"/>
      <c r="I84" s="84"/>
      <c r="J84" s="84"/>
      <c r="K84" s="84"/>
      <c r="L84" s="84"/>
      <c r="M84" s="84"/>
      <c r="N84" s="84"/>
      <c r="O84" s="84"/>
      <c r="P84" s="84"/>
      <c r="Q84" s="84"/>
      <c r="R84" s="85"/>
      <c r="S84" s="14"/>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14"/>
      <c r="AX84" s="14"/>
      <c r="AY84" s="14"/>
      <c r="AZ84" s="14"/>
      <c r="BA84" s="14"/>
      <c r="BB84" s="14"/>
      <c r="BC84" s="14"/>
      <c r="BD84" s="14"/>
      <c r="BE84" s="14"/>
      <c r="BF84" s="14"/>
    </row>
    <row r="85" spans="1:58" ht="17.100000000000001" customHeight="1">
      <c r="A85" s="14"/>
      <c r="B85" s="83"/>
      <c r="C85" s="16"/>
      <c r="D85" s="16"/>
      <c r="E85" s="16"/>
      <c r="F85" s="16"/>
      <c r="G85" s="16"/>
      <c r="H85" s="16"/>
      <c r="I85" s="84"/>
      <c r="J85" s="84"/>
      <c r="K85" s="84"/>
      <c r="L85" s="84"/>
      <c r="M85" s="84"/>
      <c r="N85" s="84"/>
      <c r="O85" s="84"/>
      <c r="P85" s="84"/>
      <c r="Q85" s="84"/>
      <c r="R85" s="85"/>
      <c r="S85" s="14"/>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14"/>
      <c r="AX85" s="14"/>
      <c r="AY85" s="14"/>
      <c r="AZ85" s="14"/>
      <c r="BA85" s="14"/>
      <c r="BB85" s="14"/>
      <c r="BC85" s="14"/>
      <c r="BD85" s="14"/>
      <c r="BE85" s="14"/>
      <c r="BF85" s="14"/>
    </row>
    <row r="86" spans="1:58" ht="17.100000000000001" customHeight="1">
      <c r="A86" s="14"/>
      <c r="B86" s="83"/>
      <c r="C86" s="16"/>
      <c r="D86" s="16"/>
      <c r="E86" s="16"/>
      <c r="F86" s="16"/>
      <c r="G86" s="16"/>
      <c r="H86" s="16"/>
      <c r="I86" s="84"/>
      <c r="J86" s="84"/>
      <c r="K86" s="84"/>
      <c r="L86" s="84"/>
      <c r="M86" s="84"/>
      <c r="N86" s="84"/>
      <c r="O86" s="84"/>
      <c r="P86" s="84"/>
      <c r="Q86" s="84"/>
      <c r="R86" s="85"/>
      <c r="S86" s="14"/>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14"/>
      <c r="AX86" s="14"/>
      <c r="AY86" s="14"/>
      <c r="AZ86" s="14"/>
      <c r="BA86" s="14"/>
      <c r="BB86" s="14"/>
      <c r="BC86" s="14"/>
      <c r="BD86" s="14"/>
      <c r="BE86" s="14"/>
      <c r="BF86" s="14"/>
    </row>
    <row r="87" spans="1:58" ht="17.100000000000001" customHeight="1">
      <c r="A87" s="14"/>
      <c r="B87" s="83"/>
      <c r="C87" s="16"/>
      <c r="D87" s="16"/>
      <c r="E87" s="16"/>
      <c r="F87" s="16"/>
      <c r="G87" s="16"/>
      <c r="H87" s="16"/>
      <c r="I87" s="84"/>
      <c r="J87" s="84"/>
      <c r="K87" s="84"/>
      <c r="L87" s="84"/>
      <c r="M87" s="84"/>
      <c r="N87" s="84"/>
      <c r="O87" s="84"/>
      <c r="P87" s="84"/>
      <c r="Q87" s="84"/>
      <c r="R87" s="85"/>
      <c r="S87" s="14"/>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14"/>
      <c r="AX87" s="14"/>
      <c r="AY87" s="14"/>
      <c r="AZ87" s="14"/>
      <c r="BA87" s="14"/>
      <c r="BB87" s="14"/>
      <c r="BC87" s="14"/>
      <c r="BD87" s="14"/>
      <c r="BE87" s="14"/>
      <c r="BF87" s="14"/>
    </row>
    <row r="88" spans="1:58" ht="17.100000000000001" customHeight="1">
      <c r="A88" s="14"/>
      <c r="B88" s="83"/>
      <c r="C88" s="16"/>
      <c r="D88" s="16"/>
      <c r="E88" s="16"/>
      <c r="F88" s="16"/>
      <c r="G88" s="16"/>
      <c r="H88" s="16"/>
      <c r="I88" s="84"/>
      <c r="J88" s="84"/>
      <c r="K88" s="84"/>
      <c r="L88" s="84"/>
      <c r="M88" s="84"/>
      <c r="N88" s="84"/>
      <c r="O88" s="84"/>
      <c r="P88" s="84"/>
      <c r="Q88" s="84"/>
      <c r="R88" s="85"/>
      <c r="S88" s="14"/>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14"/>
      <c r="AX88" s="14"/>
      <c r="AY88" s="14"/>
      <c r="AZ88" s="14"/>
      <c r="BA88" s="14"/>
      <c r="BB88" s="14"/>
      <c r="BC88" s="14"/>
      <c r="BD88" s="14"/>
      <c r="BE88" s="14"/>
      <c r="BF88" s="14"/>
    </row>
    <row r="89" spans="1:58" ht="17.100000000000001" customHeight="1">
      <c r="A89" s="14"/>
      <c r="B89" s="83"/>
      <c r="C89" s="16"/>
      <c r="D89" s="16"/>
      <c r="E89" s="16"/>
      <c r="F89" s="16"/>
      <c r="G89" s="16"/>
      <c r="H89" s="16"/>
      <c r="I89" s="84"/>
      <c r="J89" s="84"/>
      <c r="K89" s="84"/>
      <c r="L89" s="84"/>
      <c r="M89" s="84"/>
      <c r="N89" s="84"/>
      <c r="O89" s="84"/>
      <c r="P89" s="84"/>
      <c r="Q89" s="84"/>
      <c r="R89" s="85"/>
      <c r="S89" s="14"/>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14"/>
      <c r="AX89" s="14"/>
      <c r="AY89" s="14"/>
      <c r="AZ89" s="14"/>
      <c r="BA89" s="14"/>
      <c r="BB89" s="14"/>
      <c r="BC89" s="14"/>
      <c r="BD89" s="14"/>
      <c r="BE89" s="14"/>
      <c r="BF89" s="14"/>
    </row>
    <row r="90" spans="1:58" ht="17.100000000000001" customHeight="1" thickBot="1">
      <c r="A90" s="14"/>
      <c r="B90" s="32"/>
      <c r="C90" s="89"/>
      <c r="D90" s="89"/>
      <c r="E90" s="89"/>
      <c r="F90" s="89"/>
      <c r="G90" s="89"/>
      <c r="H90" s="89"/>
      <c r="I90" s="86"/>
      <c r="J90" s="86"/>
      <c r="K90" s="86"/>
      <c r="L90" s="86"/>
      <c r="M90" s="86"/>
      <c r="N90" s="86"/>
      <c r="O90" s="86"/>
      <c r="P90" s="86"/>
      <c r="Q90" s="86"/>
      <c r="R90" s="87"/>
      <c r="S90" s="14"/>
      <c r="T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c r="AS90" s="14"/>
      <c r="AT90" s="14"/>
      <c r="AU90" s="14"/>
      <c r="AV90" s="14"/>
      <c r="AW90" s="14"/>
      <c r="AX90" s="14"/>
      <c r="AY90" s="14"/>
      <c r="AZ90" s="14"/>
      <c r="BA90" s="14"/>
      <c r="BB90" s="14"/>
      <c r="BC90" s="14"/>
      <c r="BD90" s="14"/>
      <c r="BE90" s="14"/>
      <c r="BF90" s="14"/>
    </row>
    <row r="91" spans="1:58" ht="17.100000000000001" customHeight="1">
      <c r="A91" s="14"/>
      <c r="B91" s="14"/>
      <c r="C91" s="14"/>
      <c r="D91" s="14"/>
      <c r="E91" s="14"/>
      <c r="F91" s="14"/>
      <c r="G91" s="14"/>
      <c r="H91" s="14"/>
      <c r="I91" s="20"/>
      <c r="J91" s="20"/>
      <c r="K91" s="20"/>
      <c r="L91" s="20"/>
      <c r="M91" s="20"/>
      <c r="N91" s="20"/>
      <c r="O91" s="20"/>
      <c r="P91" s="20"/>
      <c r="Q91" s="20"/>
      <c r="R91" s="81"/>
      <c r="S91" s="14"/>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c r="AS91" s="14"/>
      <c r="AT91" s="14"/>
      <c r="AU91" s="14"/>
      <c r="AV91" s="14"/>
      <c r="AW91" s="14"/>
      <c r="AX91" s="14"/>
      <c r="AY91" s="14"/>
      <c r="AZ91" s="14"/>
      <c r="BA91" s="14"/>
      <c r="BB91" s="14"/>
      <c r="BC91" s="14"/>
      <c r="BD91" s="14"/>
      <c r="BE91" s="14"/>
      <c r="BF91" s="14"/>
    </row>
    <row r="92" spans="1:58" ht="17.100000000000001" customHeight="1">
      <c r="A92" s="14"/>
      <c r="B92" s="14"/>
      <c r="C92" s="14"/>
      <c r="D92" s="14"/>
      <c r="E92" s="14"/>
      <c r="F92" s="14"/>
      <c r="G92" s="14"/>
      <c r="H92" s="14"/>
      <c r="I92" s="20"/>
      <c r="J92" s="20"/>
      <c r="K92" s="20"/>
      <c r="L92" s="20"/>
      <c r="M92" s="20"/>
      <c r="N92" s="20"/>
      <c r="O92" s="20"/>
      <c r="P92" s="20"/>
      <c r="Q92" s="20"/>
      <c r="R92" s="84"/>
      <c r="S92" s="14"/>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14"/>
      <c r="AX92" s="14"/>
      <c r="AY92" s="14"/>
      <c r="AZ92" s="14"/>
      <c r="BA92" s="14"/>
      <c r="BB92" s="14"/>
      <c r="BC92" s="14"/>
      <c r="BD92" s="14"/>
      <c r="BE92" s="14"/>
      <c r="BF92" s="14"/>
    </row>
    <row r="93" spans="1:58" ht="17.100000000000001" customHeight="1">
      <c r="A93" s="14"/>
      <c r="B93" s="14"/>
      <c r="C93" s="14"/>
      <c r="D93" s="14"/>
      <c r="E93" s="14"/>
      <c r="F93" s="14"/>
      <c r="G93" s="14"/>
      <c r="H93" s="14"/>
      <c r="I93" s="20"/>
      <c r="J93" s="20"/>
      <c r="K93" s="20"/>
      <c r="L93" s="20"/>
      <c r="M93" s="20"/>
      <c r="N93" s="20"/>
      <c r="O93" s="20"/>
      <c r="P93" s="20"/>
      <c r="Q93" s="20"/>
      <c r="R93" s="84"/>
      <c r="S93" s="14"/>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c r="AS93" s="14"/>
      <c r="AT93" s="14"/>
      <c r="AU93" s="14"/>
      <c r="AV93" s="14"/>
      <c r="AW93" s="14"/>
      <c r="AX93" s="14"/>
      <c r="AY93" s="14"/>
      <c r="AZ93" s="14"/>
      <c r="BA93" s="14"/>
      <c r="BB93" s="14"/>
      <c r="BC93" s="14"/>
      <c r="BD93" s="14"/>
      <c r="BE93" s="14"/>
      <c r="BF93" s="14"/>
    </row>
    <row r="94" spans="1:58" ht="17.100000000000001" customHeight="1">
      <c r="A94" s="14"/>
      <c r="B94" s="14"/>
      <c r="C94" s="14"/>
      <c r="D94" s="14"/>
      <c r="E94" s="14"/>
      <c r="F94" s="14"/>
      <c r="G94" s="14"/>
      <c r="H94" s="14"/>
      <c r="I94" s="20"/>
      <c r="J94" s="20"/>
      <c r="K94" s="20"/>
      <c r="L94" s="20"/>
      <c r="M94" s="20"/>
      <c r="N94" s="20"/>
      <c r="O94" s="20"/>
      <c r="P94" s="20"/>
      <c r="Q94" s="20"/>
      <c r="R94" s="84"/>
      <c r="S94" s="14"/>
      <c r="T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c r="AS94" s="14"/>
      <c r="AT94" s="14"/>
      <c r="AU94" s="14"/>
      <c r="AV94" s="14"/>
      <c r="AW94" s="14"/>
      <c r="AX94" s="14"/>
      <c r="AY94" s="14"/>
      <c r="AZ94" s="14"/>
      <c r="BA94" s="14"/>
      <c r="BB94" s="14"/>
      <c r="BC94" s="14"/>
      <c r="BD94" s="14"/>
      <c r="BE94" s="14"/>
      <c r="BF94" s="14"/>
    </row>
    <row r="95" spans="1:58" ht="17.100000000000001" customHeight="1">
      <c r="A95" s="14"/>
      <c r="B95" s="14"/>
      <c r="C95" s="14"/>
      <c r="D95" s="14"/>
      <c r="E95" s="14"/>
      <c r="F95" s="14"/>
      <c r="G95" s="14"/>
      <c r="H95" s="14"/>
      <c r="I95" s="20"/>
      <c r="J95" s="20"/>
      <c r="K95" s="20"/>
      <c r="L95" s="20"/>
      <c r="M95" s="20"/>
      <c r="N95" s="20"/>
      <c r="O95" s="20"/>
      <c r="P95" s="20"/>
      <c r="Q95" s="20"/>
      <c r="R95" s="84"/>
      <c r="S95" s="14"/>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14"/>
      <c r="AV95" s="14"/>
      <c r="AW95" s="14"/>
      <c r="AX95" s="14"/>
      <c r="AY95" s="14"/>
      <c r="AZ95" s="14"/>
      <c r="BA95" s="14"/>
      <c r="BB95" s="14"/>
      <c r="BC95" s="14"/>
      <c r="BD95" s="14"/>
      <c r="BE95" s="14"/>
      <c r="BF95" s="14"/>
    </row>
    <row r="96" spans="1:58" ht="17.100000000000001" customHeight="1">
      <c r="A96" s="14"/>
      <c r="B96" s="14"/>
      <c r="C96" s="14"/>
      <c r="D96" s="14"/>
      <c r="E96" s="14"/>
      <c r="F96" s="14"/>
      <c r="G96" s="14"/>
      <c r="H96" s="14"/>
      <c r="I96" s="20"/>
      <c r="J96" s="20"/>
      <c r="K96" s="20"/>
      <c r="L96" s="20"/>
      <c r="M96" s="20"/>
      <c r="N96" s="20"/>
      <c r="O96" s="20"/>
      <c r="P96" s="20"/>
      <c r="Q96" s="20"/>
      <c r="R96" s="84"/>
      <c r="S96" s="14"/>
      <c r="T96" s="14"/>
      <c r="U96" s="14"/>
      <c r="V96" s="14"/>
      <c r="W96" s="14"/>
      <c r="X96" s="14"/>
      <c r="Y96" s="14"/>
      <c r="Z96" s="14"/>
      <c r="AA96" s="14"/>
      <c r="AB96" s="14"/>
      <c r="AC96" s="14"/>
      <c r="AD96" s="14"/>
      <c r="AE96" s="14"/>
      <c r="AF96" s="14"/>
      <c r="AG96" s="14"/>
      <c r="AH96" s="14"/>
      <c r="AI96" s="14"/>
      <c r="AJ96" s="14"/>
      <c r="AK96" s="14"/>
      <c r="AL96" s="14"/>
      <c r="AM96" s="14"/>
      <c r="AN96" s="14"/>
      <c r="AO96" s="14"/>
      <c r="AP96" s="14"/>
      <c r="AQ96" s="14"/>
      <c r="AR96" s="14"/>
      <c r="AS96" s="14"/>
      <c r="AT96" s="14"/>
      <c r="AU96" s="14"/>
      <c r="AV96" s="14"/>
      <c r="AW96" s="14"/>
      <c r="AX96" s="14"/>
      <c r="AY96" s="14"/>
      <c r="AZ96" s="14"/>
      <c r="BA96" s="14"/>
      <c r="BB96" s="14"/>
      <c r="BC96" s="14"/>
      <c r="BD96" s="14"/>
      <c r="BE96" s="14"/>
      <c r="BF96" s="14"/>
    </row>
    <row r="97" spans="1:58" ht="17.100000000000001" customHeight="1">
      <c r="A97" s="14"/>
      <c r="B97" s="14"/>
      <c r="C97" s="14"/>
      <c r="D97" s="14"/>
      <c r="E97" s="14"/>
      <c r="F97" s="14"/>
      <c r="G97" s="14"/>
      <c r="H97" s="14"/>
      <c r="I97" s="20"/>
      <c r="J97" s="20"/>
      <c r="K97" s="20"/>
      <c r="L97" s="20"/>
      <c r="M97" s="20"/>
      <c r="N97" s="20"/>
      <c r="O97" s="20"/>
      <c r="P97" s="20"/>
      <c r="Q97" s="20"/>
      <c r="R97" s="84"/>
      <c r="S97" s="14"/>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14"/>
      <c r="AW97" s="14"/>
      <c r="AX97" s="14"/>
      <c r="AY97" s="14"/>
      <c r="AZ97" s="14"/>
      <c r="BA97" s="14"/>
      <c r="BB97" s="14"/>
      <c r="BC97" s="14"/>
      <c r="BD97" s="14"/>
      <c r="BE97" s="14"/>
      <c r="BF97" s="14"/>
    </row>
    <row r="98" spans="1:58" ht="17.100000000000001" customHeight="1">
      <c r="A98" s="14"/>
      <c r="B98" s="14"/>
      <c r="C98" s="14"/>
      <c r="D98" s="14"/>
      <c r="E98" s="14"/>
      <c r="F98" s="14"/>
      <c r="G98" s="14"/>
      <c r="H98" s="14"/>
      <c r="I98" s="20"/>
      <c r="J98" s="20"/>
      <c r="K98" s="20"/>
      <c r="L98" s="20"/>
      <c r="M98" s="20"/>
      <c r="N98" s="20"/>
      <c r="O98" s="20"/>
      <c r="P98" s="20"/>
      <c r="Q98" s="20"/>
      <c r="R98" s="84"/>
      <c r="S98" s="14"/>
      <c r="T98" s="14"/>
      <c r="U98" s="14"/>
      <c r="V98" s="14"/>
      <c r="W98" s="14"/>
      <c r="X98" s="14"/>
      <c r="Y98" s="14"/>
      <c r="Z98" s="14"/>
      <c r="AA98" s="14"/>
      <c r="AB98" s="14"/>
      <c r="AC98" s="14"/>
      <c r="AD98" s="14"/>
      <c r="AE98" s="14"/>
      <c r="AF98" s="14"/>
      <c r="AG98" s="14"/>
      <c r="AH98" s="14"/>
      <c r="AI98" s="14"/>
      <c r="AJ98" s="14"/>
      <c r="AK98" s="14"/>
      <c r="AL98" s="14"/>
      <c r="AM98" s="14"/>
      <c r="AN98" s="14"/>
      <c r="AO98" s="14"/>
      <c r="AP98" s="14"/>
      <c r="AQ98" s="14"/>
      <c r="AR98" s="14"/>
      <c r="AS98" s="14"/>
      <c r="AT98" s="14"/>
      <c r="AU98" s="14"/>
      <c r="AV98" s="14"/>
      <c r="AW98" s="14"/>
      <c r="AX98" s="14"/>
      <c r="AY98" s="14"/>
      <c r="AZ98" s="14"/>
      <c r="BA98" s="14"/>
      <c r="BB98" s="14"/>
      <c r="BC98" s="14"/>
      <c r="BD98" s="14"/>
      <c r="BE98" s="14"/>
      <c r="BF98" s="14"/>
    </row>
    <row r="99" spans="1:58" ht="17.100000000000001" customHeight="1">
      <c r="A99" s="14"/>
      <c r="B99" s="14"/>
      <c r="C99" s="14"/>
      <c r="D99" s="14"/>
      <c r="E99" s="14"/>
      <c r="F99" s="14"/>
      <c r="G99" s="14"/>
      <c r="H99" s="14"/>
      <c r="I99" s="20"/>
      <c r="J99" s="20"/>
      <c r="K99" s="20"/>
      <c r="L99" s="20"/>
      <c r="M99" s="20"/>
      <c r="N99" s="20"/>
      <c r="O99" s="20"/>
      <c r="P99" s="20"/>
      <c r="Q99" s="20"/>
      <c r="R99" s="84"/>
      <c r="S99" s="14"/>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14"/>
      <c r="AX99" s="14"/>
      <c r="AY99" s="14"/>
      <c r="AZ99" s="14"/>
      <c r="BA99" s="14"/>
      <c r="BB99" s="14"/>
      <c r="BC99" s="14"/>
      <c r="BD99" s="14"/>
      <c r="BE99" s="14"/>
      <c r="BF99" s="14"/>
    </row>
    <row r="100" spans="1:58" ht="17.100000000000001" customHeight="1">
      <c r="A100" s="14"/>
      <c r="B100" s="14"/>
      <c r="C100" s="14"/>
      <c r="D100" s="14"/>
      <c r="E100" s="14"/>
      <c r="F100" s="14"/>
      <c r="G100" s="14"/>
      <c r="H100" s="14"/>
      <c r="I100" s="20"/>
      <c r="J100" s="20"/>
      <c r="K100" s="20"/>
      <c r="L100" s="20"/>
      <c r="M100" s="20"/>
      <c r="N100" s="20"/>
      <c r="O100" s="20"/>
      <c r="P100" s="20"/>
      <c r="Q100" s="20"/>
      <c r="R100" s="84"/>
      <c r="S100" s="14"/>
      <c r="T100" s="14"/>
      <c r="U100" s="14"/>
      <c r="V100" s="14"/>
      <c r="W100" s="14"/>
      <c r="X100" s="14"/>
      <c r="Y100" s="14"/>
      <c r="Z100" s="14"/>
      <c r="AA100" s="14"/>
      <c r="AB100" s="14"/>
      <c r="AC100" s="14"/>
      <c r="AD100" s="14"/>
      <c r="AE100" s="14"/>
      <c r="AF100" s="14"/>
      <c r="AG100" s="14"/>
      <c r="AH100" s="14"/>
      <c r="AI100" s="14"/>
      <c r="AJ100" s="14"/>
      <c r="AK100" s="14"/>
      <c r="AL100" s="14"/>
      <c r="AM100" s="14"/>
      <c r="AN100" s="14"/>
      <c r="AO100" s="14"/>
      <c r="AP100" s="14"/>
      <c r="AQ100" s="14"/>
      <c r="AR100" s="14"/>
      <c r="AS100" s="14"/>
      <c r="AT100" s="14"/>
      <c r="AU100" s="14"/>
      <c r="AV100" s="14"/>
      <c r="AW100" s="14"/>
      <c r="AX100" s="14"/>
      <c r="AY100" s="14"/>
      <c r="AZ100" s="14"/>
      <c r="BA100" s="14"/>
      <c r="BB100" s="14"/>
      <c r="BC100" s="14"/>
      <c r="BD100" s="14"/>
      <c r="BE100" s="14"/>
      <c r="BF100" s="14"/>
    </row>
    <row r="101" spans="1:58" ht="17.100000000000001" customHeight="1">
      <c r="A101" s="14"/>
      <c r="B101" s="14"/>
      <c r="C101" s="14"/>
      <c r="D101" s="14"/>
      <c r="E101" s="14"/>
      <c r="F101" s="14"/>
      <c r="G101" s="14"/>
      <c r="H101" s="14"/>
      <c r="I101" s="20"/>
      <c r="J101" s="20"/>
      <c r="K101" s="20"/>
      <c r="L101" s="20"/>
      <c r="M101" s="20"/>
      <c r="N101" s="20"/>
      <c r="O101" s="20"/>
      <c r="P101" s="20"/>
      <c r="Q101" s="20"/>
      <c r="R101" s="84"/>
      <c r="S101" s="14"/>
      <c r="T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row>
    <row r="102" spans="1:58" ht="17.100000000000001" customHeight="1">
      <c r="A102" s="14"/>
      <c r="B102" s="14"/>
      <c r="C102" s="14"/>
      <c r="D102" s="14"/>
      <c r="E102" s="14"/>
      <c r="F102" s="14"/>
      <c r="G102" s="14"/>
      <c r="H102" s="14"/>
      <c r="I102" s="20"/>
      <c r="J102" s="20"/>
      <c r="K102" s="20"/>
      <c r="L102" s="20"/>
      <c r="M102" s="20"/>
      <c r="N102" s="20"/>
      <c r="O102" s="20"/>
      <c r="P102" s="20"/>
      <c r="Q102" s="20"/>
      <c r="R102" s="84"/>
      <c r="S102" s="14"/>
      <c r="T102" s="14"/>
      <c r="U102" s="14"/>
      <c r="V102" s="14"/>
      <c r="W102" s="14"/>
      <c r="X102" s="14"/>
      <c r="Y102" s="14"/>
      <c r="Z102" s="14"/>
      <c r="AA102" s="14"/>
      <c r="AB102" s="14"/>
      <c r="AC102" s="14"/>
      <c r="AD102" s="14"/>
      <c r="AE102" s="14"/>
      <c r="AF102" s="14"/>
      <c r="AG102" s="14"/>
      <c r="AH102" s="14"/>
      <c r="AI102" s="14"/>
      <c r="AJ102" s="14"/>
      <c r="AK102" s="14"/>
      <c r="AL102" s="14"/>
      <c r="AM102" s="14"/>
      <c r="AN102" s="14"/>
      <c r="AO102" s="14"/>
      <c r="AP102" s="14"/>
      <c r="AQ102" s="14"/>
      <c r="AR102" s="14"/>
      <c r="AS102" s="14"/>
      <c r="AT102" s="14"/>
      <c r="AU102" s="14"/>
      <c r="AV102" s="14"/>
      <c r="AW102" s="14"/>
      <c r="AX102" s="14"/>
      <c r="AY102" s="14"/>
      <c r="AZ102" s="14"/>
      <c r="BA102" s="14"/>
      <c r="BB102" s="14"/>
      <c r="BC102" s="14"/>
      <c r="BD102" s="14"/>
      <c r="BE102" s="14"/>
      <c r="BF102" s="14"/>
    </row>
    <row r="103" spans="1:58" ht="17.100000000000001" customHeight="1">
      <c r="A103" s="14"/>
      <c r="B103" s="14"/>
      <c r="C103" s="14"/>
      <c r="D103" s="14"/>
      <c r="E103" s="14"/>
      <c r="F103" s="14"/>
      <c r="G103" s="14"/>
      <c r="H103" s="14"/>
      <c r="I103" s="20"/>
      <c r="J103" s="20"/>
      <c r="K103" s="20"/>
      <c r="L103" s="20"/>
      <c r="M103" s="20"/>
      <c r="N103" s="20"/>
      <c r="O103" s="20"/>
      <c r="P103" s="20"/>
      <c r="Q103" s="20"/>
      <c r="R103" s="84"/>
      <c r="S103" s="14"/>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c r="AS103" s="14"/>
      <c r="AT103" s="14"/>
      <c r="AU103" s="14"/>
      <c r="AV103" s="14"/>
      <c r="AW103" s="14"/>
      <c r="AX103" s="14"/>
      <c r="AY103" s="14"/>
      <c r="AZ103" s="14"/>
      <c r="BA103" s="14"/>
      <c r="BB103" s="14"/>
      <c r="BC103" s="14"/>
      <c r="BD103" s="14"/>
      <c r="BE103" s="14"/>
      <c r="BF103" s="14"/>
    </row>
    <row r="104" spans="1:58" ht="17.100000000000001" customHeight="1">
      <c r="A104" s="14"/>
      <c r="B104" s="14"/>
      <c r="C104" s="14"/>
      <c r="D104" s="14"/>
      <c r="E104" s="14"/>
      <c r="F104" s="14"/>
      <c r="G104" s="14"/>
      <c r="H104" s="14"/>
      <c r="I104" s="20"/>
      <c r="J104" s="20"/>
      <c r="K104" s="20"/>
      <c r="L104" s="20"/>
      <c r="M104" s="20"/>
      <c r="N104" s="20"/>
      <c r="O104" s="20"/>
      <c r="P104" s="20"/>
      <c r="Q104" s="20"/>
      <c r="R104" s="84"/>
      <c r="S104" s="14"/>
      <c r="T104" s="14"/>
      <c r="U104" s="14"/>
      <c r="V104" s="14"/>
      <c r="W104" s="14"/>
      <c r="X104" s="14"/>
      <c r="Y104" s="14"/>
      <c r="Z104" s="14"/>
      <c r="AA104" s="14"/>
      <c r="AB104" s="14"/>
      <c r="AC104" s="14"/>
      <c r="AD104" s="14"/>
      <c r="AE104" s="14"/>
      <c r="AF104" s="14"/>
      <c r="AG104" s="14"/>
      <c r="AH104" s="14"/>
      <c r="AI104" s="14"/>
      <c r="AJ104" s="14"/>
      <c r="AK104" s="14"/>
      <c r="AL104" s="14"/>
      <c r="AM104" s="14"/>
      <c r="AN104" s="14"/>
      <c r="AO104" s="14"/>
      <c r="AP104" s="14"/>
      <c r="AQ104" s="14"/>
      <c r="AR104" s="14"/>
      <c r="AS104" s="14"/>
      <c r="AT104" s="14"/>
      <c r="AU104" s="14"/>
      <c r="AV104" s="14"/>
      <c r="AW104" s="14"/>
      <c r="AX104" s="14"/>
      <c r="AY104" s="14"/>
      <c r="AZ104" s="14"/>
      <c r="BA104" s="14"/>
      <c r="BB104" s="14"/>
      <c r="BC104" s="14"/>
      <c r="BD104" s="14"/>
      <c r="BE104" s="14"/>
      <c r="BF104" s="14"/>
    </row>
    <row r="105" spans="1:58" ht="17.100000000000001" customHeight="1">
      <c r="A105" s="14"/>
      <c r="B105" s="14"/>
      <c r="C105" s="14"/>
      <c r="D105" s="14"/>
      <c r="E105" s="14"/>
      <c r="F105" s="14"/>
      <c r="G105" s="14"/>
      <c r="H105" s="14"/>
      <c r="I105" s="20"/>
      <c r="J105" s="20"/>
      <c r="K105" s="20"/>
      <c r="L105" s="20"/>
      <c r="M105" s="20"/>
      <c r="N105" s="20"/>
      <c r="O105" s="20"/>
      <c r="P105" s="20"/>
      <c r="Q105" s="20"/>
      <c r="R105" s="84"/>
      <c r="S105" s="14"/>
      <c r="T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c r="AS105" s="14"/>
      <c r="AT105" s="14"/>
      <c r="AU105" s="14"/>
      <c r="AV105" s="14"/>
      <c r="AW105" s="14"/>
      <c r="AX105" s="14"/>
      <c r="AY105" s="14"/>
      <c r="AZ105" s="14"/>
      <c r="BA105" s="14"/>
      <c r="BB105" s="14"/>
      <c r="BC105" s="14"/>
      <c r="BD105" s="14"/>
      <c r="BE105" s="14"/>
      <c r="BF105" s="14"/>
    </row>
    <row r="106" spans="1:58" ht="17.100000000000001" customHeight="1">
      <c r="A106" s="14"/>
      <c r="B106" s="14"/>
      <c r="C106" s="14"/>
      <c r="D106" s="14"/>
      <c r="E106" s="14"/>
      <c r="F106" s="14"/>
      <c r="G106" s="14"/>
      <c r="H106" s="14"/>
      <c r="I106" s="20"/>
      <c r="J106" s="20"/>
      <c r="K106" s="20"/>
      <c r="L106" s="20"/>
      <c r="M106" s="20"/>
      <c r="N106" s="20"/>
      <c r="O106" s="20"/>
      <c r="P106" s="20"/>
      <c r="Q106" s="20"/>
      <c r="R106" s="84"/>
      <c r="S106" s="14"/>
      <c r="T106" s="14"/>
      <c r="U106" s="14"/>
      <c r="V106" s="14"/>
      <c r="W106" s="14"/>
      <c r="X106" s="14"/>
      <c r="Y106" s="14"/>
      <c r="Z106" s="14"/>
      <c r="AA106" s="14"/>
      <c r="AB106" s="14"/>
      <c r="AC106" s="14"/>
      <c r="AD106" s="14"/>
      <c r="AE106" s="14"/>
      <c r="AF106" s="14"/>
      <c r="AG106" s="14"/>
      <c r="AH106" s="14"/>
      <c r="AI106" s="14"/>
      <c r="AJ106" s="14"/>
      <c r="AK106" s="14"/>
      <c r="AL106" s="14"/>
      <c r="AM106" s="14"/>
      <c r="AN106" s="14"/>
      <c r="AO106" s="14"/>
      <c r="AP106" s="14"/>
      <c r="AQ106" s="14"/>
      <c r="AR106" s="14"/>
      <c r="AS106" s="14"/>
      <c r="AT106" s="14"/>
      <c r="AU106" s="14"/>
      <c r="AV106" s="14"/>
      <c r="AW106" s="14"/>
      <c r="AX106" s="14"/>
      <c r="AY106" s="14"/>
      <c r="AZ106" s="14"/>
      <c r="BA106" s="14"/>
      <c r="BB106" s="14"/>
      <c r="BC106" s="14"/>
      <c r="BD106" s="14"/>
      <c r="BE106" s="14"/>
      <c r="BF106" s="14"/>
    </row>
    <row r="107" spans="1:58" ht="17.100000000000001" customHeight="1">
      <c r="A107" s="14"/>
      <c r="B107" s="14"/>
      <c r="C107" s="14"/>
      <c r="D107" s="14"/>
      <c r="E107" s="14"/>
      <c r="F107" s="14"/>
      <c r="G107" s="14"/>
      <c r="H107" s="14"/>
      <c r="I107" s="20"/>
      <c r="J107" s="20"/>
      <c r="K107" s="20"/>
      <c r="L107" s="20"/>
      <c r="M107" s="20"/>
      <c r="N107" s="20"/>
      <c r="O107" s="20"/>
      <c r="P107" s="20"/>
      <c r="Q107" s="20"/>
      <c r="R107" s="84"/>
      <c r="S107" s="14"/>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c r="AS107" s="14"/>
      <c r="AT107" s="14"/>
      <c r="AU107" s="14"/>
      <c r="AV107" s="14"/>
      <c r="AW107" s="14"/>
      <c r="AX107" s="14"/>
      <c r="AY107" s="14"/>
      <c r="AZ107" s="14"/>
      <c r="BA107" s="14"/>
      <c r="BB107" s="14"/>
      <c r="BC107" s="14"/>
      <c r="BD107" s="14"/>
      <c r="BE107" s="14"/>
      <c r="BF107" s="14"/>
    </row>
    <row r="108" spans="1:58" ht="17.100000000000001" customHeight="1">
      <c r="A108" s="14"/>
      <c r="B108" s="14"/>
      <c r="C108" s="14"/>
      <c r="D108" s="14"/>
      <c r="E108" s="14"/>
      <c r="F108" s="14"/>
      <c r="G108" s="14"/>
      <c r="H108" s="14"/>
      <c r="I108" s="20"/>
      <c r="J108" s="20"/>
      <c r="K108" s="20"/>
      <c r="L108" s="20"/>
      <c r="M108" s="20"/>
      <c r="N108" s="20"/>
      <c r="O108" s="20"/>
      <c r="P108" s="20"/>
      <c r="Q108" s="20"/>
      <c r="R108" s="84"/>
      <c r="S108" s="14"/>
      <c r="T108" s="14"/>
      <c r="U108" s="14"/>
      <c r="V108" s="14"/>
      <c r="W108" s="14"/>
      <c r="X108" s="14"/>
      <c r="Y108" s="14"/>
      <c r="Z108" s="14"/>
      <c r="AA108" s="14"/>
      <c r="AB108" s="14"/>
      <c r="AC108" s="14"/>
      <c r="AD108" s="14"/>
      <c r="AE108" s="14"/>
      <c r="AF108" s="14"/>
      <c r="AG108" s="14"/>
      <c r="AH108" s="14"/>
      <c r="AI108" s="14"/>
      <c r="AJ108" s="14"/>
      <c r="AK108" s="14"/>
      <c r="AL108" s="14"/>
      <c r="AM108" s="14"/>
      <c r="AN108" s="14"/>
      <c r="AO108" s="14"/>
      <c r="AP108" s="14"/>
      <c r="AQ108" s="14"/>
      <c r="AR108" s="14"/>
      <c r="AS108" s="14"/>
      <c r="AT108" s="14"/>
      <c r="AU108" s="14"/>
      <c r="AV108" s="14"/>
      <c r="AW108" s="14"/>
      <c r="AX108" s="14"/>
      <c r="AY108" s="14"/>
      <c r="AZ108" s="14"/>
      <c r="BA108" s="14"/>
      <c r="BB108" s="14"/>
      <c r="BC108" s="14"/>
      <c r="BD108" s="14"/>
      <c r="BE108" s="14"/>
      <c r="BF108" s="14"/>
    </row>
    <row r="109" spans="1:58" ht="17.100000000000001" customHeight="1">
      <c r="A109" s="14"/>
      <c r="B109" s="14"/>
      <c r="C109" s="14"/>
      <c r="D109" s="14"/>
      <c r="E109" s="14"/>
      <c r="F109" s="14"/>
      <c r="G109" s="14"/>
      <c r="H109" s="14"/>
      <c r="I109" s="20"/>
      <c r="J109" s="20"/>
      <c r="K109" s="20"/>
      <c r="L109" s="20"/>
      <c r="M109" s="20"/>
      <c r="N109" s="20"/>
      <c r="O109" s="20"/>
      <c r="P109" s="20"/>
      <c r="Q109" s="20"/>
      <c r="R109" s="84"/>
      <c r="S109" s="14"/>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c r="AS109" s="14"/>
      <c r="AT109" s="14"/>
      <c r="AU109" s="14"/>
      <c r="AV109" s="14"/>
      <c r="AW109" s="14"/>
      <c r="AX109" s="14"/>
      <c r="AY109" s="14"/>
      <c r="AZ109" s="14"/>
      <c r="BA109" s="14"/>
      <c r="BB109" s="14"/>
      <c r="BC109" s="14"/>
      <c r="BD109" s="14"/>
      <c r="BE109" s="14"/>
      <c r="BF109" s="14"/>
    </row>
    <row r="110" spans="1:58" ht="17.100000000000001" customHeight="1">
      <c r="A110" s="14"/>
      <c r="B110" s="14"/>
      <c r="C110" s="14"/>
      <c r="D110" s="14"/>
      <c r="E110" s="14"/>
      <c r="F110" s="14"/>
      <c r="G110" s="14"/>
      <c r="H110" s="14"/>
      <c r="I110" s="20"/>
      <c r="J110" s="20"/>
      <c r="K110" s="20"/>
      <c r="L110" s="20"/>
      <c r="M110" s="20"/>
      <c r="N110" s="20"/>
      <c r="O110" s="20"/>
      <c r="P110" s="20"/>
      <c r="Q110" s="20"/>
      <c r="R110" s="84"/>
      <c r="S110" s="14"/>
      <c r="T110" s="14"/>
      <c r="U110" s="14"/>
      <c r="V110" s="14"/>
      <c r="W110" s="14"/>
      <c r="X110" s="14"/>
      <c r="Y110" s="14"/>
      <c r="Z110" s="14"/>
      <c r="AA110" s="14"/>
      <c r="AB110" s="14"/>
      <c r="AC110" s="14"/>
      <c r="AD110" s="14"/>
      <c r="AE110" s="14"/>
      <c r="AF110" s="14"/>
      <c r="AG110" s="14"/>
      <c r="AH110" s="14"/>
      <c r="AI110" s="14"/>
      <c r="AJ110" s="14"/>
      <c r="AK110" s="14"/>
      <c r="AL110" s="14"/>
      <c r="AM110" s="14"/>
      <c r="AN110" s="14"/>
      <c r="AO110" s="14"/>
      <c r="AP110" s="14"/>
      <c r="AQ110" s="14"/>
      <c r="AR110" s="14"/>
      <c r="AS110" s="14"/>
      <c r="AT110" s="14"/>
      <c r="AU110" s="14"/>
      <c r="AV110" s="14"/>
      <c r="AW110" s="14"/>
      <c r="AX110" s="14"/>
      <c r="AY110" s="14"/>
      <c r="AZ110" s="14"/>
      <c r="BA110" s="14"/>
      <c r="BB110" s="14"/>
      <c r="BC110" s="14"/>
      <c r="BD110" s="14"/>
      <c r="BE110" s="14"/>
      <c r="BF110" s="14"/>
    </row>
    <row r="111" spans="1:58" ht="17.100000000000001" customHeight="1">
      <c r="A111" s="14"/>
      <c r="B111" s="14"/>
      <c r="C111" s="14"/>
      <c r="D111" s="14"/>
      <c r="E111" s="14"/>
      <c r="F111" s="14"/>
      <c r="G111" s="14"/>
      <c r="H111" s="14"/>
      <c r="I111" s="20"/>
      <c r="J111" s="20"/>
      <c r="K111" s="20"/>
      <c r="L111" s="20"/>
      <c r="M111" s="20"/>
      <c r="N111" s="20"/>
      <c r="O111" s="20"/>
      <c r="P111" s="20"/>
      <c r="Q111" s="20"/>
      <c r="R111" s="84"/>
      <c r="S111" s="14"/>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c r="AS111" s="14"/>
      <c r="AT111" s="14"/>
      <c r="AU111" s="14"/>
      <c r="AV111" s="14"/>
      <c r="AW111" s="14"/>
      <c r="AX111" s="14"/>
      <c r="AY111" s="14"/>
      <c r="AZ111" s="14"/>
      <c r="BA111" s="14"/>
      <c r="BB111" s="14"/>
      <c r="BC111" s="14"/>
      <c r="BD111" s="14"/>
      <c r="BE111" s="14"/>
      <c r="BF111" s="14"/>
    </row>
    <row r="112" spans="1:58" ht="17.100000000000001" customHeight="1">
      <c r="A112" s="14"/>
      <c r="B112" s="14"/>
      <c r="C112" s="14"/>
      <c r="D112" s="14"/>
      <c r="E112" s="14"/>
      <c r="F112" s="14"/>
      <c r="G112" s="14"/>
      <c r="H112" s="14"/>
      <c r="I112" s="20"/>
      <c r="J112" s="20"/>
      <c r="K112" s="20"/>
      <c r="L112" s="20"/>
      <c r="M112" s="20"/>
      <c r="N112" s="20"/>
      <c r="O112" s="20"/>
      <c r="P112" s="20"/>
      <c r="Q112" s="20"/>
      <c r="R112" s="84"/>
      <c r="S112" s="14"/>
      <c r="T112" s="14"/>
      <c r="U112" s="14"/>
      <c r="V112" s="14"/>
      <c r="W112" s="14"/>
      <c r="X112" s="14"/>
      <c r="Y112" s="14"/>
      <c r="Z112" s="14"/>
      <c r="AA112" s="14"/>
      <c r="AB112" s="14"/>
      <c r="AC112" s="14"/>
      <c r="AD112" s="14"/>
      <c r="AE112" s="14"/>
      <c r="AF112" s="14"/>
      <c r="AG112" s="14"/>
      <c r="AH112" s="14"/>
      <c r="AI112" s="14"/>
      <c r="AJ112" s="14"/>
      <c r="AK112" s="14"/>
      <c r="AL112" s="14"/>
      <c r="AM112" s="14"/>
      <c r="AN112" s="14"/>
      <c r="AO112" s="14"/>
      <c r="AP112" s="14"/>
      <c r="AQ112" s="14"/>
      <c r="AR112" s="14"/>
      <c r="AS112" s="14"/>
      <c r="AT112" s="14"/>
      <c r="AU112" s="14"/>
      <c r="AV112" s="14"/>
      <c r="AW112" s="14"/>
      <c r="AX112" s="14"/>
      <c r="AY112" s="14"/>
      <c r="AZ112" s="14"/>
      <c r="BA112" s="14"/>
      <c r="BB112" s="14"/>
      <c r="BC112" s="14"/>
      <c r="BD112" s="14"/>
      <c r="BE112" s="14"/>
      <c r="BF112" s="14"/>
    </row>
    <row r="113" spans="1:58" ht="17.100000000000001" customHeight="1">
      <c r="A113" s="14"/>
      <c r="B113" s="14"/>
      <c r="C113" s="14"/>
      <c r="D113" s="14"/>
      <c r="E113" s="14"/>
      <c r="F113" s="14"/>
      <c r="G113" s="14"/>
      <c r="H113" s="14"/>
      <c r="I113" s="20"/>
      <c r="J113" s="20"/>
      <c r="K113" s="20"/>
      <c r="L113" s="20"/>
      <c r="M113" s="20"/>
      <c r="N113" s="20"/>
      <c r="O113" s="20"/>
      <c r="P113" s="20"/>
      <c r="Q113" s="20"/>
      <c r="R113" s="84"/>
      <c r="S113" s="14"/>
      <c r="T113" s="14"/>
      <c r="U113" s="14"/>
      <c r="V113" s="14"/>
      <c r="W113" s="14"/>
      <c r="X113" s="14"/>
      <c r="Y113" s="14"/>
      <c r="Z113" s="14"/>
      <c r="AA113" s="14"/>
      <c r="AB113" s="14"/>
      <c r="AC113" s="14"/>
      <c r="AD113" s="14"/>
      <c r="AE113" s="14"/>
      <c r="AF113" s="14"/>
      <c r="AG113" s="14"/>
      <c r="AH113" s="14"/>
      <c r="AI113" s="14"/>
      <c r="AJ113" s="14"/>
      <c r="AK113" s="14"/>
      <c r="AL113" s="14"/>
      <c r="AM113" s="14"/>
      <c r="AN113" s="14"/>
      <c r="AO113" s="14"/>
      <c r="AP113" s="14"/>
      <c r="AQ113" s="14"/>
      <c r="AR113" s="14"/>
      <c r="AS113" s="14"/>
      <c r="AT113" s="14"/>
      <c r="AU113" s="14"/>
      <c r="AV113" s="14"/>
      <c r="AW113" s="14"/>
      <c r="AX113" s="14"/>
      <c r="AY113" s="14"/>
      <c r="AZ113" s="14"/>
      <c r="BA113" s="14"/>
      <c r="BB113" s="14"/>
      <c r="BC113" s="14"/>
      <c r="BD113" s="14"/>
      <c r="BE113" s="14"/>
      <c r="BF113" s="14"/>
    </row>
    <row r="114" spans="1:58" ht="17.100000000000001" customHeight="1">
      <c r="A114" s="14"/>
      <c r="B114" s="14"/>
      <c r="C114" s="14"/>
      <c r="D114" s="14"/>
      <c r="E114" s="14"/>
      <c r="F114" s="14"/>
      <c r="G114" s="14"/>
      <c r="H114" s="14"/>
      <c r="I114" s="20"/>
      <c r="J114" s="20"/>
      <c r="K114" s="20"/>
      <c r="L114" s="20"/>
      <c r="M114" s="20"/>
      <c r="N114" s="20"/>
      <c r="O114" s="20"/>
      <c r="P114" s="20"/>
      <c r="Q114" s="20"/>
      <c r="R114" s="84"/>
      <c r="S114" s="14"/>
      <c r="T114" s="14"/>
      <c r="U114" s="14"/>
      <c r="V114" s="14"/>
      <c r="W114" s="14"/>
      <c r="X114" s="14"/>
      <c r="Y114" s="14"/>
      <c r="Z114" s="14"/>
      <c r="AA114" s="14"/>
      <c r="AB114" s="14"/>
      <c r="AC114" s="14"/>
      <c r="AD114" s="14"/>
      <c r="AE114" s="14"/>
      <c r="AF114" s="14"/>
      <c r="AG114" s="14"/>
      <c r="AH114" s="14"/>
      <c r="AI114" s="14"/>
      <c r="AJ114" s="14"/>
      <c r="AK114" s="14"/>
      <c r="AL114" s="14"/>
      <c r="AM114" s="14"/>
      <c r="AN114" s="14"/>
      <c r="AO114" s="14"/>
      <c r="AP114" s="14"/>
      <c r="AQ114" s="14"/>
      <c r="AR114" s="14"/>
      <c r="AS114" s="14"/>
      <c r="AT114" s="14"/>
      <c r="AU114" s="14"/>
      <c r="AV114" s="14"/>
      <c r="AW114" s="14"/>
      <c r="AX114" s="14"/>
      <c r="AY114" s="14"/>
      <c r="AZ114" s="14"/>
      <c r="BA114" s="14"/>
      <c r="BB114" s="14"/>
      <c r="BC114" s="14"/>
      <c r="BD114" s="14"/>
      <c r="BE114" s="14"/>
      <c r="BF114" s="14"/>
    </row>
    <row r="115" spans="1:58" ht="17.100000000000001" customHeight="1">
      <c r="A115" s="14"/>
      <c r="B115" s="14"/>
      <c r="C115" s="14"/>
      <c r="D115" s="14"/>
      <c r="E115" s="14"/>
      <c r="F115" s="14"/>
      <c r="G115" s="14"/>
      <c r="H115" s="14"/>
      <c r="I115" s="20"/>
      <c r="J115" s="20"/>
      <c r="K115" s="20"/>
      <c r="L115" s="20"/>
      <c r="M115" s="20"/>
      <c r="N115" s="20"/>
      <c r="O115" s="20"/>
      <c r="P115" s="20"/>
      <c r="Q115" s="20"/>
      <c r="R115" s="84"/>
      <c r="S115" s="14"/>
      <c r="T115" s="14"/>
      <c r="U115" s="14"/>
      <c r="V115" s="14"/>
      <c r="W115" s="14"/>
      <c r="X115" s="14"/>
      <c r="Y115" s="14"/>
      <c r="Z115" s="14"/>
      <c r="AA115" s="14"/>
      <c r="AB115" s="14"/>
      <c r="AC115" s="14"/>
      <c r="AD115" s="14"/>
      <c r="AE115" s="14"/>
      <c r="AF115" s="14"/>
      <c r="AG115" s="14"/>
      <c r="AH115" s="14"/>
      <c r="AI115" s="14"/>
      <c r="AJ115" s="14"/>
      <c r="AK115" s="14"/>
      <c r="AL115" s="14"/>
      <c r="AM115" s="14"/>
      <c r="AN115" s="14"/>
      <c r="AO115" s="14"/>
      <c r="AP115" s="14"/>
      <c r="AQ115" s="14"/>
      <c r="AR115" s="14"/>
      <c r="AS115" s="14"/>
      <c r="AT115" s="14"/>
      <c r="AU115" s="14"/>
      <c r="AV115" s="14"/>
      <c r="AW115" s="14"/>
      <c r="AX115" s="14"/>
      <c r="AY115" s="14"/>
      <c r="AZ115" s="14"/>
      <c r="BA115" s="14"/>
      <c r="BB115" s="14"/>
      <c r="BC115" s="14"/>
      <c r="BD115" s="14"/>
      <c r="BE115" s="14"/>
      <c r="BF115" s="14"/>
    </row>
    <row r="116" spans="1:58" ht="17.100000000000001" customHeight="1">
      <c r="A116" s="14"/>
      <c r="B116" s="14"/>
      <c r="C116" s="14"/>
      <c r="D116" s="14"/>
      <c r="E116" s="14"/>
      <c r="F116" s="14"/>
      <c r="G116" s="14"/>
      <c r="H116" s="14"/>
      <c r="I116" s="20"/>
      <c r="J116" s="20"/>
      <c r="K116" s="20"/>
      <c r="L116" s="20"/>
      <c r="M116" s="20"/>
      <c r="N116" s="20"/>
      <c r="O116" s="20"/>
      <c r="P116" s="20"/>
      <c r="Q116" s="20"/>
      <c r="R116" s="84"/>
      <c r="S116" s="14"/>
      <c r="T116" s="14"/>
      <c r="U116" s="14"/>
      <c r="V116" s="14"/>
      <c r="W116" s="14"/>
      <c r="X116" s="14"/>
      <c r="Y116" s="14"/>
      <c r="Z116" s="14"/>
      <c r="AA116" s="14"/>
      <c r="AB116" s="14"/>
      <c r="AC116" s="14"/>
      <c r="AD116" s="14"/>
      <c r="AE116" s="14"/>
      <c r="AF116" s="14"/>
      <c r="AG116" s="14"/>
      <c r="AH116" s="14"/>
      <c r="AI116" s="14"/>
      <c r="AJ116" s="14"/>
      <c r="AK116" s="14"/>
      <c r="AL116" s="14"/>
      <c r="AM116" s="14"/>
      <c r="AN116" s="14"/>
      <c r="AO116" s="14"/>
      <c r="AP116" s="14"/>
      <c r="AQ116" s="14"/>
      <c r="AR116" s="14"/>
      <c r="AS116" s="14"/>
      <c r="AT116" s="14"/>
      <c r="AU116" s="14"/>
      <c r="AV116" s="14"/>
      <c r="AW116" s="14"/>
      <c r="AX116" s="14"/>
      <c r="AY116" s="14"/>
      <c r="AZ116" s="14"/>
      <c r="BA116" s="14"/>
      <c r="BB116" s="14"/>
      <c r="BC116" s="14"/>
      <c r="BD116" s="14"/>
      <c r="BE116" s="14"/>
      <c r="BF116" s="14"/>
    </row>
    <row r="117" spans="1:58" ht="17.100000000000001" customHeight="1">
      <c r="A117" s="14"/>
      <c r="B117" s="14"/>
      <c r="C117" s="14"/>
      <c r="D117" s="14"/>
      <c r="E117" s="14"/>
      <c r="F117" s="14"/>
      <c r="G117" s="14"/>
      <c r="H117" s="14"/>
      <c r="I117" s="20"/>
      <c r="J117" s="20"/>
      <c r="K117" s="20"/>
      <c r="L117" s="20"/>
      <c r="M117" s="20"/>
      <c r="N117" s="20"/>
      <c r="O117" s="20"/>
      <c r="P117" s="20"/>
      <c r="Q117" s="20"/>
      <c r="R117" s="84"/>
      <c r="S117" s="14"/>
      <c r="T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c r="AS117" s="14"/>
      <c r="AT117" s="14"/>
      <c r="AU117" s="14"/>
      <c r="AV117" s="14"/>
      <c r="AW117" s="14"/>
      <c r="AX117" s="14"/>
      <c r="AY117" s="14"/>
      <c r="AZ117" s="14"/>
      <c r="BA117" s="14"/>
      <c r="BB117" s="14"/>
      <c r="BC117" s="14"/>
      <c r="BD117" s="14"/>
      <c r="BE117" s="14"/>
      <c r="BF117" s="14"/>
    </row>
    <row r="118" spans="1:58" ht="17.100000000000001" customHeight="1">
      <c r="A118" s="14"/>
      <c r="B118" s="14"/>
      <c r="C118" s="14"/>
      <c r="D118" s="14"/>
      <c r="E118" s="14"/>
      <c r="F118" s="14"/>
      <c r="G118" s="14"/>
      <c r="H118" s="14"/>
      <c r="I118" s="20"/>
      <c r="J118" s="20"/>
      <c r="K118" s="20"/>
      <c r="L118" s="20"/>
      <c r="M118" s="20"/>
      <c r="N118" s="20"/>
      <c r="O118" s="20"/>
      <c r="P118" s="20"/>
      <c r="Q118" s="20"/>
      <c r="R118" s="84"/>
      <c r="S118" s="14"/>
      <c r="T118" s="14"/>
      <c r="U118" s="14"/>
      <c r="V118" s="14"/>
      <c r="W118" s="14"/>
      <c r="X118" s="14"/>
      <c r="Y118" s="14"/>
      <c r="Z118" s="14"/>
      <c r="AA118" s="14"/>
      <c r="AB118" s="14"/>
      <c r="AC118" s="14"/>
      <c r="AD118" s="14"/>
      <c r="AE118" s="14"/>
      <c r="AF118" s="14"/>
      <c r="AG118" s="14"/>
      <c r="AH118" s="14"/>
      <c r="AI118" s="14"/>
      <c r="AJ118" s="14"/>
      <c r="AK118" s="14"/>
      <c r="AL118" s="14"/>
      <c r="AM118" s="14"/>
      <c r="AN118" s="14"/>
      <c r="AO118" s="14"/>
      <c r="AP118" s="14"/>
      <c r="AQ118" s="14"/>
      <c r="AR118" s="14"/>
      <c r="AS118" s="14"/>
      <c r="AT118" s="14"/>
      <c r="AU118" s="14"/>
      <c r="AV118" s="14"/>
      <c r="AW118" s="14"/>
      <c r="AX118" s="14"/>
      <c r="AY118" s="14"/>
      <c r="AZ118" s="14"/>
      <c r="BA118" s="14"/>
      <c r="BB118" s="14"/>
      <c r="BC118" s="14"/>
      <c r="BD118" s="14"/>
      <c r="BE118" s="14"/>
      <c r="BF118" s="14"/>
    </row>
    <row r="119" spans="1:58" ht="17.100000000000001" customHeight="1">
      <c r="A119" s="14"/>
      <c r="B119" s="14"/>
      <c r="C119" s="14"/>
      <c r="D119" s="14"/>
      <c r="E119" s="14"/>
      <c r="F119" s="14"/>
      <c r="G119" s="14"/>
      <c r="H119" s="14"/>
      <c r="I119" s="20"/>
      <c r="J119" s="20"/>
      <c r="K119" s="20"/>
      <c r="L119" s="20"/>
      <c r="M119" s="20"/>
      <c r="N119" s="20"/>
      <c r="O119" s="20"/>
      <c r="P119" s="20"/>
      <c r="Q119" s="20"/>
      <c r="R119" s="84"/>
      <c r="S119" s="14"/>
      <c r="T119" s="14"/>
      <c r="U119" s="14"/>
      <c r="V119" s="14"/>
      <c r="W119" s="14"/>
      <c r="X119" s="14"/>
      <c r="Y119" s="14"/>
      <c r="Z119" s="14"/>
      <c r="AA119" s="14"/>
      <c r="AB119" s="14"/>
      <c r="AC119" s="14"/>
      <c r="AD119" s="14"/>
      <c r="AE119" s="14"/>
      <c r="AF119" s="14"/>
      <c r="AG119" s="14"/>
      <c r="AH119" s="14"/>
      <c r="AI119" s="14"/>
      <c r="AJ119" s="14"/>
      <c r="AK119" s="14"/>
      <c r="AL119" s="14"/>
      <c r="AM119" s="14"/>
      <c r="AN119" s="14"/>
      <c r="AO119" s="14"/>
      <c r="AP119" s="14"/>
      <c r="AQ119" s="14"/>
      <c r="AR119" s="14"/>
      <c r="AS119" s="14"/>
      <c r="AT119" s="14"/>
      <c r="AU119" s="14"/>
      <c r="AV119" s="14"/>
      <c r="AW119" s="14"/>
      <c r="AX119" s="14"/>
      <c r="AY119" s="14"/>
      <c r="AZ119" s="14"/>
      <c r="BA119" s="14"/>
      <c r="BB119" s="14"/>
      <c r="BC119" s="14"/>
      <c r="BD119" s="14"/>
      <c r="BE119" s="14"/>
      <c r="BF119" s="14"/>
    </row>
    <row r="120" spans="1:58" ht="17.100000000000001" customHeight="1">
      <c r="A120" s="14"/>
      <c r="B120" s="14"/>
      <c r="C120" s="14"/>
      <c r="D120" s="14"/>
      <c r="E120" s="14"/>
      <c r="F120" s="14"/>
      <c r="G120" s="14"/>
      <c r="H120" s="14"/>
      <c r="I120" s="20"/>
      <c r="J120" s="20"/>
      <c r="K120" s="20"/>
      <c r="L120" s="20"/>
      <c r="M120" s="20"/>
      <c r="N120" s="20"/>
      <c r="O120" s="20"/>
      <c r="P120" s="20"/>
      <c r="Q120" s="20"/>
      <c r="R120" s="84"/>
      <c r="S120" s="14"/>
      <c r="T120" s="14"/>
      <c r="U120" s="14"/>
      <c r="V120" s="14"/>
      <c r="W120" s="14"/>
      <c r="X120" s="14"/>
      <c r="Y120" s="14"/>
      <c r="Z120" s="14"/>
      <c r="AA120" s="14"/>
      <c r="AB120" s="14"/>
      <c r="AC120" s="14"/>
      <c r="AD120" s="14"/>
      <c r="AE120" s="14"/>
      <c r="AF120" s="14"/>
      <c r="AG120" s="14"/>
      <c r="AH120" s="14"/>
      <c r="AI120" s="14"/>
      <c r="AJ120" s="14"/>
      <c r="AK120" s="14"/>
      <c r="AL120" s="14"/>
      <c r="AM120" s="14"/>
      <c r="AN120" s="14"/>
      <c r="AO120" s="14"/>
      <c r="AP120" s="14"/>
      <c r="AQ120" s="14"/>
      <c r="AR120" s="14"/>
      <c r="AS120" s="14"/>
      <c r="AT120" s="14"/>
      <c r="AU120" s="14"/>
      <c r="AV120" s="14"/>
      <c r="AW120" s="14"/>
      <c r="AX120" s="14"/>
      <c r="AY120" s="14"/>
      <c r="AZ120" s="14"/>
      <c r="BA120" s="14"/>
      <c r="BB120" s="14"/>
      <c r="BC120" s="14"/>
      <c r="BD120" s="14"/>
      <c r="BE120" s="14"/>
      <c r="BF120" s="14"/>
    </row>
    <row r="121" spans="1:58" ht="17.100000000000001" customHeight="1">
      <c r="A121" s="14"/>
      <c r="B121" s="14"/>
      <c r="C121" s="14"/>
      <c r="D121" s="14"/>
      <c r="E121" s="14"/>
      <c r="F121" s="14"/>
      <c r="G121" s="14"/>
      <c r="H121" s="14"/>
      <c r="I121" s="20"/>
      <c r="J121" s="20"/>
      <c r="K121" s="20"/>
      <c r="L121" s="20"/>
      <c r="M121" s="20"/>
      <c r="N121" s="20"/>
      <c r="O121" s="20"/>
      <c r="P121" s="20"/>
      <c r="Q121" s="20"/>
      <c r="R121" s="84"/>
      <c r="S121" s="14"/>
      <c r="T121" s="14"/>
      <c r="U121" s="14"/>
      <c r="V121" s="14"/>
      <c r="W121" s="14"/>
      <c r="X121" s="14"/>
      <c r="Y121" s="14"/>
      <c r="Z121" s="14"/>
      <c r="AA121" s="14"/>
      <c r="AB121" s="14"/>
      <c r="AC121" s="14"/>
      <c r="AD121" s="14"/>
      <c r="AE121" s="14"/>
      <c r="AF121" s="14"/>
      <c r="AG121" s="14"/>
      <c r="AH121" s="14"/>
      <c r="AI121" s="14"/>
      <c r="AJ121" s="14"/>
      <c r="AK121" s="14"/>
      <c r="AL121" s="14"/>
      <c r="AM121" s="14"/>
      <c r="AN121" s="14"/>
      <c r="AO121" s="14"/>
      <c r="AP121" s="14"/>
      <c r="AQ121" s="14"/>
      <c r="AR121" s="14"/>
      <c r="AS121" s="14"/>
      <c r="AT121" s="14"/>
      <c r="AU121" s="14"/>
      <c r="AV121" s="14"/>
      <c r="AW121" s="14"/>
      <c r="AX121" s="14"/>
      <c r="AY121" s="14"/>
      <c r="AZ121" s="14"/>
      <c r="BA121" s="14"/>
      <c r="BB121" s="14"/>
      <c r="BC121" s="14"/>
      <c r="BD121" s="14"/>
      <c r="BE121" s="14"/>
      <c r="BF121" s="14"/>
    </row>
    <row r="122" spans="1:58" ht="17.100000000000001" customHeight="1">
      <c r="A122" s="14"/>
      <c r="B122" s="14"/>
      <c r="C122" s="14"/>
      <c r="D122" s="14"/>
      <c r="E122" s="14"/>
      <c r="F122" s="14"/>
      <c r="G122" s="14"/>
      <c r="H122" s="14"/>
      <c r="I122" s="20"/>
      <c r="J122" s="20"/>
      <c r="K122" s="20"/>
      <c r="L122" s="20"/>
      <c r="M122" s="20"/>
      <c r="N122" s="20"/>
      <c r="O122" s="20"/>
      <c r="P122" s="20"/>
      <c r="Q122" s="20"/>
      <c r="R122" s="84"/>
      <c r="S122" s="14"/>
      <c r="T122" s="14"/>
      <c r="U122" s="14"/>
      <c r="V122" s="14"/>
      <c r="W122" s="14"/>
      <c r="X122" s="14"/>
      <c r="Y122" s="14"/>
      <c r="Z122" s="14"/>
      <c r="AA122" s="14"/>
      <c r="AB122" s="14"/>
      <c r="AC122" s="14"/>
      <c r="AD122" s="14"/>
      <c r="AE122" s="14"/>
      <c r="AF122" s="14"/>
      <c r="AG122" s="14"/>
      <c r="AH122" s="14"/>
      <c r="AI122" s="14"/>
      <c r="AJ122" s="14"/>
      <c r="AK122" s="14"/>
      <c r="AL122" s="14"/>
      <c r="AM122" s="14"/>
      <c r="AN122" s="14"/>
      <c r="AO122" s="14"/>
      <c r="AP122" s="14"/>
      <c r="AQ122" s="14"/>
      <c r="AR122" s="14"/>
      <c r="AS122" s="14"/>
      <c r="AT122" s="14"/>
      <c r="AU122" s="14"/>
      <c r="AV122" s="14"/>
      <c r="AW122" s="14"/>
      <c r="AX122" s="14"/>
      <c r="AY122" s="14"/>
      <c r="AZ122" s="14"/>
      <c r="BA122" s="14"/>
      <c r="BB122" s="14"/>
      <c r="BC122" s="14"/>
      <c r="BD122" s="14"/>
      <c r="BE122" s="14"/>
      <c r="BF122" s="14"/>
    </row>
    <row r="123" spans="1:58" ht="17.100000000000001" customHeight="1">
      <c r="A123" s="14"/>
      <c r="B123" s="14"/>
      <c r="C123" s="14"/>
      <c r="D123" s="14"/>
      <c r="E123" s="14"/>
      <c r="F123" s="14"/>
      <c r="G123" s="14"/>
      <c r="H123" s="14"/>
      <c r="I123" s="20"/>
      <c r="J123" s="20"/>
      <c r="K123" s="20"/>
      <c r="L123" s="20"/>
      <c r="M123" s="20"/>
      <c r="N123" s="20"/>
      <c r="O123" s="20"/>
      <c r="P123" s="20"/>
      <c r="Q123" s="20"/>
      <c r="R123" s="84"/>
      <c r="S123" s="14"/>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c r="AS123" s="14"/>
      <c r="AT123" s="14"/>
      <c r="AU123" s="14"/>
      <c r="AV123" s="14"/>
      <c r="AW123" s="14"/>
      <c r="AX123" s="14"/>
      <c r="AY123" s="14"/>
      <c r="AZ123" s="14"/>
      <c r="BA123" s="14"/>
      <c r="BB123" s="14"/>
      <c r="BC123" s="14"/>
      <c r="BD123" s="14"/>
      <c r="BE123" s="14"/>
      <c r="BF123" s="14"/>
    </row>
    <row r="124" spans="1:58" ht="17.100000000000001" customHeight="1">
      <c r="A124" s="14"/>
      <c r="B124" s="14"/>
      <c r="C124" s="14"/>
      <c r="D124" s="14"/>
      <c r="E124" s="14"/>
      <c r="F124" s="14"/>
      <c r="G124" s="14"/>
      <c r="H124" s="14"/>
      <c r="I124" s="20"/>
      <c r="J124" s="20"/>
      <c r="K124" s="20"/>
      <c r="L124" s="20"/>
      <c r="M124" s="20"/>
      <c r="N124" s="20"/>
      <c r="O124" s="20"/>
      <c r="P124" s="20"/>
      <c r="Q124" s="20"/>
      <c r="R124" s="84"/>
      <c r="S124" s="14"/>
      <c r="T124" s="14"/>
      <c r="U124" s="14"/>
      <c r="V124" s="14"/>
      <c r="W124" s="14"/>
      <c r="X124" s="14"/>
      <c r="Y124" s="14"/>
      <c r="Z124" s="14"/>
      <c r="AA124" s="14"/>
      <c r="AB124" s="14"/>
      <c r="AC124" s="14"/>
      <c r="AD124" s="14"/>
      <c r="AE124" s="14"/>
      <c r="AF124" s="14"/>
      <c r="AG124" s="14"/>
      <c r="AH124" s="14"/>
      <c r="AI124" s="14"/>
      <c r="AJ124" s="14"/>
      <c r="AK124" s="14"/>
      <c r="AL124" s="14"/>
      <c r="AM124" s="14"/>
      <c r="AN124" s="14"/>
      <c r="AO124" s="14"/>
      <c r="AP124" s="14"/>
      <c r="AQ124" s="14"/>
      <c r="AR124" s="14"/>
      <c r="AS124" s="14"/>
      <c r="AT124" s="14"/>
      <c r="AU124" s="14"/>
      <c r="AV124" s="14"/>
      <c r="AW124" s="14"/>
      <c r="AX124" s="14"/>
      <c r="AY124" s="14"/>
      <c r="AZ124" s="14"/>
      <c r="BA124" s="14"/>
      <c r="BB124" s="14"/>
      <c r="BC124" s="14"/>
      <c r="BD124" s="14"/>
      <c r="BE124" s="14"/>
      <c r="BF124" s="14"/>
    </row>
    <row r="125" spans="1:58" ht="17.100000000000001" customHeight="1">
      <c r="A125" s="14"/>
      <c r="B125" s="14"/>
      <c r="C125" s="14"/>
      <c r="D125" s="14"/>
      <c r="E125" s="14"/>
      <c r="F125" s="14"/>
      <c r="G125" s="14"/>
      <c r="H125" s="14"/>
      <c r="I125" s="20"/>
      <c r="J125" s="20"/>
      <c r="K125" s="20"/>
      <c r="L125" s="20"/>
      <c r="M125" s="20"/>
      <c r="N125" s="20"/>
      <c r="O125" s="20"/>
      <c r="P125" s="20"/>
      <c r="Q125" s="20"/>
      <c r="R125" s="84"/>
      <c r="S125" s="14"/>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c r="AS125" s="14"/>
      <c r="AT125" s="14"/>
      <c r="AU125" s="14"/>
      <c r="AV125" s="14"/>
      <c r="AW125" s="14"/>
      <c r="AX125" s="14"/>
      <c r="AY125" s="14"/>
      <c r="AZ125" s="14"/>
      <c r="BA125" s="14"/>
      <c r="BB125" s="14"/>
      <c r="BC125" s="14"/>
      <c r="BD125" s="14"/>
      <c r="BE125" s="14"/>
      <c r="BF125" s="14"/>
    </row>
    <row r="126" spans="1:58" ht="17.100000000000001" customHeight="1">
      <c r="A126" s="14"/>
      <c r="B126" s="14"/>
      <c r="C126" s="14"/>
      <c r="D126" s="14"/>
      <c r="E126" s="14"/>
      <c r="F126" s="14"/>
      <c r="G126" s="14"/>
      <c r="H126" s="14"/>
      <c r="I126" s="20"/>
      <c r="J126" s="20"/>
      <c r="K126" s="20"/>
      <c r="L126" s="20"/>
      <c r="M126" s="20"/>
      <c r="N126" s="20"/>
      <c r="O126" s="20"/>
      <c r="P126" s="20"/>
      <c r="Q126" s="20"/>
      <c r="R126" s="84"/>
      <c r="S126" s="14"/>
      <c r="T126" s="14"/>
      <c r="U126" s="14"/>
      <c r="V126" s="14"/>
      <c r="W126" s="14"/>
      <c r="X126" s="14"/>
      <c r="Y126" s="14"/>
      <c r="Z126" s="14"/>
      <c r="AA126" s="14"/>
      <c r="AB126" s="14"/>
      <c r="AC126" s="14"/>
      <c r="AD126" s="14"/>
      <c r="AE126" s="14"/>
      <c r="AF126" s="14"/>
      <c r="AG126" s="14"/>
      <c r="AH126" s="14"/>
      <c r="AI126" s="14"/>
      <c r="AJ126" s="14"/>
      <c r="AK126" s="14"/>
      <c r="AL126" s="14"/>
      <c r="AM126" s="14"/>
      <c r="AN126" s="14"/>
      <c r="AO126" s="14"/>
      <c r="AP126" s="14"/>
      <c r="AQ126" s="14"/>
      <c r="AR126" s="14"/>
      <c r="AS126" s="14"/>
      <c r="AT126" s="14"/>
      <c r="AU126" s="14"/>
      <c r="AV126" s="14"/>
      <c r="AW126" s="14"/>
      <c r="AX126" s="14"/>
      <c r="AY126" s="14"/>
      <c r="AZ126" s="14"/>
      <c r="BA126" s="14"/>
      <c r="BB126" s="14"/>
      <c r="BC126" s="14"/>
      <c r="BD126" s="14"/>
      <c r="BE126" s="14"/>
      <c r="BF126" s="14"/>
    </row>
    <row r="127" spans="1:58" ht="17.100000000000001" customHeight="1">
      <c r="A127" s="14"/>
      <c r="B127" s="14"/>
      <c r="C127" s="14"/>
      <c r="D127" s="14"/>
      <c r="E127" s="14"/>
      <c r="F127" s="14"/>
      <c r="G127" s="14"/>
      <c r="H127" s="14"/>
      <c r="I127" s="20"/>
      <c r="J127" s="20"/>
      <c r="K127" s="20"/>
      <c r="L127" s="20"/>
      <c r="M127" s="20"/>
      <c r="N127" s="20"/>
      <c r="O127" s="20"/>
      <c r="P127" s="20"/>
      <c r="Q127" s="20"/>
      <c r="R127" s="84"/>
      <c r="S127" s="14"/>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c r="AS127" s="14"/>
      <c r="AT127" s="14"/>
      <c r="AU127" s="14"/>
      <c r="AV127" s="14"/>
      <c r="AW127" s="14"/>
      <c r="AX127" s="14"/>
      <c r="AY127" s="14"/>
      <c r="AZ127" s="14"/>
      <c r="BA127" s="14"/>
      <c r="BB127" s="14"/>
      <c r="BC127" s="14"/>
      <c r="BD127" s="14"/>
      <c r="BE127" s="14"/>
      <c r="BF127" s="14"/>
    </row>
    <row r="128" spans="1:58" ht="17.100000000000001" customHeight="1">
      <c r="A128" s="14"/>
      <c r="B128" s="14"/>
      <c r="C128" s="14"/>
      <c r="D128" s="14"/>
      <c r="E128" s="14"/>
      <c r="F128" s="14"/>
      <c r="G128" s="14"/>
      <c r="H128" s="14"/>
      <c r="I128" s="20"/>
      <c r="J128" s="20"/>
      <c r="K128" s="20"/>
      <c r="L128" s="20"/>
      <c r="M128" s="20"/>
      <c r="N128" s="20"/>
      <c r="O128" s="20"/>
      <c r="P128" s="20"/>
      <c r="Q128" s="20"/>
      <c r="R128" s="84"/>
      <c r="S128" s="14"/>
      <c r="T128" s="14"/>
      <c r="U128" s="14"/>
      <c r="V128" s="14"/>
      <c r="W128" s="14"/>
      <c r="X128" s="14"/>
      <c r="Y128" s="14"/>
      <c r="Z128" s="14"/>
      <c r="AA128" s="14"/>
      <c r="AB128" s="14"/>
      <c r="AC128" s="14"/>
      <c r="AD128" s="14"/>
      <c r="AE128" s="14"/>
      <c r="AF128" s="14"/>
      <c r="AG128" s="14"/>
      <c r="AH128" s="14"/>
      <c r="AI128" s="14"/>
      <c r="AJ128" s="14"/>
      <c r="AK128" s="14"/>
      <c r="AL128" s="14"/>
      <c r="AM128" s="14"/>
      <c r="AN128" s="14"/>
      <c r="AO128" s="14"/>
      <c r="AP128" s="14"/>
      <c r="AQ128" s="14"/>
      <c r="AR128" s="14"/>
      <c r="AS128" s="14"/>
      <c r="AT128" s="14"/>
      <c r="AU128" s="14"/>
      <c r="AV128" s="14"/>
      <c r="AW128" s="14"/>
      <c r="AX128" s="14"/>
      <c r="AY128" s="14"/>
      <c r="AZ128" s="14"/>
      <c r="BA128" s="14"/>
      <c r="BB128" s="14"/>
      <c r="BC128" s="14"/>
      <c r="BD128" s="14"/>
      <c r="BE128" s="14"/>
      <c r="BF128" s="14"/>
    </row>
    <row r="129" spans="1:58" ht="17.100000000000001" customHeight="1">
      <c r="A129" s="14"/>
      <c r="B129" s="14"/>
      <c r="C129" s="14"/>
      <c r="D129" s="14"/>
      <c r="E129" s="14"/>
      <c r="F129" s="14"/>
      <c r="G129" s="14"/>
      <c r="H129" s="14"/>
      <c r="I129" s="20"/>
      <c r="J129" s="20"/>
      <c r="K129" s="20"/>
      <c r="L129" s="20"/>
      <c r="M129" s="20"/>
      <c r="N129" s="20"/>
      <c r="O129" s="20"/>
      <c r="P129" s="20"/>
      <c r="Q129" s="20"/>
      <c r="R129" s="84"/>
      <c r="S129" s="14"/>
      <c r="T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c r="AS129" s="14"/>
      <c r="AT129" s="14"/>
      <c r="AU129" s="14"/>
      <c r="AV129" s="14"/>
      <c r="AW129" s="14"/>
      <c r="AX129" s="14"/>
      <c r="AY129" s="14"/>
      <c r="AZ129" s="14"/>
      <c r="BA129" s="14"/>
      <c r="BB129" s="14"/>
      <c r="BC129" s="14"/>
      <c r="BD129" s="14"/>
      <c r="BE129" s="14"/>
      <c r="BF129" s="14"/>
    </row>
    <row r="130" spans="1:58" ht="17.100000000000001" customHeight="1">
      <c r="A130" s="14"/>
      <c r="B130" s="14"/>
      <c r="C130" s="14"/>
      <c r="D130" s="14"/>
      <c r="E130" s="14"/>
      <c r="F130" s="14"/>
      <c r="G130" s="14"/>
      <c r="H130" s="14"/>
      <c r="I130" s="20"/>
      <c r="J130" s="20"/>
      <c r="K130" s="20"/>
      <c r="L130" s="20"/>
      <c r="M130" s="20"/>
      <c r="N130" s="20"/>
      <c r="O130" s="20"/>
      <c r="P130" s="20"/>
      <c r="Q130" s="20"/>
      <c r="R130" s="84"/>
      <c r="S130" s="14"/>
      <c r="T130" s="14"/>
      <c r="U130" s="14"/>
      <c r="V130" s="14"/>
      <c r="W130" s="14"/>
      <c r="X130" s="14"/>
      <c r="Y130" s="14"/>
      <c r="Z130" s="14"/>
      <c r="AA130" s="14"/>
      <c r="AB130" s="14"/>
      <c r="AC130" s="14"/>
      <c r="AD130" s="14"/>
      <c r="AE130" s="14"/>
      <c r="AF130" s="14"/>
      <c r="AG130" s="14"/>
      <c r="AH130" s="14"/>
      <c r="AI130" s="14"/>
      <c r="AJ130" s="14"/>
      <c r="AK130" s="14"/>
      <c r="AL130" s="14"/>
      <c r="AM130" s="14"/>
      <c r="AN130" s="14"/>
      <c r="AO130" s="14"/>
      <c r="AP130" s="14"/>
      <c r="AQ130" s="14"/>
      <c r="AR130" s="14"/>
      <c r="AS130" s="14"/>
      <c r="AT130" s="14"/>
      <c r="AU130" s="14"/>
      <c r="AV130" s="14"/>
      <c r="AW130" s="14"/>
      <c r="AX130" s="14"/>
      <c r="AY130" s="14"/>
      <c r="AZ130" s="14"/>
      <c r="BA130" s="14"/>
      <c r="BB130" s="14"/>
      <c r="BC130" s="14"/>
      <c r="BD130" s="14"/>
      <c r="BE130" s="14"/>
      <c r="BF130" s="14"/>
    </row>
    <row r="131" spans="1:58" ht="17.100000000000001" customHeight="1">
      <c r="A131" s="14"/>
      <c r="B131" s="14"/>
      <c r="C131" s="14"/>
      <c r="D131" s="14"/>
      <c r="E131" s="14"/>
      <c r="F131" s="14"/>
      <c r="G131" s="14"/>
      <c r="H131" s="14"/>
      <c r="I131" s="20"/>
      <c r="J131" s="20"/>
      <c r="K131" s="20"/>
      <c r="L131" s="20"/>
      <c r="M131" s="20"/>
      <c r="N131" s="20"/>
      <c r="O131" s="20"/>
      <c r="P131" s="20"/>
      <c r="Q131" s="20"/>
      <c r="R131" s="84"/>
      <c r="S131" s="14"/>
      <c r="T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c r="AS131" s="14"/>
      <c r="AT131" s="14"/>
      <c r="AU131" s="14"/>
      <c r="AV131" s="14"/>
      <c r="AW131" s="14"/>
      <c r="AX131" s="14"/>
      <c r="AY131" s="14"/>
      <c r="AZ131" s="14"/>
      <c r="BA131" s="14"/>
      <c r="BB131" s="14"/>
      <c r="BC131" s="14"/>
      <c r="BD131" s="14"/>
      <c r="BE131" s="14"/>
      <c r="BF131" s="14"/>
    </row>
    <row r="132" spans="1:58" ht="17.100000000000001" customHeight="1">
      <c r="A132" s="14"/>
      <c r="B132" s="14"/>
      <c r="C132" s="14"/>
      <c r="D132" s="14"/>
      <c r="E132" s="14"/>
      <c r="F132" s="14"/>
      <c r="G132" s="14"/>
      <c r="H132" s="14"/>
      <c r="I132" s="20"/>
      <c r="J132" s="20"/>
      <c r="K132" s="20"/>
      <c r="L132" s="20"/>
      <c r="M132" s="20"/>
      <c r="N132" s="20"/>
      <c r="O132" s="20"/>
      <c r="P132" s="20"/>
      <c r="Q132" s="20"/>
      <c r="R132" s="84"/>
      <c r="S132" s="14"/>
      <c r="T132" s="14"/>
      <c r="U132" s="14"/>
      <c r="V132" s="14"/>
      <c r="W132" s="14"/>
      <c r="X132" s="14"/>
      <c r="Y132" s="14"/>
      <c r="Z132" s="14"/>
      <c r="AA132" s="14"/>
      <c r="AB132" s="14"/>
      <c r="AC132" s="14"/>
      <c r="AD132" s="14"/>
      <c r="AE132" s="14"/>
      <c r="AF132" s="14"/>
      <c r="AG132" s="14"/>
      <c r="AH132" s="14"/>
      <c r="AI132" s="14"/>
      <c r="AJ132" s="14"/>
      <c r="AK132" s="14"/>
      <c r="AL132" s="14"/>
      <c r="AM132" s="14"/>
      <c r="AN132" s="14"/>
      <c r="AO132" s="14"/>
      <c r="AP132" s="14"/>
      <c r="AQ132" s="14"/>
      <c r="AR132" s="14"/>
      <c r="AS132" s="14"/>
      <c r="AT132" s="14"/>
      <c r="AU132" s="14"/>
      <c r="AV132" s="14"/>
      <c r="AW132" s="14"/>
      <c r="AX132" s="14"/>
      <c r="AY132" s="14"/>
      <c r="AZ132" s="14"/>
      <c r="BA132" s="14"/>
      <c r="BB132" s="14"/>
      <c r="BC132" s="14"/>
      <c r="BD132" s="14"/>
      <c r="BE132" s="14"/>
      <c r="BF132" s="14"/>
    </row>
    <row r="133" spans="1:58" ht="17.100000000000001" customHeight="1">
      <c r="A133" s="14"/>
      <c r="B133" s="14"/>
      <c r="C133" s="14"/>
      <c r="D133" s="14"/>
      <c r="E133" s="14"/>
      <c r="F133" s="14"/>
      <c r="G133" s="14"/>
      <c r="H133" s="14"/>
      <c r="I133" s="20"/>
      <c r="J133" s="20"/>
      <c r="K133" s="20"/>
      <c r="L133" s="20"/>
      <c r="M133" s="20"/>
      <c r="N133" s="20"/>
      <c r="O133" s="20"/>
      <c r="P133" s="20"/>
      <c r="Q133" s="20"/>
      <c r="R133" s="84"/>
      <c r="S133" s="14"/>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c r="AS133" s="14"/>
      <c r="AT133" s="14"/>
      <c r="AU133" s="14"/>
      <c r="AV133" s="14"/>
      <c r="AW133" s="14"/>
      <c r="AX133" s="14"/>
      <c r="AY133" s="14"/>
      <c r="AZ133" s="14"/>
      <c r="BA133" s="14"/>
      <c r="BB133" s="14"/>
      <c r="BC133" s="14"/>
      <c r="BD133" s="14"/>
      <c r="BE133" s="14"/>
      <c r="BF133" s="14"/>
    </row>
    <row r="134" spans="1:58" ht="17.100000000000001" customHeight="1">
      <c r="A134" s="14"/>
      <c r="B134" s="14"/>
      <c r="C134" s="14"/>
      <c r="D134" s="14"/>
      <c r="E134" s="14"/>
      <c r="F134" s="14"/>
      <c r="G134" s="14"/>
      <c r="H134" s="14"/>
      <c r="I134" s="20"/>
      <c r="J134" s="20"/>
      <c r="K134" s="20"/>
      <c r="L134" s="20"/>
      <c r="M134" s="20"/>
      <c r="N134" s="20"/>
      <c r="O134" s="20"/>
      <c r="P134" s="20"/>
      <c r="Q134" s="20"/>
      <c r="R134" s="84"/>
      <c r="S134" s="14"/>
      <c r="T134" s="14"/>
      <c r="U134" s="14"/>
      <c r="V134" s="14"/>
      <c r="W134" s="14"/>
      <c r="X134" s="14"/>
      <c r="Y134" s="14"/>
      <c r="Z134" s="14"/>
      <c r="AA134" s="14"/>
      <c r="AB134" s="14"/>
      <c r="AC134" s="14"/>
      <c r="AD134" s="14"/>
      <c r="AE134" s="14"/>
      <c r="AF134" s="14"/>
      <c r="AG134" s="14"/>
      <c r="AH134" s="14"/>
      <c r="AI134" s="14"/>
      <c r="AJ134" s="14"/>
      <c r="AK134" s="14"/>
      <c r="AL134" s="14"/>
      <c r="AM134" s="14"/>
      <c r="AN134" s="14"/>
      <c r="AO134" s="14"/>
      <c r="AP134" s="14"/>
      <c r="AQ134" s="14"/>
      <c r="AR134" s="14"/>
      <c r="AS134" s="14"/>
      <c r="AT134" s="14"/>
      <c r="AU134" s="14"/>
      <c r="AV134" s="14"/>
      <c r="AW134" s="14"/>
      <c r="AX134" s="14"/>
      <c r="AY134" s="14"/>
      <c r="AZ134" s="14"/>
      <c r="BA134" s="14"/>
      <c r="BB134" s="14"/>
      <c r="BC134" s="14"/>
      <c r="BD134" s="14"/>
      <c r="BE134" s="14"/>
      <c r="BF134" s="14"/>
    </row>
    <row r="135" spans="1:58" ht="17.100000000000001" customHeight="1">
      <c r="A135" s="14"/>
      <c r="B135" s="14"/>
      <c r="C135" s="14"/>
      <c r="D135" s="14"/>
      <c r="E135" s="14"/>
      <c r="F135" s="14"/>
      <c r="G135" s="14"/>
      <c r="H135" s="14"/>
      <c r="I135" s="20"/>
      <c r="J135" s="20"/>
      <c r="K135" s="20"/>
      <c r="L135" s="20"/>
      <c r="M135" s="20"/>
      <c r="N135" s="20"/>
      <c r="O135" s="20"/>
      <c r="P135" s="20"/>
      <c r="Q135" s="20"/>
      <c r="R135" s="84"/>
      <c r="S135" s="14"/>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4"/>
      <c r="AQ135" s="14"/>
      <c r="AR135" s="14"/>
      <c r="AS135" s="14"/>
      <c r="AT135" s="14"/>
      <c r="AU135" s="14"/>
      <c r="AV135" s="14"/>
      <c r="AW135" s="14"/>
      <c r="AX135" s="14"/>
      <c r="AY135" s="14"/>
      <c r="AZ135" s="14"/>
      <c r="BA135" s="14"/>
      <c r="BB135" s="14"/>
      <c r="BC135" s="14"/>
      <c r="BD135" s="14"/>
      <c r="BE135" s="14"/>
      <c r="BF135" s="14"/>
    </row>
    <row r="136" spans="1:58" ht="17.100000000000001" customHeight="1">
      <c r="A136" s="14"/>
      <c r="B136" s="14"/>
      <c r="C136" s="14"/>
      <c r="D136" s="14"/>
      <c r="E136" s="14"/>
      <c r="F136" s="14"/>
      <c r="G136" s="14"/>
      <c r="H136" s="14"/>
      <c r="I136" s="20"/>
      <c r="J136" s="20"/>
      <c r="K136" s="20"/>
      <c r="L136" s="20"/>
      <c r="M136" s="20"/>
      <c r="N136" s="20"/>
      <c r="O136" s="20"/>
      <c r="P136" s="20"/>
      <c r="Q136" s="20"/>
      <c r="R136" s="84"/>
      <c r="S136" s="14"/>
      <c r="T136" s="14"/>
      <c r="U136" s="14"/>
      <c r="V136" s="14"/>
      <c r="W136" s="14"/>
      <c r="X136" s="14"/>
      <c r="Y136" s="14"/>
      <c r="Z136" s="14"/>
      <c r="AA136" s="14"/>
      <c r="AB136" s="14"/>
      <c r="AC136" s="14"/>
      <c r="AD136" s="14"/>
      <c r="AE136" s="14"/>
      <c r="AF136" s="14"/>
      <c r="AG136" s="14"/>
      <c r="AH136" s="14"/>
      <c r="AI136" s="14"/>
      <c r="AJ136" s="14"/>
      <c r="AK136" s="14"/>
      <c r="AL136" s="14"/>
      <c r="AM136" s="14"/>
      <c r="AN136" s="14"/>
      <c r="AO136" s="14"/>
      <c r="AP136" s="14"/>
      <c r="AQ136" s="14"/>
      <c r="AR136" s="14"/>
      <c r="AS136" s="14"/>
      <c r="AT136" s="14"/>
      <c r="AU136" s="14"/>
      <c r="AV136" s="14"/>
      <c r="AW136" s="14"/>
      <c r="AX136" s="14"/>
      <c r="AY136" s="14"/>
      <c r="AZ136" s="14"/>
      <c r="BA136" s="14"/>
      <c r="BB136" s="14"/>
      <c r="BC136" s="14"/>
      <c r="BD136" s="14"/>
      <c r="BE136" s="14"/>
      <c r="BF136" s="14"/>
    </row>
    <row r="137" spans="1:58" ht="17.100000000000001" customHeight="1">
      <c r="A137" s="14"/>
      <c r="B137" s="14"/>
      <c r="C137" s="14"/>
      <c r="D137" s="14"/>
      <c r="E137" s="14"/>
      <c r="F137" s="14"/>
      <c r="G137" s="14"/>
      <c r="H137" s="14"/>
      <c r="I137" s="20"/>
      <c r="J137" s="20"/>
      <c r="K137" s="20"/>
      <c r="L137" s="20"/>
      <c r="M137" s="20"/>
      <c r="N137" s="20"/>
      <c r="O137" s="20"/>
      <c r="P137" s="20"/>
      <c r="Q137" s="20"/>
      <c r="R137" s="84"/>
      <c r="S137" s="14"/>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c r="AS137" s="14"/>
      <c r="AT137" s="14"/>
      <c r="AU137" s="14"/>
      <c r="AV137" s="14"/>
      <c r="AW137" s="14"/>
      <c r="AX137" s="14"/>
      <c r="AY137" s="14"/>
      <c r="AZ137" s="14"/>
      <c r="BA137" s="14"/>
      <c r="BB137" s="14"/>
      <c r="BC137" s="14"/>
      <c r="BD137" s="14"/>
      <c r="BE137" s="14"/>
      <c r="BF137" s="14"/>
    </row>
    <row r="138" spans="1:58" ht="17.100000000000001" customHeight="1">
      <c r="A138" s="14"/>
      <c r="B138" s="14"/>
      <c r="C138" s="14"/>
      <c r="D138" s="14"/>
      <c r="E138" s="14"/>
      <c r="F138" s="14"/>
      <c r="G138" s="14"/>
      <c r="H138" s="14"/>
      <c r="I138" s="20"/>
      <c r="J138" s="20"/>
      <c r="K138" s="20"/>
      <c r="L138" s="20"/>
      <c r="M138" s="20"/>
      <c r="N138" s="20"/>
      <c r="O138" s="20"/>
      <c r="P138" s="20"/>
      <c r="Q138" s="20"/>
      <c r="R138" s="84"/>
      <c r="S138" s="14"/>
      <c r="T138" s="14"/>
      <c r="U138" s="14"/>
      <c r="V138" s="14"/>
      <c r="W138" s="14"/>
      <c r="X138" s="14"/>
      <c r="Y138" s="14"/>
      <c r="Z138" s="14"/>
      <c r="AA138" s="14"/>
      <c r="AB138" s="14"/>
      <c r="AC138" s="14"/>
      <c r="AD138" s="14"/>
      <c r="AE138" s="14"/>
      <c r="AF138" s="14"/>
      <c r="AG138" s="14"/>
      <c r="AH138" s="14"/>
      <c r="AI138" s="14"/>
      <c r="AJ138" s="14"/>
      <c r="AK138" s="14"/>
      <c r="AL138" s="14"/>
      <c r="AM138" s="14"/>
      <c r="AN138" s="14"/>
      <c r="AO138" s="14"/>
      <c r="AP138" s="14"/>
      <c r="AQ138" s="14"/>
      <c r="AR138" s="14"/>
      <c r="AS138" s="14"/>
      <c r="AT138" s="14"/>
      <c r="AU138" s="14"/>
      <c r="AV138" s="14"/>
      <c r="AW138" s="14"/>
      <c r="AX138" s="14"/>
      <c r="AY138" s="14"/>
      <c r="AZ138" s="14"/>
      <c r="BA138" s="14"/>
      <c r="BB138" s="14"/>
      <c r="BC138" s="14"/>
      <c r="BD138" s="14"/>
      <c r="BE138" s="14"/>
      <c r="BF138" s="14"/>
    </row>
    <row r="139" spans="1:58" ht="17.100000000000001" customHeight="1">
      <c r="A139" s="14"/>
      <c r="B139" s="14"/>
      <c r="C139" s="14"/>
      <c r="D139" s="14"/>
      <c r="E139" s="14"/>
      <c r="F139" s="14"/>
      <c r="G139" s="14"/>
      <c r="H139" s="14"/>
      <c r="I139" s="20"/>
      <c r="J139" s="20"/>
      <c r="K139" s="20"/>
      <c r="L139" s="20"/>
      <c r="M139" s="20"/>
      <c r="N139" s="20"/>
      <c r="O139" s="20"/>
      <c r="P139" s="20"/>
      <c r="Q139" s="20"/>
      <c r="R139" s="84"/>
      <c r="S139" s="14"/>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c r="AS139" s="14"/>
      <c r="AT139" s="14"/>
      <c r="AU139" s="14"/>
      <c r="AV139" s="14"/>
      <c r="AW139" s="14"/>
      <c r="AX139" s="14"/>
      <c r="AY139" s="14"/>
      <c r="AZ139" s="14"/>
      <c r="BA139" s="14"/>
      <c r="BB139" s="14"/>
      <c r="BC139" s="14"/>
      <c r="BD139" s="14"/>
      <c r="BE139" s="14"/>
      <c r="BF139" s="14"/>
    </row>
    <row r="140" spans="1:58" ht="17.100000000000001" customHeight="1">
      <c r="A140" s="14"/>
      <c r="B140" s="14"/>
      <c r="C140" s="14"/>
      <c r="D140" s="14"/>
      <c r="E140" s="14"/>
      <c r="F140" s="14"/>
      <c r="G140" s="14"/>
      <c r="H140" s="14"/>
      <c r="I140" s="20"/>
      <c r="J140" s="20"/>
      <c r="K140" s="20"/>
      <c r="L140" s="20"/>
      <c r="M140" s="20"/>
      <c r="N140" s="20"/>
      <c r="O140" s="20"/>
      <c r="P140" s="20"/>
      <c r="Q140" s="20"/>
      <c r="R140" s="84"/>
      <c r="S140" s="14"/>
      <c r="T140" s="14"/>
      <c r="U140" s="14"/>
      <c r="V140" s="14"/>
      <c r="W140" s="14"/>
      <c r="X140" s="14"/>
      <c r="Y140" s="14"/>
      <c r="Z140" s="14"/>
      <c r="AA140" s="14"/>
      <c r="AB140" s="14"/>
      <c r="AC140" s="14"/>
      <c r="AD140" s="14"/>
      <c r="AE140" s="14"/>
      <c r="AF140" s="14"/>
      <c r="AG140" s="14"/>
      <c r="AH140" s="14"/>
      <c r="AI140" s="14"/>
      <c r="AJ140" s="14"/>
      <c r="AK140" s="14"/>
      <c r="AL140" s="14"/>
      <c r="AM140" s="14"/>
      <c r="AN140" s="14"/>
      <c r="AO140" s="14"/>
      <c r="AP140" s="14"/>
      <c r="AQ140" s="14"/>
      <c r="AR140" s="14"/>
      <c r="AS140" s="14"/>
      <c r="AT140" s="14"/>
      <c r="AU140" s="14"/>
      <c r="AV140" s="14"/>
      <c r="AW140" s="14"/>
      <c r="AX140" s="14"/>
      <c r="AY140" s="14"/>
      <c r="AZ140" s="14"/>
      <c r="BA140" s="14"/>
      <c r="BB140" s="14"/>
      <c r="BC140" s="14"/>
      <c r="BD140" s="14"/>
      <c r="BE140" s="14"/>
      <c r="BF140" s="14"/>
    </row>
    <row r="141" spans="1:58" ht="17.100000000000001" customHeight="1">
      <c r="A141" s="14"/>
      <c r="B141" s="14"/>
      <c r="C141" s="14"/>
      <c r="D141" s="14"/>
      <c r="E141" s="14"/>
      <c r="F141" s="14"/>
      <c r="G141" s="14"/>
      <c r="H141" s="14"/>
      <c r="I141" s="20"/>
      <c r="J141" s="20"/>
      <c r="K141" s="20"/>
      <c r="L141" s="20"/>
      <c r="M141" s="20"/>
      <c r="N141" s="20"/>
      <c r="O141" s="20"/>
      <c r="P141" s="20"/>
      <c r="Q141" s="20"/>
      <c r="R141" s="84"/>
      <c r="S141" s="14"/>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c r="AS141" s="14"/>
      <c r="AT141" s="14"/>
      <c r="AU141" s="14"/>
      <c r="AV141" s="14"/>
      <c r="AW141" s="14"/>
      <c r="AX141" s="14"/>
      <c r="AY141" s="14"/>
      <c r="AZ141" s="14"/>
      <c r="BA141" s="14"/>
      <c r="BB141" s="14"/>
      <c r="BC141" s="14"/>
      <c r="BD141" s="14"/>
      <c r="BE141" s="14"/>
      <c r="BF141" s="14"/>
    </row>
    <row r="142" spans="1:58" ht="17.100000000000001" customHeight="1">
      <c r="A142" s="14"/>
      <c r="B142" s="14"/>
      <c r="C142" s="14"/>
      <c r="D142" s="14"/>
      <c r="E142" s="14"/>
      <c r="F142" s="14"/>
      <c r="G142" s="14"/>
      <c r="H142" s="14"/>
      <c r="I142" s="20"/>
      <c r="J142" s="20"/>
      <c r="K142" s="20"/>
      <c r="L142" s="20"/>
      <c r="M142" s="20"/>
      <c r="N142" s="20"/>
      <c r="O142" s="20"/>
      <c r="P142" s="20"/>
      <c r="Q142" s="20"/>
      <c r="R142" s="84"/>
      <c r="S142" s="14"/>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c r="AV142" s="14"/>
      <c r="AW142" s="14"/>
      <c r="AX142" s="14"/>
      <c r="AY142" s="14"/>
      <c r="AZ142" s="14"/>
      <c r="BA142" s="14"/>
      <c r="BB142" s="14"/>
      <c r="BC142" s="14"/>
      <c r="BD142" s="14"/>
      <c r="BE142" s="14"/>
      <c r="BF142" s="14"/>
    </row>
    <row r="143" spans="1:58" ht="17.100000000000001" customHeight="1">
      <c r="A143" s="14"/>
      <c r="B143" s="14"/>
      <c r="C143" s="14"/>
      <c r="D143" s="14"/>
      <c r="E143" s="14"/>
      <c r="F143" s="14"/>
      <c r="G143" s="14"/>
      <c r="H143" s="14"/>
      <c r="I143" s="20"/>
      <c r="J143" s="20"/>
      <c r="K143" s="20"/>
      <c r="L143" s="20"/>
      <c r="M143" s="20"/>
      <c r="N143" s="20"/>
      <c r="O143" s="20"/>
      <c r="P143" s="20"/>
      <c r="Q143" s="20"/>
      <c r="R143" s="84"/>
      <c r="S143" s="14"/>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c r="AS143" s="14"/>
      <c r="AT143" s="14"/>
      <c r="AU143" s="14"/>
      <c r="AV143" s="14"/>
      <c r="AW143" s="14"/>
      <c r="AX143" s="14"/>
      <c r="AY143" s="14"/>
      <c r="AZ143" s="14"/>
      <c r="BA143" s="14"/>
      <c r="BB143" s="14"/>
      <c r="BC143" s="14"/>
      <c r="BD143" s="14"/>
      <c r="BE143" s="14"/>
      <c r="BF143" s="14"/>
    </row>
    <row r="144" spans="1:58" ht="17.100000000000001" customHeight="1">
      <c r="A144" s="14"/>
      <c r="B144" s="14"/>
      <c r="C144" s="14"/>
      <c r="D144" s="14"/>
      <c r="E144" s="14"/>
      <c r="F144" s="14"/>
      <c r="G144" s="14"/>
      <c r="H144" s="14"/>
      <c r="I144" s="20"/>
      <c r="J144" s="20"/>
      <c r="K144" s="20"/>
      <c r="L144" s="20"/>
      <c r="M144" s="20"/>
      <c r="N144" s="20"/>
      <c r="O144" s="20"/>
      <c r="P144" s="20"/>
      <c r="Q144" s="20"/>
      <c r="R144" s="84"/>
      <c r="S144" s="14"/>
      <c r="T144" s="14"/>
      <c r="U144" s="14"/>
      <c r="V144" s="14"/>
      <c r="W144" s="14"/>
      <c r="X144" s="14"/>
      <c r="Y144" s="14"/>
      <c r="Z144" s="14"/>
      <c r="AA144" s="14"/>
      <c r="AB144" s="14"/>
      <c r="AC144" s="14"/>
      <c r="AD144" s="14"/>
      <c r="AE144" s="14"/>
      <c r="AF144" s="14"/>
      <c r="AG144" s="14"/>
      <c r="AH144" s="14"/>
      <c r="AI144" s="14"/>
      <c r="AJ144" s="14"/>
      <c r="AK144" s="14"/>
      <c r="AL144" s="14"/>
      <c r="AM144" s="14"/>
      <c r="AN144" s="14"/>
      <c r="AO144" s="14"/>
      <c r="AP144" s="14"/>
      <c r="AQ144" s="14"/>
      <c r="AR144" s="14"/>
      <c r="AS144" s="14"/>
      <c r="AT144" s="14"/>
      <c r="AU144" s="14"/>
      <c r="AV144" s="14"/>
      <c r="AW144" s="14"/>
      <c r="AX144" s="14"/>
      <c r="AY144" s="14"/>
      <c r="AZ144" s="14"/>
      <c r="BA144" s="14"/>
      <c r="BB144" s="14"/>
      <c r="BC144" s="14"/>
      <c r="BD144" s="14"/>
      <c r="BE144" s="14"/>
      <c r="BF144" s="14"/>
    </row>
    <row r="145" spans="1:58" ht="17.100000000000001" customHeight="1">
      <c r="A145" s="14"/>
      <c r="B145" s="14"/>
      <c r="C145" s="14"/>
      <c r="D145" s="14"/>
      <c r="E145" s="14"/>
      <c r="F145" s="14"/>
      <c r="G145" s="14"/>
      <c r="H145" s="14"/>
      <c r="I145" s="20"/>
      <c r="J145" s="20"/>
      <c r="K145" s="20"/>
      <c r="L145" s="20"/>
      <c r="M145" s="20"/>
      <c r="N145" s="20"/>
      <c r="O145" s="20"/>
      <c r="P145" s="20"/>
      <c r="Q145" s="20"/>
      <c r="R145" s="84"/>
      <c r="S145" s="14"/>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c r="AS145" s="14"/>
      <c r="AT145" s="14"/>
      <c r="AU145" s="14"/>
      <c r="AV145" s="14"/>
      <c r="AW145" s="14"/>
      <c r="AX145" s="14"/>
      <c r="AY145" s="14"/>
      <c r="AZ145" s="14"/>
      <c r="BA145" s="14"/>
      <c r="BB145" s="14"/>
      <c r="BC145" s="14"/>
      <c r="BD145" s="14"/>
      <c r="BE145" s="14"/>
      <c r="BF145" s="14"/>
    </row>
    <row r="146" spans="1:58" ht="17.100000000000001" customHeight="1">
      <c r="A146" s="14"/>
      <c r="B146" s="14"/>
      <c r="C146" s="14"/>
      <c r="D146" s="14"/>
      <c r="E146" s="14"/>
      <c r="F146" s="14"/>
      <c r="G146" s="14"/>
      <c r="H146" s="14"/>
      <c r="I146" s="20"/>
      <c r="J146" s="20"/>
      <c r="K146" s="20"/>
      <c r="L146" s="20"/>
      <c r="M146" s="20"/>
      <c r="N146" s="20"/>
      <c r="O146" s="20"/>
      <c r="P146" s="20"/>
      <c r="Q146" s="20"/>
      <c r="R146" s="84"/>
      <c r="S146" s="14"/>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c r="AR146" s="14"/>
      <c r="AS146" s="14"/>
      <c r="AT146" s="14"/>
      <c r="AU146" s="14"/>
      <c r="AV146" s="14"/>
      <c r="AW146" s="14"/>
      <c r="AX146" s="14"/>
      <c r="AY146" s="14"/>
      <c r="AZ146" s="14"/>
      <c r="BA146" s="14"/>
      <c r="BB146" s="14"/>
      <c r="BC146" s="14"/>
      <c r="BD146" s="14"/>
      <c r="BE146" s="14"/>
      <c r="BF146" s="14"/>
    </row>
    <row r="147" spans="1:58" ht="17.100000000000001" customHeight="1">
      <c r="A147" s="14"/>
      <c r="B147" s="14"/>
      <c r="C147" s="14"/>
      <c r="D147" s="14"/>
      <c r="E147" s="14"/>
      <c r="F147" s="14"/>
      <c r="G147" s="14"/>
      <c r="H147" s="14"/>
      <c r="I147" s="20"/>
      <c r="J147" s="20"/>
      <c r="K147" s="20"/>
      <c r="L147" s="20"/>
      <c r="M147" s="20"/>
      <c r="N147" s="20"/>
      <c r="O147" s="20"/>
      <c r="P147" s="20"/>
      <c r="Q147" s="20"/>
      <c r="R147" s="84"/>
      <c r="S147" s="14"/>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c r="AS147" s="14"/>
      <c r="AT147" s="14"/>
      <c r="AU147" s="14"/>
      <c r="AV147" s="14"/>
      <c r="AW147" s="14"/>
      <c r="AX147" s="14"/>
      <c r="AY147" s="14"/>
      <c r="AZ147" s="14"/>
      <c r="BA147" s="14"/>
      <c r="BB147" s="14"/>
      <c r="BC147" s="14"/>
      <c r="BD147" s="14"/>
      <c r="BE147" s="14"/>
      <c r="BF147" s="14"/>
    </row>
    <row r="148" spans="1:58" ht="17.100000000000001" customHeight="1">
      <c r="A148" s="14"/>
      <c r="B148" s="14"/>
      <c r="C148" s="14"/>
      <c r="D148" s="14"/>
      <c r="E148" s="14"/>
      <c r="F148" s="14"/>
      <c r="G148" s="14"/>
      <c r="H148" s="14"/>
      <c r="I148" s="20"/>
      <c r="J148" s="20"/>
      <c r="K148" s="20"/>
      <c r="L148" s="20"/>
      <c r="M148" s="20"/>
      <c r="N148" s="20"/>
      <c r="O148" s="20"/>
      <c r="P148" s="20"/>
      <c r="Q148" s="20"/>
      <c r="R148" s="84"/>
      <c r="S148" s="14"/>
      <c r="T148" s="14"/>
      <c r="U148" s="14"/>
      <c r="V148" s="14"/>
      <c r="W148" s="14"/>
      <c r="X148" s="14"/>
      <c r="Y148" s="14"/>
      <c r="Z148" s="14"/>
      <c r="AA148" s="14"/>
      <c r="AB148" s="14"/>
      <c r="AC148" s="14"/>
      <c r="AD148" s="14"/>
      <c r="AE148" s="14"/>
      <c r="AF148" s="14"/>
      <c r="AG148" s="14"/>
      <c r="AH148" s="14"/>
      <c r="AI148" s="14"/>
      <c r="AJ148" s="14"/>
      <c r="AK148" s="14"/>
      <c r="AL148" s="14"/>
      <c r="AM148" s="14"/>
      <c r="AN148" s="14"/>
      <c r="AO148" s="14"/>
      <c r="AP148" s="14"/>
      <c r="AQ148" s="14"/>
      <c r="AR148" s="14"/>
      <c r="AS148" s="14"/>
      <c r="AT148" s="14"/>
      <c r="AU148" s="14"/>
      <c r="AV148" s="14"/>
      <c r="AW148" s="14"/>
      <c r="AX148" s="14"/>
      <c r="AY148" s="14"/>
      <c r="AZ148" s="14"/>
      <c r="BA148" s="14"/>
      <c r="BB148" s="14"/>
      <c r="BC148" s="14"/>
      <c r="BD148" s="14"/>
      <c r="BE148" s="14"/>
      <c r="BF148" s="14"/>
    </row>
    <row r="149" spans="1:58" ht="17.100000000000001" customHeight="1">
      <c r="A149" s="14"/>
      <c r="B149" s="14"/>
      <c r="C149" s="14"/>
      <c r="D149" s="14"/>
      <c r="E149" s="14"/>
      <c r="F149" s="14"/>
      <c r="G149" s="14"/>
      <c r="H149" s="14"/>
      <c r="I149" s="20"/>
      <c r="J149" s="20"/>
      <c r="K149" s="20"/>
      <c r="L149" s="20"/>
      <c r="M149" s="20"/>
      <c r="N149" s="20"/>
      <c r="O149" s="20"/>
      <c r="P149" s="20"/>
      <c r="Q149" s="20"/>
      <c r="R149" s="84"/>
      <c r="S149" s="14"/>
      <c r="T149" s="14"/>
      <c r="U149" s="14"/>
      <c r="V149" s="14"/>
      <c r="W149" s="14"/>
      <c r="X149" s="14"/>
      <c r="Y149" s="14"/>
      <c r="Z149" s="14"/>
      <c r="AA149" s="14"/>
      <c r="AB149" s="14"/>
      <c r="AC149" s="14"/>
      <c r="AD149" s="14"/>
      <c r="AE149" s="14"/>
      <c r="AF149" s="14"/>
      <c r="AG149" s="14"/>
      <c r="AH149" s="14"/>
      <c r="AI149" s="14"/>
      <c r="AJ149" s="14"/>
      <c r="AK149" s="14"/>
      <c r="AL149" s="14"/>
      <c r="AM149" s="14"/>
      <c r="AN149" s="14"/>
      <c r="AO149" s="14"/>
      <c r="AP149" s="14"/>
      <c r="AQ149" s="14"/>
      <c r="AR149" s="14"/>
      <c r="AS149" s="14"/>
      <c r="AT149" s="14"/>
      <c r="AU149" s="14"/>
      <c r="AV149" s="14"/>
      <c r="AW149" s="14"/>
      <c r="AX149" s="14"/>
      <c r="AY149" s="14"/>
      <c r="AZ149" s="14"/>
      <c r="BA149" s="14"/>
      <c r="BB149" s="14"/>
      <c r="BC149" s="14"/>
      <c r="BD149" s="14"/>
      <c r="BE149" s="14"/>
      <c r="BF149" s="14"/>
    </row>
    <row r="150" spans="1:58" ht="17.100000000000001" customHeight="1">
      <c r="A150" s="14"/>
      <c r="B150" s="14"/>
      <c r="C150" s="14"/>
      <c r="D150" s="14"/>
      <c r="E150" s="14"/>
      <c r="F150" s="14"/>
      <c r="G150" s="14"/>
      <c r="H150" s="14"/>
      <c r="I150" s="20"/>
      <c r="J150" s="20"/>
      <c r="K150" s="20"/>
      <c r="L150" s="20"/>
      <c r="M150" s="20"/>
      <c r="N150" s="20"/>
      <c r="O150" s="20"/>
      <c r="P150" s="20"/>
      <c r="Q150" s="20"/>
      <c r="R150" s="84"/>
      <c r="S150" s="14"/>
      <c r="T150" s="14"/>
      <c r="U150" s="14"/>
      <c r="V150" s="14"/>
      <c r="W150" s="14"/>
      <c r="X150" s="14"/>
      <c r="Y150" s="14"/>
      <c r="Z150" s="14"/>
      <c r="AA150" s="14"/>
      <c r="AB150" s="14"/>
      <c r="AC150" s="14"/>
      <c r="AD150" s="14"/>
      <c r="AE150" s="14"/>
      <c r="AF150" s="14"/>
      <c r="AG150" s="14"/>
      <c r="AH150" s="14"/>
      <c r="AI150" s="14"/>
      <c r="AJ150" s="14"/>
      <c r="AK150" s="14"/>
      <c r="AL150" s="14"/>
      <c r="AM150" s="14"/>
      <c r="AN150" s="14"/>
      <c r="AO150" s="14"/>
      <c r="AP150" s="14"/>
      <c r="AQ150" s="14"/>
      <c r="AR150" s="14"/>
      <c r="AS150" s="14"/>
      <c r="AT150" s="14"/>
      <c r="AU150" s="14"/>
      <c r="AV150" s="14"/>
      <c r="AW150" s="14"/>
      <c r="AX150" s="14"/>
      <c r="AY150" s="14"/>
      <c r="AZ150" s="14"/>
      <c r="BA150" s="14"/>
      <c r="BB150" s="14"/>
      <c r="BC150" s="14"/>
      <c r="BD150" s="14"/>
      <c r="BE150" s="14"/>
      <c r="BF150" s="14"/>
    </row>
    <row r="151" spans="1:58" ht="17.100000000000001" customHeight="1">
      <c r="A151" s="14"/>
      <c r="B151" s="14"/>
      <c r="C151" s="14"/>
      <c r="D151" s="14"/>
      <c r="E151" s="14"/>
      <c r="F151" s="14"/>
      <c r="G151" s="14"/>
      <c r="H151" s="14"/>
      <c r="I151" s="20"/>
      <c r="J151" s="20"/>
      <c r="K151" s="20"/>
      <c r="L151" s="20"/>
      <c r="M151" s="20"/>
      <c r="N151" s="20"/>
      <c r="O151" s="20"/>
      <c r="P151" s="20"/>
      <c r="Q151" s="20"/>
      <c r="R151" s="84"/>
      <c r="S151" s="14"/>
      <c r="T151" s="14"/>
      <c r="U151" s="14"/>
      <c r="V151" s="14"/>
      <c r="W151" s="14"/>
      <c r="X151" s="14"/>
      <c r="Y151" s="14"/>
      <c r="Z151" s="14"/>
      <c r="AA151" s="14"/>
      <c r="AB151" s="14"/>
      <c r="AC151" s="14"/>
      <c r="AD151" s="14"/>
      <c r="AE151" s="14"/>
      <c r="AF151" s="14"/>
      <c r="AG151" s="14"/>
      <c r="AH151" s="14"/>
      <c r="AI151" s="14"/>
      <c r="AJ151" s="14"/>
      <c r="AK151" s="14"/>
      <c r="AL151" s="14"/>
      <c r="AM151" s="14"/>
      <c r="AN151" s="14"/>
      <c r="AO151" s="14"/>
      <c r="AP151" s="14"/>
      <c r="AQ151" s="14"/>
      <c r="AR151" s="14"/>
      <c r="AS151" s="14"/>
      <c r="AT151" s="14"/>
      <c r="AU151" s="14"/>
      <c r="AV151" s="14"/>
      <c r="AW151" s="14"/>
      <c r="AX151" s="14"/>
      <c r="AY151" s="14"/>
      <c r="AZ151" s="14"/>
      <c r="BA151" s="14"/>
      <c r="BB151" s="14"/>
      <c r="BC151" s="14"/>
      <c r="BD151" s="14"/>
      <c r="BE151" s="14"/>
      <c r="BF151" s="14"/>
    </row>
    <row r="152" spans="1:58" ht="17.100000000000001" customHeight="1">
      <c r="A152" s="14"/>
      <c r="B152" s="14"/>
      <c r="C152" s="14"/>
      <c r="D152" s="14"/>
      <c r="E152" s="14"/>
      <c r="F152" s="14"/>
      <c r="G152" s="14"/>
      <c r="H152" s="14"/>
      <c r="I152" s="20"/>
      <c r="J152" s="20"/>
      <c r="K152" s="20"/>
      <c r="L152" s="20"/>
      <c r="M152" s="20"/>
      <c r="N152" s="20"/>
      <c r="O152" s="20"/>
      <c r="P152" s="20"/>
      <c r="Q152" s="20"/>
      <c r="R152" s="84"/>
      <c r="S152" s="14"/>
      <c r="T152" s="14"/>
      <c r="U152" s="14"/>
      <c r="V152" s="14"/>
      <c r="W152" s="14"/>
      <c r="X152" s="14"/>
      <c r="Y152" s="14"/>
      <c r="Z152" s="14"/>
      <c r="AA152" s="14"/>
      <c r="AB152" s="14"/>
      <c r="AC152" s="14"/>
      <c r="AD152" s="14"/>
      <c r="AE152" s="14"/>
      <c r="AF152" s="14"/>
      <c r="AG152" s="14"/>
      <c r="AH152" s="14"/>
      <c r="AI152" s="14"/>
      <c r="AJ152" s="14"/>
      <c r="AK152" s="14"/>
      <c r="AL152" s="14"/>
      <c r="AM152" s="14"/>
      <c r="AN152" s="14"/>
      <c r="AO152" s="14"/>
      <c r="AP152" s="14"/>
      <c r="AQ152" s="14"/>
      <c r="AR152" s="14"/>
      <c r="AS152" s="14"/>
      <c r="AT152" s="14"/>
      <c r="AU152" s="14"/>
      <c r="AV152" s="14"/>
      <c r="AW152" s="14"/>
      <c r="AX152" s="14"/>
      <c r="AY152" s="14"/>
      <c r="AZ152" s="14"/>
      <c r="BA152" s="14"/>
      <c r="BB152" s="14"/>
      <c r="BC152" s="14"/>
      <c r="BD152" s="14"/>
      <c r="BE152" s="14"/>
      <c r="BF152" s="14"/>
    </row>
    <row r="153" spans="1:58" ht="17.100000000000001" customHeight="1">
      <c r="A153" s="14"/>
      <c r="B153" s="14"/>
      <c r="C153" s="14"/>
      <c r="D153" s="14"/>
      <c r="E153" s="14"/>
      <c r="F153" s="14"/>
      <c r="G153" s="14"/>
      <c r="H153" s="14"/>
      <c r="I153" s="20"/>
      <c r="J153" s="20"/>
      <c r="K153" s="20"/>
      <c r="L153" s="20"/>
      <c r="M153" s="20"/>
      <c r="N153" s="20"/>
      <c r="O153" s="20"/>
      <c r="P153" s="20"/>
      <c r="Q153" s="20"/>
      <c r="R153" s="84"/>
      <c r="S153" s="14"/>
      <c r="T153" s="14"/>
      <c r="U153" s="14"/>
      <c r="V153" s="14"/>
      <c r="W153" s="14"/>
      <c r="X153" s="14"/>
      <c r="Y153" s="14"/>
      <c r="Z153" s="14"/>
      <c r="AA153" s="14"/>
      <c r="AB153" s="14"/>
      <c r="AC153" s="14"/>
      <c r="AD153" s="14"/>
      <c r="AE153" s="14"/>
      <c r="AF153" s="14"/>
      <c r="AG153" s="14"/>
      <c r="AH153" s="14"/>
      <c r="AI153" s="14"/>
      <c r="AJ153" s="14"/>
      <c r="AK153" s="14"/>
      <c r="AL153" s="14"/>
      <c r="AM153" s="14"/>
      <c r="AN153" s="14"/>
      <c r="AO153" s="14"/>
      <c r="AP153" s="14"/>
      <c r="AQ153" s="14"/>
      <c r="AR153" s="14"/>
      <c r="AS153" s="14"/>
      <c r="AT153" s="14"/>
      <c r="AU153" s="14"/>
      <c r="AV153" s="14"/>
      <c r="AW153" s="14"/>
      <c r="AX153" s="14"/>
      <c r="AY153" s="14"/>
      <c r="AZ153" s="14"/>
      <c r="BA153" s="14"/>
      <c r="BB153" s="14"/>
      <c r="BC153" s="14"/>
      <c r="BD153" s="14"/>
      <c r="BE153" s="14"/>
      <c r="BF153" s="14"/>
    </row>
    <row r="154" spans="1:58" ht="17.100000000000001" customHeight="1">
      <c r="A154" s="14"/>
      <c r="B154" s="14"/>
      <c r="C154" s="14"/>
      <c r="D154" s="14"/>
      <c r="E154" s="14"/>
      <c r="F154" s="14"/>
      <c r="G154" s="14"/>
      <c r="H154" s="14"/>
      <c r="I154" s="20"/>
      <c r="J154" s="20"/>
      <c r="K154" s="20"/>
      <c r="L154" s="20"/>
      <c r="M154" s="20"/>
      <c r="N154" s="20"/>
      <c r="O154" s="20"/>
      <c r="P154" s="20"/>
      <c r="Q154" s="20"/>
      <c r="R154" s="84"/>
      <c r="S154" s="14"/>
      <c r="T154" s="14"/>
      <c r="U154" s="14"/>
      <c r="V154" s="14"/>
      <c r="W154" s="14"/>
      <c r="X154" s="14"/>
      <c r="Y154" s="14"/>
      <c r="Z154" s="14"/>
      <c r="AA154" s="14"/>
      <c r="AB154" s="14"/>
      <c r="AC154" s="14"/>
      <c r="AD154" s="14"/>
      <c r="AE154" s="14"/>
      <c r="AF154" s="14"/>
      <c r="AG154" s="14"/>
      <c r="AH154" s="14"/>
      <c r="AI154" s="14"/>
      <c r="AJ154" s="14"/>
      <c r="AK154" s="14"/>
      <c r="AL154" s="14"/>
      <c r="AM154" s="14"/>
      <c r="AN154" s="14"/>
      <c r="AO154" s="14"/>
      <c r="AP154" s="14"/>
      <c r="AQ154" s="14"/>
      <c r="AR154" s="14"/>
      <c r="AS154" s="14"/>
      <c r="AT154" s="14"/>
      <c r="AU154" s="14"/>
      <c r="AV154" s="14"/>
      <c r="AW154" s="14"/>
      <c r="AX154" s="14"/>
      <c r="AY154" s="14"/>
      <c r="AZ154" s="14"/>
      <c r="BA154" s="14"/>
      <c r="BB154" s="14"/>
      <c r="BC154" s="14"/>
      <c r="BD154" s="14"/>
      <c r="BE154" s="14"/>
      <c r="BF154" s="14"/>
    </row>
    <row r="155" spans="1:58" ht="17.100000000000001" customHeight="1">
      <c r="A155" s="14"/>
      <c r="B155" s="14"/>
      <c r="C155" s="14"/>
      <c r="D155" s="14"/>
      <c r="E155" s="14"/>
      <c r="F155" s="14"/>
      <c r="G155" s="14"/>
      <c r="H155" s="14"/>
      <c r="I155" s="20"/>
      <c r="J155" s="20"/>
      <c r="K155" s="20"/>
      <c r="L155" s="20"/>
      <c r="M155" s="20"/>
      <c r="N155" s="20"/>
      <c r="O155" s="20"/>
      <c r="P155" s="20"/>
      <c r="Q155" s="20"/>
      <c r="R155" s="84"/>
      <c r="S155" s="14"/>
      <c r="T155" s="14"/>
      <c r="U155" s="14"/>
      <c r="V155" s="14"/>
      <c r="W155" s="14"/>
      <c r="X155" s="14"/>
      <c r="Y155" s="14"/>
      <c r="Z155" s="14"/>
      <c r="AA155" s="14"/>
      <c r="AB155" s="14"/>
      <c r="AC155" s="14"/>
      <c r="AD155" s="14"/>
      <c r="AE155" s="14"/>
      <c r="AF155" s="14"/>
      <c r="AG155" s="14"/>
      <c r="AH155" s="14"/>
      <c r="AI155" s="14"/>
      <c r="AJ155" s="14"/>
      <c r="AK155" s="14"/>
      <c r="AL155" s="14"/>
      <c r="AM155" s="14"/>
      <c r="AN155" s="14"/>
      <c r="AO155" s="14"/>
      <c r="AP155" s="14"/>
      <c r="AQ155" s="14"/>
      <c r="AR155" s="14"/>
      <c r="AS155" s="14"/>
      <c r="AT155" s="14"/>
      <c r="AU155" s="14"/>
      <c r="AV155" s="14"/>
      <c r="AW155" s="14"/>
      <c r="AX155" s="14"/>
      <c r="AY155" s="14"/>
      <c r="AZ155" s="14"/>
      <c r="BA155" s="14"/>
      <c r="BB155" s="14"/>
      <c r="BC155" s="14"/>
      <c r="BD155" s="14"/>
      <c r="BE155" s="14"/>
      <c r="BF155" s="14"/>
    </row>
    <row r="156" spans="1:58" ht="17.100000000000001" customHeight="1">
      <c r="A156" s="14"/>
      <c r="B156" s="14"/>
      <c r="C156" s="14"/>
      <c r="D156" s="14"/>
      <c r="E156" s="14"/>
      <c r="F156" s="14"/>
      <c r="G156" s="14"/>
      <c r="H156" s="14"/>
      <c r="I156" s="20"/>
      <c r="J156" s="20"/>
      <c r="K156" s="20"/>
      <c r="L156" s="20"/>
      <c r="M156" s="20"/>
      <c r="N156" s="20"/>
      <c r="O156" s="20"/>
      <c r="P156" s="20"/>
      <c r="Q156" s="20"/>
      <c r="R156" s="84"/>
      <c r="S156" s="14"/>
      <c r="T156" s="14"/>
      <c r="U156" s="14"/>
      <c r="V156" s="14"/>
      <c r="W156" s="14"/>
      <c r="X156" s="14"/>
      <c r="Y156" s="14"/>
      <c r="Z156" s="14"/>
      <c r="AA156" s="14"/>
      <c r="AB156" s="14"/>
      <c r="AC156" s="14"/>
      <c r="AD156" s="14"/>
      <c r="AE156" s="14"/>
      <c r="AF156" s="14"/>
      <c r="AG156" s="14"/>
      <c r="AH156" s="14"/>
      <c r="AI156" s="14"/>
      <c r="AJ156" s="14"/>
      <c r="AK156" s="14"/>
      <c r="AL156" s="14"/>
      <c r="AM156" s="14"/>
      <c r="AN156" s="14"/>
      <c r="AO156" s="14"/>
      <c r="AP156" s="14"/>
      <c r="AQ156" s="14"/>
      <c r="AR156" s="14"/>
      <c r="AS156" s="14"/>
      <c r="AT156" s="14"/>
      <c r="AU156" s="14"/>
      <c r="AV156" s="14"/>
      <c r="AW156" s="14"/>
      <c r="AX156" s="14"/>
      <c r="AY156" s="14"/>
      <c r="AZ156" s="14"/>
      <c r="BA156" s="14"/>
      <c r="BB156" s="14"/>
      <c r="BC156" s="14"/>
      <c r="BD156" s="14"/>
      <c r="BE156" s="14"/>
      <c r="BF156" s="14"/>
    </row>
    <row r="157" spans="1:58" ht="17.100000000000001" customHeight="1">
      <c r="A157" s="14"/>
      <c r="B157" s="14"/>
      <c r="C157" s="14"/>
      <c r="D157" s="14"/>
      <c r="E157" s="14"/>
      <c r="F157" s="14"/>
      <c r="G157" s="14"/>
      <c r="H157" s="14"/>
      <c r="I157" s="20"/>
      <c r="J157" s="20"/>
      <c r="K157" s="20"/>
      <c r="L157" s="20"/>
      <c r="M157" s="20"/>
      <c r="N157" s="20"/>
      <c r="O157" s="20"/>
      <c r="P157" s="20"/>
      <c r="Q157" s="20"/>
      <c r="R157" s="84"/>
      <c r="S157" s="14"/>
      <c r="T157" s="14"/>
      <c r="U157" s="14"/>
      <c r="V157" s="14"/>
      <c r="W157" s="14"/>
      <c r="X157" s="14"/>
      <c r="Y157" s="14"/>
      <c r="Z157" s="14"/>
      <c r="AA157" s="14"/>
      <c r="AB157" s="14"/>
      <c r="AC157" s="14"/>
      <c r="AD157" s="14"/>
      <c r="AE157" s="14"/>
      <c r="AF157" s="14"/>
      <c r="AG157" s="14"/>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row>
    <row r="158" spans="1:58" ht="17.100000000000001" customHeight="1">
      <c r="A158" s="14"/>
      <c r="B158" s="14"/>
      <c r="C158" s="14"/>
      <c r="D158" s="14"/>
      <c r="E158" s="14"/>
      <c r="F158" s="14"/>
      <c r="G158" s="14"/>
      <c r="H158" s="14"/>
      <c r="I158" s="20"/>
      <c r="J158" s="20"/>
      <c r="K158" s="20"/>
      <c r="L158" s="20"/>
      <c r="M158" s="20"/>
      <c r="N158" s="20"/>
      <c r="O158" s="20"/>
      <c r="P158" s="20"/>
      <c r="Q158" s="20"/>
      <c r="R158" s="84"/>
      <c r="S158" s="14"/>
      <c r="T158" s="14"/>
      <c r="U158" s="14"/>
      <c r="V158" s="14"/>
      <c r="W158" s="14"/>
      <c r="X158" s="14"/>
      <c r="Y158" s="14"/>
      <c r="Z158" s="14"/>
      <c r="AA158" s="14"/>
      <c r="AB158" s="14"/>
      <c r="AC158" s="14"/>
      <c r="AD158" s="14"/>
      <c r="AE158" s="14"/>
      <c r="AF158" s="14"/>
      <c r="AG158" s="14"/>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row>
    <row r="159" spans="1:58" ht="17.100000000000001" customHeight="1">
      <c r="A159" s="14"/>
      <c r="B159" s="14"/>
      <c r="C159" s="14"/>
      <c r="D159" s="14"/>
      <c r="E159" s="14"/>
      <c r="F159" s="14"/>
      <c r="G159" s="14"/>
      <c r="H159" s="14"/>
      <c r="I159" s="20"/>
      <c r="J159" s="20"/>
      <c r="K159" s="20"/>
      <c r="L159" s="20"/>
      <c r="M159" s="20"/>
      <c r="N159" s="20"/>
      <c r="O159" s="20"/>
      <c r="P159" s="20"/>
      <c r="Q159" s="20"/>
      <c r="R159" s="84"/>
      <c r="S159" s="14"/>
      <c r="T159" s="14"/>
      <c r="U159" s="14"/>
      <c r="V159" s="14"/>
      <c r="W159" s="14"/>
      <c r="X159" s="14"/>
      <c r="Y159" s="14"/>
      <c r="Z159" s="14"/>
      <c r="AA159" s="14"/>
      <c r="AB159" s="14"/>
      <c r="AC159" s="14"/>
      <c r="AD159" s="14"/>
      <c r="AE159" s="14"/>
      <c r="AF159" s="14"/>
      <c r="AG159" s="14"/>
      <c r="AH159" s="14"/>
      <c r="AI159" s="14"/>
      <c r="AJ159" s="14"/>
      <c r="AK159" s="14"/>
      <c r="AL159" s="14"/>
      <c r="AM159" s="14"/>
      <c r="AN159" s="14"/>
      <c r="AO159" s="14"/>
      <c r="AP159" s="14"/>
      <c r="AQ159" s="14"/>
      <c r="AR159" s="14"/>
      <c r="AS159" s="14"/>
      <c r="AT159" s="14"/>
      <c r="AU159" s="14"/>
      <c r="AV159" s="14"/>
      <c r="AW159" s="14"/>
      <c r="AX159" s="14"/>
      <c r="AY159" s="14"/>
      <c r="AZ159" s="14"/>
      <c r="BA159" s="14"/>
      <c r="BB159" s="14"/>
      <c r="BC159" s="14"/>
      <c r="BD159" s="14"/>
      <c r="BE159" s="14"/>
      <c r="BF159" s="14"/>
    </row>
    <row r="160" spans="1:58" ht="17.100000000000001" customHeight="1">
      <c r="A160" s="14"/>
      <c r="B160" s="14"/>
      <c r="C160" s="14"/>
      <c r="D160" s="14"/>
      <c r="E160" s="14"/>
      <c r="F160" s="14"/>
      <c r="G160" s="14"/>
      <c r="H160" s="14"/>
      <c r="I160" s="20"/>
      <c r="J160" s="20"/>
      <c r="K160" s="20"/>
      <c r="L160" s="20"/>
      <c r="M160" s="20"/>
      <c r="N160" s="20"/>
      <c r="O160" s="20"/>
      <c r="P160" s="20"/>
      <c r="Q160" s="20"/>
      <c r="R160" s="84"/>
      <c r="S160" s="14"/>
      <c r="T160" s="14"/>
      <c r="U160" s="14"/>
      <c r="V160" s="14"/>
      <c r="W160" s="14"/>
      <c r="X160" s="14"/>
      <c r="Y160" s="14"/>
      <c r="Z160" s="14"/>
      <c r="AA160" s="14"/>
      <c r="AB160" s="14"/>
      <c r="AC160" s="14"/>
      <c r="AD160" s="14"/>
      <c r="AE160" s="14"/>
      <c r="AF160" s="14"/>
      <c r="AG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row>
    <row r="161" spans="1:58" ht="17.100000000000001" customHeight="1">
      <c r="A161" s="14"/>
      <c r="B161" s="14"/>
      <c r="C161" s="14"/>
      <c r="D161" s="14"/>
      <c r="E161" s="14"/>
      <c r="F161" s="14"/>
      <c r="G161" s="14"/>
      <c r="H161" s="14"/>
      <c r="I161" s="20"/>
      <c r="J161" s="20"/>
      <c r="K161" s="20"/>
      <c r="L161" s="20"/>
      <c r="M161" s="20"/>
      <c r="N161" s="20"/>
      <c r="O161" s="20"/>
      <c r="P161" s="20"/>
      <c r="Q161" s="20"/>
      <c r="R161" s="84"/>
      <c r="S161" s="14"/>
      <c r="T161" s="14"/>
      <c r="U161" s="14"/>
      <c r="V161" s="14"/>
      <c r="W161" s="14"/>
      <c r="X161" s="14"/>
      <c r="Y161" s="14"/>
      <c r="Z161" s="14"/>
      <c r="AA161" s="14"/>
      <c r="AB161" s="14"/>
      <c r="AC161" s="14"/>
      <c r="AD161" s="14"/>
      <c r="AE161" s="14"/>
      <c r="AF161" s="14"/>
      <c r="AG161" s="14"/>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row>
    <row r="162" spans="1:58" ht="17.100000000000001" customHeight="1">
      <c r="A162" s="14"/>
      <c r="B162" s="14"/>
      <c r="C162" s="14"/>
      <c r="D162" s="14"/>
      <c r="E162" s="14"/>
      <c r="F162" s="14"/>
      <c r="G162" s="14"/>
      <c r="H162" s="14"/>
      <c r="I162" s="20"/>
      <c r="J162" s="20"/>
      <c r="K162" s="20"/>
      <c r="L162" s="20"/>
      <c r="M162" s="20"/>
      <c r="N162" s="20"/>
      <c r="O162" s="20"/>
      <c r="P162" s="20"/>
      <c r="Q162" s="20"/>
      <c r="R162" s="84"/>
      <c r="S162" s="14"/>
      <c r="T162" s="14"/>
      <c r="U162" s="14"/>
      <c r="V162" s="14"/>
      <c r="W162" s="14"/>
      <c r="X162" s="14"/>
      <c r="Y162" s="14"/>
      <c r="Z162" s="14"/>
      <c r="AA162" s="14"/>
      <c r="AB162" s="14"/>
      <c r="AC162" s="14"/>
      <c r="AD162" s="14"/>
      <c r="AE162" s="14"/>
      <c r="AF162" s="14"/>
      <c r="AG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row>
    <row r="163" spans="1:58" ht="17.100000000000001" customHeight="1">
      <c r="A163" s="14"/>
      <c r="B163" s="14"/>
      <c r="C163" s="14"/>
      <c r="D163" s="14"/>
      <c r="E163" s="14"/>
      <c r="F163" s="14"/>
      <c r="G163" s="14"/>
      <c r="H163" s="14"/>
      <c r="I163" s="20"/>
      <c r="J163" s="20"/>
      <c r="K163" s="20"/>
      <c r="L163" s="20"/>
      <c r="M163" s="20"/>
      <c r="N163" s="20"/>
      <c r="O163" s="20"/>
      <c r="P163" s="20"/>
      <c r="Q163" s="20"/>
      <c r="R163" s="84"/>
      <c r="S163" s="14"/>
      <c r="T163" s="14"/>
      <c r="U163" s="14"/>
      <c r="V163" s="14"/>
      <c r="W163" s="14"/>
      <c r="X163" s="14"/>
      <c r="Y163" s="14"/>
      <c r="Z163" s="14"/>
      <c r="AA163" s="14"/>
      <c r="AB163" s="14"/>
      <c r="AC163" s="14"/>
      <c r="AD163" s="14"/>
      <c r="AE163" s="14"/>
      <c r="AF163" s="14"/>
      <c r="AG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row>
    <row r="164" spans="1:58" ht="17.100000000000001" customHeight="1">
      <c r="A164" s="14"/>
      <c r="B164" s="14"/>
      <c r="C164" s="14"/>
      <c r="D164" s="14"/>
      <c r="E164" s="14"/>
      <c r="F164" s="14"/>
      <c r="G164" s="14"/>
      <c r="H164" s="14"/>
      <c r="I164" s="20"/>
      <c r="J164" s="20"/>
      <c r="K164" s="20"/>
      <c r="L164" s="20"/>
      <c r="M164" s="20"/>
      <c r="N164" s="20"/>
      <c r="O164" s="20"/>
      <c r="P164" s="20"/>
      <c r="Q164" s="20"/>
      <c r="R164" s="84"/>
      <c r="S164" s="14"/>
      <c r="T164" s="14"/>
      <c r="U164" s="14"/>
      <c r="V164" s="14"/>
      <c r="W164" s="14"/>
      <c r="X164" s="14"/>
      <c r="Y164" s="14"/>
      <c r="Z164" s="14"/>
      <c r="AA164" s="14"/>
      <c r="AB164" s="14"/>
      <c r="AC164" s="14"/>
      <c r="AD164" s="14"/>
      <c r="AE164" s="14"/>
      <c r="AF164" s="14"/>
      <c r="AG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row>
    <row r="165" spans="1:58" ht="17.100000000000001" customHeight="1">
      <c r="A165" s="14"/>
      <c r="B165" s="14"/>
      <c r="C165" s="14"/>
      <c r="D165" s="14"/>
      <c r="E165" s="14"/>
      <c r="F165" s="14"/>
      <c r="G165" s="14"/>
      <c r="H165" s="14"/>
      <c r="I165" s="20"/>
      <c r="J165" s="20"/>
      <c r="K165" s="20"/>
      <c r="L165" s="20"/>
      <c r="M165" s="20"/>
      <c r="N165" s="20"/>
      <c r="O165" s="20"/>
      <c r="P165" s="20"/>
      <c r="Q165" s="20"/>
      <c r="R165" s="84"/>
      <c r="S165" s="14"/>
      <c r="T165" s="14"/>
      <c r="U165" s="14"/>
      <c r="V165" s="14"/>
      <c r="W165" s="14"/>
      <c r="X165" s="14"/>
      <c r="Y165" s="14"/>
      <c r="Z165" s="14"/>
      <c r="AA165" s="14"/>
      <c r="AB165" s="14"/>
      <c r="AC165" s="14"/>
      <c r="AD165" s="14"/>
      <c r="AE165" s="14"/>
      <c r="AF165" s="14"/>
      <c r="AG165" s="14"/>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row>
    <row r="166" spans="1:58" ht="17.100000000000001" customHeight="1">
      <c r="A166" s="14"/>
      <c r="B166" s="14"/>
      <c r="C166" s="14"/>
      <c r="D166" s="14"/>
      <c r="E166" s="14"/>
      <c r="F166" s="14"/>
      <c r="G166" s="14"/>
      <c r="H166" s="14"/>
      <c r="I166" s="20"/>
      <c r="J166" s="20"/>
      <c r="K166" s="20"/>
      <c r="L166" s="20"/>
      <c r="M166" s="20"/>
      <c r="N166" s="20"/>
      <c r="O166" s="20"/>
      <c r="P166" s="20"/>
      <c r="Q166" s="20"/>
      <c r="R166" s="84"/>
      <c r="S166" s="14"/>
      <c r="T166" s="14"/>
      <c r="U166" s="14"/>
      <c r="V166" s="14"/>
      <c r="W166" s="14"/>
      <c r="X166" s="14"/>
      <c r="Y166" s="14"/>
      <c r="Z166" s="14"/>
      <c r="AA166" s="14"/>
      <c r="AB166" s="14"/>
      <c r="AC166" s="14"/>
      <c r="AD166" s="14"/>
      <c r="AE166" s="14"/>
      <c r="AF166" s="14"/>
      <c r="AG166" s="14"/>
      <c r="AH166" s="14"/>
      <c r="AI166" s="14"/>
      <c r="AJ166" s="14"/>
      <c r="AK166" s="14"/>
      <c r="AL166" s="14"/>
      <c r="AM166" s="14"/>
      <c r="AN166" s="14"/>
      <c r="AO166" s="14"/>
      <c r="AP166" s="14"/>
      <c r="AQ166" s="14"/>
      <c r="AR166" s="14"/>
      <c r="AS166" s="14"/>
      <c r="AT166" s="14"/>
      <c r="AU166" s="14"/>
      <c r="AV166" s="14"/>
      <c r="AW166" s="14"/>
      <c r="AX166" s="14"/>
      <c r="AY166" s="14"/>
      <c r="AZ166" s="14"/>
      <c r="BA166" s="14"/>
      <c r="BB166" s="14"/>
      <c r="BC166" s="14"/>
      <c r="BD166" s="14"/>
      <c r="BE166" s="14"/>
      <c r="BF166" s="14"/>
    </row>
    <row r="167" spans="1:58" ht="17.100000000000001" customHeight="1">
      <c r="A167" s="14"/>
      <c r="B167" s="14"/>
      <c r="C167" s="14"/>
      <c r="D167" s="14"/>
      <c r="E167" s="14"/>
      <c r="F167" s="14"/>
      <c r="G167" s="14"/>
      <c r="H167" s="14"/>
      <c r="I167" s="20"/>
      <c r="J167" s="20"/>
      <c r="K167" s="20"/>
      <c r="L167" s="20"/>
      <c r="M167" s="20"/>
      <c r="N167" s="20"/>
      <c r="O167" s="20"/>
      <c r="P167" s="20"/>
      <c r="Q167" s="20"/>
      <c r="R167" s="84"/>
      <c r="S167" s="14"/>
      <c r="T167" s="14"/>
      <c r="U167" s="14"/>
      <c r="V167" s="14"/>
      <c r="W167" s="14"/>
      <c r="X167" s="14"/>
      <c r="Y167" s="14"/>
      <c r="Z167" s="14"/>
      <c r="AA167" s="14"/>
      <c r="AB167" s="14"/>
      <c r="AC167" s="14"/>
      <c r="AD167" s="14"/>
      <c r="AE167" s="14"/>
      <c r="AF167" s="14"/>
      <c r="AG167" s="14"/>
      <c r="AH167" s="14"/>
      <c r="AI167" s="14"/>
      <c r="AJ167" s="14"/>
      <c r="AK167" s="14"/>
      <c r="AL167" s="14"/>
      <c r="AM167" s="14"/>
      <c r="AN167" s="14"/>
      <c r="AO167" s="14"/>
      <c r="AP167" s="14"/>
      <c r="AQ167" s="14"/>
      <c r="AR167" s="14"/>
      <c r="AS167" s="14"/>
      <c r="AT167" s="14"/>
      <c r="AU167" s="14"/>
      <c r="AV167" s="14"/>
      <c r="AW167" s="14"/>
      <c r="AX167" s="14"/>
      <c r="AY167" s="14"/>
      <c r="AZ167" s="14"/>
      <c r="BA167" s="14"/>
      <c r="BB167" s="14"/>
      <c r="BC167" s="14"/>
      <c r="BD167" s="14"/>
      <c r="BE167" s="14"/>
      <c r="BF167" s="14"/>
    </row>
    <row r="168" spans="1:58" ht="17.100000000000001" customHeight="1">
      <c r="A168" s="14"/>
      <c r="B168" s="14"/>
      <c r="C168" s="14"/>
      <c r="D168" s="14"/>
      <c r="E168" s="14"/>
      <c r="F168" s="14"/>
      <c r="G168" s="14"/>
      <c r="H168" s="14"/>
      <c r="I168" s="20"/>
      <c r="J168" s="20"/>
      <c r="K168" s="20"/>
      <c r="L168" s="20"/>
      <c r="M168" s="20"/>
      <c r="N168" s="20"/>
      <c r="O168" s="20"/>
      <c r="P168" s="20"/>
      <c r="Q168" s="20"/>
      <c r="R168" s="84"/>
      <c r="S168" s="14"/>
      <c r="T168" s="14"/>
      <c r="U168" s="14"/>
      <c r="V168" s="14"/>
      <c r="W168" s="14"/>
      <c r="X168" s="14"/>
      <c r="Y168" s="14"/>
      <c r="Z168" s="14"/>
      <c r="AA168" s="14"/>
      <c r="AB168" s="14"/>
      <c r="AC168" s="14"/>
      <c r="AD168" s="14"/>
      <c r="AE168" s="14"/>
      <c r="AF168" s="14"/>
      <c r="AG168" s="14"/>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row>
    <row r="169" spans="1:58" ht="17.100000000000001" customHeight="1">
      <c r="A169" s="14"/>
      <c r="B169" s="14"/>
      <c r="C169" s="14"/>
      <c r="D169" s="14"/>
      <c r="E169" s="14"/>
      <c r="F169" s="14"/>
      <c r="G169" s="14"/>
      <c r="H169" s="14"/>
      <c r="I169" s="20"/>
      <c r="J169" s="20"/>
      <c r="K169" s="20"/>
      <c r="L169" s="20"/>
      <c r="M169" s="20"/>
      <c r="N169" s="20"/>
      <c r="O169" s="20"/>
      <c r="P169" s="20"/>
      <c r="Q169" s="20"/>
      <c r="R169" s="84"/>
      <c r="S169" s="14"/>
      <c r="T169" s="14"/>
      <c r="U169" s="14"/>
      <c r="V169" s="14"/>
      <c r="W169" s="14"/>
      <c r="X169" s="14"/>
      <c r="Y169" s="14"/>
      <c r="Z169" s="14"/>
      <c r="AA169" s="14"/>
      <c r="AB169" s="14"/>
      <c r="AC169" s="14"/>
      <c r="AD169" s="14"/>
      <c r="AE169" s="14"/>
      <c r="AF169" s="14"/>
      <c r="AG169" s="14"/>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row>
    <row r="170" spans="1:58" ht="17.100000000000001" customHeight="1">
      <c r="A170" s="14"/>
      <c r="B170" s="14"/>
      <c r="C170" s="14"/>
      <c r="D170" s="14"/>
      <c r="E170" s="14"/>
      <c r="F170" s="14"/>
      <c r="G170" s="14"/>
      <c r="H170" s="14"/>
      <c r="I170" s="20"/>
      <c r="J170" s="20"/>
      <c r="K170" s="20"/>
      <c r="L170" s="20"/>
      <c r="M170" s="20"/>
      <c r="N170" s="20"/>
      <c r="O170" s="20"/>
      <c r="P170" s="20"/>
      <c r="Q170" s="20"/>
      <c r="R170" s="84"/>
      <c r="S170" s="14"/>
      <c r="T170" s="14"/>
      <c r="U170" s="14"/>
      <c r="V170" s="14"/>
      <c r="W170" s="14"/>
      <c r="X170" s="14"/>
      <c r="Y170" s="14"/>
      <c r="Z170" s="14"/>
      <c r="AA170" s="14"/>
      <c r="AB170" s="14"/>
      <c r="AC170" s="14"/>
      <c r="AD170" s="14"/>
      <c r="AE170" s="14"/>
      <c r="AF170" s="14"/>
      <c r="AG170" s="14"/>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row>
    <row r="171" spans="1:58" ht="17.100000000000001" customHeight="1">
      <c r="A171" s="14"/>
      <c r="B171" s="14"/>
      <c r="C171" s="14"/>
      <c r="D171" s="14"/>
      <c r="E171" s="14"/>
      <c r="F171" s="14"/>
      <c r="G171" s="14"/>
      <c r="H171" s="14"/>
      <c r="I171" s="20"/>
      <c r="J171" s="20"/>
      <c r="K171" s="20"/>
      <c r="L171" s="20"/>
      <c r="M171" s="20"/>
      <c r="N171" s="20"/>
      <c r="O171" s="20"/>
      <c r="P171" s="20"/>
      <c r="Q171" s="20"/>
      <c r="R171" s="84"/>
      <c r="S171" s="14"/>
      <c r="T171" s="14"/>
      <c r="U171" s="14"/>
      <c r="V171" s="14"/>
      <c r="W171" s="14"/>
      <c r="X171" s="14"/>
      <c r="Y171" s="14"/>
      <c r="Z171" s="14"/>
      <c r="AA171" s="14"/>
      <c r="AB171" s="14"/>
      <c r="AC171" s="14"/>
      <c r="AD171" s="14"/>
      <c r="AE171" s="14"/>
      <c r="AF171" s="14"/>
      <c r="AG171" s="14"/>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row>
    <row r="172" spans="1:58" ht="17.100000000000001" customHeight="1">
      <c r="A172" s="14"/>
      <c r="B172" s="14"/>
      <c r="C172" s="14"/>
      <c r="D172" s="14"/>
      <c r="E172" s="14"/>
      <c r="F172" s="14"/>
      <c r="G172" s="14"/>
      <c r="H172" s="14"/>
      <c r="I172" s="20"/>
      <c r="J172" s="20"/>
      <c r="K172" s="20"/>
      <c r="L172" s="20"/>
      <c r="M172" s="20"/>
      <c r="N172" s="20"/>
      <c r="O172" s="20"/>
      <c r="P172" s="20"/>
      <c r="Q172" s="20"/>
      <c r="R172" s="84"/>
      <c r="S172" s="14"/>
      <c r="T172" s="14"/>
      <c r="U172" s="14"/>
      <c r="V172" s="14"/>
      <c r="W172" s="14"/>
      <c r="X172" s="14"/>
      <c r="Y172" s="14"/>
      <c r="Z172" s="14"/>
      <c r="AA172" s="14"/>
      <c r="AB172" s="14"/>
      <c r="AC172" s="14"/>
      <c r="AD172" s="14"/>
      <c r="AE172" s="14"/>
      <c r="AF172" s="14"/>
      <c r="AG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row>
    <row r="173" spans="1:58" ht="17.100000000000001" customHeight="1">
      <c r="A173" s="14"/>
      <c r="B173" s="14"/>
      <c r="C173" s="14"/>
      <c r="D173" s="14"/>
      <c r="E173" s="14"/>
      <c r="F173" s="14"/>
      <c r="G173" s="14"/>
      <c r="H173" s="14"/>
      <c r="I173" s="20"/>
      <c r="J173" s="20"/>
      <c r="K173" s="20"/>
      <c r="L173" s="20"/>
      <c r="M173" s="20"/>
      <c r="N173" s="20"/>
      <c r="O173" s="20"/>
      <c r="P173" s="20"/>
      <c r="Q173" s="20"/>
      <c r="R173" s="84"/>
      <c r="S173" s="14"/>
      <c r="T173" s="14"/>
      <c r="U173" s="14"/>
      <c r="V173" s="14"/>
      <c r="W173" s="14"/>
      <c r="X173" s="14"/>
      <c r="Y173" s="14"/>
      <c r="Z173" s="14"/>
      <c r="AA173" s="14"/>
      <c r="AB173" s="14"/>
      <c r="AC173" s="14"/>
      <c r="AD173" s="14"/>
      <c r="AE173" s="14"/>
      <c r="AF173" s="14"/>
      <c r="AG173" s="14"/>
      <c r="AH173" s="14"/>
      <c r="AI173" s="14"/>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row>
    <row r="174" spans="1:58" ht="17.100000000000001" customHeight="1">
      <c r="A174" s="14"/>
      <c r="B174" s="14"/>
      <c r="C174" s="14"/>
      <c r="D174" s="14"/>
      <c r="E174" s="14"/>
      <c r="F174" s="14"/>
      <c r="G174" s="14"/>
      <c r="H174" s="14"/>
      <c r="I174" s="20"/>
      <c r="J174" s="20"/>
      <c r="K174" s="20"/>
      <c r="L174" s="20"/>
      <c r="M174" s="20"/>
      <c r="N174" s="20"/>
      <c r="O174" s="20"/>
      <c r="P174" s="20"/>
      <c r="Q174" s="20"/>
      <c r="R174" s="84"/>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row>
    <row r="175" spans="1:58" ht="17.100000000000001" customHeight="1">
      <c r="A175" s="14"/>
      <c r="B175" s="14"/>
      <c r="C175" s="14"/>
      <c r="D175" s="14"/>
      <c r="E175" s="14"/>
      <c r="F175" s="14"/>
      <c r="G175" s="14"/>
      <c r="H175" s="14"/>
      <c r="I175" s="20"/>
      <c r="J175" s="20"/>
      <c r="K175" s="20"/>
      <c r="L175" s="20"/>
      <c r="M175" s="20"/>
      <c r="N175" s="20"/>
      <c r="O175" s="20"/>
      <c r="P175" s="20"/>
      <c r="Q175" s="20"/>
      <c r="R175" s="84"/>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row>
    <row r="176" spans="1:58" ht="17.100000000000001" customHeight="1">
      <c r="A176" s="14"/>
      <c r="B176" s="14"/>
      <c r="C176" s="14"/>
      <c r="D176" s="14"/>
      <c r="E176" s="14"/>
      <c r="F176" s="14"/>
      <c r="G176" s="14"/>
      <c r="H176" s="14"/>
      <c r="I176" s="20"/>
      <c r="J176" s="20"/>
      <c r="K176" s="20"/>
      <c r="L176" s="20"/>
      <c r="M176" s="20"/>
      <c r="N176" s="20"/>
      <c r="O176" s="20"/>
      <c r="P176" s="20"/>
      <c r="Q176" s="20"/>
      <c r="R176" s="84"/>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14"/>
      <c r="AR176" s="14"/>
      <c r="AS176" s="14"/>
      <c r="AT176" s="14"/>
      <c r="AU176" s="14"/>
      <c r="AV176" s="14"/>
      <c r="AW176" s="14"/>
      <c r="AX176" s="14"/>
      <c r="AY176" s="14"/>
      <c r="AZ176" s="14"/>
      <c r="BA176" s="14"/>
      <c r="BB176" s="14"/>
      <c r="BC176" s="14"/>
      <c r="BD176" s="14"/>
      <c r="BE176" s="14"/>
      <c r="BF176" s="14"/>
    </row>
    <row r="177" spans="1:58" ht="17.100000000000001" customHeight="1">
      <c r="A177" s="14"/>
      <c r="B177" s="14"/>
      <c r="C177" s="14"/>
      <c r="D177" s="14"/>
      <c r="E177" s="14"/>
      <c r="F177" s="14"/>
      <c r="G177" s="14"/>
      <c r="H177" s="14"/>
      <c r="I177" s="20"/>
      <c r="J177" s="20"/>
      <c r="K177" s="20"/>
      <c r="L177" s="20"/>
      <c r="M177" s="20"/>
      <c r="N177" s="20"/>
      <c r="O177" s="20"/>
      <c r="P177" s="20"/>
      <c r="Q177" s="20"/>
      <c r="R177" s="84"/>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row>
    <row r="178" spans="1:58" ht="17.100000000000001" customHeight="1">
      <c r="A178" s="14"/>
      <c r="B178" s="14"/>
      <c r="C178" s="14"/>
      <c r="D178" s="14"/>
      <c r="E178" s="14"/>
      <c r="F178" s="14"/>
      <c r="G178" s="14"/>
      <c r="H178" s="14"/>
      <c r="I178" s="20"/>
      <c r="J178" s="20"/>
      <c r="K178" s="20"/>
      <c r="L178" s="20"/>
      <c r="M178" s="20"/>
      <c r="N178" s="20"/>
      <c r="O178" s="20"/>
      <c r="P178" s="20"/>
      <c r="Q178" s="20"/>
      <c r="R178" s="84"/>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14"/>
      <c r="AR178" s="14"/>
      <c r="AS178" s="14"/>
      <c r="AT178" s="14"/>
      <c r="AU178" s="14"/>
      <c r="AV178" s="14"/>
      <c r="AW178" s="14"/>
      <c r="AX178" s="14"/>
      <c r="AY178" s="14"/>
      <c r="AZ178" s="14"/>
      <c r="BA178" s="14"/>
      <c r="BB178" s="14"/>
      <c r="BC178" s="14"/>
      <c r="BD178" s="14"/>
      <c r="BE178" s="14"/>
      <c r="BF178" s="14"/>
    </row>
    <row r="179" spans="1:58" ht="17.100000000000001" customHeight="1">
      <c r="A179" s="14"/>
      <c r="B179" s="14"/>
      <c r="C179" s="14"/>
      <c r="D179" s="14"/>
      <c r="E179" s="14"/>
      <c r="F179" s="14"/>
      <c r="G179" s="14"/>
      <c r="H179" s="14"/>
      <c r="I179" s="20"/>
      <c r="J179" s="20"/>
      <c r="K179" s="20"/>
      <c r="L179" s="20"/>
      <c r="M179" s="20"/>
      <c r="N179" s="20"/>
      <c r="O179" s="20"/>
      <c r="P179" s="20"/>
      <c r="Q179" s="20"/>
      <c r="R179" s="84"/>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14"/>
      <c r="AR179" s="14"/>
      <c r="AS179" s="14"/>
      <c r="AT179" s="14"/>
      <c r="AU179" s="14"/>
      <c r="AV179" s="14"/>
      <c r="AW179" s="14"/>
      <c r="AX179" s="14"/>
      <c r="AY179" s="14"/>
      <c r="AZ179" s="14"/>
      <c r="BA179" s="14"/>
      <c r="BB179" s="14"/>
      <c r="BC179" s="14"/>
      <c r="BD179" s="14"/>
      <c r="BE179" s="14"/>
      <c r="BF179" s="14"/>
    </row>
    <row r="180" spans="1:58" ht="17.100000000000001" customHeight="1">
      <c r="A180" s="14"/>
      <c r="B180" s="14"/>
      <c r="C180" s="14"/>
      <c r="D180" s="14"/>
      <c r="E180" s="14"/>
      <c r="F180" s="14"/>
      <c r="G180" s="14"/>
      <c r="H180" s="14"/>
      <c r="I180" s="20"/>
      <c r="J180" s="20"/>
      <c r="K180" s="20"/>
      <c r="L180" s="20"/>
      <c r="M180" s="20"/>
      <c r="N180" s="20"/>
      <c r="O180" s="20"/>
      <c r="P180" s="20"/>
      <c r="Q180" s="20"/>
      <c r="R180" s="84"/>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14"/>
      <c r="AR180" s="14"/>
      <c r="AS180" s="14"/>
      <c r="AT180" s="14"/>
      <c r="AU180" s="14"/>
      <c r="AV180" s="14"/>
      <c r="AW180" s="14"/>
      <c r="AX180" s="14"/>
      <c r="AY180" s="14"/>
      <c r="AZ180" s="14"/>
      <c r="BA180" s="14"/>
      <c r="BB180" s="14"/>
      <c r="BC180" s="14"/>
      <c r="BD180" s="14"/>
      <c r="BE180" s="14"/>
      <c r="BF180" s="14"/>
    </row>
    <row r="181" spans="1:58" ht="17.100000000000001" customHeight="1">
      <c r="A181" s="14"/>
      <c r="B181" s="14"/>
      <c r="C181" s="14"/>
      <c r="D181" s="14"/>
      <c r="E181" s="14"/>
      <c r="F181" s="14"/>
      <c r="G181" s="14"/>
      <c r="H181" s="14"/>
      <c r="I181" s="20"/>
      <c r="J181" s="20"/>
      <c r="K181" s="20"/>
      <c r="L181" s="20"/>
      <c r="M181" s="20"/>
      <c r="N181" s="20"/>
      <c r="O181" s="20"/>
      <c r="P181" s="20"/>
      <c r="Q181" s="20"/>
      <c r="R181" s="84"/>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14"/>
      <c r="AR181" s="14"/>
      <c r="AS181" s="14"/>
      <c r="AT181" s="14"/>
      <c r="AU181" s="14"/>
      <c r="AV181" s="14"/>
      <c r="AW181" s="14"/>
      <c r="AX181" s="14"/>
      <c r="AY181" s="14"/>
      <c r="AZ181" s="14"/>
      <c r="BA181" s="14"/>
      <c r="BB181" s="14"/>
      <c r="BC181" s="14"/>
      <c r="BD181" s="14"/>
      <c r="BE181" s="14"/>
      <c r="BF181" s="14"/>
    </row>
    <row r="182" spans="1:58" ht="17.100000000000001" customHeight="1">
      <c r="A182" s="14"/>
      <c r="B182" s="14"/>
      <c r="C182" s="14"/>
      <c r="D182" s="14"/>
      <c r="E182" s="14"/>
      <c r="F182" s="14"/>
      <c r="G182" s="14"/>
      <c r="H182" s="14"/>
      <c r="I182" s="20"/>
      <c r="J182" s="20"/>
      <c r="K182" s="20"/>
      <c r="L182" s="20"/>
      <c r="M182" s="20"/>
      <c r="N182" s="20"/>
      <c r="O182" s="20"/>
      <c r="P182" s="20"/>
      <c r="Q182" s="20"/>
      <c r="R182" s="84"/>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14"/>
      <c r="AR182" s="14"/>
      <c r="AS182" s="14"/>
      <c r="AT182" s="14"/>
      <c r="AU182" s="14"/>
      <c r="AV182" s="14"/>
      <c r="AW182" s="14"/>
      <c r="AX182" s="14"/>
      <c r="AY182" s="14"/>
      <c r="AZ182" s="14"/>
      <c r="BA182" s="14"/>
      <c r="BB182" s="14"/>
      <c r="BC182" s="14"/>
      <c r="BD182" s="14"/>
      <c r="BE182" s="14"/>
      <c r="BF182" s="14"/>
    </row>
    <row r="183" spans="1:58" ht="17.100000000000001" customHeight="1">
      <c r="A183" s="14"/>
      <c r="B183" s="14"/>
      <c r="C183" s="14"/>
      <c r="D183" s="14"/>
      <c r="E183" s="14"/>
      <c r="F183" s="14"/>
      <c r="G183" s="14"/>
      <c r="H183" s="14"/>
      <c r="I183" s="20"/>
      <c r="J183" s="20"/>
      <c r="K183" s="20"/>
      <c r="L183" s="20"/>
      <c r="M183" s="20"/>
      <c r="N183" s="20"/>
      <c r="O183" s="20"/>
      <c r="P183" s="20"/>
      <c r="Q183" s="20"/>
      <c r="R183" s="84"/>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14"/>
      <c r="AR183" s="14"/>
      <c r="AS183" s="14"/>
      <c r="AT183" s="14"/>
      <c r="AU183" s="14"/>
      <c r="AV183" s="14"/>
      <c r="AW183" s="14"/>
      <c r="AX183" s="14"/>
      <c r="AY183" s="14"/>
      <c r="AZ183" s="14"/>
      <c r="BA183" s="14"/>
      <c r="BB183" s="14"/>
      <c r="BC183" s="14"/>
      <c r="BD183" s="14"/>
      <c r="BE183" s="14"/>
      <c r="BF183" s="14"/>
    </row>
    <row r="184" spans="1:58" ht="17.100000000000001" customHeight="1">
      <c r="A184" s="14"/>
      <c r="B184" s="14"/>
      <c r="C184" s="14"/>
      <c r="D184" s="14"/>
      <c r="E184" s="14"/>
      <c r="F184" s="14"/>
      <c r="G184" s="14"/>
      <c r="H184" s="14"/>
      <c r="I184" s="20"/>
      <c r="J184" s="20"/>
      <c r="K184" s="20"/>
      <c r="L184" s="20"/>
      <c r="M184" s="20"/>
      <c r="N184" s="20"/>
      <c r="O184" s="20"/>
      <c r="P184" s="20"/>
      <c r="Q184" s="20"/>
      <c r="R184" s="84"/>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14"/>
      <c r="AR184" s="14"/>
      <c r="AS184" s="14"/>
      <c r="AT184" s="14"/>
      <c r="AU184" s="14"/>
      <c r="AV184" s="14"/>
      <c r="AW184" s="14"/>
      <c r="AX184" s="14"/>
      <c r="AY184" s="14"/>
      <c r="AZ184" s="14"/>
      <c r="BA184" s="14"/>
      <c r="BB184" s="14"/>
      <c r="BC184" s="14"/>
      <c r="BD184" s="14"/>
      <c r="BE184" s="14"/>
      <c r="BF184" s="14"/>
    </row>
    <row r="185" spans="1:58" ht="17.100000000000001" customHeight="1">
      <c r="A185" s="14"/>
      <c r="B185" s="14"/>
      <c r="C185" s="14"/>
      <c r="D185" s="14"/>
      <c r="E185" s="14"/>
      <c r="F185" s="14"/>
      <c r="G185" s="14"/>
      <c r="H185" s="14"/>
      <c r="I185" s="20"/>
      <c r="J185" s="20"/>
      <c r="K185" s="20"/>
      <c r="L185" s="20"/>
      <c r="M185" s="20"/>
      <c r="N185" s="20"/>
      <c r="O185" s="20"/>
      <c r="P185" s="20"/>
      <c r="Q185" s="20"/>
      <c r="R185" s="84"/>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14"/>
      <c r="AR185" s="14"/>
      <c r="AS185" s="14"/>
      <c r="AT185" s="14"/>
      <c r="AU185" s="14"/>
      <c r="AV185" s="14"/>
      <c r="AW185" s="14"/>
      <c r="AX185" s="14"/>
      <c r="AY185" s="14"/>
      <c r="AZ185" s="14"/>
      <c r="BA185" s="14"/>
      <c r="BB185" s="14"/>
      <c r="BC185" s="14"/>
      <c r="BD185" s="14"/>
      <c r="BE185" s="14"/>
      <c r="BF185" s="14"/>
    </row>
    <row r="186" spans="1:58" ht="17.100000000000001" customHeight="1">
      <c r="A186" s="14"/>
      <c r="B186" s="14"/>
      <c r="C186" s="14"/>
      <c r="D186" s="14"/>
      <c r="E186" s="14"/>
      <c r="F186" s="14"/>
      <c r="G186" s="14"/>
      <c r="H186" s="14"/>
      <c r="I186" s="20"/>
      <c r="J186" s="20"/>
      <c r="K186" s="20"/>
      <c r="L186" s="20"/>
      <c r="M186" s="20"/>
      <c r="N186" s="20"/>
      <c r="O186" s="20"/>
      <c r="P186" s="20"/>
      <c r="Q186" s="20"/>
      <c r="R186" s="8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row>
    <row r="187" spans="1:58" ht="17.100000000000001" customHeight="1">
      <c r="A187" s="14"/>
      <c r="B187" s="14"/>
      <c r="C187" s="14"/>
      <c r="D187" s="14"/>
      <c r="E187" s="14"/>
      <c r="F187" s="14"/>
      <c r="G187" s="14"/>
      <c r="H187" s="14"/>
      <c r="I187" s="20"/>
      <c r="J187" s="20"/>
      <c r="K187" s="20"/>
      <c r="L187" s="20"/>
      <c r="M187" s="20"/>
      <c r="N187" s="20"/>
      <c r="O187" s="20"/>
      <c r="P187" s="20"/>
      <c r="Q187" s="20"/>
      <c r="R187" s="84"/>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14"/>
      <c r="AR187" s="14"/>
      <c r="AS187" s="14"/>
      <c r="AT187" s="14"/>
      <c r="AU187" s="14"/>
      <c r="AV187" s="14"/>
      <c r="AW187" s="14"/>
      <c r="AX187" s="14"/>
      <c r="AY187" s="14"/>
      <c r="AZ187" s="14"/>
      <c r="BA187" s="14"/>
      <c r="BB187" s="14"/>
      <c r="BC187" s="14"/>
      <c r="BD187" s="14"/>
      <c r="BE187" s="14"/>
      <c r="BF187" s="14"/>
    </row>
    <row r="188" spans="1:58" ht="17.100000000000001" customHeight="1">
      <c r="A188" s="14"/>
      <c r="B188" s="14"/>
      <c r="C188" s="14"/>
      <c r="D188" s="14"/>
      <c r="E188" s="14"/>
      <c r="F188" s="14"/>
      <c r="G188" s="14"/>
      <c r="H188" s="14"/>
      <c r="I188" s="20"/>
      <c r="J188" s="20"/>
      <c r="K188" s="20"/>
      <c r="L188" s="20"/>
      <c r="M188" s="20"/>
      <c r="N188" s="20"/>
      <c r="O188" s="20"/>
      <c r="P188" s="20"/>
      <c r="Q188" s="20"/>
      <c r="R188" s="84"/>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14"/>
      <c r="AR188" s="14"/>
      <c r="AS188" s="14"/>
      <c r="AT188" s="14"/>
      <c r="AU188" s="14"/>
      <c r="AV188" s="14"/>
      <c r="AW188" s="14"/>
      <c r="AX188" s="14"/>
      <c r="AY188" s="14"/>
      <c r="AZ188" s="14"/>
      <c r="BA188" s="14"/>
      <c r="BB188" s="14"/>
      <c r="BC188" s="14"/>
      <c r="BD188" s="14"/>
      <c r="BE188" s="14"/>
      <c r="BF188" s="14"/>
    </row>
    <row r="189" spans="1:58" ht="17.100000000000001" customHeight="1">
      <c r="A189" s="14"/>
      <c r="B189" s="14"/>
      <c r="C189" s="14"/>
      <c r="D189" s="14"/>
      <c r="E189" s="14"/>
      <c r="F189" s="14"/>
      <c r="G189" s="14"/>
      <c r="H189" s="14"/>
      <c r="I189" s="20"/>
      <c r="J189" s="20"/>
      <c r="K189" s="20"/>
      <c r="L189" s="20"/>
      <c r="M189" s="20"/>
      <c r="N189" s="20"/>
      <c r="O189" s="20"/>
      <c r="P189" s="20"/>
      <c r="Q189" s="20"/>
      <c r="R189" s="84"/>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14"/>
      <c r="AR189" s="14"/>
      <c r="AS189" s="14"/>
      <c r="AT189" s="14"/>
      <c r="AU189" s="14"/>
      <c r="AV189" s="14"/>
      <c r="AW189" s="14"/>
      <c r="AX189" s="14"/>
      <c r="AY189" s="14"/>
      <c r="AZ189" s="14"/>
      <c r="BA189" s="14"/>
      <c r="BB189" s="14"/>
      <c r="BC189" s="14"/>
      <c r="BD189" s="14"/>
      <c r="BE189" s="14"/>
      <c r="BF189" s="14"/>
    </row>
    <row r="190" spans="1:58" ht="17.100000000000001" customHeight="1">
      <c r="A190" s="14"/>
      <c r="B190" s="14"/>
      <c r="C190" s="14"/>
      <c r="D190" s="14"/>
      <c r="E190" s="14"/>
      <c r="F190" s="14"/>
      <c r="G190" s="14"/>
      <c r="H190" s="14"/>
      <c r="I190" s="20"/>
      <c r="J190" s="20"/>
      <c r="K190" s="20"/>
      <c r="L190" s="20"/>
      <c r="M190" s="20"/>
      <c r="N190" s="20"/>
      <c r="O190" s="20"/>
      <c r="P190" s="20"/>
      <c r="Q190" s="20"/>
      <c r="R190" s="84"/>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14"/>
      <c r="AR190" s="14"/>
      <c r="AS190" s="14"/>
      <c r="AT190" s="14"/>
      <c r="AU190" s="14"/>
      <c r="AV190" s="14"/>
      <c r="AW190" s="14"/>
      <c r="AX190" s="14"/>
      <c r="AY190" s="14"/>
      <c r="AZ190" s="14"/>
      <c r="BA190" s="14"/>
      <c r="BB190" s="14"/>
      <c r="BC190" s="14"/>
      <c r="BD190" s="14"/>
      <c r="BE190" s="14"/>
      <c r="BF190" s="14"/>
    </row>
    <row r="191" spans="1:58" ht="17.100000000000001" customHeight="1">
      <c r="A191" s="14"/>
      <c r="B191" s="14"/>
      <c r="C191" s="14"/>
      <c r="D191" s="14"/>
      <c r="E191" s="14"/>
      <c r="F191" s="14"/>
      <c r="G191" s="14"/>
      <c r="H191" s="14"/>
      <c r="I191" s="20"/>
      <c r="J191" s="20"/>
      <c r="K191" s="20"/>
      <c r="L191" s="20"/>
      <c r="M191" s="20"/>
      <c r="N191" s="20"/>
      <c r="O191" s="20"/>
      <c r="P191" s="20"/>
      <c r="Q191" s="20"/>
      <c r="R191" s="84"/>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14"/>
      <c r="AR191" s="14"/>
      <c r="AS191" s="14"/>
      <c r="AT191" s="14"/>
      <c r="AU191" s="14"/>
      <c r="AV191" s="14"/>
      <c r="AW191" s="14"/>
      <c r="AX191" s="14"/>
      <c r="AY191" s="14"/>
      <c r="AZ191" s="14"/>
      <c r="BA191" s="14"/>
      <c r="BB191" s="14"/>
      <c r="BC191" s="14"/>
      <c r="BD191" s="14"/>
      <c r="BE191" s="14"/>
      <c r="BF191" s="14"/>
    </row>
    <row r="192" spans="1:58" ht="17.100000000000001" customHeight="1">
      <c r="A192" s="14"/>
      <c r="B192" s="14"/>
      <c r="C192" s="14"/>
      <c r="D192" s="14"/>
      <c r="E192" s="14"/>
      <c r="F192" s="14"/>
      <c r="G192" s="14"/>
      <c r="H192" s="14"/>
      <c r="I192" s="20"/>
      <c r="J192" s="20"/>
      <c r="K192" s="20"/>
      <c r="L192" s="20"/>
      <c r="M192" s="20"/>
      <c r="N192" s="20"/>
      <c r="O192" s="20"/>
      <c r="P192" s="20"/>
      <c r="Q192" s="20"/>
      <c r="R192" s="84"/>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14"/>
      <c r="AR192" s="14"/>
      <c r="AS192" s="14"/>
      <c r="AT192" s="14"/>
      <c r="AU192" s="14"/>
      <c r="AV192" s="14"/>
      <c r="AW192" s="14"/>
      <c r="AX192" s="14"/>
      <c r="AY192" s="14"/>
      <c r="AZ192" s="14"/>
      <c r="BA192" s="14"/>
      <c r="BB192" s="14"/>
      <c r="BC192" s="14"/>
      <c r="BD192" s="14"/>
      <c r="BE192" s="14"/>
      <c r="BF192" s="14"/>
    </row>
    <row r="193" spans="1:58" ht="17.100000000000001" customHeight="1">
      <c r="A193" s="14"/>
      <c r="B193" s="14"/>
      <c r="C193" s="14"/>
      <c r="D193" s="14"/>
      <c r="E193" s="14"/>
      <c r="F193" s="14"/>
      <c r="G193" s="14"/>
      <c r="H193" s="14"/>
      <c r="I193" s="20"/>
      <c r="J193" s="20"/>
      <c r="K193" s="20"/>
      <c r="L193" s="20"/>
      <c r="M193" s="20"/>
      <c r="N193" s="20"/>
      <c r="O193" s="20"/>
      <c r="P193" s="20"/>
      <c r="Q193" s="20"/>
      <c r="R193" s="84"/>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14"/>
      <c r="AR193" s="14"/>
      <c r="AS193" s="14"/>
      <c r="AT193" s="14"/>
      <c r="AU193" s="14"/>
      <c r="AV193" s="14"/>
      <c r="AW193" s="14"/>
      <c r="AX193" s="14"/>
      <c r="AY193" s="14"/>
      <c r="AZ193" s="14"/>
      <c r="BA193" s="14"/>
      <c r="BB193" s="14"/>
      <c r="BC193" s="14"/>
      <c r="BD193" s="14"/>
      <c r="BE193" s="14"/>
      <c r="BF193" s="14"/>
    </row>
    <row r="194" spans="1:58" ht="17.100000000000001" customHeight="1">
      <c r="A194" s="14"/>
      <c r="B194" s="14"/>
      <c r="C194" s="14"/>
      <c r="D194" s="14"/>
      <c r="E194" s="14"/>
      <c r="F194" s="14"/>
      <c r="G194" s="14"/>
      <c r="H194" s="14"/>
      <c r="I194" s="20"/>
      <c r="J194" s="20"/>
      <c r="K194" s="20"/>
      <c r="L194" s="20"/>
      <c r="M194" s="20"/>
      <c r="N194" s="20"/>
      <c r="O194" s="20"/>
      <c r="P194" s="20"/>
      <c r="Q194" s="20"/>
      <c r="R194" s="8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row>
    <row r="195" spans="1:58" ht="17.100000000000001" customHeight="1">
      <c r="A195" s="14"/>
      <c r="B195" s="14"/>
      <c r="C195" s="14"/>
      <c r="D195" s="14"/>
      <c r="E195" s="14"/>
      <c r="F195" s="14"/>
      <c r="G195" s="14"/>
      <c r="H195" s="14"/>
      <c r="I195" s="20"/>
      <c r="J195" s="20"/>
      <c r="K195" s="20"/>
      <c r="L195" s="20"/>
      <c r="M195" s="20"/>
      <c r="N195" s="20"/>
      <c r="O195" s="20"/>
      <c r="P195" s="20"/>
      <c r="Q195" s="20"/>
      <c r="R195" s="84"/>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14"/>
      <c r="AR195" s="14"/>
      <c r="AS195" s="14"/>
      <c r="AT195" s="14"/>
      <c r="AU195" s="14"/>
      <c r="AV195" s="14"/>
      <c r="AW195" s="14"/>
      <c r="AX195" s="14"/>
      <c r="AY195" s="14"/>
      <c r="AZ195" s="14"/>
      <c r="BA195" s="14"/>
      <c r="BB195" s="14"/>
      <c r="BC195" s="14"/>
      <c r="BD195" s="14"/>
      <c r="BE195" s="14"/>
      <c r="BF195" s="14"/>
    </row>
    <row r="196" spans="1:58" ht="17.100000000000001" customHeight="1">
      <c r="A196" s="14"/>
      <c r="B196" s="14"/>
      <c r="C196" s="14"/>
      <c r="D196" s="14"/>
      <c r="E196" s="14"/>
      <c r="F196" s="14"/>
      <c r="G196" s="14"/>
      <c r="H196" s="14"/>
      <c r="I196" s="20"/>
      <c r="J196" s="20"/>
      <c r="K196" s="20"/>
      <c r="L196" s="20"/>
      <c r="M196" s="20"/>
      <c r="N196" s="20"/>
      <c r="O196" s="20"/>
      <c r="P196" s="20"/>
      <c r="Q196" s="20"/>
      <c r="R196" s="84"/>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14"/>
      <c r="AR196" s="14"/>
      <c r="AS196" s="14"/>
      <c r="AT196" s="14"/>
      <c r="AU196" s="14"/>
      <c r="AV196" s="14"/>
      <c r="AW196" s="14"/>
      <c r="AX196" s="14"/>
      <c r="AY196" s="14"/>
      <c r="AZ196" s="14"/>
      <c r="BA196" s="14"/>
      <c r="BB196" s="14"/>
      <c r="BC196" s="14"/>
      <c r="BD196" s="14"/>
      <c r="BE196" s="14"/>
      <c r="BF196" s="14"/>
    </row>
    <row r="197" spans="1:58" ht="17.100000000000001" customHeight="1">
      <c r="A197" s="14"/>
      <c r="B197" s="14"/>
      <c r="C197" s="14"/>
      <c r="D197" s="14"/>
      <c r="E197" s="14"/>
      <c r="F197" s="14"/>
      <c r="G197" s="14"/>
      <c r="H197" s="14"/>
      <c r="I197" s="20"/>
      <c r="J197" s="20"/>
      <c r="K197" s="20"/>
      <c r="L197" s="20"/>
      <c r="M197" s="20"/>
      <c r="N197" s="20"/>
      <c r="O197" s="20"/>
      <c r="P197" s="20"/>
      <c r="Q197" s="20"/>
      <c r="R197" s="84"/>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14"/>
      <c r="AR197" s="14"/>
      <c r="AS197" s="14"/>
      <c r="AT197" s="14"/>
      <c r="AU197" s="14"/>
      <c r="AV197" s="14"/>
      <c r="AW197" s="14"/>
      <c r="AX197" s="14"/>
      <c r="AY197" s="14"/>
      <c r="AZ197" s="14"/>
      <c r="BA197" s="14"/>
      <c r="BB197" s="14"/>
      <c r="BC197" s="14"/>
      <c r="BD197" s="14"/>
      <c r="BE197" s="14"/>
      <c r="BF197" s="14"/>
    </row>
    <row r="198" spans="1:58" ht="17.100000000000001" customHeight="1">
      <c r="A198" s="14"/>
      <c r="B198" s="14"/>
      <c r="C198" s="14"/>
      <c r="D198" s="14"/>
      <c r="E198" s="14"/>
      <c r="F198" s="14"/>
      <c r="G198" s="14"/>
      <c r="H198" s="14"/>
      <c r="I198" s="20"/>
      <c r="J198" s="20"/>
      <c r="K198" s="20"/>
      <c r="L198" s="20"/>
      <c r="M198" s="20"/>
      <c r="N198" s="20"/>
      <c r="O198" s="20"/>
      <c r="P198" s="20"/>
      <c r="Q198" s="20"/>
      <c r="R198" s="84"/>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14"/>
      <c r="AR198" s="14"/>
      <c r="AS198" s="14"/>
      <c r="AT198" s="14"/>
      <c r="AU198" s="14"/>
      <c r="AV198" s="14"/>
      <c r="AW198" s="14"/>
      <c r="AX198" s="14"/>
      <c r="AY198" s="14"/>
      <c r="AZ198" s="14"/>
      <c r="BA198" s="14"/>
      <c r="BB198" s="14"/>
      <c r="BC198" s="14"/>
      <c r="BD198" s="14"/>
      <c r="BE198" s="14"/>
      <c r="BF198" s="14"/>
    </row>
    <row r="199" spans="1:58" ht="17.100000000000001" customHeight="1">
      <c r="A199" s="14"/>
      <c r="B199" s="14"/>
      <c r="C199" s="14"/>
      <c r="D199" s="14"/>
      <c r="E199" s="14"/>
      <c r="F199" s="14"/>
      <c r="G199" s="14"/>
      <c r="H199" s="14"/>
      <c r="I199" s="20"/>
      <c r="J199" s="20"/>
      <c r="K199" s="20"/>
      <c r="L199" s="20"/>
      <c r="M199" s="20"/>
      <c r="N199" s="20"/>
      <c r="O199" s="20"/>
      <c r="P199" s="20"/>
      <c r="Q199" s="20"/>
      <c r="R199" s="84"/>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14"/>
      <c r="AR199" s="14"/>
      <c r="AS199" s="14"/>
      <c r="AT199" s="14"/>
      <c r="AU199" s="14"/>
      <c r="AV199" s="14"/>
      <c r="AW199" s="14"/>
      <c r="AX199" s="14"/>
      <c r="AY199" s="14"/>
      <c r="AZ199" s="14"/>
      <c r="BA199" s="14"/>
      <c r="BB199" s="14"/>
      <c r="BC199" s="14"/>
      <c r="BD199" s="14"/>
      <c r="BE199" s="14"/>
      <c r="BF199" s="14"/>
    </row>
    <row r="200" spans="1:58" ht="17.100000000000001" customHeight="1">
      <c r="A200" s="14"/>
      <c r="B200" s="14"/>
      <c r="C200" s="14"/>
      <c r="D200" s="14"/>
      <c r="E200" s="14"/>
      <c r="F200" s="14"/>
      <c r="G200" s="14"/>
      <c r="H200" s="14"/>
      <c r="I200" s="20"/>
      <c r="J200" s="20"/>
      <c r="K200" s="20"/>
      <c r="L200" s="20"/>
      <c r="M200" s="20"/>
      <c r="N200" s="20"/>
      <c r="O200" s="20"/>
      <c r="P200" s="20"/>
      <c r="Q200" s="20"/>
      <c r="R200" s="84"/>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14"/>
      <c r="AR200" s="14"/>
      <c r="AS200" s="14"/>
      <c r="AT200" s="14"/>
      <c r="AU200" s="14"/>
      <c r="AV200" s="14"/>
      <c r="AW200" s="14"/>
      <c r="AX200" s="14"/>
      <c r="AY200" s="14"/>
      <c r="AZ200" s="14"/>
      <c r="BA200" s="14"/>
      <c r="BB200" s="14"/>
      <c r="BC200" s="14"/>
      <c r="BD200" s="14"/>
      <c r="BE200" s="14"/>
      <c r="BF200" s="14"/>
    </row>
    <row r="201" spans="1:58" ht="17.100000000000001" customHeight="1">
      <c r="A201" s="14"/>
      <c r="B201" s="14"/>
      <c r="C201" s="14"/>
      <c r="D201" s="14"/>
      <c r="E201" s="14"/>
      <c r="F201" s="14"/>
      <c r="G201" s="14"/>
      <c r="H201" s="14"/>
      <c r="I201" s="20"/>
      <c r="J201" s="20"/>
      <c r="K201" s="20"/>
      <c r="L201" s="20"/>
      <c r="M201" s="20"/>
      <c r="N201" s="20"/>
      <c r="O201" s="20"/>
      <c r="P201" s="20"/>
      <c r="Q201" s="20"/>
      <c r="R201" s="84"/>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14"/>
      <c r="AR201" s="14"/>
      <c r="AS201" s="14"/>
      <c r="AT201" s="14"/>
      <c r="AU201" s="14"/>
      <c r="AV201" s="14"/>
      <c r="AW201" s="14"/>
      <c r="AX201" s="14"/>
      <c r="AY201" s="14"/>
      <c r="AZ201" s="14"/>
      <c r="BA201" s="14"/>
      <c r="BB201" s="14"/>
      <c r="BC201" s="14"/>
      <c r="BD201" s="14"/>
      <c r="BE201" s="14"/>
      <c r="BF201" s="14"/>
    </row>
    <row r="202" spans="1:58" ht="17.100000000000001" customHeight="1">
      <c r="A202" s="14"/>
      <c r="B202" s="14"/>
      <c r="C202" s="14"/>
      <c r="D202" s="14"/>
      <c r="E202" s="14"/>
      <c r="F202" s="14"/>
      <c r="G202" s="14"/>
      <c r="H202" s="14"/>
      <c r="I202" s="20"/>
      <c r="J202" s="20"/>
      <c r="K202" s="20"/>
      <c r="L202" s="20"/>
      <c r="M202" s="20"/>
      <c r="N202" s="20"/>
      <c r="O202" s="20"/>
      <c r="P202" s="20"/>
      <c r="Q202" s="20"/>
      <c r="R202" s="84"/>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14"/>
      <c r="AR202" s="14"/>
      <c r="AS202" s="14"/>
      <c r="AT202" s="14"/>
      <c r="AU202" s="14"/>
      <c r="AV202" s="14"/>
      <c r="AW202" s="14"/>
      <c r="AX202" s="14"/>
      <c r="AY202" s="14"/>
      <c r="AZ202" s="14"/>
      <c r="BA202" s="14"/>
      <c r="BB202" s="14"/>
      <c r="BC202" s="14"/>
      <c r="BD202" s="14"/>
      <c r="BE202" s="14"/>
      <c r="BF202" s="14"/>
    </row>
    <row r="203" spans="1:58" ht="17.100000000000001" customHeight="1">
      <c r="A203" s="14"/>
      <c r="B203" s="14"/>
      <c r="C203" s="14"/>
      <c r="D203" s="14"/>
      <c r="E203" s="14"/>
      <c r="F203" s="14"/>
      <c r="G203" s="14"/>
      <c r="H203" s="14"/>
      <c r="I203" s="20"/>
      <c r="J203" s="20"/>
      <c r="K203" s="20"/>
      <c r="L203" s="20"/>
      <c r="M203" s="20"/>
      <c r="N203" s="20"/>
      <c r="O203" s="20"/>
      <c r="P203" s="20"/>
      <c r="Q203" s="20"/>
      <c r="R203" s="84"/>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14"/>
      <c r="AR203" s="14"/>
      <c r="AS203" s="14"/>
      <c r="AT203" s="14"/>
      <c r="AU203" s="14"/>
      <c r="AV203" s="14"/>
      <c r="AW203" s="14"/>
      <c r="AX203" s="14"/>
      <c r="AY203" s="14"/>
      <c r="AZ203" s="14"/>
      <c r="BA203" s="14"/>
      <c r="BB203" s="14"/>
      <c r="BC203" s="14"/>
      <c r="BD203" s="14"/>
      <c r="BE203" s="14"/>
      <c r="BF203" s="14"/>
    </row>
    <row r="204" spans="1:58" ht="17.100000000000001" customHeight="1">
      <c r="A204" s="14"/>
      <c r="B204" s="14"/>
      <c r="C204" s="14"/>
      <c r="D204" s="14"/>
      <c r="E204" s="14"/>
      <c r="F204" s="14"/>
      <c r="G204" s="14"/>
      <c r="H204" s="14"/>
      <c r="I204" s="20"/>
      <c r="J204" s="20"/>
      <c r="K204" s="20"/>
      <c r="L204" s="20"/>
      <c r="M204" s="20"/>
      <c r="N204" s="20"/>
      <c r="O204" s="20"/>
      <c r="P204" s="20"/>
      <c r="Q204" s="20"/>
      <c r="R204" s="84"/>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14"/>
      <c r="AR204" s="14"/>
      <c r="AS204" s="14"/>
      <c r="AT204" s="14"/>
      <c r="AU204" s="14"/>
      <c r="AV204" s="14"/>
      <c r="AW204" s="14"/>
      <c r="AX204" s="14"/>
      <c r="AY204" s="14"/>
      <c r="AZ204" s="14"/>
      <c r="BA204" s="14"/>
      <c r="BB204" s="14"/>
      <c r="BC204" s="14"/>
      <c r="BD204" s="14"/>
      <c r="BE204" s="14"/>
      <c r="BF204" s="14"/>
    </row>
    <row r="205" spans="1:58" ht="17.100000000000001" customHeight="1">
      <c r="A205" s="14"/>
      <c r="B205" s="14"/>
      <c r="C205" s="14"/>
      <c r="D205" s="14"/>
      <c r="E205" s="14"/>
      <c r="F205" s="14"/>
      <c r="G205" s="14"/>
      <c r="H205" s="14"/>
      <c r="I205" s="20"/>
      <c r="J205" s="20"/>
      <c r="K205" s="20"/>
      <c r="L205" s="20"/>
      <c r="M205" s="20"/>
      <c r="N205" s="20"/>
      <c r="O205" s="20"/>
      <c r="P205" s="20"/>
      <c r="Q205" s="20"/>
      <c r="R205" s="84"/>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14"/>
      <c r="AR205" s="14"/>
      <c r="AS205" s="14"/>
      <c r="AT205" s="14"/>
      <c r="AU205" s="14"/>
      <c r="AV205" s="14"/>
      <c r="AW205" s="14"/>
      <c r="AX205" s="14"/>
      <c r="AY205" s="14"/>
      <c r="AZ205" s="14"/>
      <c r="BA205" s="14"/>
      <c r="BB205" s="14"/>
      <c r="BC205" s="14"/>
      <c r="BD205" s="14"/>
      <c r="BE205" s="14"/>
      <c r="BF205" s="14"/>
    </row>
    <row r="206" spans="1:58" ht="17.100000000000001" customHeight="1">
      <c r="A206" s="14"/>
      <c r="B206" s="14"/>
      <c r="C206" s="14"/>
      <c r="D206" s="14"/>
      <c r="E206" s="14"/>
      <c r="F206" s="14"/>
      <c r="G206" s="14"/>
      <c r="H206" s="14"/>
      <c r="I206" s="20"/>
      <c r="J206" s="20"/>
      <c r="K206" s="20"/>
      <c r="L206" s="20"/>
      <c r="M206" s="20"/>
      <c r="N206" s="20"/>
      <c r="O206" s="20"/>
      <c r="P206" s="20"/>
      <c r="Q206" s="20"/>
      <c r="R206" s="84"/>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14"/>
      <c r="AR206" s="14"/>
      <c r="AS206" s="14"/>
      <c r="AT206" s="14"/>
      <c r="AU206" s="14"/>
      <c r="AV206" s="14"/>
      <c r="AW206" s="14"/>
      <c r="AX206" s="14"/>
      <c r="AY206" s="14"/>
      <c r="AZ206" s="14"/>
      <c r="BA206" s="14"/>
      <c r="BB206" s="14"/>
      <c r="BC206" s="14"/>
      <c r="BD206" s="14"/>
      <c r="BE206" s="14"/>
      <c r="BF206" s="14"/>
    </row>
    <row r="207" spans="1:58" ht="17.100000000000001" customHeight="1">
      <c r="A207" s="14"/>
      <c r="B207" s="14"/>
      <c r="C207" s="14"/>
      <c r="D207" s="14"/>
      <c r="E207" s="14"/>
      <c r="F207" s="14"/>
      <c r="G207" s="14"/>
      <c r="H207" s="14"/>
      <c r="I207" s="20"/>
      <c r="J207" s="20"/>
      <c r="K207" s="20"/>
      <c r="L207" s="20"/>
      <c r="M207" s="20"/>
      <c r="N207" s="20"/>
      <c r="O207" s="20"/>
      <c r="P207" s="20"/>
      <c r="Q207" s="20"/>
      <c r="R207" s="84"/>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14"/>
      <c r="AR207" s="14"/>
      <c r="AS207" s="14"/>
      <c r="AT207" s="14"/>
      <c r="AU207" s="14"/>
      <c r="AV207" s="14"/>
      <c r="AW207" s="14"/>
      <c r="AX207" s="14"/>
      <c r="AY207" s="14"/>
      <c r="AZ207" s="14"/>
      <c r="BA207" s="14"/>
      <c r="BB207" s="14"/>
      <c r="BC207" s="14"/>
      <c r="BD207" s="14"/>
      <c r="BE207" s="14"/>
      <c r="BF207" s="14"/>
    </row>
    <row r="208" spans="1:58" ht="17.100000000000001" customHeight="1">
      <c r="A208" s="14"/>
      <c r="B208" s="14"/>
      <c r="C208" s="14"/>
      <c r="D208" s="14"/>
      <c r="E208" s="14"/>
      <c r="F208" s="14"/>
      <c r="G208" s="14"/>
      <c r="H208" s="14"/>
      <c r="I208" s="20"/>
      <c r="J208" s="20"/>
      <c r="K208" s="20"/>
      <c r="L208" s="20"/>
      <c r="M208" s="20"/>
      <c r="N208" s="20"/>
      <c r="O208" s="20"/>
      <c r="P208" s="20"/>
      <c r="Q208" s="20"/>
      <c r="R208" s="8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row>
    <row r="209" spans="1:58" ht="17.100000000000001" customHeight="1">
      <c r="A209" s="14"/>
      <c r="B209" s="14"/>
      <c r="C209" s="14"/>
      <c r="D209" s="14"/>
      <c r="E209" s="14"/>
      <c r="F209" s="14"/>
      <c r="G209" s="14"/>
      <c r="H209" s="14"/>
      <c r="I209" s="20"/>
      <c r="J209" s="20"/>
      <c r="K209" s="20"/>
      <c r="L209" s="20"/>
      <c r="M209" s="20"/>
      <c r="N209" s="20"/>
      <c r="O209" s="20"/>
      <c r="P209" s="20"/>
      <c r="Q209" s="20"/>
      <c r="R209" s="84"/>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14"/>
      <c r="AR209" s="14"/>
      <c r="AS209" s="14"/>
      <c r="AT209" s="14"/>
      <c r="AU209" s="14"/>
      <c r="AV209" s="14"/>
      <c r="AW209" s="14"/>
      <c r="AX209" s="14"/>
      <c r="AY209" s="14"/>
      <c r="AZ209" s="14"/>
      <c r="BA209" s="14"/>
      <c r="BB209" s="14"/>
      <c r="BC209" s="14"/>
      <c r="BD209" s="14"/>
      <c r="BE209" s="14"/>
      <c r="BF209" s="14"/>
    </row>
    <row r="210" spans="1:58" ht="17.100000000000001" customHeight="1">
      <c r="A210" s="14"/>
      <c r="B210" s="14"/>
      <c r="C210" s="14"/>
      <c r="D210" s="14"/>
      <c r="E210" s="14"/>
      <c r="F210" s="14"/>
      <c r="G210" s="14"/>
      <c r="H210" s="14"/>
      <c r="I210" s="20"/>
      <c r="J210" s="20"/>
      <c r="K210" s="20"/>
      <c r="L210" s="20"/>
      <c r="M210" s="20"/>
      <c r="N210" s="20"/>
      <c r="O210" s="20"/>
      <c r="P210" s="20"/>
      <c r="Q210" s="20"/>
      <c r="R210" s="84"/>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14"/>
      <c r="AR210" s="14"/>
      <c r="AS210" s="14"/>
      <c r="AT210" s="14"/>
      <c r="AU210" s="14"/>
      <c r="AV210" s="14"/>
      <c r="AW210" s="14"/>
      <c r="AX210" s="14"/>
      <c r="AY210" s="14"/>
      <c r="AZ210" s="14"/>
      <c r="BA210" s="14"/>
      <c r="BB210" s="14"/>
      <c r="BC210" s="14"/>
      <c r="BD210" s="14"/>
      <c r="BE210" s="14"/>
      <c r="BF210" s="14"/>
    </row>
    <row r="211" spans="1:58" ht="17.100000000000001" customHeight="1">
      <c r="A211" s="14"/>
      <c r="B211" s="14"/>
      <c r="C211" s="14"/>
      <c r="D211" s="14"/>
      <c r="E211" s="14"/>
      <c r="F211" s="14"/>
      <c r="G211" s="14"/>
      <c r="H211" s="14"/>
      <c r="I211" s="20"/>
      <c r="J211" s="20"/>
      <c r="K211" s="20"/>
      <c r="L211" s="20"/>
      <c r="M211" s="20"/>
      <c r="N211" s="20"/>
      <c r="O211" s="20"/>
      <c r="P211" s="20"/>
      <c r="Q211" s="20"/>
      <c r="R211" s="84"/>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14"/>
      <c r="AR211" s="14"/>
      <c r="AS211" s="14"/>
      <c r="AT211" s="14"/>
      <c r="AU211" s="14"/>
      <c r="AV211" s="14"/>
      <c r="AW211" s="14"/>
      <c r="AX211" s="14"/>
      <c r="AY211" s="14"/>
      <c r="AZ211" s="14"/>
      <c r="BA211" s="14"/>
      <c r="BB211" s="14"/>
      <c r="BC211" s="14"/>
      <c r="BD211" s="14"/>
      <c r="BE211" s="14"/>
      <c r="BF211" s="14"/>
    </row>
    <row r="212" spans="1:58" ht="17.100000000000001" customHeight="1">
      <c r="A212" s="14"/>
      <c r="B212" s="14"/>
      <c r="C212" s="14"/>
      <c r="D212" s="14"/>
      <c r="E212" s="14"/>
      <c r="F212" s="14"/>
      <c r="G212" s="14"/>
      <c r="H212" s="14"/>
      <c r="I212" s="20"/>
      <c r="J212" s="20"/>
      <c r="K212" s="20"/>
      <c r="L212" s="20"/>
      <c r="M212" s="20"/>
      <c r="N212" s="20"/>
      <c r="O212" s="20"/>
      <c r="P212" s="20"/>
      <c r="Q212" s="20"/>
      <c r="R212" s="84"/>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14"/>
      <c r="AR212" s="14"/>
      <c r="AS212" s="14"/>
      <c r="AT212" s="14"/>
      <c r="AU212" s="14"/>
      <c r="AV212" s="14"/>
      <c r="AW212" s="14"/>
      <c r="AX212" s="14"/>
      <c r="AY212" s="14"/>
      <c r="AZ212" s="14"/>
      <c r="BA212" s="14"/>
      <c r="BB212" s="14"/>
      <c r="BC212" s="14"/>
      <c r="BD212" s="14"/>
      <c r="BE212" s="14"/>
      <c r="BF212" s="14"/>
    </row>
    <row r="213" spans="1:58" ht="17.100000000000001" customHeight="1">
      <c r="A213" s="14"/>
      <c r="B213" s="14"/>
      <c r="C213" s="14"/>
      <c r="D213" s="14"/>
      <c r="E213" s="14"/>
      <c r="F213" s="14"/>
      <c r="G213" s="14"/>
      <c r="H213" s="14"/>
      <c r="I213" s="20"/>
      <c r="J213" s="20"/>
      <c r="K213" s="20"/>
      <c r="L213" s="20"/>
      <c r="M213" s="20"/>
      <c r="N213" s="20"/>
      <c r="O213" s="20"/>
      <c r="P213" s="20"/>
      <c r="Q213" s="20"/>
      <c r="R213" s="84"/>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14"/>
      <c r="AR213" s="14"/>
      <c r="AS213" s="14"/>
      <c r="AT213" s="14"/>
      <c r="AU213" s="14"/>
      <c r="AV213" s="14"/>
      <c r="AW213" s="14"/>
      <c r="AX213" s="14"/>
      <c r="AY213" s="14"/>
      <c r="AZ213" s="14"/>
      <c r="BA213" s="14"/>
      <c r="BB213" s="14"/>
      <c r="BC213" s="14"/>
      <c r="BD213" s="14"/>
      <c r="BE213" s="14"/>
      <c r="BF213" s="14"/>
    </row>
    <row r="214" spans="1:58" ht="17.100000000000001" customHeight="1">
      <c r="A214" s="14"/>
      <c r="B214" s="14"/>
      <c r="C214" s="14"/>
      <c r="D214" s="14"/>
      <c r="E214" s="14"/>
      <c r="F214" s="14"/>
      <c r="G214" s="14"/>
      <c r="H214" s="14"/>
      <c r="I214" s="20"/>
      <c r="J214" s="20"/>
      <c r="K214" s="20"/>
      <c r="L214" s="20"/>
      <c r="M214" s="20"/>
      <c r="N214" s="20"/>
      <c r="O214" s="20"/>
      <c r="P214" s="20"/>
      <c r="Q214" s="20"/>
      <c r="R214" s="84"/>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14"/>
      <c r="AR214" s="14"/>
      <c r="AS214" s="14"/>
      <c r="AT214" s="14"/>
      <c r="AU214" s="14"/>
      <c r="AV214" s="14"/>
      <c r="AW214" s="14"/>
      <c r="AX214" s="14"/>
      <c r="AY214" s="14"/>
      <c r="AZ214" s="14"/>
      <c r="BA214" s="14"/>
      <c r="BB214" s="14"/>
      <c r="BC214" s="14"/>
      <c r="BD214" s="14"/>
      <c r="BE214" s="14"/>
      <c r="BF214" s="14"/>
    </row>
    <row r="215" spans="1:58" ht="17.100000000000001" customHeight="1">
      <c r="A215" s="14"/>
      <c r="B215" s="14"/>
      <c r="C215" s="14"/>
      <c r="D215" s="14"/>
      <c r="E215" s="14"/>
      <c r="F215" s="14"/>
      <c r="G215" s="14"/>
      <c r="H215" s="14"/>
      <c r="I215" s="20"/>
      <c r="J215" s="20"/>
      <c r="K215" s="20"/>
      <c r="L215" s="20"/>
      <c r="M215" s="20"/>
      <c r="N215" s="20"/>
      <c r="O215" s="20"/>
      <c r="P215" s="20"/>
      <c r="Q215" s="20"/>
      <c r="R215" s="84"/>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14"/>
      <c r="AR215" s="14"/>
      <c r="AS215" s="14"/>
      <c r="AT215" s="14"/>
      <c r="AU215" s="14"/>
      <c r="AV215" s="14"/>
      <c r="AW215" s="14"/>
      <c r="AX215" s="14"/>
      <c r="AY215" s="14"/>
      <c r="AZ215" s="14"/>
      <c r="BA215" s="14"/>
      <c r="BB215" s="14"/>
      <c r="BC215" s="14"/>
      <c r="BD215" s="14"/>
      <c r="BE215" s="14"/>
      <c r="BF215" s="14"/>
    </row>
    <row r="216" spans="1:58" ht="17.100000000000001" customHeight="1">
      <c r="A216" s="14"/>
      <c r="B216" s="14"/>
      <c r="C216" s="14"/>
      <c r="D216" s="14"/>
      <c r="E216" s="14"/>
      <c r="F216" s="14"/>
      <c r="G216" s="14"/>
      <c r="H216" s="14"/>
      <c r="I216" s="20"/>
      <c r="J216" s="20"/>
      <c r="K216" s="20"/>
      <c r="L216" s="20"/>
      <c r="M216" s="20"/>
      <c r="N216" s="20"/>
      <c r="O216" s="20"/>
      <c r="P216" s="20"/>
      <c r="Q216" s="20"/>
      <c r="R216" s="8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row>
    <row r="217" spans="1:58" ht="17.100000000000001" customHeight="1">
      <c r="A217" s="14"/>
      <c r="B217" s="14"/>
      <c r="C217" s="14"/>
      <c r="D217" s="14"/>
      <c r="E217" s="14"/>
      <c r="F217" s="14"/>
      <c r="G217" s="14"/>
      <c r="H217" s="14"/>
      <c r="I217" s="20"/>
      <c r="J217" s="20"/>
      <c r="K217" s="20"/>
      <c r="L217" s="20"/>
      <c r="M217" s="20"/>
      <c r="N217" s="20"/>
      <c r="O217" s="20"/>
      <c r="P217" s="20"/>
      <c r="Q217" s="20"/>
      <c r="R217" s="84"/>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14"/>
      <c r="AR217" s="14"/>
      <c r="AS217" s="14"/>
      <c r="AT217" s="14"/>
      <c r="AU217" s="14"/>
      <c r="AV217" s="14"/>
      <c r="AW217" s="14"/>
      <c r="AX217" s="14"/>
      <c r="AY217" s="14"/>
      <c r="AZ217" s="14"/>
      <c r="BA217" s="14"/>
      <c r="BB217" s="14"/>
      <c r="BC217" s="14"/>
      <c r="BD217" s="14"/>
      <c r="BE217" s="14"/>
      <c r="BF217" s="14"/>
    </row>
    <row r="218" spans="1:58" ht="17.100000000000001" customHeight="1">
      <c r="A218" s="14"/>
      <c r="B218" s="14"/>
      <c r="C218" s="14"/>
      <c r="D218" s="14"/>
      <c r="E218" s="14"/>
      <c r="F218" s="14"/>
      <c r="G218" s="14"/>
      <c r="H218" s="14"/>
      <c r="I218" s="20"/>
      <c r="J218" s="20"/>
      <c r="K218" s="20"/>
      <c r="L218" s="20"/>
      <c r="M218" s="20"/>
      <c r="N218" s="20"/>
      <c r="O218" s="20"/>
      <c r="P218" s="20"/>
      <c r="Q218" s="20"/>
      <c r="R218" s="84"/>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14"/>
      <c r="AR218" s="14"/>
      <c r="AS218" s="14"/>
      <c r="AT218" s="14"/>
      <c r="AU218" s="14"/>
      <c r="AV218" s="14"/>
      <c r="AW218" s="14"/>
      <c r="AX218" s="14"/>
      <c r="AY218" s="14"/>
      <c r="AZ218" s="14"/>
      <c r="BA218" s="14"/>
      <c r="BB218" s="14"/>
      <c r="BC218" s="14"/>
      <c r="BD218" s="14"/>
      <c r="BE218" s="14"/>
      <c r="BF218" s="14"/>
    </row>
    <row r="219" spans="1:58" ht="17.100000000000001" customHeight="1">
      <c r="A219" s="14"/>
      <c r="B219" s="14"/>
      <c r="C219" s="14"/>
      <c r="D219" s="14"/>
      <c r="E219" s="14"/>
      <c r="F219" s="14"/>
      <c r="G219" s="14"/>
      <c r="H219" s="14"/>
      <c r="I219" s="20"/>
      <c r="J219" s="20"/>
      <c r="K219" s="20"/>
      <c r="L219" s="20"/>
      <c r="M219" s="20"/>
      <c r="N219" s="20"/>
      <c r="O219" s="20"/>
      <c r="P219" s="20"/>
      <c r="Q219" s="20"/>
      <c r="R219" s="84"/>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14"/>
      <c r="AR219" s="14"/>
      <c r="AS219" s="14"/>
      <c r="AT219" s="14"/>
      <c r="AU219" s="14"/>
      <c r="AV219" s="14"/>
      <c r="AW219" s="14"/>
      <c r="AX219" s="14"/>
      <c r="AY219" s="14"/>
      <c r="AZ219" s="14"/>
      <c r="BA219" s="14"/>
      <c r="BB219" s="14"/>
      <c r="BC219" s="14"/>
      <c r="BD219" s="14"/>
      <c r="BE219" s="14"/>
      <c r="BF219" s="14"/>
    </row>
    <row r="220" spans="1:58" ht="17.100000000000001" customHeight="1">
      <c r="A220" s="14"/>
      <c r="B220" s="14"/>
      <c r="C220" s="14"/>
      <c r="D220" s="14"/>
      <c r="E220" s="14"/>
      <c r="F220" s="14"/>
      <c r="G220" s="14"/>
      <c r="H220" s="14"/>
      <c r="I220" s="20"/>
      <c r="J220" s="20"/>
      <c r="K220" s="20"/>
      <c r="L220" s="20"/>
      <c r="M220" s="20"/>
      <c r="N220" s="20"/>
      <c r="O220" s="20"/>
      <c r="P220" s="20"/>
      <c r="Q220" s="20"/>
      <c r="R220" s="84"/>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14"/>
      <c r="AR220" s="14"/>
      <c r="AS220" s="14"/>
      <c r="AT220" s="14"/>
      <c r="AU220" s="14"/>
      <c r="AV220" s="14"/>
      <c r="AW220" s="14"/>
      <c r="AX220" s="14"/>
      <c r="AY220" s="14"/>
      <c r="AZ220" s="14"/>
      <c r="BA220" s="14"/>
      <c r="BB220" s="14"/>
      <c r="BC220" s="14"/>
      <c r="BD220" s="14"/>
      <c r="BE220" s="14"/>
      <c r="BF220" s="14"/>
    </row>
    <row r="221" spans="1:58" ht="17.100000000000001" customHeight="1">
      <c r="A221" s="14"/>
      <c r="B221" s="14"/>
      <c r="C221" s="14"/>
      <c r="D221" s="14"/>
      <c r="E221" s="14"/>
      <c r="F221" s="14"/>
      <c r="G221" s="14"/>
      <c r="H221" s="14"/>
      <c r="I221" s="20"/>
      <c r="J221" s="20"/>
      <c r="K221" s="20"/>
      <c r="L221" s="20"/>
      <c r="M221" s="20"/>
      <c r="N221" s="20"/>
      <c r="O221" s="20"/>
      <c r="P221" s="20"/>
      <c r="Q221" s="20"/>
      <c r="R221" s="84"/>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14"/>
      <c r="AR221" s="14"/>
      <c r="AS221" s="14"/>
      <c r="AT221" s="14"/>
      <c r="AU221" s="14"/>
      <c r="AV221" s="14"/>
      <c r="AW221" s="14"/>
      <c r="AX221" s="14"/>
      <c r="AY221" s="14"/>
      <c r="AZ221" s="14"/>
      <c r="BA221" s="14"/>
      <c r="BB221" s="14"/>
      <c r="BC221" s="14"/>
      <c r="BD221" s="14"/>
      <c r="BE221" s="14"/>
      <c r="BF221" s="14"/>
    </row>
    <row r="222" spans="1:58" ht="17.100000000000001" customHeight="1">
      <c r="A222" s="14"/>
      <c r="B222" s="14"/>
      <c r="C222" s="14"/>
      <c r="D222" s="14"/>
      <c r="E222" s="14"/>
      <c r="F222" s="14"/>
      <c r="G222" s="14"/>
      <c r="H222" s="14"/>
      <c r="I222" s="20"/>
      <c r="J222" s="20"/>
      <c r="K222" s="20"/>
      <c r="L222" s="20"/>
      <c r="M222" s="20"/>
      <c r="N222" s="20"/>
      <c r="O222" s="20"/>
      <c r="P222" s="20"/>
      <c r="Q222" s="20"/>
      <c r="R222" s="84"/>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14"/>
      <c r="AR222" s="14"/>
      <c r="AS222" s="14"/>
      <c r="AT222" s="14"/>
      <c r="AU222" s="14"/>
      <c r="AV222" s="14"/>
      <c r="AW222" s="14"/>
      <c r="AX222" s="14"/>
      <c r="AY222" s="14"/>
      <c r="AZ222" s="14"/>
      <c r="BA222" s="14"/>
      <c r="BB222" s="14"/>
      <c r="BC222" s="14"/>
      <c r="BD222" s="14"/>
      <c r="BE222" s="14"/>
      <c r="BF222" s="14"/>
    </row>
    <row r="223" spans="1:58" ht="17.100000000000001" customHeight="1">
      <c r="A223" s="14"/>
      <c r="B223" s="14"/>
      <c r="C223" s="14"/>
      <c r="D223" s="14"/>
      <c r="E223" s="14"/>
      <c r="F223" s="14"/>
      <c r="G223" s="14"/>
      <c r="H223" s="14"/>
      <c r="I223" s="20"/>
      <c r="J223" s="20"/>
      <c r="K223" s="20"/>
      <c r="L223" s="20"/>
      <c r="M223" s="20"/>
      <c r="N223" s="20"/>
      <c r="O223" s="20"/>
      <c r="P223" s="20"/>
      <c r="Q223" s="20"/>
      <c r="R223" s="84"/>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14"/>
      <c r="AR223" s="14"/>
      <c r="AS223" s="14"/>
      <c r="AT223" s="14"/>
      <c r="AU223" s="14"/>
      <c r="AV223" s="14"/>
      <c r="AW223" s="14"/>
      <c r="AX223" s="14"/>
      <c r="AY223" s="14"/>
      <c r="AZ223" s="14"/>
      <c r="BA223" s="14"/>
      <c r="BB223" s="14"/>
      <c r="BC223" s="14"/>
      <c r="BD223" s="14"/>
      <c r="BE223" s="14"/>
      <c r="BF223" s="14"/>
    </row>
    <row r="224" spans="1:58" ht="17.100000000000001" customHeight="1">
      <c r="A224" s="14"/>
      <c r="B224" s="14"/>
      <c r="C224" s="14"/>
      <c r="D224" s="14"/>
      <c r="E224" s="14"/>
      <c r="F224" s="14"/>
      <c r="G224" s="14"/>
      <c r="H224" s="14"/>
      <c r="I224" s="20"/>
      <c r="J224" s="20"/>
      <c r="K224" s="20"/>
      <c r="L224" s="20"/>
      <c r="M224" s="20"/>
      <c r="N224" s="20"/>
      <c r="O224" s="20"/>
      <c r="P224" s="20"/>
      <c r="Q224" s="20"/>
      <c r="R224" s="8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row>
    <row r="225" spans="1:58" ht="17.100000000000001" customHeight="1">
      <c r="A225" s="14"/>
      <c r="B225" s="14"/>
      <c r="C225" s="14"/>
      <c r="D225" s="14"/>
      <c r="E225" s="14"/>
      <c r="F225" s="14"/>
      <c r="G225" s="14"/>
      <c r="H225" s="14"/>
      <c r="I225" s="20"/>
      <c r="J225" s="20"/>
      <c r="K225" s="20"/>
      <c r="L225" s="20"/>
      <c r="M225" s="20"/>
      <c r="N225" s="20"/>
      <c r="O225" s="20"/>
      <c r="P225" s="20"/>
      <c r="Q225" s="20"/>
      <c r="R225" s="84"/>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14"/>
      <c r="AR225" s="14"/>
      <c r="AS225" s="14"/>
      <c r="AT225" s="14"/>
      <c r="AU225" s="14"/>
      <c r="AV225" s="14"/>
      <c r="AW225" s="14"/>
      <c r="AX225" s="14"/>
      <c r="AY225" s="14"/>
      <c r="AZ225" s="14"/>
      <c r="BA225" s="14"/>
      <c r="BB225" s="14"/>
      <c r="BC225" s="14"/>
      <c r="BD225" s="14"/>
      <c r="BE225" s="14"/>
      <c r="BF225" s="14"/>
    </row>
    <row r="226" spans="1:58" ht="17.100000000000001" customHeight="1">
      <c r="A226" s="14"/>
      <c r="B226" s="14"/>
      <c r="C226" s="14"/>
      <c r="D226" s="14"/>
      <c r="E226" s="14"/>
      <c r="F226" s="14"/>
      <c r="G226" s="14"/>
      <c r="H226" s="14"/>
      <c r="I226" s="20"/>
      <c r="J226" s="20"/>
      <c r="K226" s="20"/>
      <c r="L226" s="20"/>
      <c r="M226" s="20"/>
      <c r="N226" s="20"/>
      <c r="O226" s="20"/>
      <c r="P226" s="20"/>
      <c r="Q226" s="20"/>
      <c r="R226" s="84"/>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14"/>
      <c r="AR226" s="14"/>
      <c r="AS226" s="14"/>
      <c r="AT226" s="14"/>
      <c r="AU226" s="14"/>
      <c r="AV226" s="14"/>
      <c r="AW226" s="14"/>
      <c r="AX226" s="14"/>
      <c r="AY226" s="14"/>
      <c r="AZ226" s="14"/>
      <c r="BA226" s="14"/>
      <c r="BB226" s="14"/>
      <c r="BC226" s="14"/>
      <c r="BD226" s="14"/>
      <c r="BE226" s="14"/>
      <c r="BF226" s="14"/>
    </row>
    <row r="227" spans="1:58" ht="17.100000000000001" customHeight="1">
      <c r="A227" s="14"/>
      <c r="B227" s="14"/>
      <c r="C227" s="14"/>
      <c r="D227" s="14"/>
      <c r="E227" s="14"/>
      <c r="F227" s="14"/>
      <c r="G227" s="14"/>
      <c r="H227" s="14"/>
      <c r="I227" s="20"/>
      <c r="J227" s="20"/>
      <c r="K227" s="20"/>
      <c r="L227" s="20"/>
      <c r="M227" s="20"/>
      <c r="N227" s="20"/>
      <c r="O227" s="20"/>
      <c r="P227" s="20"/>
      <c r="Q227" s="20"/>
      <c r="R227" s="84"/>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14"/>
      <c r="AR227" s="14"/>
      <c r="AS227" s="14"/>
      <c r="AT227" s="14"/>
      <c r="AU227" s="14"/>
      <c r="AV227" s="14"/>
      <c r="AW227" s="14"/>
      <c r="AX227" s="14"/>
      <c r="AY227" s="14"/>
      <c r="AZ227" s="14"/>
      <c r="BA227" s="14"/>
      <c r="BB227" s="14"/>
      <c r="BC227" s="14"/>
      <c r="BD227" s="14"/>
      <c r="BE227" s="14"/>
      <c r="BF227" s="14"/>
    </row>
    <row r="228" spans="1:58" ht="17.100000000000001" customHeight="1">
      <c r="A228" s="14"/>
      <c r="B228" s="14"/>
      <c r="C228" s="14"/>
      <c r="D228" s="14"/>
      <c r="E228" s="14"/>
      <c r="F228" s="14"/>
      <c r="G228" s="14"/>
      <c r="H228" s="14"/>
      <c r="I228" s="20"/>
      <c r="J228" s="20"/>
      <c r="K228" s="20"/>
      <c r="L228" s="20"/>
      <c r="M228" s="20"/>
      <c r="N228" s="20"/>
      <c r="O228" s="20"/>
      <c r="P228" s="20"/>
      <c r="Q228" s="20"/>
      <c r="R228" s="84"/>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14"/>
      <c r="AR228" s="14"/>
      <c r="AS228" s="14"/>
      <c r="AT228" s="14"/>
      <c r="AU228" s="14"/>
      <c r="AV228" s="14"/>
      <c r="AW228" s="14"/>
      <c r="AX228" s="14"/>
      <c r="AY228" s="14"/>
      <c r="AZ228" s="14"/>
      <c r="BA228" s="14"/>
      <c r="BB228" s="14"/>
      <c r="BC228" s="14"/>
      <c r="BD228" s="14"/>
      <c r="BE228" s="14"/>
      <c r="BF228" s="14"/>
    </row>
    <row r="229" spans="1:58" ht="17.100000000000001" customHeight="1">
      <c r="A229" s="14"/>
      <c r="B229" s="14"/>
      <c r="C229" s="14"/>
      <c r="D229" s="14"/>
      <c r="E229" s="14"/>
      <c r="F229" s="14"/>
      <c r="G229" s="14"/>
      <c r="H229" s="14"/>
      <c r="I229" s="20"/>
      <c r="J229" s="20"/>
      <c r="K229" s="20"/>
      <c r="L229" s="20"/>
      <c r="M229" s="20"/>
      <c r="N229" s="20"/>
      <c r="O229" s="20"/>
      <c r="P229" s="20"/>
      <c r="Q229" s="20"/>
      <c r="R229" s="84"/>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14"/>
      <c r="AR229" s="14"/>
      <c r="AS229" s="14"/>
      <c r="AT229" s="14"/>
      <c r="AU229" s="14"/>
      <c r="AV229" s="14"/>
      <c r="AW229" s="14"/>
      <c r="AX229" s="14"/>
      <c r="AY229" s="14"/>
      <c r="AZ229" s="14"/>
      <c r="BA229" s="14"/>
      <c r="BB229" s="14"/>
      <c r="BC229" s="14"/>
      <c r="BD229" s="14"/>
      <c r="BE229" s="14"/>
      <c r="BF229" s="14"/>
    </row>
    <row r="230" spans="1:58" ht="17.100000000000001" customHeight="1">
      <c r="A230" s="14"/>
      <c r="B230" s="14"/>
      <c r="C230" s="14"/>
      <c r="D230" s="14"/>
      <c r="E230" s="14"/>
      <c r="F230" s="14"/>
      <c r="G230" s="14"/>
      <c r="H230" s="14"/>
      <c r="I230" s="20"/>
      <c r="J230" s="20"/>
      <c r="K230" s="20"/>
      <c r="L230" s="20"/>
      <c r="M230" s="20"/>
      <c r="N230" s="20"/>
      <c r="O230" s="20"/>
      <c r="P230" s="20"/>
      <c r="Q230" s="20"/>
      <c r="R230" s="84"/>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14"/>
      <c r="AR230" s="14"/>
      <c r="AS230" s="14"/>
      <c r="AT230" s="14"/>
      <c r="AU230" s="14"/>
      <c r="AV230" s="14"/>
      <c r="AW230" s="14"/>
      <c r="AX230" s="14"/>
      <c r="AY230" s="14"/>
      <c r="AZ230" s="14"/>
      <c r="BA230" s="14"/>
      <c r="BB230" s="14"/>
      <c r="BC230" s="14"/>
      <c r="BD230" s="14"/>
      <c r="BE230" s="14"/>
      <c r="BF230" s="14"/>
    </row>
    <row r="231" spans="1:58" ht="17.100000000000001" customHeight="1">
      <c r="A231" s="14"/>
      <c r="B231" s="14"/>
      <c r="C231" s="14"/>
      <c r="D231" s="14"/>
      <c r="E231" s="14"/>
      <c r="F231" s="14"/>
      <c r="G231" s="14"/>
      <c r="H231" s="14"/>
      <c r="I231" s="20"/>
      <c r="J231" s="20"/>
      <c r="K231" s="20"/>
      <c r="L231" s="20"/>
      <c r="M231" s="20"/>
      <c r="N231" s="20"/>
      <c r="O231" s="20"/>
      <c r="P231" s="20"/>
      <c r="Q231" s="20"/>
      <c r="R231" s="84"/>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14"/>
      <c r="AR231" s="14"/>
      <c r="AS231" s="14"/>
      <c r="AT231" s="14"/>
      <c r="AU231" s="14"/>
      <c r="AV231" s="14"/>
      <c r="AW231" s="14"/>
      <c r="AX231" s="14"/>
      <c r="AY231" s="14"/>
      <c r="AZ231" s="14"/>
      <c r="BA231" s="14"/>
      <c r="BB231" s="14"/>
      <c r="BC231" s="14"/>
      <c r="BD231" s="14"/>
      <c r="BE231" s="14"/>
      <c r="BF231" s="14"/>
    </row>
    <row r="232" spans="1:58" ht="17.100000000000001" customHeight="1">
      <c r="A232" s="14"/>
      <c r="B232" s="14"/>
      <c r="C232" s="14"/>
      <c r="D232" s="14"/>
      <c r="E232" s="14"/>
      <c r="F232" s="14"/>
      <c r="G232" s="14"/>
      <c r="H232" s="14"/>
      <c r="I232" s="20"/>
      <c r="J232" s="20"/>
      <c r="K232" s="20"/>
      <c r="L232" s="20"/>
      <c r="M232" s="20"/>
      <c r="N232" s="20"/>
      <c r="O232" s="20"/>
      <c r="P232" s="20"/>
      <c r="Q232" s="20"/>
      <c r="R232" s="8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row>
    <row r="233" spans="1:58" ht="17.100000000000001" customHeight="1">
      <c r="A233" s="14"/>
      <c r="B233" s="14"/>
      <c r="C233" s="14"/>
      <c r="D233" s="14"/>
      <c r="E233" s="14"/>
      <c r="F233" s="14"/>
      <c r="G233" s="14"/>
      <c r="H233" s="14"/>
      <c r="I233" s="20"/>
      <c r="J233" s="20"/>
      <c r="K233" s="20"/>
      <c r="L233" s="20"/>
      <c r="M233" s="20"/>
      <c r="N233" s="20"/>
      <c r="O233" s="20"/>
      <c r="P233" s="20"/>
      <c r="Q233" s="20"/>
      <c r="R233" s="84"/>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14"/>
      <c r="AR233" s="14"/>
      <c r="AS233" s="14"/>
      <c r="AT233" s="14"/>
      <c r="AU233" s="14"/>
      <c r="AV233" s="14"/>
      <c r="AW233" s="14"/>
      <c r="AX233" s="14"/>
      <c r="AY233" s="14"/>
      <c r="AZ233" s="14"/>
      <c r="BA233" s="14"/>
      <c r="BB233" s="14"/>
      <c r="BC233" s="14"/>
      <c r="BD233" s="14"/>
      <c r="BE233" s="14"/>
      <c r="BF233" s="14"/>
    </row>
    <row r="234" spans="1:58" ht="17.100000000000001" customHeight="1">
      <c r="A234" s="14"/>
      <c r="B234" s="14"/>
      <c r="C234" s="14"/>
      <c r="D234" s="14"/>
      <c r="E234" s="14"/>
      <c r="F234" s="14"/>
      <c r="G234" s="14"/>
      <c r="H234" s="14"/>
      <c r="I234" s="20"/>
      <c r="J234" s="20"/>
      <c r="K234" s="20"/>
      <c r="L234" s="20"/>
      <c r="M234" s="20"/>
      <c r="N234" s="20"/>
      <c r="O234" s="20"/>
      <c r="P234" s="20"/>
      <c r="Q234" s="20"/>
      <c r="R234" s="84"/>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14"/>
      <c r="AR234" s="14"/>
      <c r="AS234" s="14"/>
      <c r="AT234" s="14"/>
      <c r="AU234" s="14"/>
      <c r="AV234" s="14"/>
      <c r="AW234" s="14"/>
      <c r="AX234" s="14"/>
      <c r="AY234" s="14"/>
      <c r="AZ234" s="14"/>
      <c r="BA234" s="14"/>
      <c r="BB234" s="14"/>
      <c r="BC234" s="14"/>
      <c r="BD234" s="14"/>
      <c r="BE234" s="14"/>
      <c r="BF234" s="14"/>
    </row>
    <row r="235" spans="1:58" ht="17.100000000000001" customHeight="1">
      <c r="A235" s="14"/>
      <c r="B235" s="14"/>
      <c r="C235" s="14"/>
      <c r="D235" s="14"/>
      <c r="E235" s="14"/>
      <c r="F235" s="14"/>
      <c r="G235" s="14"/>
      <c r="H235" s="14"/>
      <c r="I235" s="20"/>
      <c r="J235" s="20"/>
      <c r="K235" s="20"/>
      <c r="L235" s="20"/>
      <c r="M235" s="20"/>
      <c r="N235" s="20"/>
      <c r="O235" s="20"/>
      <c r="P235" s="20"/>
      <c r="Q235" s="20"/>
      <c r="R235" s="84"/>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14"/>
      <c r="AR235" s="14"/>
      <c r="AS235" s="14"/>
      <c r="AT235" s="14"/>
      <c r="AU235" s="14"/>
      <c r="AV235" s="14"/>
      <c r="AW235" s="14"/>
      <c r="AX235" s="14"/>
      <c r="AY235" s="14"/>
      <c r="AZ235" s="14"/>
      <c r="BA235" s="14"/>
      <c r="BB235" s="14"/>
      <c r="BC235" s="14"/>
      <c r="BD235" s="14"/>
      <c r="BE235" s="14"/>
      <c r="BF235" s="14"/>
    </row>
    <row r="236" spans="1:58" ht="17.100000000000001" customHeight="1">
      <c r="A236" s="14"/>
      <c r="B236" s="14"/>
      <c r="C236" s="14"/>
      <c r="D236" s="14"/>
      <c r="E236" s="14"/>
      <c r="F236" s="14"/>
      <c r="G236" s="14"/>
      <c r="H236" s="14"/>
      <c r="I236" s="20"/>
      <c r="J236" s="20"/>
      <c r="K236" s="20"/>
      <c r="L236" s="20"/>
      <c r="M236" s="20"/>
      <c r="N236" s="20"/>
      <c r="O236" s="20"/>
      <c r="P236" s="20"/>
      <c r="Q236" s="20"/>
      <c r="R236" s="84"/>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14"/>
      <c r="AR236" s="14"/>
      <c r="AS236" s="14"/>
      <c r="AT236" s="14"/>
      <c r="AU236" s="14"/>
      <c r="AV236" s="14"/>
      <c r="AW236" s="14"/>
      <c r="AX236" s="14"/>
      <c r="AY236" s="14"/>
      <c r="AZ236" s="14"/>
      <c r="BA236" s="14"/>
      <c r="BB236" s="14"/>
      <c r="BC236" s="14"/>
      <c r="BD236" s="14"/>
      <c r="BE236" s="14"/>
      <c r="BF236" s="14"/>
    </row>
    <row r="237" spans="1:58" ht="17.100000000000001" customHeight="1">
      <c r="A237" s="14"/>
      <c r="B237" s="14"/>
      <c r="C237" s="14"/>
      <c r="D237" s="14"/>
      <c r="E237" s="14"/>
      <c r="F237" s="14"/>
      <c r="G237" s="14"/>
      <c r="H237" s="14"/>
      <c r="I237" s="20"/>
      <c r="J237" s="20"/>
      <c r="K237" s="20"/>
      <c r="L237" s="20"/>
      <c r="M237" s="20"/>
      <c r="N237" s="20"/>
      <c r="O237" s="20"/>
      <c r="P237" s="20"/>
      <c r="Q237" s="20"/>
      <c r="R237" s="84"/>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14"/>
      <c r="AR237" s="14"/>
      <c r="AS237" s="14"/>
      <c r="AT237" s="14"/>
      <c r="AU237" s="14"/>
      <c r="AV237" s="14"/>
      <c r="AW237" s="14"/>
      <c r="AX237" s="14"/>
      <c r="AY237" s="14"/>
      <c r="AZ237" s="14"/>
      <c r="BA237" s="14"/>
      <c r="BB237" s="14"/>
      <c r="BC237" s="14"/>
      <c r="BD237" s="14"/>
      <c r="BE237" s="14"/>
      <c r="BF237" s="14"/>
    </row>
    <row r="238" spans="1:58" ht="17.100000000000001" customHeight="1">
      <c r="A238" s="14"/>
      <c r="B238" s="14"/>
      <c r="C238" s="14"/>
      <c r="D238" s="14"/>
      <c r="E238" s="14"/>
      <c r="F238" s="14"/>
      <c r="G238" s="14"/>
      <c r="H238" s="14"/>
      <c r="I238" s="20"/>
      <c r="J238" s="20"/>
      <c r="K238" s="20"/>
      <c r="L238" s="20"/>
      <c r="M238" s="20"/>
      <c r="N238" s="20"/>
      <c r="O238" s="20"/>
      <c r="P238" s="20"/>
      <c r="Q238" s="20"/>
      <c r="R238" s="84"/>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14"/>
      <c r="AR238" s="14"/>
      <c r="AS238" s="14"/>
      <c r="AT238" s="14"/>
      <c r="AU238" s="14"/>
      <c r="AV238" s="14"/>
      <c r="AW238" s="14"/>
      <c r="AX238" s="14"/>
      <c r="AY238" s="14"/>
      <c r="AZ238" s="14"/>
      <c r="BA238" s="14"/>
      <c r="BB238" s="14"/>
      <c r="BC238" s="14"/>
      <c r="BD238" s="14"/>
      <c r="BE238" s="14"/>
      <c r="BF238" s="14"/>
    </row>
    <row r="239" spans="1:58" ht="17.100000000000001" customHeight="1">
      <c r="A239" s="14"/>
      <c r="B239" s="14"/>
      <c r="C239" s="14"/>
      <c r="D239" s="14"/>
      <c r="E239" s="14"/>
      <c r="F239" s="14"/>
      <c r="G239" s="14"/>
      <c r="H239" s="14"/>
      <c r="I239" s="20"/>
      <c r="J239" s="20"/>
      <c r="K239" s="20"/>
      <c r="L239" s="20"/>
      <c r="M239" s="20"/>
      <c r="N239" s="20"/>
      <c r="O239" s="20"/>
      <c r="P239" s="20"/>
      <c r="Q239" s="20"/>
      <c r="R239" s="84"/>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14"/>
      <c r="AR239" s="14"/>
      <c r="AS239" s="14"/>
      <c r="AT239" s="14"/>
      <c r="AU239" s="14"/>
      <c r="AV239" s="14"/>
      <c r="AW239" s="14"/>
      <c r="AX239" s="14"/>
      <c r="AY239" s="14"/>
      <c r="AZ239" s="14"/>
      <c r="BA239" s="14"/>
      <c r="BB239" s="14"/>
      <c r="BC239" s="14"/>
      <c r="BD239" s="14"/>
      <c r="BE239" s="14"/>
      <c r="BF239" s="14"/>
    </row>
    <row r="240" spans="1:58" ht="17.100000000000001" customHeight="1">
      <c r="A240" s="14"/>
      <c r="B240" s="14"/>
      <c r="C240" s="14"/>
      <c r="D240" s="14"/>
      <c r="E240" s="14"/>
      <c r="F240" s="14"/>
      <c r="G240" s="14"/>
      <c r="H240" s="14"/>
      <c r="I240" s="20"/>
      <c r="J240" s="20"/>
      <c r="K240" s="20"/>
      <c r="L240" s="20"/>
      <c r="M240" s="20"/>
      <c r="N240" s="20"/>
      <c r="O240" s="20"/>
      <c r="P240" s="20"/>
      <c r="Q240" s="20"/>
      <c r="R240" s="84"/>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14"/>
      <c r="AR240" s="14"/>
      <c r="AS240" s="14"/>
      <c r="AT240" s="14"/>
      <c r="AU240" s="14"/>
      <c r="AV240" s="14"/>
      <c r="AW240" s="14"/>
      <c r="AX240" s="14"/>
      <c r="AY240" s="14"/>
      <c r="AZ240" s="14"/>
      <c r="BA240" s="14"/>
      <c r="BB240" s="14"/>
      <c r="BC240" s="14"/>
      <c r="BD240" s="14"/>
      <c r="BE240" s="14"/>
      <c r="BF240" s="14"/>
    </row>
    <row r="241" spans="1:58" ht="17.100000000000001" customHeight="1">
      <c r="A241" s="14"/>
      <c r="B241" s="14"/>
      <c r="C241" s="14"/>
      <c r="D241" s="14"/>
      <c r="E241" s="14"/>
      <c r="F241" s="14"/>
      <c r="G241" s="14"/>
      <c r="H241" s="14"/>
      <c r="I241" s="20"/>
      <c r="J241" s="20"/>
      <c r="K241" s="20"/>
      <c r="L241" s="20"/>
      <c r="M241" s="20"/>
      <c r="N241" s="20"/>
      <c r="O241" s="20"/>
      <c r="P241" s="20"/>
      <c r="Q241" s="20"/>
      <c r="R241" s="84"/>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14"/>
      <c r="AR241" s="14"/>
      <c r="AS241" s="14"/>
      <c r="AT241" s="14"/>
      <c r="AU241" s="14"/>
      <c r="AV241" s="14"/>
      <c r="AW241" s="14"/>
      <c r="AX241" s="14"/>
      <c r="AY241" s="14"/>
      <c r="AZ241" s="14"/>
      <c r="BA241" s="14"/>
      <c r="BB241" s="14"/>
      <c r="BC241" s="14"/>
      <c r="BD241" s="14"/>
      <c r="BE241" s="14"/>
      <c r="BF241" s="14"/>
    </row>
    <row r="242" spans="1:58" ht="17.100000000000001" customHeight="1">
      <c r="A242" s="14"/>
      <c r="B242" s="14"/>
      <c r="C242" s="14"/>
      <c r="D242" s="14"/>
      <c r="E242" s="14"/>
      <c r="F242" s="14"/>
      <c r="G242" s="14"/>
      <c r="H242" s="14"/>
      <c r="I242" s="20"/>
      <c r="J242" s="20"/>
      <c r="K242" s="20"/>
      <c r="L242" s="20"/>
      <c r="M242" s="20"/>
      <c r="N242" s="20"/>
      <c r="O242" s="20"/>
      <c r="P242" s="20"/>
      <c r="Q242" s="20"/>
      <c r="R242" s="84"/>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14"/>
      <c r="AR242" s="14"/>
      <c r="AS242" s="14"/>
      <c r="AT242" s="14"/>
      <c r="AU242" s="14"/>
      <c r="AV242" s="14"/>
      <c r="AW242" s="14"/>
      <c r="AX242" s="14"/>
      <c r="AY242" s="14"/>
      <c r="AZ242" s="14"/>
      <c r="BA242" s="14"/>
      <c r="BB242" s="14"/>
      <c r="BC242" s="14"/>
      <c r="BD242" s="14"/>
      <c r="BE242" s="14"/>
      <c r="BF242" s="14"/>
    </row>
    <row r="243" spans="1:58" ht="17.100000000000001" customHeight="1">
      <c r="A243" s="14"/>
      <c r="B243" s="14"/>
      <c r="C243" s="14"/>
      <c r="D243" s="14"/>
      <c r="E243" s="14"/>
      <c r="F243" s="14"/>
      <c r="G243" s="14"/>
      <c r="H243" s="14"/>
      <c r="I243" s="20"/>
      <c r="J243" s="20"/>
      <c r="K243" s="20"/>
      <c r="L243" s="20"/>
      <c r="M243" s="20"/>
      <c r="N243" s="20"/>
      <c r="O243" s="20"/>
      <c r="P243" s="20"/>
      <c r="Q243" s="20"/>
      <c r="R243" s="84"/>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14"/>
      <c r="AR243" s="14"/>
      <c r="AS243" s="14"/>
      <c r="AT243" s="14"/>
      <c r="AU243" s="14"/>
      <c r="AV243" s="14"/>
      <c r="AW243" s="14"/>
      <c r="AX243" s="14"/>
      <c r="AY243" s="14"/>
      <c r="AZ243" s="14"/>
      <c r="BA243" s="14"/>
      <c r="BB243" s="14"/>
      <c r="BC243" s="14"/>
      <c r="BD243" s="14"/>
      <c r="BE243" s="14"/>
      <c r="BF243" s="14"/>
    </row>
    <row r="244" spans="1:58" ht="17.100000000000001" customHeight="1">
      <c r="A244" s="14"/>
      <c r="B244" s="14"/>
      <c r="C244" s="14"/>
      <c r="D244" s="14"/>
      <c r="E244" s="14"/>
      <c r="F244" s="14"/>
      <c r="G244" s="14"/>
      <c r="H244" s="14"/>
      <c r="I244" s="20"/>
      <c r="J244" s="20"/>
      <c r="K244" s="20"/>
      <c r="L244" s="20"/>
      <c r="M244" s="20"/>
      <c r="N244" s="20"/>
      <c r="O244" s="20"/>
      <c r="P244" s="20"/>
      <c r="Q244" s="20"/>
      <c r="R244" s="84"/>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14"/>
      <c r="AR244" s="14"/>
      <c r="AS244" s="14"/>
      <c r="AT244" s="14"/>
      <c r="AU244" s="14"/>
      <c r="AV244" s="14"/>
      <c r="AW244" s="14"/>
      <c r="AX244" s="14"/>
      <c r="AY244" s="14"/>
      <c r="AZ244" s="14"/>
      <c r="BA244" s="14"/>
      <c r="BB244" s="14"/>
      <c r="BC244" s="14"/>
      <c r="BD244" s="14"/>
      <c r="BE244" s="14"/>
      <c r="BF244" s="14"/>
    </row>
    <row r="245" spans="1:58" ht="17.100000000000001" customHeight="1">
      <c r="A245" s="14"/>
      <c r="B245" s="14"/>
      <c r="C245" s="14"/>
      <c r="D245" s="14"/>
      <c r="E245" s="14"/>
      <c r="F245" s="14"/>
      <c r="G245" s="14"/>
      <c r="H245" s="14"/>
      <c r="I245" s="20"/>
      <c r="J245" s="20"/>
      <c r="K245" s="20"/>
      <c r="L245" s="20"/>
      <c r="M245" s="20"/>
      <c r="N245" s="20"/>
      <c r="O245" s="20"/>
      <c r="P245" s="20"/>
      <c r="Q245" s="20"/>
      <c r="R245" s="84"/>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14"/>
      <c r="AR245" s="14"/>
      <c r="AS245" s="14"/>
      <c r="AT245" s="14"/>
      <c r="AU245" s="14"/>
      <c r="AV245" s="14"/>
      <c r="AW245" s="14"/>
      <c r="AX245" s="14"/>
      <c r="AY245" s="14"/>
      <c r="AZ245" s="14"/>
      <c r="BA245" s="14"/>
      <c r="BB245" s="14"/>
      <c r="BC245" s="14"/>
      <c r="BD245" s="14"/>
      <c r="BE245" s="14"/>
      <c r="BF245" s="14"/>
    </row>
    <row r="246" spans="1:58" ht="17.100000000000001" customHeight="1">
      <c r="A246" s="14"/>
      <c r="B246" s="14"/>
      <c r="C246" s="14"/>
      <c r="D246" s="14"/>
      <c r="E246" s="14"/>
      <c r="F246" s="14"/>
      <c r="G246" s="14"/>
      <c r="H246" s="14"/>
      <c r="I246" s="20"/>
      <c r="J246" s="20"/>
      <c r="K246" s="20"/>
      <c r="L246" s="20"/>
      <c r="M246" s="20"/>
      <c r="N246" s="20"/>
      <c r="O246" s="20"/>
      <c r="P246" s="20"/>
      <c r="Q246" s="20"/>
      <c r="R246" s="84"/>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14"/>
      <c r="AR246" s="14"/>
      <c r="AS246" s="14"/>
      <c r="AT246" s="14"/>
      <c r="AU246" s="14"/>
      <c r="AV246" s="14"/>
      <c r="AW246" s="14"/>
      <c r="AX246" s="14"/>
      <c r="AY246" s="14"/>
      <c r="AZ246" s="14"/>
      <c r="BA246" s="14"/>
      <c r="BB246" s="14"/>
      <c r="BC246" s="14"/>
      <c r="BD246" s="14"/>
      <c r="BE246" s="14"/>
      <c r="BF246" s="14"/>
    </row>
    <row r="247" spans="1:58" ht="17.100000000000001" customHeight="1">
      <c r="A247" s="14"/>
      <c r="B247" s="14"/>
      <c r="C247" s="14"/>
      <c r="D247" s="14"/>
      <c r="E247" s="14"/>
      <c r="F247" s="14"/>
      <c r="G247" s="14"/>
      <c r="H247" s="14"/>
      <c r="I247" s="20"/>
      <c r="J247" s="20"/>
      <c r="K247" s="20"/>
      <c r="L247" s="20"/>
      <c r="M247" s="20"/>
      <c r="N247" s="20"/>
      <c r="O247" s="20"/>
      <c r="P247" s="20"/>
      <c r="Q247" s="20"/>
      <c r="R247" s="84"/>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14"/>
      <c r="AR247" s="14"/>
      <c r="AS247" s="14"/>
      <c r="AT247" s="14"/>
      <c r="AU247" s="14"/>
      <c r="AV247" s="14"/>
      <c r="AW247" s="14"/>
      <c r="AX247" s="14"/>
      <c r="AY247" s="14"/>
      <c r="AZ247" s="14"/>
      <c r="BA247" s="14"/>
      <c r="BB247" s="14"/>
      <c r="BC247" s="14"/>
      <c r="BD247" s="14"/>
      <c r="BE247" s="14"/>
      <c r="BF247" s="14"/>
    </row>
    <row r="248" spans="1:58" ht="17.100000000000001" customHeight="1">
      <c r="A248" s="14"/>
      <c r="B248" s="14"/>
      <c r="C248" s="14"/>
      <c r="D248" s="14"/>
      <c r="E248" s="14"/>
      <c r="F248" s="14"/>
      <c r="G248" s="14"/>
      <c r="H248" s="14"/>
      <c r="I248" s="20"/>
      <c r="J248" s="20"/>
      <c r="K248" s="20"/>
      <c r="L248" s="20"/>
      <c r="M248" s="20"/>
      <c r="N248" s="20"/>
      <c r="O248" s="20"/>
      <c r="P248" s="20"/>
      <c r="Q248" s="20"/>
      <c r="R248" s="84"/>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14"/>
      <c r="AR248" s="14"/>
      <c r="AS248" s="14"/>
      <c r="AT248" s="14"/>
      <c r="AU248" s="14"/>
      <c r="AV248" s="14"/>
      <c r="AW248" s="14"/>
      <c r="AX248" s="14"/>
      <c r="AY248" s="14"/>
      <c r="AZ248" s="14"/>
      <c r="BA248" s="14"/>
      <c r="BB248" s="14"/>
      <c r="BC248" s="14"/>
      <c r="BD248" s="14"/>
      <c r="BE248" s="14"/>
      <c r="BF248" s="14"/>
    </row>
    <row r="249" spans="1:58" ht="17.100000000000001" customHeight="1">
      <c r="A249" s="14"/>
      <c r="B249" s="14"/>
      <c r="C249" s="14"/>
      <c r="D249" s="14"/>
      <c r="E249" s="14"/>
      <c r="F249" s="14"/>
      <c r="G249" s="14"/>
      <c r="H249" s="14"/>
      <c r="I249" s="20"/>
      <c r="J249" s="20"/>
      <c r="K249" s="20"/>
      <c r="L249" s="20"/>
      <c r="M249" s="20"/>
      <c r="N249" s="20"/>
      <c r="O249" s="20"/>
      <c r="P249" s="20"/>
      <c r="Q249" s="20"/>
      <c r="R249" s="84"/>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14"/>
      <c r="AR249" s="14"/>
      <c r="AS249" s="14"/>
      <c r="AT249" s="14"/>
      <c r="AU249" s="14"/>
      <c r="AV249" s="14"/>
      <c r="AW249" s="14"/>
      <c r="AX249" s="14"/>
      <c r="AY249" s="14"/>
      <c r="AZ249" s="14"/>
      <c r="BA249" s="14"/>
      <c r="BB249" s="14"/>
      <c r="BC249" s="14"/>
      <c r="BD249" s="14"/>
      <c r="BE249" s="14"/>
      <c r="BF249" s="14"/>
    </row>
    <row r="250" spans="1:58" ht="17.100000000000001" customHeight="1">
      <c r="A250" s="14"/>
      <c r="B250" s="14"/>
      <c r="C250" s="14"/>
      <c r="D250" s="14"/>
      <c r="E250" s="14"/>
      <c r="F250" s="14"/>
      <c r="G250" s="14"/>
      <c r="H250" s="14"/>
      <c r="I250" s="20"/>
      <c r="J250" s="20"/>
      <c r="K250" s="20"/>
      <c r="L250" s="20"/>
      <c r="M250" s="20"/>
      <c r="N250" s="20"/>
      <c r="O250" s="20"/>
      <c r="P250" s="20"/>
      <c r="Q250" s="20"/>
      <c r="R250" s="84"/>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14"/>
      <c r="AR250" s="14"/>
      <c r="AS250" s="14"/>
      <c r="AT250" s="14"/>
      <c r="AU250" s="14"/>
      <c r="AV250" s="14"/>
      <c r="AW250" s="14"/>
      <c r="AX250" s="14"/>
      <c r="AY250" s="14"/>
      <c r="AZ250" s="14"/>
      <c r="BA250" s="14"/>
      <c r="BB250" s="14"/>
      <c r="BC250" s="14"/>
      <c r="BD250" s="14"/>
      <c r="BE250" s="14"/>
      <c r="BF250" s="14"/>
    </row>
    <row r="251" spans="1:58" ht="17.100000000000001" customHeight="1">
      <c r="A251" s="14"/>
      <c r="B251" s="14"/>
      <c r="C251" s="14"/>
      <c r="D251" s="14"/>
      <c r="E251" s="14"/>
      <c r="F251" s="14"/>
      <c r="G251" s="14"/>
      <c r="H251" s="14"/>
      <c r="I251" s="20"/>
      <c r="J251" s="20"/>
      <c r="K251" s="20"/>
      <c r="L251" s="20"/>
      <c r="M251" s="20"/>
      <c r="N251" s="20"/>
      <c r="O251" s="20"/>
      <c r="P251" s="20"/>
      <c r="Q251" s="20"/>
      <c r="R251" s="8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row>
    <row r="252" spans="1:58" ht="17.100000000000001" customHeight="1">
      <c r="A252" s="14"/>
      <c r="B252" s="14"/>
      <c r="C252" s="14"/>
      <c r="D252" s="14"/>
      <c r="E252" s="14"/>
      <c r="F252" s="14"/>
      <c r="G252" s="14"/>
      <c r="H252" s="14"/>
      <c r="I252" s="20"/>
      <c r="J252" s="20"/>
      <c r="K252" s="20"/>
      <c r="L252" s="20"/>
      <c r="M252" s="20"/>
      <c r="N252" s="20"/>
      <c r="O252" s="20"/>
      <c r="P252" s="20"/>
      <c r="Q252" s="20"/>
      <c r="R252" s="84"/>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14"/>
      <c r="AR252" s="14"/>
      <c r="AS252" s="14"/>
      <c r="AT252" s="14"/>
      <c r="AU252" s="14"/>
      <c r="AV252" s="14"/>
      <c r="AW252" s="14"/>
      <c r="AX252" s="14"/>
      <c r="AY252" s="14"/>
      <c r="AZ252" s="14"/>
      <c r="BA252" s="14"/>
      <c r="BB252" s="14"/>
      <c r="BC252" s="14"/>
      <c r="BD252" s="14"/>
      <c r="BE252" s="14"/>
      <c r="BF252" s="14"/>
    </row>
    <row r="253" spans="1:58" ht="17.100000000000001" customHeight="1">
      <c r="A253" s="14"/>
      <c r="B253" s="14"/>
      <c r="C253" s="14"/>
      <c r="D253" s="14"/>
      <c r="E253" s="14"/>
      <c r="F253" s="14"/>
      <c r="G253" s="14"/>
      <c r="H253" s="14"/>
      <c r="I253" s="20"/>
      <c r="J253" s="20"/>
      <c r="K253" s="20"/>
      <c r="L253" s="20"/>
      <c r="M253" s="20"/>
      <c r="N253" s="20"/>
      <c r="O253" s="20"/>
      <c r="P253" s="20"/>
      <c r="Q253" s="20"/>
      <c r="R253" s="84"/>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14"/>
      <c r="AR253" s="14"/>
      <c r="AS253" s="14"/>
      <c r="AT253" s="14"/>
      <c r="AU253" s="14"/>
      <c r="AV253" s="14"/>
      <c r="AW253" s="14"/>
      <c r="AX253" s="14"/>
      <c r="AY253" s="14"/>
      <c r="AZ253" s="14"/>
      <c r="BA253" s="14"/>
      <c r="BB253" s="14"/>
      <c r="BC253" s="14"/>
      <c r="BD253" s="14"/>
      <c r="BE253" s="14"/>
      <c r="BF253" s="14"/>
    </row>
    <row r="254" spans="1:58" ht="17.100000000000001" customHeight="1">
      <c r="A254" s="14"/>
      <c r="B254" s="14"/>
      <c r="C254" s="14"/>
      <c r="D254" s="14"/>
      <c r="E254" s="14"/>
      <c r="F254" s="14"/>
      <c r="G254" s="14"/>
      <c r="H254" s="14"/>
      <c r="I254" s="20"/>
      <c r="J254" s="20"/>
      <c r="K254" s="20"/>
      <c r="L254" s="20"/>
      <c r="M254" s="20"/>
      <c r="N254" s="20"/>
      <c r="O254" s="20"/>
      <c r="P254" s="20"/>
      <c r="Q254" s="20"/>
      <c r="R254" s="84"/>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14"/>
      <c r="AR254" s="14"/>
      <c r="AS254" s="14"/>
      <c r="AT254" s="14"/>
      <c r="AU254" s="14"/>
      <c r="AV254" s="14"/>
      <c r="AW254" s="14"/>
      <c r="AX254" s="14"/>
      <c r="AY254" s="14"/>
      <c r="AZ254" s="14"/>
      <c r="BA254" s="14"/>
      <c r="BB254" s="14"/>
      <c r="BC254" s="14"/>
      <c r="BD254" s="14"/>
      <c r="BE254" s="14"/>
      <c r="BF254" s="14"/>
    </row>
    <row r="255" spans="1:58" ht="17.100000000000001" customHeight="1">
      <c r="A255" s="14"/>
      <c r="B255" s="14"/>
      <c r="C255" s="14"/>
      <c r="D255" s="14"/>
      <c r="E255" s="14"/>
      <c r="F255" s="14"/>
      <c r="G255" s="14"/>
      <c r="H255" s="14"/>
      <c r="I255" s="20"/>
      <c r="J255" s="20"/>
      <c r="K255" s="20"/>
      <c r="L255" s="20"/>
      <c r="M255" s="20"/>
      <c r="N255" s="20"/>
      <c r="O255" s="20"/>
      <c r="P255" s="20"/>
      <c r="Q255" s="20"/>
      <c r="R255" s="84"/>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14"/>
      <c r="AR255" s="14"/>
      <c r="AS255" s="14"/>
      <c r="AT255" s="14"/>
      <c r="AU255" s="14"/>
      <c r="AV255" s="14"/>
      <c r="AW255" s="14"/>
      <c r="AX255" s="14"/>
      <c r="AY255" s="14"/>
      <c r="AZ255" s="14"/>
      <c r="BA255" s="14"/>
      <c r="BB255" s="14"/>
      <c r="BC255" s="14"/>
      <c r="BD255" s="14"/>
      <c r="BE255" s="14"/>
      <c r="BF255" s="14"/>
    </row>
    <row r="256" spans="1:58" ht="17.100000000000001" customHeight="1">
      <c r="A256" s="14"/>
      <c r="B256" s="14"/>
      <c r="C256" s="14"/>
      <c r="D256" s="14"/>
      <c r="E256" s="14"/>
      <c r="F256" s="14"/>
      <c r="G256" s="14"/>
      <c r="H256" s="14"/>
      <c r="I256" s="20"/>
      <c r="J256" s="20"/>
      <c r="K256" s="20"/>
      <c r="L256" s="20"/>
      <c r="M256" s="20"/>
      <c r="N256" s="20"/>
      <c r="O256" s="20"/>
      <c r="P256" s="20"/>
      <c r="Q256" s="20"/>
      <c r="R256" s="84"/>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14"/>
      <c r="AR256" s="14"/>
      <c r="AS256" s="14"/>
      <c r="AT256" s="14"/>
      <c r="AU256" s="14"/>
      <c r="AV256" s="14"/>
      <c r="AW256" s="14"/>
      <c r="AX256" s="14"/>
      <c r="AY256" s="14"/>
      <c r="AZ256" s="14"/>
      <c r="BA256" s="14"/>
      <c r="BB256" s="14"/>
      <c r="BC256" s="14"/>
      <c r="BD256" s="14"/>
      <c r="BE256" s="14"/>
      <c r="BF256" s="14"/>
    </row>
    <row r="257" spans="1:58" ht="17.100000000000001" customHeight="1">
      <c r="A257" s="14"/>
      <c r="B257" s="14"/>
      <c r="C257" s="14"/>
      <c r="D257" s="14"/>
      <c r="E257" s="14"/>
      <c r="F257" s="14"/>
      <c r="G257" s="14"/>
      <c r="H257" s="14"/>
      <c r="I257" s="20"/>
      <c r="J257" s="20"/>
      <c r="K257" s="20"/>
      <c r="L257" s="20"/>
      <c r="M257" s="20"/>
      <c r="N257" s="20"/>
      <c r="O257" s="20"/>
      <c r="P257" s="20"/>
      <c r="Q257" s="20"/>
      <c r="R257" s="84"/>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14"/>
      <c r="AR257" s="14"/>
      <c r="AS257" s="14"/>
      <c r="AT257" s="14"/>
      <c r="AU257" s="14"/>
      <c r="AV257" s="14"/>
      <c r="AW257" s="14"/>
      <c r="AX257" s="14"/>
      <c r="AY257" s="14"/>
      <c r="AZ257" s="14"/>
      <c r="BA257" s="14"/>
      <c r="BB257" s="14"/>
      <c r="BC257" s="14"/>
      <c r="BD257" s="14"/>
      <c r="BE257" s="14"/>
      <c r="BF257" s="14"/>
    </row>
    <row r="258" spans="1:58" ht="17.100000000000001" customHeight="1">
      <c r="A258" s="14"/>
      <c r="B258" s="14"/>
      <c r="C258" s="14"/>
      <c r="D258" s="14"/>
      <c r="E258" s="14"/>
      <c r="F258" s="14"/>
      <c r="G258" s="14"/>
      <c r="H258" s="14"/>
      <c r="I258" s="20"/>
      <c r="J258" s="20"/>
      <c r="K258" s="20"/>
      <c r="L258" s="20"/>
      <c r="M258" s="20"/>
      <c r="N258" s="20"/>
      <c r="O258" s="20"/>
      <c r="P258" s="20"/>
      <c r="Q258" s="20"/>
      <c r="R258" s="84"/>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14"/>
      <c r="AR258" s="14"/>
      <c r="AS258" s="14"/>
      <c r="AT258" s="14"/>
      <c r="AU258" s="14"/>
      <c r="AV258" s="14"/>
      <c r="AW258" s="14"/>
      <c r="AX258" s="14"/>
      <c r="AY258" s="14"/>
      <c r="AZ258" s="14"/>
      <c r="BA258" s="14"/>
      <c r="BB258" s="14"/>
      <c r="BC258" s="14"/>
      <c r="BD258" s="14"/>
      <c r="BE258" s="14"/>
      <c r="BF258" s="14"/>
    </row>
    <row r="259" spans="1:58" ht="17.100000000000001" customHeight="1">
      <c r="A259" s="14"/>
      <c r="B259" s="14"/>
      <c r="C259" s="14"/>
      <c r="D259" s="14"/>
      <c r="E259" s="14"/>
      <c r="F259" s="14"/>
      <c r="G259" s="14"/>
      <c r="H259" s="14"/>
      <c r="I259" s="20"/>
      <c r="J259" s="20"/>
      <c r="K259" s="20"/>
      <c r="L259" s="20"/>
      <c r="M259" s="20"/>
      <c r="N259" s="20"/>
      <c r="O259" s="20"/>
      <c r="P259" s="20"/>
      <c r="Q259" s="20"/>
      <c r="R259" s="84"/>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14"/>
      <c r="AR259" s="14"/>
      <c r="AS259" s="14"/>
      <c r="AT259" s="14"/>
      <c r="AU259" s="14"/>
      <c r="AV259" s="14"/>
      <c r="AW259" s="14"/>
      <c r="AX259" s="14"/>
      <c r="AY259" s="14"/>
      <c r="AZ259" s="14"/>
      <c r="BA259" s="14"/>
      <c r="BB259" s="14"/>
      <c r="BC259" s="14"/>
      <c r="BD259" s="14"/>
      <c r="BE259" s="14"/>
      <c r="BF259" s="14"/>
    </row>
    <row r="260" spans="1:58" ht="17.100000000000001" customHeight="1">
      <c r="A260" s="14"/>
      <c r="B260" s="14"/>
      <c r="C260" s="14"/>
      <c r="D260" s="14"/>
      <c r="E260" s="14"/>
      <c r="F260" s="14"/>
      <c r="G260" s="14"/>
      <c r="H260" s="14"/>
      <c r="I260" s="20"/>
      <c r="J260" s="20"/>
      <c r="K260" s="20"/>
      <c r="L260" s="20"/>
      <c r="M260" s="20"/>
      <c r="N260" s="20"/>
      <c r="O260" s="20"/>
      <c r="P260" s="20"/>
      <c r="Q260" s="20"/>
      <c r="R260" s="84"/>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14"/>
      <c r="AR260" s="14"/>
      <c r="AS260" s="14"/>
      <c r="AT260" s="14"/>
      <c r="AU260" s="14"/>
      <c r="AV260" s="14"/>
      <c r="AW260" s="14"/>
      <c r="AX260" s="14"/>
      <c r="AY260" s="14"/>
      <c r="AZ260" s="14"/>
      <c r="BA260" s="14"/>
      <c r="BB260" s="14"/>
      <c r="BC260" s="14"/>
      <c r="BD260" s="14"/>
      <c r="BE260" s="14"/>
      <c r="BF260" s="14"/>
    </row>
    <row r="261" spans="1:58" ht="17.100000000000001" customHeight="1">
      <c r="A261" s="14"/>
      <c r="B261" s="14"/>
      <c r="C261" s="14"/>
      <c r="D261" s="14"/>
      <c r="E261" s="14"/>
      <c r="F261" s="14"/>
      <c r="G261" s="14"/>
      <c r="H261" s="14"/>
      <c r="I261" s="20"/>
      <c r="J261" s="20"/>
      <c r="K261" s="20"/>
      <c r="L261" s="20"/>
      <c r="M261" s="20"/>
      <c r="N261" s="20"/>
      <c r="O261" s="20"/>
      <c r="P261" s="20"/>
      <c r="Q261" s="20"/>
      <c r="R261" s="84"/>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14"/>
      <c r="AR261" s="14"/>
      <c r="AS261" s="14"/>
      <c r="AT261" s="14"/>
      <c r="AU261" s="14"/>
      <c r="AV261" s="14"/>
      <c r="AW261" s="14"/>
      <c r="AX261" s="14"/>
      <c r="AY261" s="14"/>
      <c r="AZ261" s="14"/>
      <c r="BA261" s="14"/>
      <c r="BB261" s="14"/>
      <c r="BC261" s="14"/>
      <c r="BD261" s="14"/>
      <c r="BE261" s="14"/>
      <c r="BF261" s="14"/>
    </row>
    <row r="262" spans="1:58" ht="17.100000000000001" customHeight="1">
      <c r="A262" s="14"/>
      <c r="B262" s="14"/>
      <c r="C262" s="14"/>
      <c r="D262" s="14"/>
      <c r="E262" s="14"/>
      <c r="F262" s="14"/>
      <c r="G262" s="14"/>
      <c r="H262" s="14"/>
      <c r="I262" s="20"/>
      <c r="J262" s="20"/>
      <c r="K262" s="20"/>
      <c r="L262" s="20"/>
      <c r="M262" s="20"/>
      <c r="N262" s="20"/>
      <c r="O262" s="20"/>
      <c r="P262" s="20"/>
      <c r="Q262" s="20"/>
      <c r="R262" s="84"/>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14"/>
      <c r="AR262" s="14"/>
      <c r="AS262" s="14"/>
      <c r="AT262" s="14"/>
      <c r="AU262" s="14"/>
      <c r="AV262" s="14"/>
      <c r="AW262" s="14"/>
      <c r="AX262" s="14"/>
      <c r="AY262" s="14"/>
      <c r="AZ262" s="14"/>
      <c r="BA262" s="14"/>
      <c r="BB262" s="14"/>
      <c r="BC262" s="14"/>
      <c r="BD262" s="14"/>
      <c r="BE262" s="14"/>
      <c r="BF262" s="14"/>
    </row>
    <row r="263" spans="1:58" ht="17.100000000000001" customHeight="1">
      <c r="A263" s="14"/>
      <c r="B263" s="14"/>
      <c r="C263" s="14"/>
      <c r="D263" s="14"/>
      <c r="E263" s="14"/>
      <c r="F263" s="14"/>
      <c r="G263" s="14"/>
      <c r="H263" s="14"/>
      <c r="I263" s="20"/>
      <c r="J263" s="20"/>
      <c r="K263" s="20"/>
      <c r="L263" s="20"/>
      <c r="M263" s="20"/>
      <c r="N263" s="20"/>
      <c r="O263" s="20"/>
      <c r="P263" s="20"/>
      <c r="Q263" s="20"/>
      <c r="R263" s="84"/>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14"/>
      <c r="AR263" s="14"/>
      <c r="AS263" s="14"/>
      <c r="AT263" s="14"/>
      <c r="AU263" s="14"/>
      <c r="AV263" s="14"/>
      <c r="AW263" s="14"/>
      <c r="AX263" s="14"/>
      <c r="AY263" s="14"/>
      <c r="AZ263" s="14"/>
      <c r="BA263" s="14"/>
      <c r="BB263" s="14"/>
      <c r="BC263" s="14"/>
      <c r="BD263" s="14"/>
      <c r="BE263" s="14"/>
      <c r="BF263" s="14"/>
    </row>
    <row r="264" spans="1:58" ht="17.100000000000001" customHeight="1">
      <c r="A264" s="14"/>
      <c r="B264" s="14"/>
      <c r="C264" s="14"/>
      <c r="D264" s="14"/>
      <c r="E264" s="14"/>
      <c r="F264" s="14"/>
      <c r="G264" s="14"/>
      <c r="H264" s="14"/>
      <c r="I264" s="20"/>
      <c r="J264" s="20"/>
      <c r="K264" s="20"/>
      <c r="L264" s="20"/>
      <c r="M264" s="20"/>
      <c r="N264" s="20"/>
      <c r="O264" s="20"/>
      <c r="P264" s="20"/>
      <c r="Q264" s="20"/>
      <c r="R264" s="84"/>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14"/>
      <c r="AR264" s="14"/>
      <c r="AS264" s="14"/>
      <c r="AT264" s="14"/>
      <c r="AU264" s="14"/>
      <c r="AV264" s="14"/>
      <c r="AW264" s="14"/>
      <c r="AX264" s="14"/>
      <c r="AY264" s="14"/>
      <c r="AZ264" s="14"/>
      <c r="BA264" s="14"/>
      <c r="BB264" s="14"/>
      <c r="BC264" s="14"/>
      <c r="BD264" s="14"/>
      <c r="BE264" s="14"/>
      <c r="BF264" s="14"/>
    </row>
    <row r="265" spans="1:58" ht="17.100000000000001" customHeight="1">
      <c r="A265" s="14"/>
      <c r="B265" s="14"/>
      <c r="C265" s="14"/>
      <c r="D265" s="14"/>
      <c r="E265" s="14"/>
      <c r="F265" s="14"/>
      <c r="G265" s="14"/>
      <c r="H265" s="14"/>
      <c r="I265" s="20"/>
      <c r="J265" s="20"/>
      <c r="K265" s="20"/>
      <c r="L265" s="20"/>
      <c r="M265" s="20"/>
      <c r="N265" s="20"/>
      <c r="O265" s="20"/>
      <c r="P265" s="20"/>
      <c r="Q265" s="20"/>
      <c r="R265" s="84"/>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14"/>
      <c r="AR265" s="14"/>
      <c r="AS265" s="14"/>
      <c r="AT265" s="14"/>
      <c r="AU265" s="14"/>
      <c r="AV265" s="14"/>
      <c r="AW265" s="14"/>
      <c r="AX265" s="14"/>
      <c r="AY265" s="14"/>
      <c r="AZ265" s="14"/>
      <c r="BA265" s="14"/>
      <c r="BB265" s="14"/>
      <c r="BC265" s="14"/>
      <c r="BD265" s="14"/>
      <c r="BE265" s="14"/>
      <c r="BF265" s="14"/>
    </row>
    <row r="266" spans="1:58" ht="17.100000000000001" customHeight="1">
      <c r="A266" s="14"/>
      <c r="B266" s="14"/>
      <c r="C266" s="14"/>
      <c r="D266" s="14"/>
      <c r="E266" s="14"/>
      <c r="F266" s="14"/>
      <c r="G266" s="14"/>
      <c r="H266" s="14"/>
      <c r="I266" s="20"/>
      <c r="J266" s="20"/>
      <c r="K266" s="20"/>
      <c r="L266" s="20"/>
      <c r="M266" s="20"/>
      <c r="N266" s="20"/>
      <c r="O266" s="20"/>
      <c r="P266" s="20"/>
      <c r="Q266" s="20"/>
      <c r="R266" s="8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row>
    <row r="267" spans="1:58" ht="17.100000000000001" customHeight="1">
      <c r="A267" s="14"/>
      <c r="B267" s="14"/>
      <c r="C267" s="14"/>
      <c r="D267" s="14"/>
      <c r="E267" s="14"/>
      <c r="F267" s="14"/>
      <c r="G267" s="14"/>
      <c r="H267" s="14"/>
      <c r="I267" s="20"/>
      <c r="J267" s="20"/>
      <c r="K267" s="20"/>
      <c r="L267" s="20"/>
      <c r="M267" s="20"/>
      <c r="N267" s="20"/>
      <c r="O267" s="20"/>
      <c r="P267" s="20"/>
      <c r="Q267" s="20"/>
      <c r="R267" s="84"/>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14"/>
      <c r="AR267" s="14"/>
      <c r="AS267" s="14"/>
      <c r="AT267" s="14"/>
      <c r="AU267" s="14"/>
      <c r="AV267" s="14"/>
      <c r="AW267" s="14"/>
      <c r="AX267" s="14"/>
      <c r="AY267" s="14"/>
      <c r="AZ267" s="14"/>
      <c r="BA267" s="14"/>
      <c r="BB267" s="14"/>
      <c r="BC267" s="14"/>
      <c r="BD267" s="14"/>
      <c r="BE267" s="14"/>
      <c r="BF267" s="14"/>
    </row>
    <row r="268" spans="1:58" ht="17.100000000000001" customHeight="1">
      <c r="A268" s="14"/>
      <c r="B268" s="14"/>
      <c r="C268" s="14"/>
      <c r="D268" s="14"/>
      <c r="E268" s="14"/>
      <c r="F268" s="14"/>
      <c r="G268" s="14"/>
      <c r="H268" s="14"/>
      <c r="I268" s="20"/>
      <c r="J268" s="20"/>
      <c r="K268" s="20"/>
      <c r="L268" s="20"/>
      <c r="M268" s="20"/>
      <c r="N268" s="20"/>
      <c r="O268" s="20"/>
      <c r="P268" s="20"/>
      <c r="Q268" s="20"/>
      <c r="R268" s="84"/>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14"/>
      <c r="AR268" s="14"/>
      <c r="AS268" s="14"/>
      <c r="AT268" s="14"/>
      <c r="AU268" s="14"/>
      <c r="AV268" s="14"/>
      <c r="AW268" s="14"/>
      <c r="AX268" s="14"/>
      <c r="AY268" s="14"/>
      <c r="AZ268" s="14"/>
      <c r="BA268" s="14"/>
      <c r="BB268" s="14"/>
      <c r="BC268" s="14"/>
      <c r="BD268" s="14"/>
      <c r="BE268" s="14"/>
      <c r="BF268" s="14"/>
    </row>
    <row r="269" spans="1:58" ht="17.100000000000001" customHeight="1">
      <c r="A269" s="14"/>
      <c r="B269" s="14"/>
      <c r="C269" s="14"/>
      <c r="D269" s="14"/>
      <c r="E269" s="14"/>
      <c r="F269" s="14"/>
      <c r="G269" s="14"/>
      <c r="H269" s="14"/>
      <c r="I269" s="20"/>
      <c r="J269" s="20"/>
      <c r="K269" s="20"/>
      <c r="L269" s="20"/>
      <c r="M269" s="20"/>
      <c r="N269" s="20"/>
      <c r="O269" s="20"/>
      <c r="P269" s="20"/>
      <c r="Q269" s="20"/>
      <c r="R269" s="84"/>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14"/>
      <c r="AR269" s="14"/>
      <c r="AS269" s="14"/>
      <c r="AT269" s="14"/>
      <c r="AU269" s="14"/>
      <c r="AV269" s="14"/>
      <c r="AW269" s="14"/>
      <c r="AX269" s="14"/>
      <c r="AY269" s="14"/>
      <c r="AZ269" s="14"/>
      <c r="BA269" s="14"/>
      <c r="BB269" s="14"/>
      <c r="BC269" s="14"/>
      <c r="BD269" s="14"/>
      <c r="BE269" s="14"/>
      <c r="BF269" s="14"/>
    </row>
    <row r="270" spans="1:58" ht="17.100000000000001" customHeight="1">
      <c r="A270" s="14"/>
      <c r="B270" s="14"/>
      <c r="C270" s="14"/>
      <c r="D270" s="14"/>
      <c r="E270" s="14"/>
      <c r="F270" s="14"/>
      <c r="G270" s="14"/>
      <c r="H270" s="14"/>
      <c r="I270" s="20"/>
      <c r="J270" s="20"/>
      <c r="K270" s="20"/>
      <c r="L270" s="20"/>
      <c r="M270" s="20"/>
      <c r="N270" s="20"/>
      <c r="O270" s="20"/>
      <c r="P270" s="20"/>
      <c r="Q270" s="20"/>
      <c r="R270" s="84"/>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14"/>
      <c r="AR270" s="14"/>
      <c r="AS270" s="14"/>
      <c r="AT270" s="14"/>
      <c r="AU270" s="14"/>
      <c r="AV270" s="14"/>
      <c r="AW270" s="14"/>
      <c r="AX270" s="14"/>
      <c r="AY270" s="14"/>
      <c r="AZ270" s="14"/>
      <c r="BA270" s="14"/>
      <c r="BB270" s="14"/>
      <c r="BC270" s="14"/>
      <c r="BD270" s="14"/>
      <c r="BE270" s="14"/>
      <c r="BF270" s="14"/>
    </row>
    <row r="271" spans="1:58" ht="17.100000000000001" customHeight="1">
      <c r="A271" s="14"/>
      <c r="B271" s="14"/>
      <c r="C271" s="14"/>
      <c r="D271" s="14"/>
      <c r="E271" s="14"/>
      <c r="F271" s="14"/>
      <c r="G271" s="14"/>
      <c r="H271" s="14"/>
      <c r="I271" s="20"/>
      <c r="J271" s="20"/>
      <c r="K271" s="20"/>
      <c r="L271" s="20"/>
      <c r="M271" s="20"/>
      <c r="N271" s="20"/>
      <c r="O271" s="20"/>
      <c r="P271" s="20"/>
      <c r="Q271" s="20"/>
      <c r="R271" s="8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row>
    <row r="272" spans="1:58" ht="17.100000000000001" customHeight="1">
      <c r="A272" s="14"/>
      <c r="B272" s="14"/>
      <c r="C272" s="14"/>
      <c r="D272" s="14"/>
      <c r="E272" s="14"/>
      <c r="F272" s="14"/>
      <c r="G272" s="14"/>
      <c r="H272" s="14"/>
      <c r="I272" s="20"/>
      <c r="J272" s="20"/>
      <c r="K272" s="20"/>
      <c r="L272" s="20"/>
      <c r="M272" s="20"/>
      <c r="N272" s="20"/>
      <c r="O272" s="20"/>
      <c r="P272" s="20"/>
      <c r="Q272" s="20"/>
      <c r="R272" s="84"/>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14"/>
      <c r="AR272" s="14"/>
      <c r="AS272" s="14"/>
      <c r="AT272" s="14"/>
      <c r="AU272" s="14"/>
      <c r="AV272" s="14"/>
      <c r="AW272" s="14"/>
      <c r="AX272" s="14"/>
      <c r="AY272" s="14"/>
      <c r="AZ272" s="14"/>
      <c r="BA272" s="14"/>
      <c r="BB272" s="14"/>
      <c r="BC272" s="14"/>
      <c r="BD272" s="14"/>
      <c r="BE272" s="14"/>
      <c r="BF272" s="14"/>
    </row>
    <row r="273" spans="1:58" ht="17.100000000000001" customHeight="1">
      <c r="A273" s="14"/>
      <c r="B273" s="14"/>
      <c r="C273" s="14"/>
      <c r="D273" s="14"/>
      <c r="E273" s="14"/>
      <c r="F273" s="14"/>
      <c r="G273" s="14"/>
      <c r="H273" s="14"/>
      <c r="I273" s="20"/>
      <c r="J273" s="20"/>
      <c r="K273" s="20"/>
      <c r="L273" s="20"/>
      <c r="M273" s="20"/>
      <c r="N273" s="20"/>
      <c r="O273" s="20"/>
      <c r="P273" s="20"/>
      <c r="Q273" s="20"/>
      <c r="R273" s="84"/>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14"/>
      <c r="AR273" s="14"/>
      <c r="AS273" s="14"/>
      <c r="AT273" s="14"/>
      <c r="AU273" s="14"/>
      <c r="AV273" s="14"/>
      <c r="AW273" s="14"/>
      <c r="AX273" s="14"/>
      <c r="AY273" s="14"/>
      <c r="AZ273" s="14"/>
      <c r="BA273" s="14"/>
      <c r="BB273" s="14"/>
      <c r="BC273" s="14"/>
      <c r="BD273" s="14"/>
      <c r="BE273" s="14"/>
      <c r="BF273" s="14"/>
    </row>
    <row r="274" spans="1:58" ht="17.100000000000001" customHeight="1">
      <c r="A274" s="14"/>
      <c r="B274" s="14"/>
      <c r="C274" s="14"/>
      <c r="D274" s="14"/>
      <c r="E274" s="14"/>
      <c r="F274" s="14"/>
      <c r="G274" s="14"/>
      <c r="H274" s="14"/>
      <c r="I274" s="20"/>
      <c r="J274" s="20"/>
      <c r="K274" s="20"/>
      <c r="L274" s="20"/>
      <c r="M274" s="20"/>
      <c r="N274" s="20"/>
      <c r="O274" s="20"/>
      <c r="P274" s="20"/>
      <c r="Q274" s="20"/>
      <c r="R274" s="84"/>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14"/>
      <c r="AR274" s="14"/>
      <c r="AS274" s="14"/>
      <c r="AT274" s="14"/>
      <c r="AU274" s="14"/>
      <c r="AV274" s="14"/>
      <c r="AW274" s="14"/>
      <c r="AX274" s="14"/>
      <c r="AY274" s="14"/>
      <c r="AZ274" s="14"/>
      <c r="BA274" s="14"/>
      <c r="BB274" s="14"/>
      <c r="BC274" s="14"/>
      <c r="BD274" s="14"/>
      <c r="BE274" s="14"/>
      <c r="BF274" s="14"/>
    </row>
    <row r="275" spans="1:58" ht="17.100000000000001" customHeight="1">
      <c r="A275" s="14"/>
      <c r="B275" s="14"/>
      <c r="C275" s="14"/>
      <c r="D275" s="14"/>
      <c r="E275" s="14"/>
      <c r="F275" s="14"/>
      <c r="G275" s="14"/>
      <c r="H275" s="14"/>
      <c r="I275" s="20"/>
      <c r="J275" s="20"/>
      <c r="K275" s="20"/>
      <c r="L275" s="20"/>
      <c r="M275" s="20"/>
      <c r="N275" s="20"/>
      <c r="O275" s="20"/>
      <c r="P275" s="20"/>
      <c r="Q275" s="20"/>
      <c r="R275" s="84"/>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14"/>
      <c r="AR275" s="14"/>
      <c r="AS275" s="14"/>
      <c r="AT275" s="14"/>
      <c r="AU275" s="14"/>
      <c r="AV275" s="14"/>
      <c r="AW275" s="14"/>
      <c r="AX275" s="14"/>
      <c r="AY275" s="14"/>
      <c r="AZ275" s="14"/>
      <c r="BA275" s="14"/>
      <c r="BB275" s="14"/>
      <c r="BC275" s="14"/>
      <c r="BD275" s="14"/>
      <c r="BE275" s="14"/>
      <c r="BF275" s="14"/>
    </row>
    <row r="276" spans="1:58" ht="17.100000000000001" customHeight="1">
      <c r="A276" s="14"/>
      <c r="B276" s="14"/>
      <c r="C276" s="14"/>
      <c r="D276" s="14"/>
      <c r="E276" s="14"/>
      <c r="F276" s="14"/>
      <c r="G276" s="14"/>
      <c r="H276" s="14"/>
      <c r="I276" s="20"/>
      <c r="J276" s="20"/>
      <c r="K276" s="20"/>
      <c r="L276" s="20"/>
      <c r="M276" s="20"/>
      <c r="N276" s="20"/>
      <c r="O276" s="20"/>
      <c r="P276" s="20"/>
      <c r="Q276" s="20"/>
      <c r="R276" s="84"/>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14"/>
      <c r="AR276" s="14"/>
      <c r="AS276" s="14"/>
      <c r="AT276" s="14"/>
      <c r="AU276" s="14"/>
      <c r="AV276" s="14"/>
      <c r="AW276" s="14"/>
      <c r="AX276" s="14"/>
      <c r="AY276" s="14"/>
      <c r="AZ276" s="14"/>
      <c r="BA276" s="14"/>
      <c r="BB276" s="14"/>
      <c r="BC276" s="14"/>
      <c r="BD276" s="14"/>
      <c r="BE276" s="14"/>
      <c r="BF276" s="14"/>
    </row>
    <row r="277" spans="1:58" ht="17.100000000000001" customHeight="1">
      <c r="A277" s="14"/>
      <c r="B277" s="14"/>
      <c r="C277" s="14"/>
      <c r="D277" s="14"/>
      <c r="E277" s="14"/>
      <c r="F277" s="14"/>
      <c r="G277" s="14"/>
      <c r="H277" s="14"/>
      <c r="I277" s="20"/>
      <c r="J277" s="20"/>
      <c r="K277" s="20"/>
      <c r="L277" s="20"/>
      <c r="M277" s="20"/>
      <c r="N277" s="20"/>
      <c r="O277" s="20"/>
      <c r="P277" s="20"/>
      <c r="Q277" s="20"/>
      <c r="R277" s="84"/>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14"/>
      <c r="AR277" s="14"/>
      <c r="AS277" s="14"/>
      <c r="AT277" s="14"/>
      <c r="AU277" s="14"/>
      <c r="AV277" s="14"/>
      <c r="AW277" s="14"/>
      <c r="AX277" s="14"/>
      <c r="AY277" s="14"/>
      <c r="AZ277" s="14"/>
      <c r="BA277" s="14"/>
      <c r="BB277" s="14"/>
      <c r="BC277" s="14"/>
      <c r="BD277" s="14"/>
      <c r="BE277" s="14"/>
      <c r="BF277" s="14"/>
    </row>
    <row r="278" spans="1:58" ht="17.100000000000001" customHeight="1">
      <c r="A278" s="14"/>
      <c r="B278" s="14"/>
      <c r="C278" s="14"/>
      <c r="D278" s="14"/>
      <c r="E278" s="14"/>
      <c r="F278" s="14"/>
      <c r="G278" s="14"/>
      <c r="H278" s="14"/>
      <c r="I278" s="20"/>
      <c r="J278" s="20"/>
      <c r="K278" s="20"/>
      <c r="L278" s="20"/>
      <c r="M278" s="20"/>
      <c r="N278" s="20"/>
      <c r="O278" s="20"/>
      <c r="P278" s="20"/>
      <c r="Q278" s="20"/>
      <c r="R278" s="84"/>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14"/>
      <c r="AR278" s="14"/>
      <c r="AS278" s="14"/>
      <c r="AT278" s="14"/>
      <c r="AU278" s="14"/>
      <c r="AV278" s="14"/>
      <c r="AW278" s="14"/>
      <c r="AX278" s="14"/>
      <c r="AY278" s="14"/>
      <c r="AZ278" s="14"/>
      <c r="BA278" s="14"/>
      <c r="BB278" s="14"/>
      <c r="BC278" s="14"/>
      <c r="BD278" s="14"/>
      <c r="BE278" s="14"/>
      <c r="BF278" s="14"/>
    </row>
    <row r="279" spans="1:58" ht="17.100000000000001" customHeight="1">
      <c r="A279" s="14"/>
      <c r="B279" s="14"/>
      <c r="C279" s="14"/>
      <c r="D279" s="14"/>
      <c r="E279" s="14"/>
      <c r="F279" s="14"/>
      <c r="G279" s="14"/>
      <c r="H279" s="14"/>
      <c r="I279" s="20"/>
      <c r="J279" s="20"/>
      <c r="K279" s="20"/>
      <c r="L279" s="20"/>
      <c r="M279" s="20"/>
      <c r="N279" s="20"/>
      <c r="O279" s="20"/>
      <c r="P279" s="20"/>
      <c r="Q279" s="20"/>
      <c r="R279" s="84"/>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14"/>
      <c r="AR279" s="14"/>
      <c r="AS279" s="14"/>
      <c r="AT279" s="14"/>
      <c r="AU279" s="14"/>
      <c r="AV279" s="14"/>
      <c r="AW279" s="14"/>
      <c r="AX279" s="14"/>
      <c r="AY279" s="14"/>
      <c r="AZ279" s="14"/>
      <c r="BA279" s="14"/>
      <c r="BB279" s="14"/>
      <c r="BC279" s="14"/>
      <c r="BD279" s="14"/>
      <c r="BE279" s="14"/>
      <c r="BF279" s="14"/>
    </row>
    <row r="280" spans="1:58" ht="17.100000000000001" customHeight="1">
      <c r="A280" s="14"/>
      <c r="B280" s="14"/>
      <c r="C280" s="14"/>
      <c r="D280" s="14"/>
      <c r="E280" s="14"/>
      <c r="F280" s="14"/>
      <c r="G280" s="14"/>
      <c r="H280" s="14"/>
      <c r="I280" s="20"/>
      <c r="J280" s="20"/>
      <c r="K280" s="20"/>
      <c r="L280" s="20"/>
      <c r="M280" s="20"/>
      <c r="N280" s="20"/>
      <c r="O280" s="20"/>
      <c r="P280" s="20"/>
      <c r="Q280" s="20"/>
      <c r="R280" s="84"/>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14"/>
      <c r="AR280" s="14"/>
      <c r="AS280" s="14"/>
      <c r="AT280" s="14"/>
      <c r="AU280" s="14"/>
      <c r="AV280" s="14"/>
      <c r="AW280" s="14"/>
      <c r="AX280" s="14"/>
      <c r="AY280" s="14"/>
      <c r="AZ280" s="14"/>
      <c r="BA280" s="14"/>
      <c r="BB280" s="14"/>
      <c r="BC280" s="14"/>
      <c r="BD280" s="14"/>
      <c r="BE280" s="14"/>
      <c r="BF280" s="14"/>
    </row>
    <row r="281" spans="1:58" ht="17.100000000000001" customHeight="1">
      <c r="A281" s="14"/>
      <c r="B281" s="14"/>
      <c r="C281" s="14"/>
      <c r="D281" s="14"/>
      <c r="E281" s="14"/>
      <c r="F281" s="14"/>
      <c r="G281" s="14"/>
      <c r="H281" s="14"/>
      <c r="I281" s="20"/>
      <c r="J281" s="20"/>
      <c r="K281" s="20"/>
      <c r="L281" s="20"/>
      <c r="M281" s="20"/>
      <c r="N281" s="20"/>
      <c r="O281" s="20"/>
      <c r="P281" s="20"/>
      <c r="Q281" s="20"/>
      <c r="R281" s="8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row>
    <row r="282" spans="1:58" ht="17.100000000000001" customHeight="1">
      <c r="A282" s="14"/>
      <c r="B282" s="14"/>
      <c r="C282" s="14"/>
      <c r="D282" s="14"/>
      <c r="E282" s="14"/>
      <c r="F282" s="14"/>
      <c r="G282" s="14"/>
      <c r="H282" s="14"/>
      <c r="I282" s="20"/>
      <c r="J282" s="20"/>
      <c r="K282" s="20"/>
      <c r="L282" s="20"/>
      <c r="M282" s="20"/>
      <c r="N282" s="20"/>
      <c r="O282" s="20"/>
      <c r="P282" s="20"/>
      <c r="Q282" s="20"/>
      <c r="R282" s="84"/>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14"/>
      <c r="AR282" s="14"/>
      <c r="AS282" s="14"/>
      <c r="AT282" s="14"/>
      <c r="AU282" s="14"/>
      <c r="AV282" s="14"/>
      <c r="AW282" s="14"/>
      <c r="AX282" s="14"/>
      <c r="AY282" s="14"/>
      <c r="AZ282" s="14"/>
      <c r="BA282" s="14"/>
      <c r="BB282" s="14"/>
      <c r="BC282" s="14"/>
      <c r="BD282" s="14"/>
      <c r="BE282" s="14"/>
      <c r="BF282" s="14"/>
    </row>
    <row r="283" spans="1:58" ht="17.100000000000001" customHeight="1">
      <c r="A283" s="14"/>
      <c r="B283" s="14"/>
      <c r="C283" s="14"/>
      <c r="D283" s="14"/>
      <c r="E283" s="14"/>
      <c r="F283" s="14"/>
      <c r="G283" s="14"/>
      <c r="H283" s="14"/>
      <c r="I283" s="20"/>
      <c r="J283" s="20"/>
      <c r="K283" s="20"/>
      <c r="L283" s="20"/>
      <c r="M283" s="20"/>
      <c r="N283" s="20"/>
      <c r="O283" s="20"/>
      <c r="P283" s="20"/>
      <c r="Q283" s="20"/>
      <c r="R283" s="84"/>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14"/>
      <c r="AR283" s="14"/>
      <c r="AS283" s="14"/>
      <c r="AT283" s="14"/>
      <c r="AU283" s="14"/>
      <c r="AV283" s="14"/>
      <c r="AW283" s="14"/>
      <c r="AX283" s="14"/>
      <c r="AY283" s="14"/>
      <c r="AZ283" s="14"/>
      <c r="BA283" s="14"/>
      <c r="BB283" s="14"/>
      <c r="BC283" s="14"/>
      <c r="BD283" s="14"/>
      <c r="BE283" s="14"/>
      <c r="BF283" s="14"/>
    </row>
    <row r="284" spans="1:58" ht="17.100000000000001" customHeight="1">
      <c r="A284" s="14"/>
      <c r="B284" s="14"/>
      <c r="C284" s="14"/>
      <c r="D284" s="14"/>
      <c r="E284" s="14"/>
      <c r="F284" s="14"/>
      <c r="G284" s="14"/>
      <c r="H284" s="14"/>
      <c r="I284" s="20"/>
      <c r="J284" s="20"/>
      <c r="K284" s="20"/>
      <c r="L284" s="20"/>
      <c r="M284" s="20"/>
      <c r="N284" s="20"/>
      <c r="O284" s="20"/>
      <c r="P284" s="20"/>
      <c r="Q284" s="20"/>
      <c r="R284" s="84"/>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14"/>
      <c r="AR284" s="14"/>
      <c r="AS284" s="14"/>
      <c r="AT284" s="14"/>
      <c r="AU284" s="14"/>
      <c r="AV284" s="14"/>
      <c r="AW284" s="14"/>
      <c r="AX284" s="14"/>
      <c r="AY284" s="14"/>
      <c r="AZ284" s="14"/>
      <c r="BA284" s="14"/>
      <c r="BB284" s="14"/>
      <c r="BC284" s="14"/>
      <c r="BD284" s="14"/>
      <c r="BE284" s="14"/>
      <c r="BF284" s="14"/>
    </row>
    <row r="285" spans="1:58" ht="17.100000000000001" customHeight="1">
      <c r="A285" s="14"/>
      <c r="B285" s="14"/>
      <c r="C285" s="14"/>
      <c r="D285" s="14"/>
      <c r="E285" s="14"/>
      <c r="F285" s="14"/>
      <c r="G285" s="14"/>
      <c r="H285" s="14"/>
      <c r="I285" s="20"/>
      <c r="J285" s="20"/>
      <c r="K285" s="20"/>
      <c r="L285" s="20"/>
      <c r="M285" s="20"/>
      <c r="N285" s="20"/>
      <c r="O285" s="20"/>
      <c r="P285" s="20"/>
      <c r="Q285" s="20"/>
      <c r="R285" s="84"/>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14"/>
      <c r="AR285" s="14"/>
      <c r="AS285" s="14"/>
      <c r="AT285" s="14"/>
      <c r="AU285" s="14"/>
      <c r="AV285" s="14"/>
      <c r="AW285" s="14"/>
      <c r="AX285" s="14"/>
      <c r="AY285" s="14"/>
      <c r="AZ285" s="14"/>
      <c r="BA285" s="14"/>
      <c r="BB285" s="14"/>
      <c r="BC285" s="14"/>
      <c r="BD285" s="14"/>
      <c r="BE285" s="14"/>
      <c r="BF285" s="14"/>
    </row>
    <row r="286" spans="1:58" ht="17.100000000000001" customHeight="1">
      <c r="A286" s="14"/>
      <c r="B286" s="14"/>
      <c r="C286" s="14"/>
      <c r="D286" s="14"/>
      <c r="E286" s="14"/>
      <c r="F286" s="14"/>
      <c r="G286" s="14"/>
      <c r="H286" s="14"/>
      <c r="I286" s="20"/>
      <c r="J286" s="20"/>
      <c r="K286" s="20"/>
      <c r="L286" s="20"/>
      <c r="M286" s="20"/>
      <c r="N286" s="20"/>
      <c r="O286" s="20"/>
      <c r="P286" s="20"/>
      <c r="Q286" s="20"/>
      <c r="R286" s="84"/>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14"/>
      <c r="AR286" s="14"/>
      <c r="AS286" s="14"/>
      <c r="AT286" s="14"/>
      <c r="AU286" s="14"/>
      <c r="AV286" s="14"/>
      <c r="AW286" s="14"/>
      <c r="AX286" s="14"/>
      <c r="AY286" s="14"/>
      <c r="AZ286" s="14"/>
      <c r="BA286" s="14"/>
      <c r="BB286" s="14"/>
      <c r="BC286" s="14"/>
      <c r="BD286" s="14"/>
      <c r="BE286" s="14"/>
      <c r="BF286" s="14"/>
    </row>
    <row r="287" spans="1:58" ht="17.100000000000001" customHeight="1">
      <c r="A287" s="14"/>
      <c r="B287" s="14"/>
      <c r="C287" s="14"/>
      <c r="D287" s="14"/>
      <c r="E287" s="14"/>
      <c r="F287" s="14"/>
      <c r="G287" s="14"/>
      <c r="H287" s="14"/>
      <c r="I287" s="20"/>
      <c r="J287" s="20"/>
      <c r="K287" s="20"/>
      <c r="L287" s="20"/>
      <c r="M287" s="20"/>
      <c r="N287" s="20"/>
      <c r="O287" s="20"/>
      <c r="P287" s="20"/>
      <c r="Q287" s="20"/>
      <c r="R287" s="84"/>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14"/>
      <c r="AR287" s="14"/>
      <c r="AS287" s="14"/>
      <c r="AT287" s="14"/>
      <c r="AU287" s="14"/>
      <c r="AV287" s="14"/>
      <c r="AW287" s="14"/>
      <c r="AX287" s="14"/>
      <c r="AY287" s="14"/>
      <c r="AZ287" s="14"/>
      <c r="BA287" s="14"/>
      <c r="BB287" s="14"/>
      <c r="BC287" s="14"/>
      <c r="BD287" s="14"/>
      <c r="BE287" s="14"/>
      <c r="BF287" s="14"/>
    </row>
    <row r="288" spans="1:58" ht="17.100000000000001" customHeight="1">
      <c r="A288" s="14"/>
      <c r="B288" s="14"/>
      <c r="C288" s="14"/>
      <c r="D288" s="14"/>
      <c r="E288" s="14"/>
      <c r="F288" s="14"/>
      <c r="G288" s="14"/>
      <c r="H288" s="14"/>
      <c r="I288" s="20"/>
      <c r="J288" s="20"/>
      <c r="K288" s="20"/>
      <c r="L288" s="20"/>
      <c r="M288" s="20"/>
      <c r="N288" s="20"/>
      <c r="O288" s="20"/>
      <c r="P288" s="20"/>
      <c r="Q288" s="20"/>
      <c r="R288" s="84"/>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14"/>
      <c r="AR288" s="14"/>
      <c r="AS288" s="14"/>
      <c r="AT288" s="14"/>
      <c r="AU288" s="14"/>
      <c r="AV288" s="14"/>
      <c r="AW288" s="14"/>
      <c r="AX288" s="14"/>
      <c r="AY288" s="14"/>
      <c r="AZ288" s="14"/>
      <c r="BA288" s="14"/>
      <c r="BB288" s="14"/>
      <c r="BC288" s="14"/>
      <c r="BD288" s="14"/>
      <c r="BE288" s="14"/>
      <c r="BF288" s="14"/>
    </row>
    <row r="289" spans="1:58" ht="17.100000000000001" customHeight="1">
      <c r="A289" s="14"/>
      <c r="B289" s="14"/>
      <c r="C289" s="14"/>
      <c r="D289" s="14"/>
      <c r="E289" s="14"/>
      <c r="F289" s="14"/>
      <c r="G289" s="14"/>
      <c r="H289" s="14"/>
      <c r="I289" s="20"/>
      <c r="J289" s="20"/>
      <c r="K289" s="20"/>
      <c r="L289" s="20"/>
      <c r="M289" s="20"/>
      <c r="N289" s="20"/>
      <c r="O289" s="20"/>
      <c r="P289" s="20"/>
      <c r="Q289" s="20"/>
      <c r="R289" s="84"/>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14"/>
      <c r="AR289" s="14"/>
      <c r="AS289" s="14"/>
      <c r="AT289" s="14"/>
      <c r="AU289" s="14"/>
      <c r="AV289" s="14"/>
      <c r="AW289" s="14"/>
      <c r="AX289" s="14"/>
      <c r="AY289" s="14"/>
      <c r="AZ289" s="14"/>
      <c r="BA289" s="14"/>
      <c r="BB289" s="14"/>
      <c r="BC289" s="14"/>
      <c r="BD289" s="14"/>
      <c r="BE289" s="14"/>
      <c r="BF289" s="14"/>
    </row>
    <row r="290" spans="1:58" ht="17.100000000000001" customHeight="1">
      <c r="A290" s="14"/>
      <c r="B290" s="14"/>
      <c r="C290" s="14"/>
      <c r="D290" s="14"/>
      <c r="E290" s="14"/>
      <c r="F290" s="14"/>
      <c r="G290" s="14"/>
      <c r="H290" s="14"/>
      <c r="I290" s="20"/>
      <c r="J290" s="20"/>
      <c r="K290" s="20"/>
      <c r="L290" s="20"/>
      <c r="M290" s="20"/>
      <c r="N290" s="20"/>
      <c r="O290" s="20"/>
      <c r="P290" s="20"/>
      <c r="Q290" s="20"/>
      <c r="R290" s="84"/>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14"/>
      <c r="AR290" s="14"/>
      <c r="AS290" s="14"/>
      <c r="AT290" s="14"/>
      <c r="AU290" s="14"/>
      <c r="AV290" s="14"/>
      <c r="AW290" s="14"/>
      <c r="AX290" s="14"/>
      <c r="AY290" s="14"/>
      <c r="AZ290" s="14"/>
      <c r="BA290" s="14"/>
      <c r="BB290" s="14"/>
      <c r="BC290" s="14"/>
      <c r="BD290" s="14"/>
      <c r="BE290" s="14"/>
      <c r="BF290" s="14"/>
    </row>
    <row r="291" spans="1:58" ht="17.100000000000001" customHeight="1">
      <c r="A291" s="14"/>
      <c r="B291" s="14"/>
      <c r="C291" s="14"/>
      <c r="D291" s="14"/>
      <c r="E291" s="14"/>
      <c r="F291" s="14"/>
      <c r="G291" s="14"/>
      <c r="H291" s="14"/>
      <c r="I291" s="20"/>
      <c r="J291" s="20"/>
      <c r="K291" s="20"/>
      <c r="L291" s="20"/>
      <c r="M291" s="20"/>
      <c r="N291" s="20"/>
      <c r="O291" s="20"/>
      <c r="P291" s="20"/>
      <c r="Q291" s="20"/>
      <c r="R291" s="84"/>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14"/>
      <c r="AR291" s="14"/>
      <c r="AS291" s="14"/>
      <c r="AT291" s="14"/>
      <c r="AU291" s="14"/>
      <c r="AV291" s="14"/>
      <c r="AW291" s="14"/>
      <c r="AX291" s="14"/>
      <c r="AY291" s="14"/>
      <c r="AZ291" s="14"/>
      <c r="BA291" s="14"/>
      <c r="BB291" s="14"/>
      <c r="BC291" s="14"/>
      <c r="BD291" s="14"/>
      <c r="BE291" s="14"/>
      <c r="BF291" s="14"/>
    </row>
    <row r="292" spans="1:58" ht="17.100000000000001" customHeight="1">
      <c r="A292" s="14"/>
      <c r="B292" s="14"/>
      <c r="C292" s="14"/>
      <c r="D292" s="14"/>
      <c r="E292" s="14"/>
      <c r="F292" s="14"/>
      <c r="G292" s="14"/>
      <c r="H292" s="14"/>
      <c r="I292" s="20"/>
      <c r="J292" s="20"/>
      <c r="K292" s="20"/>
      <c r="L292" s="20"/>
      <c r="M292" s="20"/>
      <c r="N292" s="20"/>
      <c r="O292" s="20"/>
      <c r="P292" s="20"/>
      <c r="Q292" s="20"/>
      <c r="R292" s="84"/>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14"/>
      <c r="AR292" s="14"/>
      <c r="AS292" s="14"/>
      <c r="AT292" s="14"/>
      <c r="AU292" s="14"/>
      <c r="AV292" s="14"/>
      <c r="AW292" s="14"/>
      <c r="AX292" s="14"/>
      <c r="AY292" s="14"/>
      <c r="AZ292" s="14"/>
      <c r="BA292" s="14"/>
      <c r="BB292" s="14"/>
      <c r="BC292" s="14"/>
      <c r="BD292" s="14"/>
      <c r="BE292" s="14"/>
      <c r="BF292" s="14"/>
    </row>
    <row r="293" spans="1:58" ht="17.100000000000001" customHeight="1">
      <c r="A293" s="14"/>
      <c r="B293" s="14"/>
      <c r="C293" s="14"/>
      <c r="D293" s="14"/>
      <c r="E293" s="14"/>
      <c r="F293" s="14"/>
      <c r="G293" s="14"/>
      <c r="H293" s="14"/>
      <c r="I293" s="20"/>
      <c r="J293" s="20"/>
      <c r="K293" s="20"/>
      <c r="L293" s="20"/>
      <c r="M293" s="20"/>
      <c r="N293" s="20"/>
      <c r="O293" s="20"/>
      <c r="P293" s="20"/>
      <c r="Q293" s="20"/>
      <c r="R293" s="84"/>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c r="AS293" s="14"/>
      <c r="AT293" s="14"/>
      <c r="AU293" s="14"/>
      <c r="AV293" s="14"/>
      <c r="AW293" s="14"/>
      <c r="AX293" s="14"/>
      <c r="AY293" s="14"/>
      <c r="AZ293" s="14"/>
      <c r="BA293" s="14"/>
      <c r="BB293" s="14"/>
      <c r="BC293" s="14"/>
      <c r="BD293" s="14"/>
      <c r="BE293" s="14"/>
      <c r="BF293" s="14"/>
    </row>
    <row r="294" spans="1:58" ht="17.100000000000001" customHeight="1">
      <c r="A294" s="14"/>
      <c r="B294" s="14"/>
      <c r="C294" s="14"/>
      <c r="D294" s="14"/>
      <c r="E294" s="14"/>
      <c r="F294" s="14"/>
      <c r="G294" s="14"/>
      <c r="H294" s="14"/>
      <c r="I294" s="20"/>
      <c r="J294" s="20"/>
      <c r="K294" s="20"/>
      <c r="L294" s="20"/>
      <c r="M294" s="20"/>
      <c r="N294" s="20"/>
      <c r="O294" s="20"/>
      <c r="P294" s="20"/>
      <c r="Q294" s="20"/>
      <c r="R294" s="84"/>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14"/>
      <c r="AR294" s="14"/>
      <c r="AS294" s="14"/>
      <c r="AT294" s="14"/>
      <c r="AU294" s="14"/>
      <c r="AV294" s="14"/>
      <c r="AW294" s="14"/>
      <c r="AX294" s="14"/>
      <c r="AY294" s="14"/>
      <c r="AZ294" s="14"/>
      <c r="BA294" s="14"/>
      <c r="BB294" s="14"/>
      <c r="BC294" s="14"/>
      <c r="BD294" s="14"/>
      <c r="BE294" s="14"/>
      <c r="BF294" s="14"/>
    </row>
    <row r="295" spans="1:58" ht="17.100000000000001" customHeight="1">
      <c r="A295" s="14"/>
      <c r="B295" s="14"/>
      <c r="C295" s="14"/>
      <c r="D295" s="14"/>
      <c r="E295" s="14"/>
      <c r="F295" s="14"/>
      <c r="G295" s="14"/>
      <c r="H295" s="14"/>
      <c r="I295" s="20"/>
      <c r="J295" s="20"/>
      <c r="K295" s="20"/>
      <c r="L295" s="20"/>
      <c r="M295" s="20"/>
      <c r="N295" s="20"/>
      <c r="O295" s="20"/>
      <c r="P295" s="20"/>
      <c r="Q295" s="20"/>
      <c r="R295" s="84"/>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14"/>
      <c r="AR295" s="14"/>
      <c r="AS295" s="14"/>
      <c r="AT295" s="14"/>
      <c r="AU295" s="14"/>
      <c r="AV295" s="14"/>
      <c r="AW295" s="14"/>
      <c r="AX295" s="14"/>
      <c r="AY295" s="14"/>
      <c r="AZ295" s="14"/>
      <c r="BA295" s="14"/>
      <c r="BB295" s="14"/>
      <c r="BC295" s="14"/>
      <c r="BD295" s="14"/>
      <c r="BE295" s="14"/>
      <c r="BF295" s="14"/>
    </row>
    <row r="296" spans="1:58" ht="17.100000000000001" customHeight="1">
      <c r="A296" s="14"/>
      <c r="B296" s="14"/>
      <c r="C296" s="14"/>
      <c r="D296" s="14"/>
      <c r="E296" s="14"/>
      <c r="F296" s="14"/>
      <c r="G296" s="14"/>
      <c r="H296" s="14"/>
      <c r="I296" s="20"/>
      <c r="J296" s="20"/>
      <c r="K296" s="20"/>
      <c r="L296" s="20"/>
      <c r="M296" s="20"/>
      <c r="N296" s="20"/>
      <c r="O296" s="20"/>
      <c r="P296" s="20"/>
      <c r="Q296" s="20"/>
      <c r="R296" s="84"/>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14"/>
      <c r="AR296" s="14"/>
      <c r="AS296" s="14"/>
      <c r="AT296" s="14"/>
      <c r="AU296" s="14"/>
      <c r="AV296" s="14"/>
      <c r="AW296" s="14"/>
      <c r="AX296" s="14"/>
      <c r="AY296" s="14"/>
      <c r="AZ296" s="14"/>
      <c r="BA296" s="14"/>
      <c r="BB296" s="14"/>
      <c r="BC296" s="14"/>
      <c r="BD296" s="14"/>
      <c r="BE296" s="14"/>
      <c r="BF296" s="14"/>
    </row>
    <row r="297" spans="1:58" ht="17.100000000000001" customHeight="1">
      <c r="A297" s="14"/>
      <c r="B297" s="14"/>
      <c r="C297" s="14"/>
      <c r="D297" s="14"/>
      <c r="E297" s="14"/>
      <c r="F297" s="14"/>
      <c r="G297" s="14"/>
      <c r="H297" s="14"/>
      <c r="I297" s="20"/>
      <c r="J297" s="20"/>
      <c r="K297" s="20"/>
      <c r="L297" s="20"/>
      <c r="M297" s="20"/>
      <c r="N297" s="20"/>
      <c r="O297" s="20"/>
      <c r="P297" s="20"/>
      <c r="Q297" s="20"/>
      <c r="R297" s="84"/>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14"/>
      <c r="AR297" s="14"/>
      <c r="AS297" s="14"/>
      <c r="AT297" s="14"/>
      <c r="AU297" s="14"/>
      <c r="AV297" s="14"/>
      <c r="AW297" s="14"/>
      <c r="AX297" s="14"/>
      <c r="AY297" s="14"/>
      <c r="AZ297" s="14"/>
      <c r="BA297" s="14"/>
      <c r="BB297" s="14"/>
      <c r="BC297" s="14"/>
      <c r="BD297" s="14"/>
      <c r="BE297" s="14"/>
      <c r="BF297" s="14"/>
    </row>
    <row r="298" spans="1:58" ht="17.100000000000001" customHeight="1">
      <c r="A298" s="14"/>
      <c r="B298" s="14"/>
      <c r="C298" s="14"/>
      <c r="D298" s="14"/>
      <c r="E298" s="14"/>
      <c r="F298" s="14"/>
      <c r="G298" s="14"/>
      <c r="H298" s="14"/>
      <c r="I298" s="20"/>
      <c r="J298" s="20"/>
      <c r="K298" s="20"/>
      <c r="L298" s="20"/>
      <c r="M298" s="20"/>
      <c r="N298" s="20"/>
      <c r="O298" s="20"/>
      <c r="P298" s="20"/>
      <c r="Q298" s="20"/>
      <c r="R298" s="84"/>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14"/>
      <c r="AR298" s="14"/>
      <c r="AS298" s="14"/>
      <c r="AT298" s="14"/>
      <c r="AU298" s="14"/>
      <c r="AV298" s="14"/>
      <c r="AW298" s="14"/>
      <c r="AX298" s="14"/>
      <c r="AY298" s="14"/>
      <c r="AZ298" s="14"/>
      <c r="BA298" s="14"/>
      <c r="BB298" s="14"/>
      <c r="BC298" s="14"/>
      <c r="BD298" s="14"/>
      <c r="BE298" s="14"/>
      <c r="BF298" s="14"/>
    </row>
    <row r="299" spans="1:58" ht="17.100000000000001" customHeight="1">
      <c r="A299" s="14"/>
      <c r="B299" s="14"/>
      <c r="C299" s="14"/>
      <c r="D299" s="14"/>
      <c r="E299" s="14"/>
      <c r="F299" s="14"/>
      <c r="G299" s="14"/>
      <c r="H299" s="14"/>
      <c r="I299" s="20"/>
      <c r="J299" s="20"/>
      <c r="K299" s="20"/>
      <c r="L299" s="20"/>
      <c r="M299" s="20"/>
      <c r="N299" s="20"/>
      <c r="O299" s="20"/>
      <c r="P299" s="20"/>
      <c r="Q299" s="20"/>
      <c r="R299" s="84"/>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14"/>
      <c r="AR299" s="14"/>
      <c r="AS299" s="14"/>
      <c r="AT299" s="14"/>
      <c r="AU299" s="14"/>
      <c r="AV299" s="14"/>
      <c r="AW299" s="14"/>
      <c r="AX299" s="14"/>
      <c r="AY299" s="14"/>
      <c r="AZ299" s="14"/>
      <c r="BA299" s="14"/>
      <c r="BB299" s="14"/>
      <c r="BC299" s="14"/>
      <c r="BD299" s="14"/>
      <c r="BE299" s="14"/>
      <c r="BF299" s="14"/>
    </row>
    <row r="300" spans="1:58" ht="17.100000000000001" customHeight="1">
      <c r="A300" s="14"/>
      <c r="B300" s="14"/>
      <c r="C300" s="14"/>
      <c r="D300" s="14"/>
      <c r="E300" s="14"/>
      <c r="F300" s="14"/>
      <c r="G300" s="14"/>
      <c r="H300" s="14"/>
      <c r="I300" s="20"/>
      <c r="J300" s="20"/>
      <c r="K300" s="20"/>
      <c r="L300" s="20"/>
      <c r="M300" s="20"/>
      <c r="N300" s="20"/>
      <c r="O300" s="20"/>
      <c r="P300" s="20"/>
      <c r="Q300" s="20"/>
      <c r="R300" s="84"/>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14"/>
      <c r="AR300" s="14"/>
      <c r="AS300" s="14"/>
      <c r="AT300" s="14"/>
      <c r="AU300" s="14"/>
      <c r="AV300" s="14"/>
      <c r="AW300" s="14"/>
      <c r="AX300" s="14"/>
      <c r="AY300" s="14"/>
      <c r="AZ300" s="14"/>
      <c r="BA300" s="14"/>
      <c r="BB300" s="14"/>
      <c r="BC300" s="14"/>
      <c r="BD300" s="14"/>
      <c r="BE300" s="14"/>
      <c r="BF300" s="14"/>
    </row>
    <row r="301" spans="1:58" ht="17.100000000000001" customHeight="1">
      <c r="A301" s="14"/>
      <c r="B301" s="14"/>
      <c r="C301" s="14"/>
      <c r="D301" s="14"/>
      <c r="E301" s="14"/>
      <c r="F301" s="14"/>
      <c r="G301" s="14"/>
      <c r="H301" s="14"/>
      <c r="I301" s="20"/>
      <c r="J301" s="20"/>
      <c r="K301" s="20"/>
      <c r="L301" s="20"/>
      <c r="M301" s="20"/>
      <c r="N301" s="20"/>
      <c r="O301" s="20"/>
      <c r="P301" s="20"/>
      <c r="Q301" s="20"/>
      <c r="R301" s="84"/>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c r="AS301" s="14"/>
      <c r="AT301" s="14"/>
      <c r="AU301" s="14"/>
      <c r="AV301" s="14"/>
      <c r="AW301" s="14"/>
      <c r="AX301" s="14"/>
      <c r="AY301" s="14"/>
      <c r="AZ301" s="14"/>
      <c r="BA301" s="14"/>
      <c r="BB301" s="14"/>
      <c r="BC301" s="14"/>
      <c r="BD301" s="14"/>
      <c r="BE301" s="14"/>
      <c r="BF301" s="14"/>
    </row>
    <row r="302" spans="1:58" ht="17.100000000000001" customHeight="1">
      <c r="A302" s="14"/>
      <c r="B302" s="14"/>
      <c r="C302" s="14"/>
      <c r="D302" s="14"/>
      <c r="E302" s="14"/>
      <c r="F302" s="14"/>
      <c r="G302" s="14"/>
      <c r="H302" s="14"/>
      <c r="I302" s="20"/>
      <c r="J302" s="20"/>
      <c r="K302" s="20"/>
      <c r="L302" s="20"/>
      <c r="M302" s="20"/>
      <c r="N302" s="20"/>
      <c r="O302" s="20"/>
      <c r="P302" s="20"/>
      <c r="Q302" s="20"/>
      <c r="R302" s="84"/>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14"/>
      <c r="AR302" s="14"/>
      <c r="AS302" s="14"/>
      <c r="AT302" s="14"/>
      <c r="AU302" s="14"/>
      <c r="AV302" s="14"/>
      <c r="AW302" s="14"/>
      <c r="AX302" s="14"/>
      <c r="AY302" s="14"/>
      <c r="AZ302" s="14"/>
      <c r="BA302" s="14"/>
      <c r="BB302" s="14"/>
      <c r="BC302" s="14"/>
      <c r="BD302" s="14"/>
      <c r="BE302" s="14"/>
      <c r="BF302" s="14"/>
    </row>
    <row r="303" spans="1:58" ht="17.100000000000001" customHeight="1">
      <c r="A303" s="14"/>
      <c r="B303" s="14"/>
      <c r="C303" s="14"/>
      <c r="D303" s="14"/>
      <c r="E303" s="14"/>
      <c r="F303" s="14"/>
      <c r="G303" s="14"/>
      <c r="H303" s="14"/>
      <c r="I303" s="20"/>
      <c r="J303" s="20"/>
      <c r="K303" s="20"/>
      <c r="L303" s="20"/>
      <c r="M303" s="20"/>
      <c r="N303" s="20"/>
      <c r="O303" s="20"/>
      <c r="P303" s="20"/>
      <c r="Q303" s="20"/>
      <c r="R303" s="84"/>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14"/>
      <c r="AR303" s="14"/>
      <c r="AS303" s="14"/>
      <c r="AT303" s="14"/>
      <c r="AU303" s="14"/>
      <c r="AV303" s="14"/>
      <c r="AW303" s="14"/>
      <c r="AX303" s="14"/>
      <c r="AY303" s="14"/>
      <c r="AZ303" s="14"/>
      <c r="BA303" s="14"/>
      <c r="BB303" s="14"/>
      <c r="BC303" s="14"/>
      <c r="BD303" s="14"/>
      <c r="BE303" s="14"/>
      <c r="BF303" s="14"/>
    </row>
    <row r="304" spans="1:58" ht="17.100000000000001" customHeight="1">
      <c r="A304" s="14"/>
      <c r="B304" s="14"/>
      <c r="C304" s="14"/>
      <c r="D304" s="14"/>
      <c r="E304" s="14"/>
      <c r="F304" s="14"/>
      <c r="G304" s="14"/>
      <c r="H304" s="14"/>
      <c r="I304" s="20"/>
      <c r="J304" s="20"/>
      <c r="K304" s="20"/>
      <c r="L304" s="20"/>
      <c r="M304" s="20"/>
      <c r="N304" s="20"/>
      <c r="O304" s="20"/>
      <c r="P304" s="20"/>
      <c r="Q304" s="20"/>
      <c r="R304" s="84"/>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14"/>
      <c r="AR304" s="14"/>
      <c r="AS304" s="14"/>
      <c r="AT304" s="14"/>
      <c r="AU304" s="14"/>
      <c r="AV304" s="14"/>
      <c r="AW304" s="14"/>
      <c r="AX304" s="14"/>
      <c r="AY304" s="14"/>
      <c r="AZ304" s="14"/>
      <c r="BA304" s="14"/>
      <c r="BB304" s="14"/>
      <c r="BC304" s="14"/>
      <c r="BD304" s="14"/>
      <c r="BE304" s="14"/>
      <c r="BF304" s="14"/>
    </row>
    <row r="305" spans="1:58" ht="17.100000000000001" customHeight="1">
      <c r="A305" s="14"/>
      <c r="B305" s="14"/>
      <c r="C305" s="14"/>
      <c r="D305" s="14"/>
      <c r="E305" s="14"/>
      <c r="F305" s="14"/>
      <c r="G305" s="14"/>
      <c r="H305" s="14"/>
      <c r="I305" s="20"/>
      <c r="J305" s="20"/>
      <c r="K305" s="20"/>
      <c r="L305" s="20"/>
      <c r="M305" s="20"/>
      <c r="N305" s="20"/>
      <c r="O305" s="20"/>
      <c r="P305" s="20"/>
      <c r="Q305" s="20"/>
      <c r="R305" s="84"/>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14"/>
      <c r="AR305" s="14"/>
      <c r="AS305" s="14"/>
      <c r="AT305" s="14"/>
      <c r="AU305" s="14"/>
      <c r="AV305" s="14"/>
      <c r="AW305" s="14"/>
      <c r="AX305" s="14"/>
      <c r="AY305" s="14"/>
      <c r="AZ305" s="14"/>
      <c r="BA305" s="14"/>
      <c r="BB305" s="14"/>
      <c r="BC305" s="14"/>
      <c r="BD305" s="14"/>
      <c r="BE305" s="14"/>
      <c r="BF305" s="14"/>
    </row>
    <row r="306" spans="1:58" ht="17.100000000000001" customHeight="1">
      <c r="A306" s="14"/>
      <c r="B306" s="14"/>
      <c r="C306" s="14"/>
      <c r="D306" s="14"/>
      <c r="E306" s="14"/>
      <c r="F306" s="14"/>
      <c r="G306" s="14"/>
      <c r="H306" s="14"/>
      <c r="I306" s="20"/>
      <c r="J306" s="20"/>
      <c r="K306" s="20"/>
      <c r="L306" s="20"/>
      <c r="M306" s="20"/>
      <c r="N306" s="20"/>
      <c r="O306" s="20"/>
      <c r="P306" s="20"/>
      <c r="Q306" s="20"/>
      <c r="R306" s="84"/>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14"/>
      <c r="AR306" s="14"/>
      <c r="AS306" s="14"/>
      <c r="AT306" s="14"/>
      <c r="AU306" s="14"/>
      <c r="AV306" s="14"/>
      <c r="AW306" s="14"/>
      <c r="AX306" s="14"/>
      <c r="AY306" s="14"/>
      <c r="AZ306" s="14"/>
      <c r="BA306" s="14"/>
      <c r="BB306" s="14"/>
      <c r="BC306" s="14"/>
      <c r="BD306" s="14"/>
      <c r="BE306" s="14"/>
      <c r="BF306" s="14"/>
    </row>
    <row r="307" spans="1:58" ht="17.100000000000001" customHeight="1">
      <c r="A307" s="14"/>
      <c r="B307" s="14"/>
      <c r="C307" s="14"/>
      <c r="D307" s="14"/>
      <c r="E307" s="14"/>
      <c r="F307" s="14"/>
      <c r="G307" s="14"/>
      <c r="H307" s="14"/>
      <c r="I307" s="20"/>
      <c r="J307" s="20"/>
      <c r="K307" s="20"/>
      <c r="L307" s="20"/>
      <c r="M307" s="20"/>
      <c r="N307" s="20"/>
      <c r="O307" s="20"/>
      <c r="P307" s="20"/>
      <c r="Q307" s="20"/>
      <c r="R307" s="84"/>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14"/>
      <c r="AR307" s="14"/>
      <c r="AS307" s="14"/>
      <c r="AT307" s="14"/>
      <c r="AU307" s="14"/>
      <c r="AV307" s="14"/>
      <c r="AW307" s="14"/>
      <c r="AX307" s="14"/>
      <c r="AY307" s="14"/>
      <c r="AZ307" s="14"/>
      <c r="BA307" s="14"/>
      <c r="BB307" s="14"/>
      <c r="BC307" s="14"/>
      <c r="BD307" s="14"/>
      <c r="BE307" s="14"/>
      <c r="BF307" s="14"/>
    </row>
    <row r="308" spans="1:58" ht="17.100000000000001" customHeight="1">
      <c r="A308" s="14"/>
      <c r="B308" s="14"/>
      <c r="C308" s="14"/>
      <c r="D308" s="14"/>
      <c r="E308" s="14"/>
      <c r="F308" s="14"/>
      <c r="G308" s="14"/>
      <c r="H308" s="14"/>
      <c r="I308" s="20"/>
      <c r="J308" s="20"/>
      <c r="K308" s="20"/>
      <c r="L308" s="20"/>
      <c r="M308" s="20"/>
      <c r="N308" s="20"/>
      <c r="O308" s="20"/>
      <c r="P308" s="20"/>
      <c r="Q308" s="20"/>
      <c r="R308" s="84"/>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14"/>
      <c r="AR308" s="14"/>
      <c r="AS308" s="14"/>
      <c r="AT308" s="14"/>
      <c r="AU308" s="14"/>
      <c r="AV308" s="14"/>
      <c r="AW308" s="14"/>
      <c r="AX308" s="14"/>
      <c r="AY308" s="14"/>
      <c r="AZ308" s="14"/>
      <c r="BA308" s="14"/>
      <c r="BB308" s="14"/>
      <c r="BC308" s="14"/>
      <c r="BD308" s="14"/>
      <c r="BE308" s="14"/>
      <c r="BF308" s="14"/>
    </row>
    <row r="309" spans="1:58" ht="17.100000000000001" customHeight="1">
      <c r="A309" s="14"/>
      <c r="B309" s="14"/>
      <c r="C309" s="14"/>
      <c r="D309" s="14"/>
      <c r="E309" s="14"/>
      <c r="F309" s="14"/>
      <c r="G309" s="14"/>
      <c r="H309" s="14"/>
      <c r="I309" s="20"/>
      <c r="J309" s="20"/>
      <c r="K309" s="20"/>
      <c r="L309" s="20"/>
      <c r="M309" s="20"/>
      <c r="N309" s="20"/>
      <c r="O309" s="20"/>
      <c r="P309" s="20"/>
      <c r="Q309" s="20"/>
      <c r="R309" s="84"/>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14"/>
      <c r="AR309" s="14"/>
      <c r="AS309" s="14"/>
      <c r="AT309" s="14"/>
      <c r="AU309" s="14"/>
      <c r="AV309" s="14"/>
      <c r="AW309" s="14"/>
      <c r="AX309" s="14"/>
      <c r="AY309" s="14"/>
      <c r="AZ309" s="14"/>
      <c r="BA309" s="14"/>
      <c r="BB309" s="14"/>
      <c r="BC309" s="14"/>
      <c r="BD309" s="14"/>
      <c r="BE309" s="14"/>
      <c r="BF309" s="14"/>
    </row>
    <row r="310" spans="1:58" ht="17.100000000000001" customHeight="1">
      <c r="A310" s="14"/>
      <c r="B310" s="14"/>
      <c r="C310" s="14"/>
      <c r="D310" s="14"/>
      <c r="E310" s="14"/>
      <c r="F310" s="14"/>
      <c r="G310" s="14"/>
      <c r="H310" s="14"/>
      <c r="I310" s="20"/>
      <c r="J310" s="20"/>
      <c r="K310" s="20"/>
      <c r="L310" s="20"/>
      <c r="M310" s="20"/>
      <c r="N310" s="20"/>
      <c r="O310" s="20"/>
      <c r="P310" s="20"/>
      <c r="Q310" s="20"/>
      <c r="R310" s="84"/>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14"/>
      <c r="AR310" s="14"/>
      <c r="AS310" s="14"/>
      <c r="AT310" s="14"/>
      <c r="AU310" s="14"/>
      <c r="AV310" s="14"/>
      <c r="AW310" s="14"/>
      <c r="AX310" s="14"/>
      <c r="AY310" s="14"/>
      <c r="AZ310" s="14"/>
      <c r="BA310" s="14"/>
      <c r="BB310" s="14"/>
      <c r="BC310" s="14"/>
      <c r="BD310" s="14"/>
      <c r="BE310" s="14"/>
      <c r="BF310" s="14"/>
    </row>
    <row r="311" spans="1:58" ht="17.100000000000001" customHeight="1">
      <c r="A311" s="14"/>
      <c r="B311" s="14"/>
      <c r="C311" s="14"/>
      <c r="D311" s="14"/>
      <c r="E311" s="14"/>
      <c r="F311" s="14"/>
      <c r="G311" s="14"/>
      <c r="H311" s="14"/>
      <c r="I311" s="20"/>
      <c r="J311" s="20"/>
      <c r="K311" s="20"/>
      <c r="L311" s="20"/>
      <c r="M311" s="20"/>
      <c r="N311" s="20"/>
      <c r="O311" s="20"/>
      <c r="P311" s="20"/>
      <c r="Q311" s="20"/>
      <c r="R311" s="84"/>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14"/>
      <c r="AR311" s="14"/>
      <c r="AS311" s="14"/>
      <c r="AT311" s="14"/>
      <c r="AU311" s="14"/>
      <c r="AV311" s="14"/>
      <c r="AW311" s="14"/>
      <c r="AX311" s="14"/>
      <c r="AY311" s="14"/>
      <c r="AZ311" s="14"/>
      <c r="BA311" s="14"/>
      <c r="BB311" s="14"/>
      <c r="BC311" s="14"/>
      <c r="BD311" s="14"/>
      <c r="BE311" s="14"/>
      <c r="BF311" s="14"/>
    </row>
    <row r="312" spans="1:58" ht="17.100000000000001" customHeight="1">
      <c r="A312" s="14"/>
      <c r="B312" s="14"/>
      <c r="C312" s="14"/>
      <c r="D312" s="14"/>
      <c r="E312" s="14"/>
      <c r="F312" s="14"/>
      <c r="G312" s="14"/>
      <c r="H312" s="14"/>
      <c r="I312" s="20"/>
      <c r="J312" s="20"/>
      <c r="K312" s="20"/>
      <c r="L312" s="20"/>
      <c r="M312" s="20"/>
      <c r="N312" s="20"/>
      <c r="O312" s="20"/>
      <c r="P312" s="20"/>
      <c r="Q312" s="20"/>
      <c r="R312" s="84"/>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14"/>
      <c r="AR312" s="14"/>
      <c r="AS312" s="14"/>
      <c r="AT312" s="14"/>
      <c r="AU312" s="14"/>
      <c r="AV312" s="14"/>
      <c r="AW312" s="14"/>
      <c r="AX312" s="14"/>
      <c r="AY312" s="14"/>
      <c r="AZ312" s="14"/>
      <c r="BA312" s="14"/>
      <c r="BB312" s="14"/>
      <c r="BC312" s="14"/>
      <c r="BD312" s="14"/>
      <c r="BE312" s="14"/>
      <c r="BF312" s="14"/>
    </row>
    <row r="313" spans="1:58" ht="17.100000000000001" customHeight="1">
      <c r="A313" s="14"/>
      <c r="B313" s="14"/>
      <c r="C313" s="14"/>
      <c r="D313" s="14"/>
      <c r="E313" s="14"/>
      <c r="F313" s="14"/>
      <c r="G313" s="14"/>
      <c r="H313" s="14"/>
      <c r="I313" s="20"/>
      <c r="J313" s="20"/>
      <c r="K313" s="20"/>
      <c r="L313" s="20"/>
      <c r="M313" s="20"/>
      <c r="N313" s="20"/>
      <c r="O313" s="20"/>
      <c r="P313" s="20"/>
      <c r="Q313" s="20"/>
      <c r="R313" s="84"/>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14"/>
      <c r="AR313" s="14"/>
      <c r="AS313" s="14"/>
      <c r="AT313" s="14"/>
      <c r="AU313" s="14"/>
      <c r="AV313" s="14"/>
      <c r="AW313" s="14"/>
      <c r="AX313" s="14"/>
      <c r="AY313" s="14"/>
      <c r="AZ313" s="14"/>
      <c r="BA313" s="14"/>
      <c r="BB313" s="14"/>
      <c r="BC313" s="14"/>
      <c r="BD313" s="14"/>
      <c r="BE313" s="14"/>
      <c r="BF313" s="14"/>
    </row>
    <row r="314" spans="1:58" ht="17.100000000000001" customHeight="1">
      <c r="A314" s="14"/>
      <c r="B314" s="14"/>
      <c r="C314" s="14"/>
      <c r="D314" s="14"/>
      <c r="E314" s="14"/>
      <c r="F314" s="14"/>
      <c r="G314" s="14"/>
      <c r="H314" s="14"/>
      <c r="I314" s="20"/>
      <c r="J314" s="20"/>
      <c r="K314" s="20"/>
      <c r="L314" s="20"/>
      <c r="M314" s="20"/>
      <c r="N314" s="20"/>
      <c r="O314" s="20"/>
      <c r="P314" s="20"/>
      <c r="Q314" s="20"/>
      <c r="R314" s="84"/>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14"/>
      <c r="AR314" s="14"/>
      <c r="AS314" s="14"/>
      <c r="AT314" s="14"/>
      <c r="AU314" s="14"/>
      <c r="AV314" s="14"/>
      <c r="AW314" s="14"/>
      <c r="AX314" s="14"/>
      <c r="AY314" s="14"/>
      <c r="AZ314" s="14"/>
      <c r="BA314" s="14"/>
      <c r="BB314" s="14"/>
      <c r="BC314" s="14"/>
      <c r="BD314" s="14"/>
      <c r="BE314" s="14"/>
      <c r="BF314" s="14"/>
    </row>
    <row r="315" spans="1:58" ht="17.100000000000001" customHeight="1">
      <c r="A315" s="14"/>
      <c r="B315" s="14"/>
      <c r="C315" s="14"/>
      <c r="D315" s="14"/>
      <c r="E315" s="14"/>
      <c r="F315" s="14"/>
      <c r="G315" s="14"/>
      <c r="H315" s="14"/>
      <c r="I315" s="20"/>
      <c r="J315" s="20"/>
      <c r="K315" s="20"/>
      <c r="L315" s="20"/>
      <c r="M315" s="20"/>
      <c r="N315" s="20"/>
      <c r="O315" s="20"/>
      <c r="P315" s="20"/>
      <c r="Q315" s="20"/>
      <c r="R315" s="84"/>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14"/>
      <c r="AR315" s="14"/>
      <c r="AS315" s="14"/>
      <c r="AT315" s="14"/>
      <c r="AU315" s="14"/>
      <c r="AV315" s="14"/>
      <c r="AW315" s="14"/>
      <c r="AX315" s="14"/>
      <c r="AY315" s="14"/>
      <c r="AZ315" s="14"/>
      <c r="BA315" s="14"/>
      <c r="BB315" s="14"/>
      <c r="BC315" s="14"/>
      <c r="BD315" s="14"/>
      <c r="BE315" s="14"/>
      <c r="BF315" s="14"/>
    </row>
    <row r="316" spans="1:58" ht="17.100000000000001" customHeight="1">
      <c r="A316" s="14"/>
      <c r="B316" s="14"/>
      <c r="C316" s="14"/>
      <c r="D316" s="14"/>
      <c r="E316" s="14"/>
      <c r="F316" s="14"/>
      <c r="G316" s="14"/>
      <c r="H316" s="14"/>
      <c r="I316" s="20"/>
      <c r="J316" s="20"/>
      <c r="K316" s="20"/>
      <c r="L316" s="20"/>
      <c r="M316" s="20"/>
      <c r="N316" s="20"/>
      <c r="O316" s="20"/>
      <c r="P316" s="20"/>
      <c r="Q316" s="20"/>
      <c r="R316" s="84"/>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14"/>
      <c r="AR316" s="14"/>
      <c r="AS316" s="14"/>
      <c r="AT316" s="14"/>
      <c r="AU316" s="14"/>
      <c r="AV316" s="14"/>
      <c r="AW316" s="14"/>
      <c r="AX316" s="14"/>
      <c r="AY316" s="14"/>
      <c r="AZ316" s="14"/>
      <c r="BA316" s="14"/>
      <c r="BB316" s="14"/>
      <c r="BC316" s="14"/>
      <c r="BD316" s="14"/>
      <c r="BE316" s="14"/>
      <c r="BF316" s="14"/>
    </row>
    <row r="317" spans="1:58" ht="17.100000000000001" customHeight="1">
      <c r="A317" s="14"/>
      <c r="B317" s="14"/>
      <c r="C317" s="14"/>
      <c r="D317" s="14"/>
      <c r="E317" s="14"/>
      <c r="F317" s="14"/>
      <c r="G317" s="14"/>
      <c r="H317" s="14"/>
      <c r="I317" s="20"/>
      <c r="J317" s="20"/>
      <c r="K317" s="20"/>
      <c r="L317" s="20"/>
      <c r="M317" s="20"/>
      <c r="N317" s="20"/>
      <c r="O317" s="20"/>
      <c r="P317" s="20"/>
      <c r="Q317" s="20"/>
      <c r="R317" s="84"/>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14"/>
      <c r="AR317" s="14"/>
      <c r="AS317" s="14"/>
      <c r="AT317" s="14"/>
      <c r="AU317" s="14"/>
      <c r="AV317" s="14"/>
      <c r="AW317" s="14"/>
      <c r="AX317" s="14"/>
      <c r="AY317" s="14"/>
      <c r="AZ317" s="14"/>
      <c r="BA317" s="14"/>
      <c r="BB317" s="14"/>
      <c r="BC317" s="14"/>
      <c r="BD317" s="14"/>
      <c r="BE317" s="14"/>
      <c r="BF317" s="14"/>
    </row>
    <row r="318" spans="1:58" ht="17.100000000000001" customHeight="1">
      <c r="A318" s="14"/>
      <c r="B318" s="14"/>
      <c r="C318" s="14"/>
      <c r="D318" s="14"/>
      <c r="E318" s="14"/>
      <c r="F318" s="14"/>
      <c r="G318" s="14"/>
      <c r="H318" s="14"/>
      <c r="I318" s="20"/>
      <c r="J318" s="20"/>
      <c r="K318" s="20"/>
      <c r="L318" s="20"/>
      <c r="M318" s="20"/>
      <c r="N318" s="20"/>
      <c r="O318" s="20"/>
      <c r="P318" s="20"/>
      <c r="Q318" s="20"/>
      <c r="R318" s="84"/>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14"/>
      <c r="AR318" s="14"/>
      <c r="AS318" s="14"/>
      <c r="AT318" s="14"/>
      <c r="AU318" s="14"/>
      <c r="AV318" s="14"/>
      <c r="AW318" s="14"/>
      <c r="AX318" s="14"/>
      <c r="AY318" s="14"/>
      <c r="AZ318" s="14"/>
      <c r="BA318" s="14"/>
      <c r="BB318" s="14"/>
      <c r="BC318" s="14"/>
      <c r="BD318" s="14"/>
      <c r="BE318" s="14"/>
      <c r="BF318" s="14"/>
    </row>
    <row r="319" spans="1:58" ht="17.100000000000001" customHeight="1">
      <c r="A319" s="14"/>
      <c r="B319" s="14"/>
      <c r="C319" s="14"/>
      <c r="D319" s="14"/>
      <c r="E319" s="14"/>
      <c r="F319" s="14"/>
      <c r="G319" s="14"/>
      <c r="H319" s="14"/>
      <c r="I319" s="20"/>
      <c r="J319" s="20"/>
      <c r="K319" s="20"/>
      <c r="L319" s="20"/>
      <c r="M319" s="20"/>
      <c r="N319" s="20"/>
      <c r="O319" s="20"/>
      <c r="P319" s="20"/>
      <c r="Q319" s="20"/>
      <c r="R319" s="84"/>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14"/>
      <c r="AR319" s="14"/>
      <c r="AS319" s="14"/>
      <c r="AT319" s="14"/>
      <c r="AU319" s="14"/>
      <c r="AV319" s="14"/>
      <c r="AW319" s="14"/>
      <c r="AX319" s="14"/>
      <c r="AY319" s="14"/>
      <c r="AZ319" s="14"/>
      <c r="BA319" s="14"/>
      <c r="BB319" s="14"/>
      <c r="BC319" s="14"/>
      <c r="BD319" s="14"/>
      <c r="BE319" s="14"/>
      <c r="BF319" s="14"/>
    </row>
    <row r="320" spans="1:58" ht="17.100000000000001" customHeight="1">
      <c r="A320" s="14"/>
      <c r="B320" s="14"/>
      <c r="C320" s="14"/>
      <c r="D320" s="14"/>
      <c r="E320" s="14"/>
      <c r="F320" s="14"/>
      <c r="G320" s="14"/>
      <c r="H320" s="14"/>
      <c r="I320" s="20"/>
      <c r="J320" s="20"/>
      <c r="K320" s="20"/>
      <c r="L320" s="20"/>
      <c r="M320" s="20"/>
      <c r="N320" s="20"/>
      <c r="O320" s="20"/>
      <c r="P320" s="20"/>
      <c r="Q320" s="20"/>
      <c r="R320" s="84"/>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14"/>
      <c r="AR320" s="14"/>
      <c r="AS320" s="14"/>
      <c r="AT320" s="14"/>
      <c r="AU320" s="14"/>
      <c r="AV320" s="14"/>
      <c r="AW320" s="14"/>
      <c r="AX320" s="14"/>
      <c r="AY320" s="14"/>
      <c r="AZ320" s="14"/>
      <c r="BA320" s="14"/>
      <c r="BB320" s="14"/>
      <c r="BC320" s="14"/>
      <c r="BD320" s="14"/>
      <c r="BE320" s="14"/>
      <c r="BF320" s="14"/>
    </row>
    <row r="321" spans="1:58" ht="17.100000000000001" customHeight="1">
      <c r="A321" s="14"/>
      <c r="B321" s="14"/>
      <c r="C321" s="14"/>
      <c r="D321" s="14"/>
      <c r="E321" s="14"/>
      <c r="F321" s="14"/>
      <c r="G321" s="14"/>
      <c r="H321" s="14"/>
      <c r="I321" s="20"/>
      <c r="J321" s="20"/>
      <c r="K321" s="20"/>
      <c r="L321" s="20"/>
      <c r="M321" s="20"/>
      <c r="N321" s="20"/>
      <c r="O321" s="20"/>
      <c r="P321" s="20"/>
      <c r="Q321" s="20"/>
      <c r="R321" s="84"/>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14"/>
      <c r="AR321" s="14"/>
      <c r="AS321" s="14"/>
      <c r="AT321" s="14"/>
      <c r="AU321" s="14"/>
      <c r="AV321" s="14"/>
      <c r="AW321" s="14"/>
      <c r="AX321" s="14"/>
      <c r="AY321" s="14"/>
      <c r="AZ321" s="14"/>
      <c r="BA321" s="14"/>
      <c r="BB321" s="14"/>
      <c r="BC321" s="14"/>
      <c r="BD321" s="14"/>
      <c r="BE321" s="14"/>
      <c r="BF321" s="14"/>
    </row>
    <row r="322" spans="1:58" ht="17.100000000000001" customHeight="1">
      <c r="A322" s="14"/>
      <c r="B322" s="14"/>
      <c r="C322" s="14"/>
      <c r="D322" s="14"/>
      <c r="E322" s="14"/>
      <c r="F322" s="14"/>
      <c r="G322" s="14"/>
      <c r="H322" s="14"/>
      <c r="I322" s="20"/>
      <c r="J322" s="20"/>
      <c r="K322" s="20"/>
      <c r="L322" s="20"/>
      <c r="M322" s="20"/>
      <c r="N322" s="20"/>
      <c r="O322" s="20"/>
      <c r="P322" s="20"/>
      <c r="Q322" s="20"/>
      <c r="R322" s="84"/>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14"/>
      <c r="AR322" s="14"/>
      <c r="AS322" s="14"/>
      <c r="AT322" s="14"/>
      <c r="AU322" s="14"/>
      <c r="AV322" s="14"/>
      <c r="AW322" s="14"/>
      <c r="AX322" s="14"/>
      <c r="AY322" s="14"/>
      <c r="AZ322" s="14"/>
      <c r="BA322" s="14"/>
      <c r="BB322" s="14"/>
      <c r="BC322" s="14"/>
      <c r="BD322" s="14"/>
      <c r="BE322" s="14"/>
      <c r="BF322" s="14"/>
    </row>
    <row r="323" spans="1:58" ht="17.100000000000001" customHeight="1">
      <c r="A323" s="14"/>
      <c r="B323" s="14"/>
      <c r="C323" s="14"/>
      <c r="D323" s="14"/>
      <c r="E323" s="14"/>
      <c r="F323" s="14"/>
      <c r="G323" s="14"/>
      <c r="H323" s="14"/>
      <c r="I323" s="20"/>
      <c r="J323" s="20"/>
      <c r="K323" s="20"/>
      <c r="L323" s="20"/>
      <c r="M323" s="20"/>
      <c r="N323" s="20"/>
      <c r="O323" s="20"/>
      <c r="P323" s="20"/>
      <c r="Q323" s="20"/>
      <c r="R323" s="84"/>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14"/>
      <c r="AR323" s="14"/>
      <c r="AS323" s="14"/>
      <c r="AT323" s="14"/>
      <c r="AU323" s="14"/>
      <c r="AV323" s="14"/>
      <c r="AW323" s="14"/>
      <c r="AX323" s="14"/>
      <c r="AY323" s="14"/>
      <c r="AZ323" s="14"/>
      <c r="BA323" s="14"/>
      <c r="BB323" s="14"/>
      <c r="BC323" s="14"/>
      <c r="BD323" s="14"/>
      <c r="BE323" s="14"/>
      <c r="BF323" s="14"/>
    </row>
    <row r="324" spans="1:58" ht="17.100000000000001" customHeight="1">
      <c r="A324" s="14"/>
      <c r="B324" s="14"/>
      <c r="C324" s="14"/>
      <c r="D324" s="14"/>
      <c r="E324" s="14"/>
      <c r="F324" s="14"/>
      <c r="G324" s="14"/>
      <c r="H324" s="14"/>
      <c r="I324" s="20"/>
      <c r="J324" s="20"/>
      <c r="K324" s="20"/>
      <c r="L324" s="20"/>
      <c r="M324" s="20"/>
      <c r="N324" s="20"/>
      <c r="O324" s="20"/>
      <c r="P324" s="20"/>
      <c r="Q324" s="20"/>
      <c r="R324" s="84"/>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14"/>
      <c r="AR324" s="14"/>
      <c r="AS324" s="14"/>
      <c r="AT324" s="14"/>
      <c r="AU324" s="14"/>
      <c r="AV324" s="14"/>
      <c r="AW324" s="14"/>
      <c r="AX324" s="14"/>
      <c r="AY324" s="14"/>
      <c r="AZ324" s="14"/>
      <c r="BA324" s="14"/>
      <c r="BB324" s="14"/>
      <c r="BC324" s="14"/>
      <c r="BD324" s="14"/>
      <c r="BE324" s="14"/>
      <c r="BF324" s="14"/>
    </row>
    <row r="325" spans="1:58" ht="17.100000000000001" customHeight="1">
      <c r="A325" s="14"/>
      <c r="B325" s="14"/>
      <c r="C325" s="14"/>
      <c r="D325" s="14"/>
      <c r="E325" s="14"/>
      <c r="F325" s="14"/>
      <c r="G325" s="14"/>
      <c r="H325" s="14"/>
      <c r="I325" s="20"/>
      <c r="J325" s="20"/>
      <c r="K325" s="20"/>
      <c r="L325" s="20"/>
      <c r="M325" s="20"/>
      <c r="N325" s="20"/>
      <c r="O325" s="20"/>
      <c r="P325" s="20"/>
      <c r="Q325" s="20"/>
      <c r="R325" s="84"/>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14"/>
      <c r="AR325" s="14"/>
      <c r="AS325" s="14"/>
      <c r="AT325" s="14"/>
      <c r="AU325" s="14"/>
      <c r="AV325" s="14"/>
      <c r="AW325" s="14"/>
      <c r="AX325" s="14"/>
      <c r="AY325" s="14"/>
      <c r="AZ325" s="14"/>
      <c r="BA325" s="14"/>
      <c r="BB325" s="14"/>
      <c r="BC325" s="14"/>
      <c r="BD325" s="14"/>
      <c r="BE325" s="14"/>
      <c r="BF325" s="14"/>
    </row>
    <row r="326" spans="1:58" ht="17.100000000000001" customHeight="1">
      <c r="A326" s="14"/>
      <c r="B326" s="14"/>
      <c r="C326" s="14"/>
      <c r="D326" s="14"/>
      <c r="E326" s="14"/>
      <c r="F326" s="14"/>
      <c r="G326" s="14"/>
      <c r="H326" s="14"/>
      <c r="I326" s="20"/>
      <c r="J326" s="20"/>
      <c r="K326" s="20"/>
      <c r="L326" s="20"/>
      <c r="M326" s="20"/>
      <c r="N326" s="20"/>
      <c r="O326" s="20"/>
      <c r="P326" s="20"/>
      <c r="Q326" s="20"/>
      <c r="R326" s="84"/>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14"/>
      <c r="AR326" s="14"/>
      <c r="AS326" s="14"/>
      <c r="AT326" s="14"/>
      <c r="AU326" s="14"/>
      <c r="AV326" s="14"/>
      <c r="AW326" s="14"/>
      <c r="AX326" s="14"/>
      <c r="AY326" s="14"/>
      <c r="AZ326" s="14"/>
      <c r="BA326" s="14"/>
      <c r="BB326" s="14"/>
      <c r="BC326" s="14"/>
      <c r="BD326" s="14"/>
      <c r="BE326" s="14"/>
      <c r="BF326" s="14"/>
    </row>
    <row r="327" spans="1:58" ht="17.100000000000001" customHeight="1">
      <c r="A327" s="14"/>
      <c r="B327" s="14"/>
      <c r="C327" s="14"/>
      <c r="D327" s="14"/>
      <c r="E327" s="14"/>
      <c r="F327" s="14"/>
      <c r="G327" s="14"/>
      <c r="H327" s="14"/>
      <c r="I327" s="20"/>
      <c r="J327" s="20"/>
      <c r="K327" s="20"/>
      <c r="L327" s="20"/>
      <c r="M327" s="20"/>
      <c r="N327" s="20"/>
      <c r="O327" s="20"/>
      <c r="P327" s="20"/>
      <c r="Q327" s="20"/>
      <c r="R327" s="84"/>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14"/>
      <c r="AR327" s="14"/>
      <c r="AS327" s="14"/>
      <c r="AT327" s="14"/>
      <c r="AU327" s="14"/>
      <c r="AV327" s="14"/>
      <c r="AW327" s="14"/>
      <c r="AX327" s="14"/>
      <c r="AY327" s="14"/>
      <c r="AZ327" s="14"/>
      <c r="BA327" s="14"/>
      <c r="BB327" s="14"/>
      <c r="BC327" s="14"/>
      <c r="BD327" s="14"/>
      <c r="BE327" s="14"/>
      <c r="BF327" s="14"/>
    </row>
    <row r="328" spans="1:58" ht="17.100000000000001" customHeight="1">
      <c r="R328" s="247"/>
    </row>
    <row r="329" spans="1:58" ht="17.100000000000001" customHeight="1">
      <c r="R329" s="247"/>
    </row>
  </sheetData>
  <phoneticPr fontId="64" type="noConversion"/>
  <pageMargins left="0.38958333333333334" right="0.16944444444444445" top="0.4597222222222222" bottom="0.52986111111111112" header="0.23958333333333334" footer="0.27986111111111112"/>
  <pageSetup firstPageNumber="4294963191"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75" r:id="rId4" name="Drop Down 1039">
              <controlPr defaultSize="0" autoLine="0" autoPict="0">
                <anchor moveWithCells="1">
                  <from>
                    <xdr:col>1</xdr:col>
                    <xdr:colOff>9525</xdr:colOff>
                    <xdr:row>76</xdr:row>
                    <xdr:rowOff>9525</xdr:rowOff>
                  </from>
                  <to>
                    <xdr:col>1</xdr:col>
                    <xdr:colOff>3095625</xdr:colOff>
                    <xdr:row>76</xdr:row>
                    <xdr:rowOff>200025</xdr:rowOff>
                  </to>
                </anchor>
              </controlPr>
            </control>
          </mc:Choice>
        </mc:AlternateContent>
        <mc:AlternateContent xmlns:mc="http://schemas.openxmlformats.org/markup-compatibility/2006">
          <mc:Choice Requires="x14">
            <control shapeId="15377" r:id="rId5" name="Drop Down 1041">
              <controlPr defaultSize="0" autoLine="0" autoPict="0">
                <anchor moveWithCells="1">
                  <from>
                    <xdr:col>1</xdr:col>
                    <xdr:colOff>9525</xdr:colOff>
                    <xdr:row>77</xdr:row>
                    <xdr:rowOff>9525</xdr:rowOff>
                  </from>
                  <to>
                    <xdr:col>1</xdr:col>
                    <xdr:colOff>3095625</xdr:colOff>
                    <xdr:row>77</xdr:row>
                    <xdr:rowOff>200025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indexed="12"/>
  </sheetPr>
  <dimension ref="A1:AZ289"/>
  <sheetViews>
    <sheetView showGridLines="0" zoomScale="90" zoomScaleNormal="90" workbookViewId="0">
      <selection activeCell="C44" sqref="C44"/>
    </sheetView>
  </sheetViews>
  <sheetFormatPr defaultColWidth="9" defaultRowHeight="14.25"/>
  <cols>
    <col min="1" max="1" width="2.375" customWidth="1"/>
    <col min="2" max="2" width="11.25" customWidth="1"/>
    <col min="3" max="3" width="9" customWidth="1"/>
    <col min="4" max="4" width="11" customWidth="1"/>
    <col min="5" max="5" width="10.75" bestFit="1" customWidth="1"/>
    <col min="6" max="9" width="10" bestFit="1" customWidth="1"/>
    <col min="10" max="10" width="11.75" bestFit="1" customWidth="1"/>
    <col min="11" max="17" width="10" bestFit="1" customWidth="1"/>
    <col min="19" max="19" width="9.625" customWidth="1"/>
    <col min="20" max="20" width="9.5" bestFit="1" customWidth="1"/>
  </cols>
  <sheetData>
    <row r="1" spans="1:52" ht="12" customHeight="1" thickBot="1">
      <c r="A1" s="39"/>
      <c r="B1" s="39"/>
      <c r="C1" s="287">
        <v>5</v>
      </c>
      <c r="D1" s="287">
        <v>5</v>
      </c>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s="39"/>
    </row>
    <row r="2" spans="1:52" ht="18" customHeight="1">
      <c r="A2" s="40"/>
      <c r="B2" s="1788" t="s">
        <v>722</v>
      </c>
      <c r="C2" s="1789"/>
      <c r="D2" s="1789"/>
      <c r="E2" s="1789"/>
      <c r="F2" s="1790"/>
      <c r="G2" s="1790"/>
      <c r="H2" s="1790"/>
      <c r="I2" s="1790"/>
      <c r="J2" s="107"/>
      <c r="K2" s="107"/>
      <c r="L2" s="108"/>
      <c r="M2" s="108"/>
      <c r="N2" s="108"/>
      <c r="O2" s="40"/>
      <c r="P2" s="40"/>
      <c r="Q2" s="40"/>
      <c r="R2" s="40"/>
      <c r="S2" s="40"/>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row>
    <row r="3" spans="1:52" ht="24.75" customHeight="1">
      <c r="A3" s="40"/>
      <c r="B3" s="2211" t="s">
        <v>723</v>
      </c>
      <c r="C3" s="2212" t="s">
        <v>724</v>
      </c>
      <c r="D3" s="2212" t="s">
        <v>710</v>
      </c>
      <c r="E3" s="2212" t="s">
        <v>157</v>
      </c>
      <c r="F3" s="2212" t="s">
        <v>725</v>
      </c>
      <c r="G3" s="2212" t="s">
        <v>713</v>
      </c>
      <c r="H3" s="2213" t="s">
        <v>1389</v>
      </c>
      <c r="I3" s="1787" t="s">
        <v>1143</v>
      </c>
      <c r="J3" s="1493"/>
      <c r="K3" s="1493"/>
      <c r="L3" s="1494"/>
      <c r="M3" s="1494"/>
      <c r="N3" s="1494"/>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row>
    <row r="4" spans="1:52" ht="18" customHeight="1">
      <c r="A4" s="40"/>
      <c r="B4" s="110" t="s">
        <v>1084</v>
      </c>
      <c r="C4" s="1495">
        <v>3</v>
      </c>
      <c r="D4" s="1496" t="s">
        <v>726</v>
      </c>
      <c r="E4" s="1496" t="s">
        <v>726</v>
      </c>
      <c r="F4" s="1497" t="s">
        <v>726</v>
      </c>
      <c r="G4" s="1498">
        <f>资金成本!C16</f>
        <v>5.5622999999999999E-2</v>
      </c>
      <c r="H4" s="2547">
        <v>1</v>
      </c>
      <c r="I4" s="2548">
        <f ca="1">公司说明!E10</f>
        <v>43930</v>
      </c>
      <c r="J4" s="1493"/>
      <c r="K4" s="1493"/>
      <c r="L4" s="1494"/>
      <c r="M4" s="1494"/>
      <c r="N4" s="1494"/>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row>
    <row r="5" spans="1:52" s="272" customFormat="1" ht="18" customHeight="1">
      <c r="A5" s="288"/>
      <c r="B5" s="271" t="s">
        <v>1085</v>
      </c>
      <c r="C5" s="1500" t="s">
        <v>1455</v>
      </c>
      <c r="D5" s="1501">
        <v>0.15</v>
      </c>
      <c r="E5" s="1791">
        <v>0.7</v>
      </c>
      <c r="F5" s="1791">
        <v>0.17</v>
      </c>
      <c r="G5" s="1780" t="s">
        <v>729</v>
      </c>
      <c r="H5" s="2547"/>
      <c r="I5" s="2548"/>
      <c r="J5" s="1493"/>
      <c r="K5" s="1493"/>
      <c r="L5" s="1494"/>
      <c r="M5" s="1494"/>
      <c r="N5" s="1494"/>
      <c r="O5" s="288"/>
      <c r="P5" s="288"/>
      <c r="Q5" s="288"/>
      <c r="R5" s="288"/>
      <c r="S5" s="288"/>
      <c r="T5" s="288"/>
      <c r="U5" s="288"/>
      <c r="V5" s="288"/>
      <c r="W5" s="288"/>
      <c r="X5" s="288"/>
      <c r="Y5" s="288"/>
      <c r="Z5" s="288"/>
      <c r="AA5" s="288"/>
      <c r="AB5" s="288"/>
      <c r="AC5" s="288"/>
      <c r="AD5" s="288"/>
      <c r="AE5" s="288"/>
      <c r="AF5" s="288"/>
      <c r="AG5" s="288"/>
      <c r="AH5" s="288"/>
      <c r="AI5" s="288"/>
      <c r="AJ5" s="288"/>
      <c r="AK5" s="288"/>
      <c r="AL5" s="288"/>
      <c r="AM5" s="288"/>
      <c r="AN5" s="288"/>
      <c r="AO5" s="288"/>
      <c r="AP5" s="288"/>
      <c r="AQ5" s="288"/>
      <c r="AR5" s="288"/>
      <c r="AS5" s="288"/>
      <c r="AT5" s="288"/>
      <c r="AU5" s="288"/>
      <c r="AV5" s="288"/>
      <c r="AW5" s="288"/>
      <c r="AX5" s="288"/>
      <c r="AY5" s="288"/>
      <c r="AZ5" s="288"/>
    </row>
    <row r="6" spans="1:52" s="272" customFormat="1" ht="21.75" customHeight="1">
      <c r="A6" s="288"/>
      <c r="B6" s="273" t="s">
        <v>1086</v>
      </c>
      <c r="C6" s="1502" t="s">
        <v>1455</v>
      </c>
      <c r="D6" s="2214" t="s">
        <v>730</v>
      </c>
      <c r="E6" s="2215" t="s">
        <v>728</v>
      </c>
      <c r="F6" s="2215" t="s">
        <v>728</v>
      </c>
      <c r="G6" s="1781">
        <v>0</v>
      </c>
      <c r="H6" s="2547"/>
      <c r="I6" s="2548"/>
      <c r="J6" s="1493"/>
      <c r="K6" s="1493"/>
      <c r="L6" s="1494"/>
      <c r="M6" s="1494"/>
      <c r="N6" s="1494"/>
      <c r="O6" s="288"/>
      <c r="P6" s="288"/>
      <c r="Q6" s="288"/>
      <c r="R6" s="288"/>
      <c r="S6" s="288"/>
      <c r="T6" s="288"/>
      <c r="U6" s="288"/>
      <c r="V6" s="288"/>
      <c r="W6" s="288"/>
      <c r="X6" s="288"/>
      <c r="Y6" s="288"/>
      <c r="Z6" s="288"/>
      <c r="AA6" s="288"/>
      <c r="AB6" s="288"/>
      <c r="AC6" s="288"/>
      <c r="AD6" s="288"/>
      <c r="AE6" s="288"/>
      <c r="AF6" s="288"/>
      <c r="AG6" s="288"/>
      <c r="AH6" s="288"/>
      <c r="AI6" s="288"/>
      <c r="AJ6" s="288"/>
      <c r="AK6" s="288"/>
      <c r="AL6" s="288"/>
      <c r="AM6" s="288"/>
      <c r="AN6" s="288"/>
      <c r="AO6" s="288"/>
      <c r="AP6" s="288"/>
      <c r="AQ6" s="288"/>
      <c r="AR6" s="288"/>
      <c r="AS6" s="288"/>
      <c r="AT6" s="288"/>
      <c r="AU6" s="288"/>
      <c r="AV6" s="288"/>
      <c r="AW6" s="288"/>
      <c r="AX6" s="288"/>
      <c r="AY6" s="288"/>
      <c r="AZ6" s="288"/>
    </row>
    <row r="7" spans="1:52" ht="18" customHeight="1" thickBot="1">
      <c r="A7" s="40"/>
      <c r="B7" s="111" t="s">
        <v>1087</v>
      </c>
      <c r="C7" s="2216" t="str">
        <f>"After "&amp;(C4+C5+C6)&amp;" 年"</f>
        <v>After 13 年</v>
      </c>
      <c r="D7" s="1503">
        <v>0.02</v>
      </c>
      <c r="E7" s="1830">
        <f>G4+G6</f>
        <v>5.5622999999999999E-2</v>
      </c>
      <c r="F7" s="1504">
        <v>0.15</v>
      </c>
      <c r="G7" s="1498"/>
      <c r="H7" s="2547"/>
      <c r="I7" s="2548"/>
      <c r="J7" s="1494"/>
      <c r="K7" s="1475"/>
      <c r="L7" s="1475"/>
      <c r="M7" s="1475"/>
      <c r="N7" s="1475"/>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row>
    <row r="8" spans="1:52" ht="23.25" customHeight="1" thickBot="1">
      <c r="A8" s="40"/>
      <c r="B8" s="1786" t="s">
        <v>1225</v>
      </c>
      <c r="C8" s="1499"/>
      <c r="D8" s="1783"/>
      <c r="E8" s="1784"/>
      <c r="F8" s="1785"/>
      <c r="G8" s="1505"/>
      <c r="H8" s="1499"/>
      <c r="I8" s="1782"/>
      <c r="J8" s="1494"/>
      <c r="K8" s="1475"/>
      <c r="L8" s="1475"/>
      <c r="M8" s="1475"/>
      <c r="N8" s="1475"/>
      <c r="O8" s="40"/>
      <c r="P8" s="40"/>
      <c r="Q8" s="40"/>
      <c r="R8" s="40"/>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row>
    <row r="9" spans="1:52" s="270" customFormat="1" ht="18" customHeight="1" thickBot="1">
      <c r="A9" s="289"/>
      <c r="B9" s="458" t="s">
        <v>731</v>
      </c>
      <c r="C9" s="1506"/>
      <c r="D9" s="1506"/>
      <c r="E9" s="1506"/>
      <c r="F9" s="1506"/>
      <c r="G9" s="1507">
        <f>F11+1</f>
        <v>2020</v>
      </c>
      <c r="H9" s="1507">
        <f t="shared" ref="H9:L9" si="0">G9+1</f>
        <v>2021</v>
      </c>
      <c r="I9" s="1507">
        <f t="shared" si="0"/>
        <v>2022</v>
      </c>
      <c r="J9" s="1507">
        <f t="shared" si="0"/>
        <v>2023</v>
      </c>
      <c r="K9" s="1507">
        <f t="shared" si="0"/>
        <v>2024</v>
      </c>
      <c r="L9" s="1507">
        <f t="shared" si="0"/>
        <v>2025</v>
      </c>
      <c r="M9" s="1507">
        <f t="shared" ref="M9" si="1">L9+1</f>
        <v>2026</v>
      </c>
      <c r="N9" s="1507">
        <f t="shared" ref="N9" si="2">M9+1</f>
        <v>2027</v>
      </c>
      <c r="O9" s="1507">
        <f t="shared" ref="O9" si="3">N9+1</f>
        <v>2028</v>
      </c>
      <c r="P9" s="1507">
        <f t="shared" ref="P9" si="4">O9+1</f>
        <v>2029</v>
      </c>
      <c r="Q9" s="274">
        <f t="shared" ref="Q9" si="5">P9+1</f>
        <v>2030</v>
      </c>
      <c r="R9" s="274">
        <f t="shared" ref="R9" si="6">Q9+1</f>
        <v>2031</v>
      </c>
      <c r="S9" s="274">
        <f t="shared" ref="S9" si="7">R9+1</f>
        <v>2032</v>
      </c>
      <c r="T9" s="274">
        <f t="shared" ref="T9" si="8">S9+1</f>
        <v>2033</v>
      </c>
      <c r="U9" s="459">
        <f t="shared" ref="U9" si="9">T9+1</f>
        <v>2034</v>
      </c>
    </row>
    <row r="10" spans="1:52" ht="18" customHeight="1">
      <c r="A10" s="40"/>
      <c r="B10" s="2217" t="s">
        <v>89</v>
      </c>
      <c r="C10" s="2218"/>
      <c r="D10" s="2219" t="s">
        <v>732</v>
      </c>
      <c r="E10" s="2220"/>
      <c r="F10" s="2221"/>
      <c r="G10" s="2222" t="str">
        <f>$B$4</f>
        <v>显性阶段</v>
      </c>
      <c r="H10" s="2223"/>
      <c r="I10" s="2224"/>
      <c r="J10" s="1622" t="str">
        <f>$B$5</f>
        <v>半显性阶段</v>
      </c>
      <c r="K10" s="2223"/>
      <c r="L10" s="2225"/>
      <c r="M10" s="2225"/>
      <c r="N10" s="2225"/>
      <c r="O10" s="1622" t="str">
        <f>$B$6</f>
        <v>递减过渡阶段</v>
      </c>
      <c r="P10" s="2223"/>
      <c r="Q10" s="2225"/>
      <c r="R10" s="2225"/>
      <c r="S10" s="2225"/>
      <c r="T10" s="1622" t="s">
        <v>1087</v>
      </c>
      <c r="U10" s="2226"/>
    </row>
    <row r="11" spans="1:52" ht="18" customHeight="1">
      <c r="A11" s="40"/>
      <c r="B11" s="2227"/>
      <c r="C11" s="1508"/>
      <c r="D11" s="1589">
        <f>E11-1</f>
        <v>2017</v>
      </c>
      <c r="E11" s="1590">
        <f>F11-1</f>
        <v>2018</v>
      </c>
      <c r="F11" s="1591">
        <f>利润表!M3</f>
        <v>2019</v>
      </c>
      <c r="G11" s="1592" t="str">
        <f>G9&amp;"E"</f>
        <v>2020E</v>
      </c>
      <c r="H11" s="1593" t="str">
        <f>G9+1&amp;"E"</f>
        <v>2021E</v>
      </c>
      <c r="I11" s="1593" t="str">
        <f>G9+2&amp;"E"</f>
        <v>2022E</v>
      </c>
      <c r="J11" s="1594" t="str">
        <f t="shared" ref="J11:L11" si="10">J9&amp;"E"</f>
        <v>2023E</v>
      </c>
      <c r="K11" s="1593" t="str">
        <f t="shared" si="10"/>
        <v>2024E</v>
      </c>
      <c r="L11" s="1593" t="str">
        <f t="shared" si="10"/>
        <v>2025E</v>
      </c>
      <c r="M11" s="1593" t="str">
        <f t="shared" ref="M11:N11" si="11">M9&amp;"E"</f>
        <v>2026E</v>
      </c>
      <c r="N11" s="1593" t="str">
        <f t="shared" si="11"/>
        <v>2027E</v>
      </c>
      <c r="O11" s="1592" t="str">
        <f t="shared" ref="O11:Q11" si="12">O9&amp;"E"</f>
        <v>2028E</v>
      </c>
      <c r="P11" s="1593" t="str">
        <f t="shared" si="12"/>
        <v>2029E</v>
      </c>
      <c r="Q11" s="1593" t="str">
        <f t="shared" si="12"/>
        <v>2030E</v>
      </c>
      <c r="R11" s="1593" t="str">
        <f t="shared" ref="R11:S11" si="13">R9&amp;"E"</f>
        <v>2031E</v>
      </c>
      <c r="S11" s="1593" t="str">
        <f t="shared" si="13"/>
        <v>2032E</v>
      </c>
      <c r="T11" s="1594" t="str">
        <f t="shared" ref="T11:U11" si="14">T9&amp;"E"</f>
        <v>2033E</v>
      </c>
      <c r="U11" s="1595" t="str">
        <f t="shared" si="14"/>
        <v>2034E</v>
      </c>
    </row>
    <row r="12" spans="1:52" ht="18" customHeight="1">
      <c r="A12" s="40"/>
      <c r="B12" s="2228" t="s">
        <v>718</v>
      </c>
      <c r="C12" s="1511"/>
      <c r="D12" s="1512">
        <f>利润表!K4</f>
        <v>4584.9197615800003</v>
      </c>
      <c r="E12" s="1513">
        <f>利润表!L4</f>
        <v>4809.73609786</v>
      </c>
      <c r="F12" s="1514">
        <f>利润表!M4</f>
        <v>6378.1513559200002</v>
      </c>
      <c r="G12" s="1515">
        <f>利润表!N4</f>
        <v>6378.1513559200002</v>
      </c>
      <c r="H12" s="842">
        <f>利润表!O4</f>
        <v>6378.1513559200002</v>
      </c>
      <c r="I12" s="842">
        <f>利润表!P4</f>
        <v>6378.1513559200002</v>
      </c>
      <c r="J12" s="1516">
        <f t="shared" ref="J12:L12" si="15">I12*(1+J13)</f>
        <v>7334.8740593080001</v>
      </c>
      <c r="K12" s="1517">
        <f t="shared" si="15"/>
        <v>8435.1051682041998</v>
      </c>
      <c r="L12" s="1517">
        <f t="shared" si="15"/>
        <v>9700.3709434348293</v>
      </c>
      <c r="M12" s="1517">
        <f t="shared" ref="M12" si="16">L12*(1+M13)</f>
        <v>11155.426584950053</v>
      </c>
      <c r="N12" s="1517">
        <f t="shared" ref="N12" si="17">M12*(1+N13)</f>
        <v>12828.740572692561</v>
      </c>
      <c r="O12" s="1516">
        <f t="shared" ref="O12" si="18">N12*(1+O13)</f>
        <v>14475.095612854773</v>
      </c>
      <c r="P12" s="1517">
        <f t="shared" ref="P12" si="19">O12*(1+P13)</f>
        <v>16019.105811559282</v>
      </c>
      <c r="Q12" s="1517">
        <f t="shared" ref="Q12" si="20">P12*(1+Q13)</f>
        <v>17380.729805541821</v>
      </c>
      <c r="R12" s="1517">
        <f t="shared" ref="R12" si="21">Q12*(1+R13)</f>
        <v>18481.509359892803</v>
      </c>
      <c r="S12" s="1517">
        <f t="shared" ref="S12" si="22">R12*(1+S13)</f>
        <v>19251.572249888337</v>
      </c>
      <c r="T12" s="1516">
        <f t="shared" ref="T12" si="23">S12*(1+T13)</f>
        <v>19636.603694886104</v>
      </c>
      <c r="U12" s="1518">
        <f t="shared" ref="U12" si="24">T12*(1+U13)</f>
        <v>20029.335768783825</v>
      </c>
    </row>
    <row r="13" spans="1:52" ht="18" customHeight="1">
      <c r="A13" s="40"/>
      <c r="B13" s="2229" t="s">
        <v>710</v>
      </c>
      <c r="C13" s="1519"/>
      <c r="D13" s="1520"/>
      <c r="E13" s="1521">
        <f>E12/D12-1</f>
        <v>4.9033864924721504E-2</v>
      </c>
      <c r="F13" s="1522">
        <f>F12/E12-1</f>
        <v>0.32609174934937424</v>
      </c>
      <c r="G13" s="1523">
        <f>G12/F12-1</f>
        <v>0</v>
      </c>
      <c r="H13" s="1524">
        <f>H12/G12-1</f>
        <v>0</v>
      </c>
      <c r="I13" s="1524">
        <f>I12/H12-1</f>
        <v>0</v>
      </c>
      <c r="J13" s="1527">
        <f>$D$5</f>
        <v>0.15</v>
      </c>
      <c r="K13" s="1528">
        <f>$D$5</f>
        <v>0.15</v>
      </c>
      <c r="L13" s="1528">
        <f>$D$5</f>
        <v>0.15</v>
      </c>
      <c r="M13" s="1528">
        <f t="shared" ref="M13:N13" si="25">$D$5</f>
        <v>0.15</v>
      </c>
      <c r="N13" s="1528">
        <f t="shared" si="25"/>
        <v>0.15</v>
      </c>
      <c r="O13" s="1623">
        <f>N13+O14</f>
        <v>0.12833333333333333</v>
      </c>
      <c r="P13" s="1624">
        <f>O13+P14</f>
        <v>0.10666666666666666</v>
      </c>
      <c r="Q13" s="1624">
        <f>P13+Q14</f>
        <v>8.4999999999999992E-2</v>
      </c>
      <c r="R13" s="1624">
        <f t="shared" ref="R13:S13" si="26">Q13+R14</f>
        <v>6.3333333333333325E-2</v>
      </c>
      <c r="S13" s="1624">
        <f t="shared" si="26"/>
        <v>4.1666666666666657E-2</v>
      </c>
      <c r="T13" s="1625">
        <f>$D$7</f>
        <v>0.02</v>
      </c>
      <c r="U13" s="1626">
        <f>$D$7</f>
        <v>0.02</v>
      </c>
    </row>
    <row r="14" spans="1:52" ht="18" customHeight="1">
      <c r="A14" s="40"/>
      <c r="B14" s="2229" t="s">
        <v>748</v>
      </c>
      <c r="C14" s="1519"/>
      <c r="D14" s="1520"/>
      <c r="E14" s="1521"/>
      <c r="F14" s="1522"/>
      <c r="G14" s="1523"/>
      <c r="H14" s="1524"/>
      <c r="I14" s="1524"/>
      <c r="J14" s="1527">
        <f>J13-I13</f>
        <v>0.15</v>
      </c>
      <c r="K14" s="1528">
        <f>K13-J13</f>
        <v>0</v>
      </c>
      <c r="L14" s="1528">
        <f>L13-K13</f>
        <v>0</v>
      </c>
      <c r="M14" s="1528">
        <f t="shared" ref="M14:N14" si="27">M13-L13</f>
        <v>0</v>
      </c>
      <c r="N14" s="1528">
        <f t="shared" si="27"/>
        <v>0</v>
      </c>
      <c r="O14" s="1627">
        <f>($D$7-$D$5)/($C$6+1)</f>
        <v>-2.1666666666666667E-2</v>
      </c>
      <c r="P14" s="1628">
        <f>($D$7-$D$5)/($C$6+1)</f>
        <v>-2.1666666666666667E-2</v>
      </c>
      <c r="Q14" s="1628">
        <f>($D$7-$D$5)/($C$6+1)</f>
        <v>-2.1666666666666667E-2</v>
      </c>
      <c r="R14" s="1628">
        <f t="shared" ref="R14:S14" si="28">($D$7-$D$5)/($C$6+1)</f>
        <v>-2.1666666666666667E-2</v>
      </c>
      <c r="S14" s="1628">
        <f t="shared" si="28"/>
        <v>-2.1666666666666667E-2</v>
      </c>
      <c r="T14" s="1629">
        <f>T13-S13</f>
        <v>-2.1666666666666657E-2</v>
      </c>
      <c r="U14" s="1630">
        <f>U13-T13</f>
        <v>0</v>
      </c>
    </row>
    <row r="15" spans="1:52" ht="18" customHeight="1">
      <c r="A15" s="40"/>
      <c r="B15" s="2230" t="s">
        <v>719</v>
      </c>
      <c r="C15" s="1519"/>
      <c r="D15" s="1542">
        <f>财务分析!E228</f>
        <v>689.36242829000014</v>
      </c>
      <c r="E15" s="1543">
        <f>财务分析!F228</f>
        <v>850.27542531000029</v>
      </c>
      <c r="F15" s="1543">
        <f>财务分析!G228</f>
        <v>1092.0158171</v>
      </c>
      <c r="G15" s="1544">
        <f>财务分析!H228</f>
        <v>984.46178618359784</v>
      </c>
      <c r="H15" s="1545">
        <f>财务分析!I228</f>
        <v>971.69594908454599</v>
      </c>
      <c r="I15" s="1545">
        <f>财务分析!J228</f>
        <v>981.23456280604762</v>
      </c>
      <c r="J15" s="1631">
        <f t="shared" ref="J15:L15" si="29">J12*J16</f>
        <v>1152.1215157980359</v>
      </c>
      <c r="K15" s="1632">
        <f t="shared" si="29"/>
        <v>1352.1967770244844</v>
      </c>
      <c r="L15" s="1632">
        <f t="shared" si="29"/>
        <v>1586.3718825134117</v>
      </c>
      <c r="M15" s="1632">
        <f t="shared" ref="M15:N15" si="30">M12*M16</f>
        <v>1860.3750921659664</v>
      </c>
      <c r="N15" s="1632">
        <f t="shared" si="30"/>
        <v>2180.8858973577353</v>
      </c>
      <c r="O15" s="1631">
        <f t="shared" ref="O15:Q15" si="31">O12*O16</f>
        <v>2412.5159354757957</v>
      </c>
      <c r="P15" s="1632">
        <f t="shared" si="31"/>
        <v>2616.4539492213498</v>
      </c>
      <c r="Q15" s="1632">
        <f t="shared" si="31"/>
        <v>2780.9167688866919</v>
      </c>
      <c r="R15" s="1632">
        <f t="shared" ref="R15:S15" si="32">R12*R16</f>
        <v>2895.4364663832066</v>
      </c>
      <c r="S15" s="1632">
        <f t="shared" si="32"/>
        <v>2951.9077449828792</v>
      </c>
      <c r="T15" s="1631">
        <f>T12*T16</f>
        <v>2945.4905542329157</v>
      </c>
      <c r="U15" s="1633">
        <f>U12*U16</f>
        <v>3004.4003653175737</v>
      </c>
    </row>
    <row r="16" spans="1:52" ht="18" customHeight="1">
      <c r="A16" s="40"/>
      <c r="B16" s="2231" t="s">
        <v>746</v>
      </c>
      <c r="C16" s="1519"/>
      <c r="D16" s="1526">
        <f t="shared" ref="D16:I16" si="33">D15/D12</f>
        <v>0.15035430588482976</v>
      </c>
      <c r="E16" s="1521">
        <f t="shared" si="33"/>
        <v>0.17678213690108988</v>
      </c>
      <c r="F16" s="1522">
        <f t="shared" si="33"/>
        <v>0.17121196349259182</v>
      </c>
      <c r="G16" s="1523">
        <f t="shared" si="33"/>
        <v>0.15434907879221951</v>
      </c>
      <c r="H16" s="1524">
        <f t="shared" si="33"/>
        <v>0.15234758394101894</v>
      </c>
      <c r="I16" s="1524">
        <f t="shared" si="33"/>
        <v>0.15384309779593056</v>
      </c>
      <c r="J16" s="1527">
        <f t="shared" ref="J16:L16" si="34">I16+J17</f>
        <v>0.15707447823674445</v>
      </c>
      <c r="K16" s="1528">
        <f t="shared" si="34"/>
        <v>0.16030585867755834</v>
      </c>
      <c r="L16" s="1528">
        <f t="shared" si="34"/>
        <v>0.16353723911837223</v>
      </c>
      <c r="M16" s="1528">
        <f t="shared" ref="M16" si="35">L16+M17</f>
        <v>0.16676861955918612</v>
      </c>
      <c r="N16" s="1528">
        <f t="shared" ref="N16" si="36">M16+N17</f>
        <v>0.17</v>
      </c>
      <c r="O16" s="1527">
        <f t="shared" ref="O16" si="37">N16+O17</f>
        <v>0.16666666666666669</v>
      </c>
      <c r="P16" s="1528">
        <f t="shared" ref="P16" si="38">O16+P17</f>
        <v>0.16333333333333336</v>
      </c>
      <c r="Q16" s="1528">
        <f t="shared" ref="Q16" si="39">P16+Q17</f>
        <v>0.16000000000000003</v>
      </c>
      <c r="R16" s="1528">
        <f t="shared" ref="R16" si="40">Q16+R17</f>
        <v>0.1566666666666667</v>
      </c>
      <c r="S16" s="1528">
        <f t="shared" ref="S16" si="41">R16+S17</f>
        <v>0.15333333333333338</v>
      </c>
      <c r="T16" s="1527">
        <f>$F$7</f>
        <v>0.15</v>
      </c>
      <c r="U16" s="1529">
        <f>$F$7</f>
        <v>0.15</v>
      </c>
    </row>
    <row r="17" spans="1:52" ht="18" customHeight="1">
      <c r="A17" s="40"/>
      <c r="B17" s="2232" t="s">
        <v>749</v>
      </c>
      <c r="C17" s="1832"/>
      <c r="D17" s="1530"/>
      <c r="E17" s="1531"/>
      <c r="F17" s="1532"/>
      <c r="G17" s="1533"/>
      <c r="H17" s="1534"/>
      <c r="I17" s="1525"/>
      <c r="J17" s="1523">
        <f>($F$5-$I$16)/$C$5</f>
        <v>3.2313804408138913E-3</v>
      </c>
      <c r="K17" s="1524">
        <f t="shared" ref="K17:N17" si="42">($F$5-$I$16)/$C$5</f>
        <v>3.2313804408138913E-3</v>
      </c>
      <c r="L17" s="1524">
        <f t="shared" si="42"/>
        <v>3.2313804408138913E-3</v>
      </c>
      <c r="M17" s="1524">
        <f t="shared" si="42"/>
        <v>3.2313804408138913E-3</v>
      </c>
      <c r="N17" s="1524">
        <f t="shared" si="42"/>
        <v>3.2313804408138913E-3</v>
      </c>
      <c r="O17" s="2302">
        <f>($F$7-$F$5)/($C$6+1)</f>
        <v>-3.3333333333333361E-3</v>
      </c>
      <c r="P17" s="2303">
        <f t="shared" ref="P17:S17" si="43">($F$7-$F$5)/($C$6+1)</f>
        <v>-3.3333333333333361E-3</v>
      </c>
      <c r="Q17" s="2303">
        <f t="shared" si="43"/>
        <v>-3.3333333333333361E-3</v>
      </c>
      <c r="R17" s="2303">
        <f t="shared" si="43"/>
        <v>-3.3333333333333361E-3</v>
      </c>
      <c r="S17" s="2303">
        <f t="shared" si="43"/>
        <v>-3.3333333333333361E-3</v>
      </c>
      <c r="T17" s="1523">
        <f>T16-S16</f>
        <v>-3.3333333333333826E-3</v>
      </c>
      <c r="U17" s="1535">
        <f>U16-T16</f>
        <v>0</v>
      </c>
    </row>
    <row r="18" spans="1:52" ht="18" customHeight="1">
      <c r="A18" s="40"/>
      <c r="B18" s="2233" t="s">
        <v>733</v>
      </c>
      <c r="C18" s="1831"/>
      <c r="D18" s="1537">
        <f>财务分析!E231</f>
        <v>98.840008042379807</v>
      </c>
      <c r="E18" s="1833">
        <f>财务分析!F231</f>
        <v>113.18645697499086</v>
      </c>
      <c r="F18" s="1834">
        <f>财务分析!G231</f>
        <v>140.68976391140461</v>
      </c>
      <c r="G18" s="1538">
        <f>财务分析!H231</f>
        <v>126.83304958511124</v>
      </c>
      <c r="H18" s="1539">
        <f>财务分析!I231</f>
        <v>125.18836405998154</v>
      </c>
      <c r="I18" s="1860">
        <f>财务分析!J231</f>
        <v>126.417270538721</v>
      </c>
      <c r="J18" s="1538">
        <f t="shared" ref="J18:L18" si="44">J15*J19</f>
        <v>288.03037894950899</v>
      </c>
      <c r="K18" s="1539">
        <f t="shared" si="44"/>
        <v>338.0491942561211</v>
      </c>
      <c r="L18" s="1539">
        <f t="shared" si="44"/>
        <v>396.59297062835293</v>
      </c>
      <c r="M18" s="1539">
        <f t="shared" ref="M18:N18" si="45">M15*M19</f>
        <v>465.0937730414916</v>
      </c>
      <c r="N18" s="1539">
        <f t="shared" si="45"/>
        <v>545.22147433943383</v>
      </c>
      <c r="O18" s="1538">
        <f t="shared" ref="O18:Q18" si="46">O15*O19</f>
        <v>603.12898386894892</v>
      </c>
      <c r="P18" s="1539">
        <f t="shared" si="46"/>
        <v>654.11348730533746</v>
      </c>
      <c r="Q18" s="1539">
        <f t="shared" si="46"/>
        <v>695.22919222167297</v>
      </c>
      <c r="R18" s="1539">
        <f t="shared" ref="R18:S18" si="47">R15*R19</f>
        <v>723.85911659580165</v>
      </c>
      <c r="S18" s="1539">
        <f t="shared" si="47"/>
        <v>737.9769362457198</v>
      </c>
      <c r="T18" s="1538">
        <f t="shared" ref="T18:U18" si="48">T15*T19</f>
        <v>736.37263855822891</v>
      </c>
      <c r="U18" s="1540">
        <f t="shared" si="48"/>
        <v>751.10009132939342</v>
      </c>
    </row>
    <row r="19" spans="1:52" ht="18" customHeight="1">
      <c r="A19" s="40"/>
      <c r="B19" s="2234" t="s">
        <v>165</v>
      </c>
      <c r="C19" s="1541"/>
      <c r="D19" s="1526">
        <f>财务分析!E94</f>
        <v>0.14337887297913474</v>
      </c>
      <c r="E19" s="1521">
        <f>财务分析!F94</f>
        <v>0.13311740361509852</v>
      </c>
      <c r="F19" s="1521">
        <f>财务分析!G94</f>
        <v>0.1288349140262692</v>
      </c>
      <c r="G19" s="1523">
        <f>财务分析!H94</f>
        <v>0.1288349140262692</v>
      </c>
      <c r="H19" s="1524">
        <f>财务分析!I94</f>
        <v>0.1288349140262692</v>
      </c>
      <c r="I19" s="1524">
        <f>财务分析!J94</f>
        <v>0.1288349140262692</v>
      </c>
      <c r="J19" s="1523">
        <f>资金成本!$C$15</f>
        <v>0.25</v>
      </c>
      <c r="K19" s="1524">
        <f>资金成本!$C$15</f>
        <v>0.25</v>
      </c>
      <c r="L19" s="1524">
        <f>资金成本!$C$15</f>
        <v>0.25</v>
      </c>
      <c r="M19" s="1524">
        <f>资金成本!$C$15</f>
        <v>0.25</v>
      </c>
      <c r="N19" s="1524">
        <f>资金成本!$C$15</f>
        <v>0.25</v>
      </c>
      <c r="O19" s="1523">
        <f>资金成本!$C$15</f>
        <v>0.25</v>
      </c>
      <c r="P19" s="1524">
        <f>资金成本!$C$15</f>
        <v>0.25</v>
      </c>
      <c r="Q19" s="1524">
        <f>资金成本!$C$15</f>
        <v>0.25</v>
      </c>
      <c r="R19" s="1524">
        <f>资金成本!$C$15</f>
        <v>0.25</v>
      </c>
      <c r="S19" s="1524">
        <f>资金成本!$C$15</f>
        <v>0.25</v>
      </c>
      <c r="T19" s="1523">
        <f>资金成本!$C$15</f>
        <v>0.25</v>
      </c>
      <c r="U19" s="1535">
        <f>资金成本!$C$15</f>
        <v>0.25</v>
      </c>
    </row>
    <row r="20" spans="1:52" ht="18" customHeight="1">
      <c r="A20" s="40"/>
      <c r="B20" s="2235" t="s">
        <v>712</v>
      </c>
      <c r="C20" s="1536"/>
      <c r="D20" s="1634">
        <f t="shared" ref="D20:L20" si="49">D15-D18</f>
        <v>590.52242024762029</v>
      </c>
      <c r="E20" s="1635">
        <f t="shared" si="49"/>
        <v>737.08896833500944</v>
      </c>
      <c r="F20" s="1635">
        <f t="shared" si="49"/>
        <v>951.32605318859544</v>
      </c>
      <c r="G20" s="1636">
        <f t="shared" si="49"/>
        <v>857.62873659848663</v>
      </c>
      <c r="H20" s="1106">
        <f t="shared" si="49"/>
        <v>846.50758502456449</v>
      </c>
      <c r="I20" s="1106">
        <f t="shared" si="49"/>
        <v>854.81729226732659</v>
      </c>
      <c r="J20" s="1636">
        <f t="shared" si="49"/>
        <v>864.09113684852696</v>
      </c>
      <c r="K20" s="1106">
        <f t="shared" si="49"/>
        <v>1014.1475827683632</v>
      </c>
      <c r="L20" s="1106">
        <f t="shared" si="49"/>
        <v>1189.7789118850587</v>
      </c>
      <c r="M20" s="1106">
        <f t="shared" ref="M20:N20" si="50">M15-M18</f>
        <v>1395.2813191244747</v>
      </c>
      <c r="N20" s="1106">
        <f t="shared" si="50"/>
        <v>1635.6644230183015</v>
      </c>
      <c r="O20" s="1636">
        <f t="shared" ref="O20:Q20" si="51">O15-O18</f>
        <v>1809.3869516068467</v>
      </c>
      <c r="P20" s="1106">
        <f t="shared" si="51"/>
        <v>1962.3404619160124</v>
      </c>
      <c r="Q20" s="1106">
        <f t="shared" si="51"/>
        <v>2085.6875766650192</v>
      </c>
      <c r="R20" s="1106">
        <f t="shared" ref="R20:S20" si="52">R15-R18</f>
        <v>2171.5773497874052</v>
      </c>
      <c r="S20" s="1106">
        <f t="shared" si="52"/>
        <v>2213.9308087371592</v>
      </c>
      <c r="T20" s="1636">
        <f t="shared" ref="T20:U20" si="53">T15-T18</f>
        <v>2209.1179156746866</v>
      </c>
      <c r="U20" s="1637">
        <f t="shared" si="53"/>
        <v>2253.3002739881804</v>
      </c>
    </row>
    <row r="21" spans="1:52" ht="18" customHeight="1" thickBot="1">
      <c r="A21" s="40"/>
      <c r="B21" s="2230" t="s">
        <v>747</v>
      </c>
      <c r="C21" s="1541"/>
      <c r="D21" s="1542">
        <f>财务分析!E135</f>
        <v>4703.6121334299987</v>
      </c>
      <c r="E21" s="1543">
        <f>财务分析!F135</f>
        <v>5096.1948826599992</v>
      </c>
      <c r="F21" s="1543">
        <f>财务分析!G135</f>
        <v>4907.71435492</v>
      </c>
      <c r="G21" s="1544">
        <f ca="1">财务分析!H135</f>
        <v>4495.3711851129401</v>
      </c>
      <c r="H21" s="1545">
        <f ca="1">财务分析!I135</f>
        <v>4563.6553302361108</v>
      </c>
      <c r="I21" s="1545">
        <f ca="1">财务分析!J135</f>
        <v>4508.5726197072563</v>
      </c>
      <c r="J21" s="1546">
        <f t="shared" ref="J21:L21" ca="1" si="54">J20/J22</f>
        <v>2962.4773118289054</v>
      </c>
      <c r="K21" s="1547">
        <f t="shared" ca="1" si="54"/>
        <v>2575.5545281372042</v>
      </c>
      <c r="L21" s="1547">
        <f t="shared" ca="1" si="54"/>
        <v>2399.5253130857077</v>
      </c>
      <c r="M21" s="1547">
        <f t="shared" ref="M21:N21" ca="1" si="55">M20/M22</f>
        <v>2333.5599330491445</v>
      </c>
      <c r="N21" s="1547">
        <f t="shared" ca="1" si="55"/>
        <v>2336.663461454717</v>
      </c>
      <c r="O21" s="1546">
        <f t="shared" ref="O21:Q21" ca="1" si="56">O20/O22</f>
        <v>3053.2825638829208</v>
      </c>
      <c r="P21" s="1547">
        <f t="shared" ca="1" si="56"/>
        <v>4044.3311116601199</v>
      </c>
      <c r="Q21" s="1547">
        <f t="shared" ca="1" si="56"/>
        <v>5520.4449220445113</v>
      </c>
      <c r="R21" s="1547">
        <f t="shared" ref="R21:S21" ca="1" si="57">R20/R22</f>
        <v>8030.5259432554603</v>
      </c>
      <c r="S21" s="1547">
        <f t="shared" ca="1" si="57"/>
        <v>13580.800675199715</v>
      </c>
      <c r="T21" s="1546">
        <f t="shared" ref="T21:U21" si="58">T20/T22</f>
        <v>39715.907370596455</v>
      </c>
      <c r="U21" s="1548">
        <f t="shared" si="58"/>
        <v>40510.225518008388</v>
      </c>
    </row>
    <row r="22" spans="1:52" ht="18" customHeight="1">
      <c r="A22" s="40"/>
      <c r="B22" s="2236" t="s">
        <v>157</v>
      </c>
      <c r="C22" s="1549"/>
      <c r="D22" s="1550">
        <f>财务分析!E76</f>
        <v>0.12554658069074154</v>
      </c>
      <c r="E22" s="1551">
        <f>财务分析!F76</f>
        <v>0.14463516119506797</v>
      </c>
      <c r="F22" s="1551">
        <f>财务分析!G76</f>
        <v>0.19384299582042461</v>
      </c>
      <c r="G22" s="1552">
        <f ca="1">财务分析!H76</f>
        <v>0.19078040528413892</v>
      </c>
      <c r="H22" s="1553">
        <f ca="1">财务分析!I76</f>
        <v>0.18548893896874735</v>
      </c>
      <c r="I22" s="1553">
        <f ca="1">财务分析!J76</f>
        <v>0.18959820865053079</v>
      </c>
      <c r="J22" s="1638">
        <f t="shared" ref="J22:L22" ca="1" si="59">I22+J23</f>
        <v>0.2916785669204246</v>
      </c>
      <c r="K22" s="1639">
        <f t="shared" ca="1" si="59"/>
        <v>0.39375892519031841</v>
      </c>
      <c r="L22" s="1639">
        <f t="shared" ca="1" si="59"/>
        <v>0.49583928346021222</v>
      </c>
      <c r="M22" s="1639">
        <f t="shared" ref="M22" ca="1" si="60">L22+M23</f>
        <v>0.59791964173010603</v>
      </c>
      <c r="N22" s="1639">
        <f t="shared" ref="N22" ca="1" si="61">M22+N23</f>
        <v>0.69999999999999984</v>
      </c>
      <c r="O22" s="1638">
        <f t="shared" ref="O22" ca="1" si="62">N22+O23</f>
        <v>0.59260383333333322</v>
      </c>
      <c r="P22" s="1639">
        <f t="shared" ref="P22" ca="1" si="63">O22+P23</f>
        <v>0.48520766666666654</v>
      </c>
      <c r="Q22" s="1639">
        <f t="shared" ref="Q22" ca="1" si="64">P22+Q23</f>
        <v>0.37781149999999986</v>
      </c>
      <c r="R22" s="1639">
        <f t="shared" ref="R22" ca="1" si="65">Q22+R23</f>
        <v>0.27041533333333317</v>
      </c>
      <c r="S22" s="1639">
        <f t="shared" ref="S22" ca="1" si="66">R22+S23</f>
        <v>0.16301916666666649</v>
      </c>
      <c r="T22" s="1638">
        <f>$E$7</f>
        <v>5.5622999999999999E-2</v>
      </c>
      <c r="U22" s="1640">
        <f>$E$7</f>
        <v>5.5622999999999999E-2</v>
      </c>
    </row>
    <row r="23" spans="1:52" ht="18" customHeight="1" thickBot="1">
      <c r="A23" s="40"/>
      <c r="B23" s="2237" t="s">
        <v>750</v>
      </c>
      <c r="C23" s="1554"/>
      <c r="D23" s="1555"/>
      <c r="E23" s="1556"/>
      <c r="F23" s="1556"/>
      <c r="G23" s="1557"/>
      <c r="H23" s="1558"/>
      <c r="I23" s="1559"/>
      <c r="J23" s="1560">
        <f ca="1">($E$5-$I$22)/($C$5)</f>
        <v>0.10208035826989384</v>
      </c>
      <c r="K23" s="1561">
        <f ca="1">($E$5-$I$22)/($C$5)</f>
        <v>0.10208035826989384</v>
      </c>
      <c r="L23" s="1561">
        <f ca="1">($E$5-$I$22)/($C$5)</f>
        <v>0.10208035826989384</v>
      </c>
      <c r="M23" s="1561">
        <f t="shared" ref="M23:N23" ca="1" si="67">($E$5-$I$22)/($C$5)</f>
        <v>0.10208035826989384</v>
      </c>
      <c r="N23" s="1561">
        <f t="shared" ca="1" si="67"/>
        <v>0.10208035826989384</v>
      </c>
      <c r="O23" s="1560">
        <f>($E$7-$E$5)/($C$6+1)</f>
        <v>-0.10739616666666667</v>
      </c>
      <c r="P23" s="1561">
        <f t="shared" ref="P23:S23" si="68">($E$7-$E$5)/($C$6+1)</f>
        <v>-0.10739616666666667</v>
      </c>
      <c r="Q23" s="1561">
        <f t="shared" si="68"/>
        <v>-0.10739616666666667</v>
      </c>
      <c r="R23" s="1561">
        <f t="shared" si="68"/>
        <v>-0.10739616666666667</v>
      </c>
      <c r="S23" s="1561">
        <f t="shared" si="68"/>
        <v>-0.10739616666666667</v>
      </c>
      <c r="T23" s="1560">
        <f ca="1">T22-S22</f>
        <v>-0.10739616666666649</v>
      </c>
      <c r="U23" s="1562">
        <f>U22-T22</f>
        <v>0</v>
      </c>
    </row>
    <row r="24" spans="1:52" ht="18" customHeight="1">
      <c r="A24" s="40"/>
      <c r="B24" s="2235" t="s">
        <v>123</v>
      </c>
      <c r="C24" s="1541"/>
      <c r="D24" s="1563"/>
      <c r="E24" s="1564">
        <f t="shared" ref="E24:L24" si="69">E20-(E21-D21)</f>
        <v>344.506219105009</v>
      </c>
      <c r="F24" s="1564">
        <f t="shared" si="69"/>
        <v>1139.8065809285945</v>
      </c>
      <c r="G24" s="1565">
        <f t="shared" ca="1" si="69"/>
        <v>1269.9719064055466</v>
      </c>
      <c r="H24" s="1105">
        <f t="shared" ca="1" si="69"/>
        <v>778.22343990139382</v>
      </c>
      <c r="I24" s="1105">
        <f t="shared" ca="1" si="69"/>
        <v>909.90000279618107</v>
      </c>
      <c r="J24" s="1565">
        <f t="shared" ca="1" si="69"/>
        <v>2410.1864447268781</v>
      </c>
      <c r="K24" s="1105">
        <f t="shared" ca="1" si="69"/>
        <v>1401.0703664600644</v>
      </c>
      <c r="L24" s="1105">
        <f t="shared" ca="1" si="69"/>
        <v>1365.8081269365553</v>
      </c>
      <c r="M24" s="1105">
        <f t="shared" ref="M24" ca="1" si="70">M20-(M21-L21)</f>
        <v>1461.2466991610379</v>
      </c>
      <c r="N24" s="1105">
        <f t="shared" ref="N24" ca="1" si="71">N20-(N21-M21)</f>
        <v>1632.560894612729</v>
      </c>
      <c r="O24" s="1565">
        <f ca="1">O20-(O21-N21)</f>
        <v>1092.7678491786428</v>
      </c>
      <c r="P24" s="1105">
        <f ca="1">P20-(P21-O21)</f>
        <v>971.29191413881335</v>
      </c>
      <c r="Q24" s="1105">
        <f ca="1">Q20-(Q21-P21)</f>
        <v>609.57376628062775</v>
      </c>
      <c r="R24" s="1105">
        <f t="shared" ref="R24:S24" ca="1" si="72">R20-(R21-Q21)</f>
        <v>-338.50367142354389</v>
      </c>
      <c r="S24" s="1105">
        <f t="shared" ca="1" si="72"/>
        <v>-3336.343923207095</v>
      </c>
      <c r="T24" s="1565">
        <f ca="1">T20-(T21-S21)</f>
        <v>-23925.988779722051</v>
      </c>
      <c r="U24" s="1566">
        <f>U20-(U21-T21)</f>
        <v>1458.9821265762466</v>
      </c>
    </row>
    <row r="25" spans="1:52" ht="18" customHeight="1" thickBot="1">
      <c r="A25" s="40"/>
      <c r="B25" s="2238" t="s">
        <v>734</v>
      </c>
      <c r="C25" s="1567"/>
      <c r="D25" s="1568" t="s">
        <v>726</v>
      </c>
      <c r="E25" s="1569" t="s">
        <v>726</v>
      </c>
      <c r="F25" s="1569" t="s">
        <v>726</v>
      </c>
      <c r="G25" s="1570">
        <f t="shared" ref="G25:L25" ca="1" si="73">G24/(1+$G$4)^(G9-$F$11)</f>
        <v>1203.0544109076316</v>
      </c>
      <c r="H25" s="1808">
        <f t="shared" ca="1" si="73"/>
        <v>698.37167927004475</v>
      </c>
      <c r="I25" s="1808">
        <f t="shared" ca="1" si="73"/>
        <v>773.51213981018145</v>
      </c>
      <c r="J25" s="1570">
        <f t="shared" ca="1" si="73"/>
        <v>1940.9540908789413</v>
      </c>
      <c r="K25" s="1808">
        <f t="shared" ca="1" si="73"/>
        <v>1068.8474540048107</v>
      </c>
      <c r="L25" s="1808">
        <f t="shared" ca="1" si="73"/>
        <v>987.04426161821459</v>
      </c>
      <c r="M25" s="1808">
        <f t="shared" ref="M25:N25" ca="1" si="74">M24/(1+$G$4)^(M9-$F$11)</f>
        <v>1000.3722463919345</v>
      </c>
      <c r="N25" s="1808">
        <f t="shared" ca="1" si="74"/>
        <v>1058.7627095319897</v>
      </c>
      <c r="O25" s="1570">
        <f t="shared" ref="O25:Q25" ca="1" si="75">O24/(1+$G$4)^(O9-$F$11)</f>
        <v>671.34894704275428</v>
      </c>
      <c r="P25" s="1808">
        <f t="shared" ca="1" si="75"/>
        <v>565.27702229425495</v>
      </c>
      <c r="Q25" s="1808">
        <f t="shared" ca="1" si="75"/>
        <v>336.06940983014846</v>
      </c>
      <c r="R25" s="1808">
        <f t="shared" ref="R25:S25" ca="1" si="76">R24/(1+$G$4)^(R9-$F$11)</f>
        <v>-176.78982026469427</v>
      </c>
      <c r="S25" s="1808">
        <f t="shared" ca="1" si="76"/>
        <v>-1650.6532061915409</v>
      </c>
      <c r="T25" s="1570">
        <f t="shared" ref="T25:U25" ca="1" si="77">T24/(1+$G$4)^(T9-$F$11)</f>
        <v>-11213.626261174641</v>
      </c>
      <c r="U25" s="1809">
        <f t="shared" si="77"/>
        <v>647.76474882308742</v>
      </c>
    </row>
    <row r="26" spans="1:52" ht="18" customHeight="1" thickBot="1">
      <c r="A26" s="40"/>
      <c r="B26" s="1571"/>
      <c r="C26" s="1571"/>
      <c r="D26" s="1475"/>
      <c r="E26" s="1475"/>
      <c r="F26" s="1475"/>
      <c r="G26" s="1475"/>
      <c r="H26" s="1475"/>
      <c r="I26" s="1475"/>
      <c r="J26" s="1475"/>
      <c r="K26" s="1475"/>
      <c r="L26" s="1922"/>
      <c r="M26" s="1922"/>
      <c r="N26" s="1922"/>
      <c r="O26" s="1475"/>
      <c r="P26" s="1475"/>
      <c r="Q26" s="1922"/>
      <c r="R26" s="1922"/>
      <c r="S26" s="1922"/>
      <c r="T26" s="1475"/>
      <c r="U26" s="1475"/>
      <c r="V26" s="40"/>
      <c r="W26" s="40"/>
      <c r="X26" s="40"/>
      <c r="Y26" s="40"/>
      <c r="Z26" s="40"/>
    </row>
    <row r="27" spans="1:52" ht="18" hidden="1" customHeight="1" thickBot="1">
      <c r="A27" s="40"/>
      <c r="B27" s="1571"/>
      <c r="C27" s="1571"/>
      <c r="D27" s="1475"/>
      <c r="E27" s="1475"/>
      <c r="F27" s="1475"/>
      <c r="G27" s="1475"/>
      <c r="H27" s="1475"/>
      <c r="I27" s="1475"/>
      <c r="J27" s="1475"/>
      <c r="K27" s="1475"/>
      <c r="L27" s="1922"/>
      <c r="M27" s="1922"/>
      <c r="N27" s="1922"/>
      <c r="O27" s="1475"/>
      <c r="P27" s="1475"/>
      <c r="Q27" s="1922"/>
      <c r="R27" s="1922"/>
      <c r="S27" s="1922"/>
      <c r="T27" s="1475"/>
      <c r="U27" s="1475"/>
      <c r="V27" s="40"/>
      <c r="W27" s="40"/>
      <c r="X27" s="40"/>
      <c r="Y27" s="40"/>
      <c r="Z27" s="40"/>
    </row>
    <row r="28" spans="1:52" ht="18" customHeight="1">
      <c r="A28" s="40"/>
      <c r="B28" s="1572" t="s">
        <v>735</v>
      </c>
      <c r="C28" s="1573"/>
      <c r="D28" s="1574"/>
      <c r="E28" s="1575"/>
      <c r="F28" s="1576"/>
      <c r="G28" s="1576"/>
      <c r="H28" s="1577"/>
      <c r="I28" s="1577"/>
      <c r="J28" s="1578"/>
      <c r="K28" s="1578"/>
      <c r="L28" s="1578"/>
      <c r="M28" s="1578"/>
      <c r="N28" s="1578"/>
      <c r="O28" s="1576"/>
      <c r="P28" s="1475"/>
      <c r="Q28" s="1475"/>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row>
    <row r="29" spans="1:52" ht="18" customHeight="1">
      <c r="A29" s="40"/>
      <c r="B29" s="2239" t="s">
        <v>736</v>
      </c>
      <c r="C29" s="2240"/>
      <c r="D29" s="2241" t="s">
        <v>737</v>
      </c>
      <c r="E29" s="2242" t="s">
        <v>738</v>
      </c>
      <c r="F29" s="1576"/>
      <c r="G29" s="1576"/>
      <c r="H29" s="1579"/>
      <c r="I29" s="1579"/>
      <c r="J29" s="1576"/>
      <c r="K29" s="1576"/>
      <c r="L29" s="1576"/>
      <c r="M29" s="1576"/>
      <c r="N29" s="1576"/>
      <c r="O29" s="109"/>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row>
    <row r="30" spans="1:52" ht="18" customHeight="1">
      <c r="A30" s="40"/>
      <c r="B30" s="2243" t="s">
        <v>1244</v>
      </c>
      <c r="C30" s="2244"/>
      <c r="D30" s="1606">
        <f ca="1">SUM(G25:S25)</f>
        <v>8476.1713451246724</v>
      </c>
      <c r="E30" s="1580">
        <f ca="1">D30/D36</f>
        <v>0.4708408399459118</v>
      </c>
      <c r="F30" s="1576"/>
      <c r="G30" s="1581"/>
      <c r="H30" s="1581"/>
      <c r="I30" s="1581"/>
      <c r="J30" s="1576"/>
      <c r="K30" s="1576"/>
      <c r="L30" s="1576"/>
      <c r="M30" s="1576"/>
      <c r="N30" s="1579"/>
      <c r="O30" s="109"/>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row>
    <row r="31" spans="1:52" ht="18" customHeight="1">
      <c r="A31" s="40"/>
      <c r="B31" s="2245" t="s">
        <v>739</v>
      </c>
      <c r="C31" s="2246"/>
      <c r="D31" s="1608">
        <f ca="1">T25+U25/($G$4-$D$7)</f>
        <v>6970.2647312484387</v>
      </c>
      <c r="E31" s="1582">
        <f ca="1">D31/D36</f>
        <v>0.387189589152661</v>
      </c>
      <c r="F31" s="1576"/>
      <c r="G31" s="1576"/>
      <c r="H31" s="1579"/>
      <c r="I31" s="1579"/>
      <c r="J31" s="1576"/>
      <c r="K31" s="1576"/>
      <c r="L31" s="1576"/>
      <c r="M31" s="1576"/>
      <c r="N31" s="1579"/>
      <c r="O31" s="109"/>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row>
    <row r="32" spans="1:52" ht="18" customHeight="1">
      <c r="A32" s="40"/>
      <c r="B32" s="2247" t="s">
        <v>701</v>
      </c>
      <c r="C32" s="2248"/>
      <c r="D32" s="1608">
        <f ca="1">D30+D31</f>
        <v>15446.436076373111</v>
      </c>
      <c r="E32" s="1582">
        <f ca="1">D32/D36</f>
        <v>0.85803042909857274</v>
      </c>
      <c r="F32" s="1576"/>
      <c r="G32" s="1576"/>
      <c r="H32" s="1579"/>
      <c r="I32" s="1579"/>
      <c r="J32" s="1576"/>
      <c r="K32" s="1576"/>
      <c r="L32" s="1576"/>
      <c r="M32" s="1576"/>
      <c r="N32" s="1579"/>
      <c r="O32" s="109"/>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row>
    <row r="33" spans="1:52" ht="18" customHeight="1">
      <c r="A33" s="40"/>
      <c r="B33" s="2249" t="s">
        <v>740</v>
      </c>
      <c r="C33" s="2250"/>
      <c r="D33" s="1608">
        <f>财务分析!G129</f>
        <v>0</v>
      </c>
      <c r="E33" s="1582">
        <f ca="1">D33/D36</f>
        <v>0</v>
      </c>
      <c r="F33" s="1576"/>
      <c r="G33" s="1576"/>
      <c r="H33" s="1579"/>
      <c r="I33" s="1579"/>
      <c r="J33" s="1576"/>
      <c r="K33" s="1576"/>
      <c r="L33" s="1576"/>
      <c r="M33" s="1576"/>
      <c r="N33" s="1576"/>
      <c r="O33" s="113"/>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row>
    <row r="34" spans="1:52" ht="18" customHeight="1">
      <c r="A34" s="40"/>
      <c r="B34" s="2251" t="s">
        <v>1088</v>
      </c>
      <c r="C34" s="2250"/>
      <c r="D34" s="1608">
        <f>资产负债!M4</f>
        <v>1881.24535322</v>
      </c>
      <c r="E34" s="1582">
        <f ca="1">D34/D36</f>
        <v>0.10450085376859733</v>
      </c>
      <c r="F34" s="1576"/>
      <c r="G34" s="1576"/>
      <c r="H34" s="1579"/>
      <c r="I34" s="1579"/>
      <c r="J34" s="1576"/>
      <c r="K34" s="1576"/>
      <c r="L34" s="1576"/>
      <c r="M34" s="1576"/>
      <c r="N34" s="1576"/>
      <c r="O34" s="109"/>
      <c r="P34" s="40"/>
      <c r="Q34" s="40"/>
      <c r="R34" s="40"/>
      <c r="S34" s="40"/>
      <c r="T34" s="40"/>
      <c r="U34" s="40"/>
      <c r="V34" s="40"/>
      <c r="W34" s="40"/>
      <c r="X34" s="40"/>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row>
    <row r="35" spans="1:52" ht="18" customHeight="1">
      <c r="A35" s="40"/>
      <c r="B35" s="2251" t="s">
        <v>913</v>
      </c>
      <c r="C35" s="2250"/>
      <c r="D35" s="1608">
        <f>资产负债!M5-资产负债!M44</f>
        <v>674.51936951000005</v>
      </c>
      <c r="E35" s="1582">
        <f ca="1">D35/D36</f>
        <v>3.7468717132829968E-2</v>
      </c>
      <c r="F35" s="1576"/>
      <c r="G35" s="1576"/>
      <c r="H35" s="1579"/>
      <c r="I35" s="1579"/>
      <c r="J35" s="1576"/>
      <c r="K35" s="1576"/>
      <c r="L35" s="1576"/>
      <c r="M35" s="1576"/>
      <c r="N35" s="1576"/>
      <c r="O35" s="109"/>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c r="AW35" s="40"/>
      <c r="AX35" s="40"/>
      <c r="AY35" s="40"/>
      <c r="AZ35" s="40"/>
    </row>
    <row r="36" spans="1:52" ht="18" customHeight="1">
      <c r="A36" s="40"/>
      <c r="B36" s="2249" t="s">
        <v>700</v>
      </c>
      <c r="C36" s="2250"/>
      <c r="D36" s="1608">
        <f ca="1">D32+D33+D34+D35</f>
        <v>18002.20079910311</v>
      </c>
      <c r="E36" s="1583">
        <f ca="1">D36/D36</f>
        <v>1</v>
      </c>
      <c r="F36" s="1576"/>
      <c r="G36" s="1576"/>
      <c r="H36" s="1579"/>
      <c r="I36" s="1579"/>
      <c r="J36" s="1576"/>
      <c r="K36" s="1576"/>
      <c r="L36" s="1576"/>
      <c r="M36" s="1576"/>
      <c r="N36" s="1576"/>
      <c r="O36" s="109"/>
      <c r="P36" s="40"/>
      <c r="Q36" s="40"/>
      <c r="R36" s="40"/>
      <c r="S36" s="40"/>
      <c r="T36" s="40"/>
      <c r="U36" s="40"/>
      <c r="V36" s="40"/>
      <c r="W36" s="40"/>
      <c r="X36" s="40"/>
      <c r="Y36" s="40"/>
      <c r="Z36" s="40"/>
      <c r="AA36" s="40"/>
      <c r="AB36" s="40"/>
      <c r="AC36" s="40"/>
      <c r="AD36" s="40"/>
      <c r="AE36" s="40"/>
      <c r="AF36" s="40"/>
      <c r="AG36" s="40"/>
      <c r="AH36" s="40"/>
      <c r="AI36" s="40"/>
      <c r="AJ36" s="40"/>
      <c r="AK36" s="40"/>
      <c r="AL36" s="40"/>
      <c r="AM36" s="40"/>
      <c r="AN36" s="40"/>
      <c r="AO36" s="40"/>
      <c r="AP36" s="40"/>
      <c r="AQ36" s="40"/>
      <c r="AR36" s="40"/>
      <c r="AS36" s="40"/>
      <c r="AT36" s="40"/>
      <c r="AU36" s="40"/>
      <c r="AV36" s="40"/>
      <c r="AW36" s="40"/>
      <c r="AX36" s="40"/>
      <c r="AY36" s="40"/>
      <c r="AZ36" s="40"/>
    </row>
    <row r="37" spans="1:52" ht="18" customHeight="1">
      <c r="A37" s="40"/>
      <c r="B37" s="2249" t="s">
        <v>741</v>
      </c>
      <c r="C37" s="2250"/>
      <c r="D37" s="1608">
        <f>财务分析!G140</f>
        <v>934.23557115999995</v>
      </c>
      <c r="E37" s="1584">
        <f ca="1">D37/D36</f>
        <v>5.1895631072315596E-2</v>
      </c>
      <c r="F37" s="1576"/>
      <c r="G37" s="1576"/>
      <c r="H37" s="1579"/>
      <c r="I37" s="1579"/>
      <c r="J37" s="1576"/>
      <c r="K37" s="1576"/>
      <c r="L37" s="1576"/>
      <c r="M37" s="1576"/>
      <c r="N37" s="1576"/>
      <c r="O37" s="109"/>
      <c r="P37" s="40"/>
      <c r="Q37" s="40"/>
      <c r="R37" s="40"/>
      <c r="S37" s="40"/>
      <c r="T37" s="40"/>
      <c r="U37" s="40"/>
      <c r="V37" s="40"/>
      <c r="W37" s="40"/>
      <c r="X37" s="40"/>
      <c r="Y37" s="40"/>
      <c r="Z37" s="40"/>
      <c r="AA37" s="40"/>
      <c r="AB37" s="40"/>
      <c r="AC37" s="40"/>
      <c r="AD37" s="40"/>
      <c r="AE37" s="40"/>
      <c r="AF37" s="40"/>
      <c r="AG37" s="40"/>
      <c r="AH37" s="40"/>
      <c r="AI37" s="40"/>
      <c r="AJ37" s="40"/>
      <c r="AK37" s="40"/>
      <c r="AL37" s="40"/>
      <c r="AM37" s="40"/>
      <c r="AN37" s="40"/>
      <c r="AO37" s="40"/>
      <c r="AP37" s="40"/>
      <c r="AQ37" s="40"/>
      <c r="AR37" s="40"/>
      <c r="AS37" s="40"/>
      <c r="AT37" s="40"/>
      <c r="AU37" s="40"/>
      <c r="AV37" s="40"/>
      <c r="AW37" s="40"/>
      <c r="AX37" s="40"/>
      <c r="AY37" s="40"/>
      <c r="AZ37" s="40"/>
    </row>
    <row r="38" spans="1:52" ht="18" customHeight="1">
      <c r="A38" s="40"/>
      <c r="B38" s="2252" t="s">
        <v>1083</v>
      </c>
      <c r="C38" s="2253"/>
      <c r="D38" s="1608">
        <f>D39*D40</f>
        <v>4.2588337699999999</v>
      </c>
      <c r="E38" s="1585">
        <f ca="1">D38/D36</f>
        <v>2.365729511367399E-4</v>
      </c>
      <c r="F38" s="1576"/>
      <c r="G38" s="1576"/>
      <c r="H38" s="1576"/>
      <c r="I38" s="1576"/>
      <c r="J38" s="1576"/>
      <c r="K38" s="1576"/>
      <c r="L38" s="1576"/>
      <c r="M38" s="1576"/>
      <c r="N38" s="1576"/>
      <c r="O38" s="109"/>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row>
    <row r="39" spans="1:52" ht="18" customHeight="1">
      <c r="A39" s="40"/>
      <c r="B39" s="2254" t="s">
        <v>1089</v>
      </c>
      <c r="C39" s="2253"/>
      <c r="D39" s="1608">
        <f>资产负债!M76</f>
        <v>4.2588337699999999</v>
      </c>
      <c r="E39" s="1585"/>
      <c r="F39" s="1576"/>
      <c r="G39" s="1576"/>
      <c r="H39" s="1576"/>
      <c r="I39" s="1576"/>
      <c r="J39" s="1576"/>
      <c r="K39" s="1576"/>
      <c r="L39" s="1576"/>
      <c r="M39" s="1576"/>
      <c r="N39" s="1576"/>
      <c r="O39" s="109"/>
      <c r="P39" s="40"/>
      <c r="Q39" s="40"/>
      <c r="R39" s="40"/>
      <c r="S39" s="40"/>
      <c r="T39" s="40"/>
      <c r="U39" s="40"/>
      <c r="V39" s="40"/>
      <c r="W39" s="40"/>
      <c r="X39" s="40"/>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row>
    <row r="40" spans="1:52" ht="18" customHeight="1">
      <c r="A40" s="40"/>
      <c r="B40" s="2254" t="s">
        <v>1390</v>
      </c>
      <c r="C40" s="2253"/>
      <c r="D40" s="2146">
        <f>H4</f>
        <v>1</v>
      </c>
      <c r="E40" s="1586"/>
      <c r="F40" s="1576"/>
      <c r="G40" s="1576"/>
      <c r="H40" s="1576"/>
      <c r="I40" s="1576"/>
      <c r="J40" s="1576"/>
      <c r="K40" s="1576"/>
      <c r="L40" s="1576"/>
      <c r="M40" s="1576"/>
      <c r="N40" s="1576"/>
      <c r="O40" s="109"/>
      <c r="P40" s="40"/>
      <c r="Q40" s="40"/>
      <c r="R40" s="40"/>
      <c r="S40" s="40"/>
      <c r="T40" s="40"/>
      <c r="U40" s="40"/>
      <c r="V40" s="40"/>
      <c r="W40" s="40"/>
      <c r="X40" s="40"/>
      <c r="Y40" s="40"/>
      <c r="Z40" s="40"/>
      <c r="AA40" s="40"/>
      <c r="AB40" s="40"/>
      <c r="AC40" s="40"/>
      <c r="AD40" s="40"/>
      <c r="AE40" s="40"/>
      <c r="AF40" s="40"/>
      <c r="AG40" s="40"/>
      <c r="AH40" s="40"/>
      <c r="AI40" s="40"/>
      <c r="AJ40" s="40"/>
      <c r="AK40" s="40"/>
      <c r="AL40" s="40"/>
      <c r="AM40" s="40"/>
      <c r="AN40" s="40"/>
      <c r="AO40" s="40"/>
      <c r="AP40" s="40"/>
      <c r="AQ40" s="40"/>
      <c r="AR40" s="40"/>
      <c r="AS40" s="40"/>
      <c r="AT40" s="40"/>
      <c r="AU40" s="40"/>
      <c r="AV40" s="40"/>
      <c r="AW40" s="40"/>
      <c r="AX40" s="40"/>
      <c r="AY40" s="40"/>
      <c r="AZ40" s="40"/>
    </row>
    <row r="41" spans="1:52" ht="18" customHeight="1">
      <c r="A41" s="40"/>
      <c r="B41" s="2252" t="s">
        <v>742</v>
      </c>
      <c r="C41" s="2246"/>
      <c r="D41" s="1608">
        <f ca="1">D36-D37-D38</f>
        <v>17063.70639417311</v>
      </c>
      <c r="E41" s="1583">
        <f ca="1">D41/D36</f>
        <v>0.94786779597654769</v>
      </c>
      <c r="F41" s="1576"/>
      <c r="G41" s="1576"/>
      <c r="H41" s="1576"/>
      <c r="I41" s="1576"/>
      <c r="J41" s="1576"/>
      <c r="K41" s="1576"/>
      <c r="L41" s="1576"/>
      <c r="M41" s="1576"/>
      <c r="N41" s="1576"/>
      <c r="O41" s="109"/>
      <c r="P41" s="40"/>
      <c r="Q41" s="40"/>
      <c r="R41" s="40"/>
      <c r="S41" s="40"/>
      <c r="T41" s="40"/>
      <c r="U41" s="40"/>
      <c r="V41" s="40"/>
      <c r="W41" s="40"/>
      <c r="X41" s="40"/>
      <c r="Y41" s="40"/>
      <c r="Z41" s="40"/>
      <c r="AA41" s="40"/>
      <c r="AB41" s="40"/>
      <c r="AC41" s="40"/>
      <c r="AD41" s="40"/>
      <c r="AE41" s="40"/>
      <c r="AF41" s="40"/>
      <c r="AG41" s="40"/>
      <c r="AH41" s="40"/>
      <c r="AI41" s="40"/>
      <c r="AJ41" s="40"/>
      <c r="AK41" s="40"/>
      <c r="AL41" s="40"/>
      <c r="AM41" s="40"/>
      <c r="AN41" s="40"/>
      <c r="AO41" s="40"/>
      <c r="AP41" s="40"/>
      <c r="AQ41" s="40"/>
      <c r="AR41" s="40"/>
      <c r="AS41" s="40"/>
      <c r="AT41" s="40"/>
      <c r="AU41" s="40"/>
      <c r="AV41" s="40"/>
      <c r="AW41" s="40"/>
      <c r="AX41" s="40"/>
      <c r="AY41" s="40"/>
      <c r="AZ41" s="40"/>
    </row>
    <row r="42" spans="1:52" ht="18" customHeight="1">
      <c r="A42" s="40"/>
      <c r="B42" s="2252" t="s">
        <v>743</v>
      </c>
      <c r="C42" s="2246"/>
      <c r="D42" s="1608">
        <f>公司说明!C6</f>
        <v>522.6</v>
      </c>
      <c r="E42" s="1583"/>
      <c r="F42" s="1576"/>
      <c r="G42" s="1576"/>
      <c r="H42" s="1576"/>
      <c r="I42" s="1576"/>
      <c r="J42" s="1576"/>
      <c r="K42" s="1576"/>
      <c r="L42" s="1576"/>
      <c r="M42" s="1576"/>
      <c r="N42" s="1576"/>
      <c r="O42" s="109"/>
      <c r="P42" s="40"/>
      <c r="Q42" s="40"/>
      <c r="R42" s="40"/>
      <c r="S42" s="40"/>
      <c r="T42" s="40"/>
      <c r="U42" s="40"/>
      <c r="V42" s="40"/>
      <c r="W42" s="40"/>
      <c r="X42" s="40"/>
      <c r="Y42" s="40"/>
      <c r="Z42" s="40"/>
      <c r="AA42" s="40"/>
      <c r="AB42" s="40"/>
      <c r="AC42" s="40"/>
      <c r="AD42" s="40"/>
      <c r="AE42" s="40"/>
      <c r="AF42" s="40"/>
      <c r="AG42" s="40"/>
      <c r="AH42" s="40"/>
      <c r="AI42" s="40"/>
      <c r="AJ42" s="40"/>
      <c r="AK42" s="40"/>
      <c r="AL42" s="40"/>
      <c r="AM42" s="40"/>
      <c r="AN42" s="40"/>
      <c r="AO42" s="40"/>
      <c r="AP42" s="40"/>
      <c r="AQ42" s="40"/>
      <c r="AR42" s="40"/>
      <c r="AS42" s="40"/>
      <c r="AT42" s="40"/>
      <c r="AU42" s="40"/>
      <c r="AV42" s="40"/>
      <c r="AW42" s="40"/>
      <c r="AX42" s="40"/>
      <c r="AY42" s="40"/>
      <c r="AZ42" s="40"/>
    </row>
    <row r="43" spans="1:52" ht="18" customHeight="1" thickBot="1">
      <c r="A43" s="40"/>
      <c r="B43" s="2255" t="s">
        <v>744</v>
      </c>
      <c r="C43" s="2256" t="str">
        <f>F11&amp;"年末"</f>
        <v>2019年末</v>
      </c>
      <c r="D43" s="1687">
        <f ca="1">D41/D42</f>
        <v>32.651562177904914</v>
      </c>
      <c r="E43" s="1587"/>
      <c r="F43" s="1576"/>
      <c r="G43" s="1576"/>
      <c r="H43" s="1576"/>
      <c r="I43" s="1576"/>
      <c r="J43" s="1576"/>
      <c r="K43" s="1576"/>
      <c r="L43" s="1576"/>
      <c r="M43" s="1576"/>
      <c r="N43" s="1576"/>
      <c r="O43" s="109"/>
      <c r="P43" s="40"/>
      <c r="Q43" s="40"/>
      <c r="R43" s="40"/>
      <c r="S43" s="40"/>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row>
    <row r="44" spans="1:52" ht="18" customHeight="1" thickBot="1">
      <c r="A44" s="40"/>
      <c r="B44" s="2257" t="s">
        <v>745</v>
      </c>
      <c r="C44" s="2258">
        <f ca="1">公司说明!E10</f>
        <v>43930</v>
      </c>
      <c r="D44" s="1688">
        <f ca="1">D43*(1+资金成本!$C$12)^(E44/365)</f>
        <v>33.191258174344782</v>
      </c>
      <c r="E44" s="1588">
        <f ca="1">_xlfn.DAYS(C44,DATE(YEAR(C44),1,1))+1</f>
        <v>100</v>
      </c>
      <c r="F44" s="1576"/>
      <c r="G44" s="1576"/>
      <c r="H44" s="1576"/>
      <c r="I44" s="1576"/>
      <c r="J44" s="1576"/>
      <c r="K44" s="1576"/>
      <c r="L44" s="1576"/>
      <c r="M44" s="1576"/>
      <c r="N44" s="1576"/>
      <c r="O44" s="109"/>
      <c r="P44" s="40"/>
      <c r="Q44" s="40"/>
      <c r="R44" s="40"/>
      <c r="S44" s="40"/>
      <c r="T44" s="40"/>
      <c r="U44" s="40"/>
      <c r="V44" s="40"/>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row>
    <row r="45" spans="1:52" ht="15" thickBot="1">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row>
    <row r="46" spans="1:52" ht="18" customHeight="1">
      <c r="A46" s="40"/>
      <c r="B46" s="180" t="s">
        <v>751</v>
      </c>
      <c r="C46" s="181"/>
      <c r="D46" s="181"/>
      <c r="E46" s="181"/>
      <c r="F46" s="181"/>
      <c r="G46" s="181"/>
      <c r="H46" s="181"/>
      <c r="I46" s="181"/>
      <c r="J46" s="181"/>
      <c r="K46" s="181"/>
      <c r="L46" s="182"/>
      <c r="M46" s="40"/>
      <c r="N46" s="40"/>
      <c r="O46" s="40"/>
      <c r="P46" s="40"/>
      <c r="Q46" s="40"/>
      <c r="R46" s="40"/>
      <c r="S46" s="40"/>
      <c r="T46" s="40"/>
      <c r="U46" s="40"/>
      <c r="V46" s="40"/>
      <c r="W46" s="40"/>
      <c r="X46" s="40"/>
      <c r="Y46" s="40"/>
      <c r="Z46" s="40"/>
      <c r="AA46" s="40"/>
      <c r="AB46" s="40"/>
      <c r="AC46" s="40"/>
      <c r="AD46" s="40"/>
      <c r="AE46" s="40"/>
      <c r="AF46" s="40"/>
      <c r="AG46" s="40"/>
      <c r="AH46" s="40"/>
      <c r="AI46" s="40"/>
      <c r="AJ46" s="40"/>
      <c r="AK46" s="40"/>
      <c r="AL46" s="40"/>
      <c r="AM46" s="40"/>
      <c r="AN46" s="40"/>
      <c r="AO46" s="40"/>
      <c r="AP46" s="40"/>
      <c r="AQ46" s="40"/>
      <c r="AR46" s="40"/>
      <c r="AS46" s="40"/>
      <c r="AT46" s="40"/>
      <c r="AU46" s="40"/>
      <c r="AV46" s="40"/>
      <c r="AW46" s="40"/>
      <c r="AX46" s="40"/>
      <c r="AY46" s="40"/>
      <c r="AZ46" s="40"/>
    </row>
    <row r="47" spans="1:52" ht="18" customHeight="1">
      <c r="A47" s="40"/>
      <c r="B47" s="2259" t="s">
        <v>744</v>
      </c>
      <c r="C47" s="2260"/>
      <c r="D47" s="2261"/>
      <c r="E47" s="2261"/>
      <c r="F47" s="2261"/>
      <c r="G47" s="2262"/>
      <c r="H47" s="2263" t="s">
        <v>752</v>
      </c>
      <c r="I47" s="2261"/>
      <c r="J47" s="2261"/>
      <c r="K47" s="2261"/>
      <c r="L47" s="2264"/>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c r="AN47" s="40"/>
      <c r="AO47" s="40"/>
      <c r="AP47" s="40"/>
      <c r="AQ47" s="40"/>
      <c r="AR47" s="40"/>
      <c r="AS47" s="40"/>
      <c r="AT47" s="40"/>
      <c r="AU47" s="40"/>
      <c r="AV47" s="40"/>
      <c r="AW47" s="40"/>
      <c r="AX47" s="40"/>
      <c r="AY47" s="40"/>
      <c r="AZ47" s="40"/>
    </row>
    <row r="48" spans="1:52" ht="18" customHeight="1">
      <c r="A48" s="40"/>
      <c r="B48" s="28"/>
      <c r="C48" s="465">
        <f ca="1">D43</f>
        <v>32.651562177904914</v>
      </c>
      <c r="D48" s="1596">
        <f>E48-0.5%</f>
        <v>0</v>
      </c>
      <c r="E48" s="1596">
        <f>F48-0.5%</f>
        <v>4.9999999999999984E-3</v>
      </c>
      <c r="F48" s="1596">
        <f>G48-0.5%</f>
        <v>9.9999999999999985E-3</v>
      </c>
      <c r="G48" s="1596">
        <f>H48-0.5%</f>
        <v>1.4999999999999999E-2</v>
      </c>
      <c r="H48" s="2276">
        <v>0.02</v>
      </c>
      <c r="I48" s="1596">
        <f>H48+0.5%</f>
        <v>2.5000000000000001E-2</v>
      </c>
      <c r="J48" s="1596">
        <f>I48+0.5%</f>
        <v>3.0000000000000002E-2</v>
      </c>
      <c r="K48" s="1596">
        <f>J48+0.5%</f>
        <v>3.5000000000000003E-2</v>
      </c>
      <c r="L48" s="1597">
        <f>K48+0.5%</f>
        <v>0.04</v>
      </c>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row>
    <row r="49" spans="1:52" ht="18" customHeight="1">
      <c r="A49" s="40"/>
      <c r="B49" s="29"/>
      <c r="C49" s="1643">
        <f>C50-0.5%</f>
        <v>0.10999999999999999</v>
      </c>
      <c r="D49" s="1598">
        <f t="dataTable" ref="D49:L55" dt2D="1" dtr="0" r1="D7" r2="G4" ca="1"/>
        <v>22.777209590444649</v>
      </c>
      <c r="E49" s="1598">
        <v>22.838828654276409</v>
      </c>
      <c r="F49" s="1598">
        <v>22.905992669996728</v>
      </c>
      <c r="G49" s="1598">
        <v>22.979587774499098</v>
      </c>
      <c r="H49" s="1599">
        <v>23.06069729043999</v>
      </c>
      <c r="I49" s="1598">
        <v>23.150659724991652</v>
      </c>
      <c r="J49" s="1598">
        <v>23.251148518143392</v>
      </c>
      <c r="K49" s="1598">
        <v>23.364283690343068</v>
      </c>
      <c r="L49" s="1600">
        <v>23.492791339146336</v>
      </c>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c r="AZ49" s="40"/>
    </row>
    <row r="50" spans="1:52" ht="18" customHeight="1">
      <c r="A50" s="40"/>
      <c r="B50" s="29"/>
      <c r="C50" s="1643">
        <f>C51-0.5%</f>
        <v>0.11499999999999999</v>
      </c>
      <c r="D50" s="1598">
        <v>22.196290637762242</v>
      </c>
      <c r="E50" s="1598">
        <v>22.252267309188756</v>
      </c>
      <c r="F50" s="1598">
        <v>22.313024665153637</v>
      </c>
      <c r="G50" s="1598">
        <v>22.379289209863764</v>
      </c>
      <c r="H50" s="1599">
        <v>22.45194063078586</v>
      </c>
      <c r="I50" s="1598">
        <v>22.532054352134995</v>
      </c>
      <c r="J50" s="1598">
        <v>22.62095910725612</v>
      </c>
      <c r="K50" s="1598">
        <v>22.720316100664878</v>
      </c>
      <c r="L50" s="1600">
        <v>22.832229834921804</v>
      </c>
      <c r="M50" s="40"/>
      <c r="N50" s="40"/>
      <c r="O50" s="40"/>
      <c r="P50" s="40"/>
      <c r="Q50" s="40"/>
      <c r="R50" s="40"/>
      <c r="S50" s="40"/>
      <c r="T50" s="40"/>
      <c r="U50" s="40"/>
      <c r="V50" s="40"/>
      <c r="W50" s="40"/>
      <c r="X50" s="40"/>
      <c r="Y50" s="40"/>
      <c r="Z50" s="40"/>
      <c r="AA50" s="40"/>
      <c r="AB50" s="40"/>
      <c r="AC50" s="40"/>
      <c r="AD50" s="40"/>
      <c r="AE50" s="40"/>
      <c r="AF50" s="40"/>
      <c r="AG50" s="40"/>
      <c r="AH50" s="40"/>
      <c r="AI50" s="40"/>
      <c r="AJ50" s="40"/>
      <c r="AK50" s="40"/>
      <c r="AL50" s="40"/>
      <c r="AM50" s="40"/>
      <c r="AN50" s="40"/>
      <c r="AO50" s="40"/>
      <c r="AP50" s="40"/>
      <c r="AQ50" s="40"/>
      <c r="AR50" s="40"/>
      <c r="AS50" s="40"/>
      <c r="AT50" s="40"/>
      <c r="AU50" s="40"/>
      <c r="AV50" s="40"/>
      <c r="AW50" s="40"/>
      <c r="AX50" s="40"/>
      <c r="AY50" s="40"/>
      <c r="AZ50" s="40"/>
    </row>
    <row r="51" spans="1:52" ht="18" customHeight="1">
      <c r="A51" s="40"/>
      <c r="B51" s="2259" t="s">
        <v>713</v>
      </c>
      <c r="C51" s="1643">
        <f>C52-0.5%</f>
        <v>0.12</v>
      </c>
      <c r="D51" s="1598">
        <v>21.642140234037377</v>
      </c>
      <c r="E51" s="1598">
        <v>21.693108202018134</v>
      </c>
      <c r="F51" s="1598">
        <v>21.748216796354658</v>
      </c>
      <c r="G51" s="1598">
        <v>21.808065876940887</v>
      </c>
      <c r="H51" s="1599">
        <v>21.873375483508617</v>
      </c>
      <c r="I51" s="1598">
        <v>21.945017464177308</v>
      </c>
      <c r="J51" s="1598">
        <v>22.024057646866883</v>
      </c>
      <c r="K51" s="1598">
        <v>22.111812894752884</v>
      </c>
      <c r="L51" s="1600">
        <v>22.209929557531925</v>
      </c>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c r="AW51" s="40"/>
      <c r="AX51" s="40"/>
      <c r="AY51" s="40"/>
      <c r="AZ51" s="40"/>
    </row>
    <row r="52" spans="1:52" ht="18" customHeight="1">
      <c r="A52" s="40"/>
      <c r="B52" s="31">
        <v>0</v>
      </c>
      <c r="C52" s="1650">
        <v>0.125</v>
      </c>
      <c r="D52" s="1599">
        <v>21.113162809649054</v>
      </c>
      <c r="E52" s="1599">
        <v>21.159669170658301</v>
      </c>
      <c r="F52" s="1599">
        <v>21.20977685359713</v>
      </c>
      <c r="G52" s="1599">
        <v>21.263984363503742</v>
      </c>
      <c r="H52" s="1599">
        <v>21.322885343079029</v>
      </c>
      <c r="I52" s="1599">
        <v>21.387192359115037</v>
      </c>
      <c r="J52" s="1599">
        <v>21.457768200438615</v>
      </c>
      <c r="K52" s="1599">
        <v>21.535667608515503</v>
      </c>
      <c r="L52" s="1601">
        <v>21.622193736515783</v>
      </c>
      <c r="M52" s="40"/>
      <c r="N52" s="40"/>
      <c r="O52" s="40"/>
      <c r="P52" s="40"/>
      <c r="Q52" s="40"/>
      <c r="R52" s="40"/>
      <c r="S52" s="40"/>
      <c r="T52" s="40"/>
      <c r="U52" s="40"/>
      <c r="V52" s="40"/>
      <c r="W52" s="40"/>
      <c r="X52" s="40"/>
      <c r="Y52" s="40"/>
      <c r="Z52" s="40"/>
      <c r="AA52" s="40"/>
      <c r="AB52" s="40"/>
      <c r="AC52" s="40"/>
      <c r="AD52" s="40"/>
      <c r="AE52" s="40"/>
      <c r="AF52" s="40"/>
      <c r="AG52" s="40"/>
      <c r="AH52" s="40"/>
      <c r="AI52" s="40"/>
      <c r="AJ52" s="40"/>
      <c r="AK52" s="40"/>
      <c r="AL52" s="40"/>
      <c r="AM52" s="40"/>
      <c r="AN52" s="40"/>
      <c r="AO52" s="40"/>
      <c r="AP52" s="40"/>
      <c r="AQ52" s="40"/>
      <c r="AR52" s="40"/>
      <c r="AS52" s="40"/>
      <c r="AT52" s="40"/>
      <c r="AU52" s="40"/>
      <c r="AV52" s="40"/>
      <c r="AW52" s="40"/>
      <c r="AX52" s="40"/>
      <c r="AY52" s="40"/>
      <c r="AZ52" s="40"/>
    </row>
    <row r="53" spans="1:52" ht="18" customHeight="1">
      <c r="A53" s="40"/>
      <c r="B53" s="29"/>
      <c r="C53" s="1643">
        <f>C52+0.5%</f>
        <v>0.13</v>
      </c>
      <c r="D53" s="1598">
        <v>20.607878388162788</v>
      </c>
      <c r="E53" s="1598">
        <v>20.650397838627079</v>
      </c>
      <c r="F53" s="1598">
        <v>20.696061666403491</v>
      </c>
      <c r="G53" s="1598">
        <v>20.745286611378646</v>
      </c>
      <c r="H53" s="1599">
        <v>20.798565348162082</v>
      </c>
      <c r="I53" s="1598">
        <v>20.856484567566422</v>
      </c>
      <c r="J53" s="1598">
        <v>20.919748482541753</v>
      </c>
      <c r="K53" s="1598">
        <v>20.989209757047686</v>
      </c>
      <c r="L53" s="1600">
        <v>21.065910744560711</v>
      </c>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c r="AW53" s="40"/>
      <c r="AX53" s="40"/>
      <c r="AY53" s="40"/>
      <c r="AZ53" s="40"/>
    </row>
    <row r="54" spans="1:52" ht="18" customHeight="1">
      <c r="A54" s="40"/>
      <c r="B54" s="29"/>
      <c r="C54" s="1643">
        <f>C53+0.5%</f>
        <v>0.13500000000000001</v>
      </c>
      <c r="D54" s="1598">
        <v>20.124912702152329</v>
      </c>
      <c r="E54" s="1598">
        <v>20.163858996389401</v>
      </c>
      <c r="F54" s="1598">
        <v>20.20556052329734</v>
      </c>
      <c r="G54" s="1598">
        <v>20.250367576828896</v>
      </c>
      <c r="H54" s="1599">
        <v>20.298691517561746</v>
      </c>
      <c r="I54" s="1598">
        <v>20.351018653062408</v>
      </c>
      <c r="J54" s="1598">
        <v>20.40792808407744</v>
      </c>
      <c r="K54" s="1598">
        <v>20.47011490459175</v>
      </c>
      <c r="L54" s="1600">
        <v>20.538420728230964</v>
      </c>
      <c r="M54" s="40"/>
      <c r="N54" s="40"/>
      <c r="O54" s="40"/>
      <c r="P54" s="40"/>
      <c r="Q54" s="40"/>
      <c r="R54" s="40"/>
      <c r="S54" s="40"/>
      <c r="T54" s="40"/>
      <c r="U54" s="40"/>
      <c r="V54" s="40"/>
      <c r="W54" s="40"/>
      <c r="X54" s="40"/>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row>
    <row r="55" spans="1:52" ht="18" customHeight="1" thickBot="1">
      <c r="A55" s="40"/>
      <c r="B55" s="32"/>
      <c r="C55" s="1647">
        <f>C54+0.5%</f>
        <v>0.14000000000000001</v>
      </c>
      <c r="D55" s="1602">
        <v>19.662988289628128</v>
      </c>
      <c r="E55" s="1602">
        <v>19.698723568836161</v>
      </c>
      <c r="F55" s="1602">
        <v>19.736881112316272</v>
      </c>
      <c r="G55" s="1602">
        <v>19.777756852479726</v>
      </c>
      <c r="H55" s="1603">
        <v>19.821696174059319</v>
      </c>
      <c r="I55" s="1602">
        <v>19.869104666026232</v>
      </c>
      <c r="J55" s="1602">
        <v>19.920461805855716</v>
      </c>
      <c r="K55" s="1602">
        <v>19.976338553591802</v>
      </c>
      <c r="L55" s="1604">
        <v>20.037420224140032</v>
      </c>
      <c r="M55" s="40"/>
      <c r="N55" s="40"/>
      <c r="O55" s="40"/>
      <c r="P55" s="40"/>
      <c r="Q55" s="40"/>
      <c r="R55" s="40"/>
      <c r="S55" s="40"/>
      <c r="T55" s="40"/>
      <c r="U55" s="40"/>
      <c r="V55" s="40"/>
      <c r="W55" s="40"/>
      <c r="X55" s="40"/>
      <c r="Y55" s="40"/>
      <c r="Z55" s="40"/>
      <c r="AA55" s="40"/>
      <c r="AB55" s="40"/>
      <c r="AC55" s="40"/>
      <c r="AD55" s="40"/>
      <c r="AE55" s="40"/>
      <c r="AF55" s="40"/>
      <c r="AG55" s="40"/>
      <c r="AH55" s="40"/>
      <c r="AI55" s="40"/>
      <c r="AJ55" s="40"/>
      <c r="AK55" s="40"/>
      <c r="AL55" s="40"/>
      <c r="AM55" s="40"/>
      <c r="AN55" s="40"/>
      <c r="AO55" s="40"/>
      <c r="AP55" s="40"/>
      <c r="AQ55" s="40"/>
      <c r="AR55" s="40"/>
      <c r="AS55" s="40"/>
      <c r="AT55" s="40"/>
      <c r="AU55" s="40"/>
      <c r="AV55" s="40"/>
      <c r="AW55" s="40"/>
      <c r="AX55" s="40"/>
      <c r="AY55" s="40"/>
      <c r="AZ55" s="40"/>
    </row>
    <row r="56" spans="1:52">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row>
    <row r="57" spans="1:52">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c r="AA57" s="40"/>
      <c r="AB57" s="40"/>
      <c r="AC57" s="40"/>
      <c r="AD57" s="40"/>
      <c r="AE57" s="40"/>
      <c r="AF57" s="40"/>
      <c r="AG57" s="40"/>
      <c r="AH57" s="40"/>
      <c r="AI57" s="40"/>
      <c r="AJ57" s="40"/>
      <c r="AK57" s="40"/>
      <c r="AL57" s="40"/>
      <c r="AM57" s="40"/>
      <c r="AN57" s="40"/>
      <c r="AO57" s="40"/>
      <c r="AP57" s="40"/>
      <c r="AQ57" s="40"/>
      <c r="AR57" s="40"/>
      <c r="AS57" s="40"/>
      <c r="AT57" s="40"/>
      <c r="AU57" s="40"/>
      <c r="AV57" s="40"/>
      <c r="AW57" s="40"/>
      <c r="AX57" s="40"/>
      <c r="AY57" s="40"/>
      <c r="AZ57" s="40"/>
    </row>
    <row r="58" spans="1:52">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c r="AW58" s="40"/>
      <c r="AX58" s="40"/>
      <c r="AY58" s="40"/>
      <c r="AZ58" s="40"/>
    </row>
    <row r="59" spans="1:52">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row>
    <row r="60" spans="1:52">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c r="AW60" s="40"/>
      <c r="AX60" s="40"/>
      <c r="AY60" s="40"/>
      <c r="AZ60" s="40"/>
    </row>
    <row r="61" spans="1:52">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c r="AG61" s="40"/>
      <c r="AH61" s="40"/>
      <c r="AI61" s="40"/>
      <c r="AJ61" s="40"/>
      <c r="AK61" s="40"/>
      <c r="AL61" s="40"/>
      <c r="AM61" s="40"/>
      <c r="AN61" s="40"/>
      <c r="AO61" s="40"/>
      <c r="AP61" s="40"/>
      <c r="AQ61" s="40"/>
      <c r="AR61" s="40"/>
      <c r="AS61" s="40"/>
      <c r="AT61" s="40"/>
      <c r="AU61" s="40"/>
      <c r="AV61" s="40"/>
      <c r="AW61" s="40"/>
      <c r="AX61" s="40"/>
      <c r="AY61" s="40"/>
      <c r="AZ61" s="40"/>
    </row>
    <row r="62" spans="1:52">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c r="AG62" s="40"/>
      <c r="AH62" s="40"/>
      <c r="AI62" s="40"/>
      <c r="AJ62" s="40"/>
      <c r="AK62" s="40"/>
      <c r="AL62" s="40"/>
      <c r="AM62" s="40"/>
      <c r="AN62" s="40"/>
      <c r="AO62" s="40"/>
      <c r="AP62" s="40"/>
      <c r="AQ62" s="40"/>
      <c r="AR62" s="40"/>
      <c r="AS62" s="40"/>
      <c r="AT62" s="40"/>
      <c r="AU62" s="40"/>
      <c r="AV62" s="40"/>
      <c r="AW62" s="40"/>
      <c r="AX62" s="40"/>
      <c r="AY62" s="40"/>
      <c r="AZ62" s="40"/>
    </row>
    <row r="63" spans="1:52">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row>
    <row r="64" spans="1:52">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row>
    <row r="65" spans="1:52">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c r="AW65" s="40"/>
      <c r="AX65" s="40"/>
      <c r="AY65" s="40"/>
      <c r="AZ65" s="40"/>
    </row>
    <row r="66" spans="1:52">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c r="AW66" s="40"/>
      <c r="AX66" s="40"/>
      <c r="AY66" s="40"/>
      <c r="AZ66" s="40"/>
    </row>
    <row r="67" spans="1:52">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c r="AW67" s="40"/>
      <c r="AX67" s="40"/>
      <c r="AY67" s="40"/>
      <c r="AZ67" s="40"/>
    </row>
    <row r="68" spans="1:52">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row>
    <row r="69" spans="1:52">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c r="AW69" s="40"/>
      <c r="AX69" s="40"/>
      <c r="AY69" s="40"/>
      <c r="AZ69" s="40"/>
    </row>
    <row r="70" spans="1:52">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K70" s="40"/>
      <c r="AL70" s="40"/>
      <c r="AM70" s="40"/>
      <c r="AN70" s="40"/>
      <c r="AO70" s="40"/>
      <c r="AP70" s="40"/>
      <c r="AQ70" s="40"/>
      <c r="AR70" s="40"/>
      <c r="AS70" s="40"/>
      <c r="AT70" s="40"/>
      <c r="AU70" s="40"/>
      <c r="AV70" s="40"/>
      <c r="AW70" s="40"/>
      <c r="AX70" s="40"/>
      <c r="AY70" s="40"/>
      <c r="AZ70" s="40"/>
    </row>
    <row r="71" spans="1:52">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row>
    <row r="72" spans="1:52">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S72" s="40"/>
      <c r="AT72" s="40"/>
      <c r="AU72" s="40"/>
      <c r="AV72" s="40"/>
      <c r="AW72" s="40"/>
      <c r="AX72" s="40"/>
      <c r="AY72" s="40"/>
      <c r="AZ72" s="40"/>
    </row>
    <row r="73" spans="1:52">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row>
    <row r="74" spans="1:52">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c r="AA74" s="40"/>
      <c r="AB74" s="40"/>
      <c r="AC74" s="40"/>
      <c r="AD74" s="40"/>
      <c r="AE74" s="40"/>
      <c r="AF74" s="40"/>
      <c r="AG74" s="40"/>
      <c r="AH74" s="40"/>
      <c r="AI74" s="40"/>
      <c r="AJ74" s="40"/>
      <c r="AK74" s="40"/>
      <c r="AL74" s="40"/>
      <c r="AM74" s="40"/>
      <c r="AN74" s="40"/>
      <c r="AO74" s="40"/>
      <c r="AP74" s="40"/>
      <c r="AQ74" s="40"/>
      <c r="AR74" s="40"/>
      <c r="AS74" s="40"/>
      <c r="AT74" s="40"/>
      <c r="AU74" s="40"/>
      <c r="AV74" s="40"/>
      <c r="AW74" s="40"/>
      <c r="AX74" s="40"/>
      <c r="AY74" s="40"/>
      <c r="AZ74" s="40"/>
    </row>
    <row r="75" spans="1:52">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c r="AA75" s="40"/>
      <c r="AB75" s="40"/>
      <c r="AC75" s="40"/>
      <c r="AD75" s="40"/>
      <c r="AE75" s="40"/>
      <c r="AF75" s="40"/>
      <c r="AG75" s="40"/>
      <c r="AH75" s="40"/>
      <c r="AI75" s="40"/>
      <c r="AJ75" s="40"/>
      <c r="AK75" s="40"/>
      <c r="AL75" s="40"/>
      <c r="AM75" s="40"/>
      <c r="AN75" s="40"/>
      <c r="AO75" s="40"/>
      <c r="AP75" s="40"/>
      <c r="AQ75" s="40"/>
      <c r="AR75" s="40"/>
      <c r="AS75" s="40"/>
      <c r="AT75" s="40"/>
      <c r="AU75" s="40"/>
      <c r="AV75" s="40"/>
      <c r="AW75" s="40"/>
      <c r="AX75" s="40"/>
      <c r="AY75" s="40"/>
      <c r="AZ75" s="40"/>
    </row>
    <row r="76" spans="1:52">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c r="AA76" s="40"/>
      <c r="AB76" s="40"/>
      <c r="AC76" s="40"/>
      <c r="AD76" s="40"/>
      <c r="AE76" s="40"/>
      <c r="AF76" s="40"/>
      <c r="AG76" s="40"/>
      <c r="AH76" s="40"/>
      <c r="AI76" s="40"/>
      <c r="AJ76" s="40"/>
      <c r="AK76" s="40"/>
      <c r="AL76" s="40"/>
      <c r="AM76" s="40"/>
      <c r="AN76" s="40"/>
      <c r="AO76" s="40"/>
      <c r="AP76" s="40"/>
      <c r="AQ76" s="40"/>
      <c r="AR76" s="40"/>
      <c r="AS76" s="40"/>
      <c r="AT76" s="40"/>
      <c r="AU76" s="40"/>
      <c r="AV76" s="40"/>
      <c r="AW76" s="40"/>
      <c r="AX76" s="40"/>
      <c r="AY76" s="40"/>
      <c r="AZ76" s="40"/>
    </row>
    <row r="77" spans="1:52">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row>
    <row r="78" spans="1:52">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c r="AA78" s="40"/>
      <c r="AB78" s="40"/>
      <c r="AC78" s="40"/>
      <c r="AD78" s="40"/>
      <c r="AE78" s="40"/>
      <c r="AF78" s="40"/>
      <c r="AG78" s="40"/>
      <c r="AH78" s="40"/>
      <c r="AI78" s="40"/>
      <c r="AJ78" s="40"/>
      <c r="AK78" s="40"/>
      <c r="AL78" s="40"/>
      <c r="AM78" s="40"/>
      <c r="AN78" s="40"/>
      <c r="AO78" s="40"/>
      <c r="AP78" s="40"/>
      <c r="AQ78" s="40"/>
      <c r="AR78" s="40"/>
      <c r="AS78" s="40"/>
      <c r="AT78" s="40"/>
      <c r="AU78" s="40"/>
      <c r="AV78" s="40"/>
      <c r="AW78" s="40"/>
      <c r="AX78" s="40"/>
      <c r="AY78" s="40"/>
      <c r="AZ78" s="40"/>
    </row>
    <row r="79" spans="1:52">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c r="AA79" s="40"/>
      <c r="AB79" s="40"/>
      <c r="AC79" s="40"/>
      <c r="AD79" s="40"/>
      <c r="AE79" s="40"/>
      <c r="AF79" s="40"/>
      <c r="AG79" s="40"/>
      <c r="AH79" s="40"/>
      <c r="AI79" s="40"/>
      <c r="AJ79" s="40"/>
      <c r="AK79" s="40"/>
      <c r="AL79" s="40"/>
      <c r="AM79" s="40"/>
      <c r="AN79" s="40"/>
      <c r="AO79" s="40"/>
      <c r="AP79" s="40"/>
      <c r="AQ79" s="40"/>
      <c r="AR79" s="40"/>
      <c r="AS79" s="40"/>
      <c r="AT79" s="40"/>
      <c r="AU79" s="40"/>
      <c r="AV79" s="40"/>
      <c r="AW79" s="40"/>
      <c r="AX79" s="40"/>
      <c r="AY79" s="40"/>
      <c r="AZ79" s="40"/>
    </row>
    <row r="80" spans="1:5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row>
    <row r="81" spans="1:52">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c r="AA81" s="40"/>
      <c r="AB81" s="40"/>
      <c r="AC81" s="40"/>
      <c r="AD81" s="40"/>
      <c r="AE81" s="40"/>
      <c r="AF81" s="40"/>
      <c r="AG81" s="40"/>
      <c r="AH81" s="40"/>
      <c r="AI81" s="40"/>
      <c r="AJ81" s="40"/>
      <c r="AK81" s="40"/>
      <c r="AL81" s="40"/>
      <c r="AM81" s="40"/>
      <c r="AN81" s="40"/>
      <c r="AO81" s="40"/>
      <c r="AP81" s="40"/>
      <c r="AQ81" s="40"/>
      <c r="AR81" s="40"/>
      <c r="AS81" s="40"/>
      <c r="AT81" s="40"/>
      <c r="AU81" s="40"/>
      <c r="AV81" s="40"/>
      <c r="AW81" s="40"/>
      <c r="AX81" s="40"/>
      <c r="AY81" s="40"/>
      <c r="AZ81" s="40"/>
    </row>
    <row r="82" spans="1:52">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c r="AA82" s="40"/>
      <c r="AB82" s="40"/>
      <c r="AC82" s="40"/>
      <c r="AD82" s="40"/>
      <c r="AE82" s="40"/>
      <c r="AF82" s="40"/>
      <c r="AG82" s="40"/>
      <c r="AH82" s="40"/>
      <c r="AI82" s="40"/>
      <c r="AJ82" s="40"/>
      <c r="AK82" s="40"/>
      <c r="AL82" s="40"/>
      <c r="AM82" s="40"/>
      <c r="AN82" s="40"/>
      <c r="AO82" s="40"/>
      <c r="AP82" s="40"/>
      <c r="AQ82" s="40"/>
      <c r="AR82" s="40"/>
      <c r="AS82" s="40"/>
      <c r="AT82" s="40"/>
      <c r="AU82" s="40"/>
      <c r="AV82" s="40"/>
      <c r="AW82" s="40"/>
      <c r="AX82" s="40"/>
      <c r="AY82" s="40"/>
      <c r="AZ82" s="40"/>
    </row>
    <row r="83" spans="1:52">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row>
    <row r="84" spans="1:52">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row>
    <row r="85" spans="1:52">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c r="AA85" s="40"/>
      <c r="AB85" s="40"/>
      <c r="AC85" s="40"/>
      <c r="AD85" s="40"/>
      <c r="AE85" s="40"/>
      <c r="AF85" s="40"/>
      <c r="AG85" s="40"/>
      <c r="AH85" s="40"/>
      <c r="AI85" s="40"/>
      <c r="AJ85" s="40"/>
      <c r="AK85" s="40"/>
      <c r="AL85" s="40"/>
      <c r="AM85" s="40"/>
      <c r="AN85" s="40"/>
      <c r="AO85" s="40"/>
      <c r="AP85" s="40"/>
      <c r="AQ85" s="40"/>
      <c r="AR85" s="40"/>
      <c r="AS85" s="40"/>
      <c r="AT85" s="40"/>
      <c r="AU85" s="40"/>
      <c r="AV85" s="40"/>
      <c r="AW85" s="40"/>
      <c r="AX85" s="40"/>
      <c r="AY85" s="40"/>
      <c r="AZ85" s="40"/>
    </row>
    <row r="86" spans="1:52">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c r="AA86" s="40"/>
      <c r="AB86" s="40"/>
      <c r="AC86" s="40"/>
      <c r="AD86" s="40"/>
      <c r="AE86" s="40"/>
      <c r="AF86" s="40"/>
      <c r="AG86" s="40"/>
      <c r="AH86" s="40"/>
      <c r="AI86" s="40"/>
      <c r="AJ86" s="40"/>
      <c r="AK86" s="40"/>
      <c r="AL86" s="40"/>
      <c r="AM86" s="40"/>
      <c r="AN86" s="40"/>
      <c r="AO86" s="40"/>
      <c r="AP86" s="40"/>
      <c r="AQ86" s="40"/>
      <c r="AR86" s="40"/>
      <c r="AS86" s="40"/>
      <c r="AT86" s="40"/>
      <c r="AU86" s="40"/>
      <c r="AV86" s="40"/>
      <c r="AW86" s="40"/>
      <c r="AX86" s="40"/>
      <c r="AY86" s="40"/>
      <c r="AZ86" s="40"/>
    </row>
    <row r="87" spans="1:5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row>
    <row r="88" spans="1:52">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c r="AA88" s="40"/>
      <c r="AB88" s="40"/>
      <c r="AC88" s="40"/>
      <c r="AD88" s="40"/>
      <c r="AE88" s="40"/>
      <c r="AF88" s="40"/>
      <c r="AG88" s="40"/>
      <c r="AH88" s="40"/>
      <c r="AI88" s="40"/>
      <c r="AJ88" s="40"/>
      <c r="AK88" s="40"/>
      <c r="AL88" s="40"/>
      <c r="AM88" s="40"/>
      <c r="AN88" s="40"/>
      <c r="AO88" s="40"/>
      <c r="AP88" s="40"/>
      <c r="AQ88" s="40"/>
      <c r="AR88" s="40"/>
      <c r="AS88" s="40"/>
      <c r="AT88" s="40"/>
      <c r="AU88" s="40"/>
      <c r="AV88" s="40"/>
      <c r="AW88" s="40"/>
      <c r="AX88" s="40"/>
      <c r="AY88" s="40"/>
      <c r="AZ88" s="40"/>
    </row>
    <row r="89" spans="1:52">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c r="AA89" s="40"/>
      <c r="AB89" s="40"/>
      <c r="AC89" s="40"/>
      <c r="AD89" s="40"/>
      <c r="AE89" s="40"/>
      <c r="AF89" s="40"/>
      <c r="AG89" s="40"/>
      <c r="AH89" s="40"/>
      <c r="AI89" s="40"/>
      <c r="AJ89" s="40"/>
      <c r="AK89" s="40"/>
      <c r="AL89" s="40"/>
      <c r="AM89" s="40"/>
      <c r="AN89" s="40"/>
      <c r="AO89" s="40"/>
      <c r="AP89" s="40"/>
      <c r="AQ89" s="40"/>
      <c r="AR89" s="40"/>
      <c r="AS89" s="40"/>
      <c r="AT89" s="40"/>
      <c r="AU89" s="40"/>
      <c r="AV89" s="40"/>
      <c r="AW89" s="40"/>
      <c r="AX89" s="40"/>
      <c r="AY89" s="40"/>
      <c r="AZ89" s="40"/>
    </row>
    <row r="90" spans="1:52">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c r="AA90" s="40"/>
      <c r="AB90" s="40"/>
      <c r="AC90" s="40"/>
      <c r="AD90" s="40"/>
      <c r="AE90" s="40"/>
      <c r="AF90" s="40"/>
      <c r="AG90" s="40"/>
      <c r="AH90" s="40"/>
      <c r="AI90" s="40"/>
      <c r="AJ90" s="40"/>
      <c r="AK90" s="40"/>
      <c r="AL90" s="40"/>
      <c r="AM90" s="40"/>
      <c r="AN90" s="40"/>
      <c r="AO90" s="40"/>
      <c r="AP90" s="40"/>
      <c r="AQ90" s="40"/>
      <c r="AR90" s="40"/>
      <c r="AS90" s="40"/>
      <c r="AT90" s="40"/>
      <c r="AU90" s="40"/>
      <c r="AV90" s="40"/>
      <c r="AW90" s="40"/>
      <c r="AX90" s="40"/>
      <c r="AY90" s="40"/>
      <c r="AZ90" s="40"/>
    </row>
    <row r="91" spans="1:52">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c r="AA91" s="40"/>
      <c r="AB91" s="40"/>
      <c r="AC91" s="40"/>
      <c r="AD91" s="40"/>
      <c r="AE91" s="40"/>
      <c r="AF91" s="40"/>
      <c r="AG91" s="40"/>
      <c r="AH91" s="40"/>
      <c r="AI91" s="40"/>
      <c r="AJ91" s="40"/>
      <c r="AK91" s="40"/>
      <c r="AL91" s="40"/>
      <c r="AM91" s="40"/>
      <c r="AN91" s="40"/>
      <c r="AO91" s="40"/>
      <c r="AP91" s="40"/>
      <c r="AQ91" s="40"/>
      <c r="AR91" s="40"/>
      <c r="AS91" s="40"/>
      <c r="AT91" s="40"/>
      <c r="AU91" s="40"/>
      <c r="AV91" s="40"/>
      <c r="AW91" s="40"/>
      <c r="AX91" s="40"/>
      <c r="AY91" s="40"/>
      <c r="AZ91" s="40"/>
    </row>
    <row r="92" spans="1:52">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row>
    <row r="93" spans="1:52">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c r="AA93" s="40"/>
      <c r="AB93" s="40"/>
      <c r="AC93" s="40"/>
      <c r="AD93" s="40"/>
      <c r="AE93" s="40"/>
      <c r="AF93" s="40"/>
      <c r="AG93" s="40"/>
      <c r="AH93" s="40"/>
      <c r="AI93" s="40"/>
      <c r="AJ93" s="40"/>
      <c r="AK93" s="40"/>
      <c r="AL93" s="40"/>
      <c r="AM93" s="40"/>
      <c r="AN93" s="40"/>
      <c r="AO93" s="40"/>
      <c r="AP93" s="40"/>
      <c r="AQ93" s="40"/>
      <c r="AR93" s="40"/>
      <c r="AS93" s="40"/>
      <c r="AT93" s="40"/>
      <c r="AU93" s="40"/>
      <c r="AV93" s="40"/>
      <c r="AW93" s="40"/>
      <c r="AX93" s="40"/>
      <c r="AY93" s="40"/>
      <c r="AZ93" s="40"/>
    </row>
    <row r="94" spans="1:52">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c r="AA94" s="40"/>
      <c r="AB94" s="40"/>
      <c r="AC94" s="40"/>
      <c r="AD94" s="40"/>
      <c r="AE94" s="40"/>
      <c r="AF94" s="40"/>
      <c r="AG94" s="40"/>
      <c r="AH94" s="40"/>
      <c r="AI94" s="40"/>
      <c r="AJ94" s="40"/>
      <c r="AK94" s="40"/>
      <c r="AL94" s="40"/>
      <c r="AM94" s="40"/>
      <c r="AN94" s="40"/>
      <c r="AO94" s="40"/>
      <c r="AP94" s="40"/>
      <c r="AQ94" s="40"/>
      <c r="AR94" s="40"/>
      <c r="AS94" s="40"/>
      <c r="AT94" s="40"/>
      <c r="AU94" s="40"/>
      <c r="AV94" s="40"/>
      <c r="AW94" s="40"/>
      <c r="AX94" s="40"/>
      <c r="AY94" s="40"/>
      <c r="AZ94" s="40"/>
    </row>
    <row r="95" spans="1:52">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c r="AA95" s="40"/>
      <c r="AB95" s="40"/>
      <c r="AC95" s="40"/>
      <c r="AD95" s="40"/>
      <c r="AE95" s="40"/>
      <c r="AF95" s="40"/>
      <c r="AG95" s="40"/>
      <c r="AH95" s="40"/>
      <c r="AI95" s="40"/>
      <c r="AJ95" s="40"/>
      <c r="AK95" s="40"/>
      <c r="AL95" s="40"/>
      <c r="AM95" s="40"/>
      <c r="AN95" s="40"/>
      <c r="AO95" s="40"/>
      <c r="AP95" s="40"/>
      <c r="AQ95" s="40"/>
      <c r="AR95" s="40"/>
      <c r="AS95" s="40"/>
      <c r="AT95" s="40"/>
      <c r="AU95" s="40"/>
      <c r="AV95" s="40"/>
      <c r="AW95" s="40"/>
      <c r="AX95" s="40"/>
      <c r="AY95" s="40"/>
      <c r="AZ95" s="40"/>
    </row>
    <row r="96" spans="1:52">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row>
    <row r="97" spans="1:5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row>
    <row r="98" spans="1:52">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c r="AA98" s="40"/>
      <c r="AB98" s="40"/>
      <c r="AC98" s="40"/>
      <c r="AD98" s="40"/>
      <c r="AE98" s="40"/>
      <c r="AF98" s="40"/>
      <c r="AG98" s="40"/>
      <c r="AH98" s="40"/>
      <c r="AI98" s="40"/>
      <c r="AJ98" s="40"/>
      <c r="AK98" s="40"/>
      <c r="AL98" s="40"/>
      <c r="AM98" s="40"/>
      <c r="AN98" s="40"/>
      <c r="AO98" s="40"/>
      <c r="AP98" s="40"/>
      <c r="AQ98" s="40"/>
      <c r="AR98" s="40"/>
      <c r="AS98" s="40"/>
      <c r="AT98" s="40"/>
      <c r="AU98" s="40"/>
      <c r="AV98" s="40"/>
      <c r="AW98" s="40"/>
      <c r="AX98" s="40"/>
      <c r="AY98" s="40"/>
      <c r="AZ98" s="40"/>
    </row>
    <row r="99" spans="1:52">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row>
    <row r="100" spans="1:52">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c r="AA100" s="40"/>
      <c r="AB100" s="40"/>
      <c r="AC100" s="40"/>
      <c r="AD100" s="40"/>
      <c r="AE100" s="40"/>
      <c r="AF100" s="40"/>
      <c r="AG100" s="40"/>
      <c r="AH100" s="40"/>
      <c r="AI100" s="40"/>
      <c r="AJ100" s="40"/>
      <c r="AK100" s="40"/>
      <c r="AL100" s="40"/>
      <c r="AM100" s="40"/>
      <c r="AN100" s="40"/>
      <c r="AO100" s="40"/>
      <c r="AP100" s="40"/>
      <c r="AQ100" s="40"/>
      <c r="AR100" s="40"/>
      <c r="AS100" s="40"/>
      <c r="AT100" s="40"/>
      <c r="AU100" s="40"/>
      <c r="AV100" s="40"/>
      <c r="AW100" s="40"/>
      <c r="AX100" s="40"/>
      <c r="AY100" s="40"/>
      <c r="AZ100" s="40"/>
    </row>
    <row r="101" spans="1:52">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c r="AA101" s="40"/>
      <c r="AB101" s="40"/>
      <c r="AC101" s="40"/>
      <c r="AD101" s="40"/>
      <c r="AE101" s="40"/>
      <c r="AF101" s="40"/>
      <c r="AG101" s="40"/>
      <c r="AH101" s="40"/>
      <c r="AI101" s="40"/>
      <c r="AJ101" s="40"/>
      <c r="AK101" s="40"/>
      <c r="AL101" s="40"/>
      <c r="AM101" s="40"/>
      <c r="AN101" s="40"/>
      <c r="AO101" s="40"/>
      <c r="AP101" s="40"/>
      <c r="AQ101" s="40"/>
      <c r="AR101" s="40"/>
      <c r="AS101" s="40"/>
      <c r="AT101" s="40"/>
      <c r="AU101" s="40"/>
      <c r="AV101" s="40"/>
      <c r="AW101" s="40"/>
      <c r="AX101" s="40"/>
      <c r="AY101" s="40"/>
      <c r="AZ101" s="40"/>
    </row>
    <row r="102" spans="1:52">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c r="AA102" s="40"/>
      <c r="AB102" s="40"/>
      <c r="AC102" s="40"/>
      <c r="AD102" s="40"/>
      <c r="AE102" s="40"/>
      <c r="AF102" s="40"/>
      <c r="AG102" s="40"/>
      <c r="AH102" s="40"/>
      <c r="AI102" s="40"/>
      <c r="AJ102" s="40"/>
      <c r="AK102" s="40"/>
      <c r="AL102" s="40"/>
      <c r="AM102" s="40"/>
      <c r="AN102" s="40"/>
      <c r="AO102" s="40"/>
      <c r="AP102" s="40"/>
      <c r="AQ102" s="40"/>
      <c r="AR102" s="40"/>
      <c r="AS102" s="40"/>
      <c r="AT102" s="40"/>
      <c r="AU102" s="40"/>
      <c r="AV102" s="40"/>
      <c r="AW102" s="40"/>
      <c r="AX102" s="40"/>
      <c r="AY102" s="40"/>
      <c r="AZ102" s="40"/>
    </row>
    <row r="103" spans="1:52">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row>
    <row r="104" spans="1:52">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c r="AA104" s="40"/>
      <c r="AB104" s="40"/>
      <c r="AC104" s="40"/>
      <c r="AD104" s="40"/>
      <c r="AE104" s="40"/>
      <c r="AF104" s="40"/>
      <c r="AG104" s="40"/>
      <c r="AH104" s="40"/>
      <c r="AI104" s="40"/>
      <c r="AJ104" s="40"/>
      <c r="AK104" s="40"/>
      <c r="AL104" s="40"/>
      <c r="AM104" s="40"/>
      <c r="AN104" s="40"/>
      <c r="AO104" s="40"/>
      <c r="AP104" s="40"/>
      <c r="AQ104" s="40"/>
      <c r="AR104" s="40"/>
      <c r="AS104" s="40"/>
      <c r="AT104" s="40"/>
      <c r="AU104" s="40"/>
      <c r="AV104" s="40"/>
      <c r="AW104" s="40"/>
      <c r="AX104" s="40"/>
      <c r="AY104" s="40"/>
      <c r="AZ104" s="40"/>
    </row>
    <row r="105" spans="1:52">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c r="AA105" s="40"/>
      <c r="AB105" s="40"/>
      <c r="AC105" s="40"/>
      <c r="AD105" s="40"/>
      <c r="AE105" s="40"/>
      <c r="AF105" s="40"/>
      <c r="AG105" s="40"/>
      <c r="AH105" s="40"/>
      <c r="AI105" s="40"/>
      <c r="AJ105" s="40"/>
      <c r="AK105" s="40"/>
      <c r="AL105" s="40"/>
      <c r="AM105" s="40"/>
      <c r="AN105" s="40"/>
      <c r="AO105" s="40"/>
      <c r="AP105" s="40"/>
      <c r="AQ105" s="40"/>
      <c r="AR105" s="40"/>
      <c r="AS105" s="40"/>
      <c r="AT105" s="40"/>
      <c r="AU105" s="40"/>
      <c r="AV105" s="40"/>
      <c r="AW105" s="40"/>
      <c r="AX105" s="40"/>
      <c r="AY105" s="40"/>
      <c r="AZ105" s="40"/>
    </row>
    <row r="106" spans="1:52">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c r="AA106" s="40"/>
      <c r="AB106" s="40"/>
      <c r="AC106" s="40"/>
      <c r="AD106" s="40"/>
      <c r="AE106" s="40"/>
      <c r="AF106" s="40"/>
      <c r="AG106" s="40"/>
      <c r="AH106" s="40"/>
      <c r="AI106" s="40"/>
      <c r="AJ106" s="40"/>
      <c r="AK106" s="40"/>
      <c r="AL106" s="40"/>
      <c r="AM106" s="40"/>
      <c r="AN106" s="40"/>
      <c r="AO106" s="40"/>
      <c r="AP106" s="40"/>
      <c r="AQ106" s="40"/>
      <c r="AR106" s="40"/>
      <c r="AS106" s="40"/>
      <c r="AT106" s="40"/>
      <c r="AU106" s="40"/>
      <c r="AV106" s="40"/>
      <c r="AW106" s="40"/>
      <c r="AX106" s="40"/>
      <c r="AY106" s="40"/>
      <c r="AZ106" s="40"/>
    </row>
    <row r="107" spans="1:52">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c r="AA107" s="40"/>
      <c r="AB107" s="40"/>
      <c r="AC107" s="40"/>
      <c r="AD107" s="40"/>
      <c r="AE107" s="40"/>
      <c r="AF107" s="40"/>
      <c r="AG107" s="40"/>
      <c r="AH107" s="40"/>
      <c r="AI107" s="40"/>
      <c r="AJ107" s="40"/>
      <c r="AK107" s="40"/>
      <c r="AL107" s="40"/>
      <c r="AM107" s="40"/>
      <c r="AN107" s="40"/>
      <c r="AO107" s="40"/>
      <c r="AP107" s="40"/>
      <c r="AQ107" s="40"/>
      <c r="AR107" s="40"/>
      <c r="AS107" s="40"/>
      <c r="AT107" s="40"/>
      <c r="AU107" s="40"/>
      <c r="AV107" s="40"/>
      <c r="AW107" s="40"/>
      <c r="AX107" s="40"/>
      <c r="AY107" s="40"/>
      <c r="AZ107" s="40"/>
    </row>
    <row r="108" spans="1:52">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row>
    <row r="109" spans="1:52">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c r="AA109" s="40"/>
      <c r="AB109" s="40"/>
      <c r="AC109" s="40"/>
      <c r="AD109" s="40"/>
      <c r="AE109" s="40"/>
      <c r="AF109" s="40"/>
      <c r="AG109" s="40"/>
      <c r="AH109" s="40"/>
      <c r="AI109" s="40"/>
      <c r="AJ109" s="40"/>
      <c r="AK109" s="40"/>
      <c r="AL109" s="40"/>
      <c r="AM109" s="40"/>
      <c r="AN109" s="40"/>
      <c r="AO109" s="40"/>
      <c r="AP109" s="40"/>
      <c r="AQ109" s="40"/>
      <c r="AR109" s="40"/>
      <c r="AS109" s="40"/>
      <c r="AT109" s="40"/>
      <c r="AU109" s="40"/>
      <c r="AV109" s="40"/>
      <c r="AW109" s="40"/>
      <c r="AX109" s="40"/>
      <c r="AY109" s="40"/>
      <c r="AZ109" s="40"/>
    </row>
    <row r="110" spans="1:52">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c r="AA110" s="40"/>
      <c r="AB110" s="40"/>
      <c r="AC110" s="40"/>
      <c r="AD110" s="40"/>
      <c r="AE110" s="40"/>
      <c r="AF110" s="40"/>
      <c r="AG110" s="40"/>
      <c r="AH110" s="40"/>
      <c r="AI110" s="40"/>
      <c r="AJ110" s="40"/>
      <c r="AK110" s="40"/>
      <c r="AL110" s="40"/>
      <c r="AM110" s="40"/>
      <c r="AN110" s="40"/>
      <c r="AO110" s="40"/>
      <c r="AP110" s="40"/>
      <c r="AQ110" s="40"/>
      <c r="AR110" s="40"/>
      <c r="AS110" s="40"/>
      <c r="AT110" s="40"/>
      <c r="AU110" s="40"/>
      <c r="AV110" s="40"/>
      <c r="AW110" s="40"/>
      <c r="AX110" s="40"/>
      <c r="AY110" s="40"/>
      <c r="AZ110" s="40"/>
    </row>
    <row r="111" spans="1:52">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c r="AA111" s="40"/>
      <c r="AB111" s="40"/>
      <c r="AC111" s="40"/>
      <c r="AD111" s="40"/>
      <c r="AE111" s="40"/>
      <c r="AF111" s="40"/>
      <c r="AG111" s="40"/>
      <c r="AH111" s="40"/>
      <c r="AI111" s="40"/>
      <c r="AJ111" s="40"/>
      <c r="AK111" s="40"/>
      <c r="AL111" s="40"/>
      <c r="AM111" s="40"/>
      <c r="AN111" s="40"/>
      <c r="AO111" s="40"/>
      <c r="AP111" s="40"/>
      <c r="AQ111" s="40"/>
      <c r="AR111" s="40"/>
      <c r="AS111" s="40"/>
      <c r="AT111" s="40"/>
      <c r="AU111" s="40"/>
      <c r="AV111" s="40"/>
      <c r="AW111" s="40"/>
      <c r="AX111" s="40"/>
      <c r="AY111" s="40"/>
      <c r="AZ111" s="40"/>
    </row>
    <row r="112" spans="1:52">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c r="AA112" s="40"/>
      <c r="AB112" s="40"/>
      <c r="AC112" s="40"/>
      <c r="AD112" s="40"/>
      <c r="AE112" s="40"/>
      <c r="AF112" s="40"/>
      <c r="AG112" s="40"/>
      <c r="AH112" s="40"/>
      <c r="AI112" s="40"/>
      <c r="AJ112" s="40"/>
      <c r="AK112" s="40"/>
      <c r="AL112" s="40"/>
      <c r="AM112" s="40"/>
      <c r="AN112" s="40"/>
      <c r="AO112" s="40"/>
      <c r="AP112" s="40"/>
      <c r="AQ112" s="40"/>
      <c r="AR112" s="40"/>
      <c r="AS112" s="40"/>
      <c r="AT112" s="40"/>
      <c r="AU112" s="40"/>
      <c r="AV112" s="40"/>
      <c r="AW112" s="40"/>
      <c r="AX112" s="40"/>
      <c r="AY112" s="40"/>
      <c r="AZ112" s="40"/>
    </row>
    <row r="113" spans="1:52">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c r="AA113" s="40"/>
      <c r="AB113" s="40"/>
      <c r="AC113" s="40"/>
      <c r="AD113" s="40"/>
      <c r="AE113" s="40"/>
      <c r="AF113" s="40"/>
      <c r="AG113" s="40"/>
      <c r="AH113" s="40"/>
      <c r="AI113" s="40"/>
      <c r="AJ113" s="40"/>
      <c r="AK113" s="40"/>
      <c r="AL113" s="40"/>
      <c r="AM113" s="40"/>
      <c r="AN113" s="40"/>
      <c r="AO113" s="40"/>
      <c r="AP113" s="40"/>
      <c r="AQ113" s="40"/>
      <c r="AR113" s="40"/>
      <c r="AS113" s="40"/>
      <c r="AT113" s="40"/>
      <c r="AU113" s="40"/>
      <c r="AV113" s="40"/>
      <c r="AW113" s="40"/>
      <c r="AX113" s="40"/>
      <c r="AY113" s="40"/>
      <c r="AZ113" s="40"/>
    </row>
    <row r="114" spans="1:52">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c r="AA114" s="40"/>
      <c r="AB114" s="40"/>
      <c r="AC114" s="40"/>
      <c r="AD114" s="40"/>
      <c r="AE114" s="40"/>
      <c r="AF114" s="40"/>
      <c r="AG114" s="40"/>
      <c r="AH114" s="40"/>
      <c r="AI114" s="40"/>
      <c r="AJ114" s="40"/>
      <c r="AK114" s="40"/>
      <c r="AL114" s="40"/>
      <c r="AM114" s="40"/>
      <c r="AN114" s="40"/>
      <c r="AO114" s="40"/>
      <c r="AP114" s="40"/>
      <c r="AQ114" s="40"/>
      <c r="AR114" s="40"/>
      <c r="AS114" s="40"/>
      <c r="AT114" s="40"/>
      <c r="AU114" s="40"/>
      <c r="AV114" s="40"/>
      <c r="AW114" s="40"/>
      <c r="AX114" s="40"/>
      <c r="AY114" s="40"/>
      <c r="AZ114" s="40"/>
    </row>
    <row r="115" spans="1:52">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c r="AA115" s="40"/>
      <c r="AB115" s="40"/>
      <c r="AC115" s="40"/>
      <c r="AD115" s="40"/>
      <c r="AE115" s="40"/>
      <c r="AF115" s="40"/>
      <c r="AG115" s="40"/>
      <c r="AH115" s="40"/>
      <c r="AI115" s="40"/>
      <c r="AJ115" s="40"/>
      <c r="AK115" s="40"/>
      <c r="AL115" s="40"/>
      <c r="AM115" s="40"/>
      <c r="AN115" s="40"/>
      <c r="AO115" s="40"/>
      <c r="AP115" s="40"/>
      <c r="AQ115" s="40"/>
      <c r="AR115" s="40"/>
      <c r="AS115" s="40"/>
      <c r="AT115" s="40"/>
      <c r="AU115" s="40"/>
      <c r="AV115" s="40"/>
      <c r="AW115" s="40"/>
      <c r="AX115" s="40"/>
      <c r="AY115" s="40"/>
      <c r="AZ115" s="40"/>
    </row>
    <row r="116" spans="1:52">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c r="AA116" s="40"/>
      <c r="AB116" s="40"/>
      <c r="AC116" s="40"/>
      <c r="AD116" s="40"/>
      <c r="AE116" s="40"/>
      <c r="AF116" s="40"/>
      <c r="AG116" s="40"/>
      <c r="AH116" s="40"/>
      <c r="AI116" s="40"/>
      <c r="AJ116" s="40"/>
      <c r="AK116" s="40"/>
      <c r="AL116" s="40"/>
      <c r="AM116" s="40"/>
      <c r="AN116" s="40"/>
      <c r="AO116" s="40"/>
      <c r="AP116" s="40"/>
      <c r="AQ116" s="40"/>
      <c r="AR116" s="40"/>
      <c r="AS116" s="40"/>
      <c r="AT116" s="40"/>
      <c r="AU116" s="40"/>
      <c r="AV116" s="40"/>
      <c r="AW116" s="40"/>
      <c r="AX116" s="40"/>
      <c r="AY116" s="40"/>
      <c r="AZ116" s="40"/>
    </row>
    <row r="117" spans="1:52">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c r="AA117" s="40"/>
      <c r="AB117" s="40"/>
      <c r="AC117" s="40"/>
      <c r="AD117" s="40"/>
      <c r="AE117" s="40"/>
      <c r="AF117" s="40"/>
      <c r="AG117" s="40"/>
      <c r="AH117" s="40"/>
      <c r="AI117" s="40"/>
      <c r="AJ117" s="40"/>
      <c r="AK117" s="40"/>
      <c r="AL117" s="40"/>
      <c r="AM117" s="40"/>
      <c r="AN117" s="40"/>
      <c r="AO117" s="40"/>
      <c r="AP117" s="40"/>
      <c r="AQ117" s="40"/>
      <c r="AR117" s="40"/>
      <c r="AS117" s="40"/>
      <c r="AT117" s="40"/>
      <c r="AU117" s="40"/>
      <c r="AV117" s="40"/>
      <c r="AW117" s="40"/>
      <c r="AX117" s="40"/>
      <c r="AY117" s="40"/>
      <c r="AZ117" s="40"/>
    </row>
    <row r="118" spans="1:52">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c r="AA118" s="40"/>
      <c r="AB118" s="40"/>
      <c r="AC118" s="40"/>
      <c r="AD118" s="40"/>
      <c r="AE118" s="40"/>
      <c r="AF118" s="40"/>
      <c r="AG118" s="40"/>
      <c r="AH118" s="40"/>
      <c r="AI118" s="40"/>
      <c r="AJ118" s="40"/>
      <c r="AK118" s="40"/>
      <c r="AL118" s="40"/>
      <c r="AM118" s="40"/>
      <c r="AN118" s="40"/>
      <c r="AO118" s="40"/>
      <c r="AP118" s="40"/>
      <c r="AQ118" s="40"/>
      <c r="AR118" s="40"/>
      <c r="AS118" s="40"/>
      <c r="AT118" s="40"/>
      <c r="AU118" s="40"/>
      <c r="AV118" s="40"/>
      <c r="AW118" s="40"/>
      <c r="AX118" s="40"/>
      <c r="AY118" s="40"/>
      <c r="AZ118" s="40"/>
    </row>
    <row r="119" spans="1:52">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c r="AA119" s="40"/>
      <c r="AB119" s="40"/>
      <c r="AC119" s="40"/>
      <c r="AD119" s="40"/>
      <c r="AE119" s="40"/>
      <c r="AF119" s="40"/>
      <c r="AG119" s="40"/>
      <c r="AH119" s="40"/>
      <c r="AI119" s="40"/>
      <c r="AJ119" s="40"/>
      <c r="AK119" s="40"/>
      <c r="AL119" s="40"/>
      <c r="AM119" s="40"/>
      <c r="AN119" s="40"/>
      <c r="AO119" s="40"/>
      <c r="AP119" s="40"/>
      <c r="AQ119" s="40"/>
      <c r="AR119" s="40"/>
      <c r="AS119" s="40"/>
      <c r="AT119" s="40"/>
      <c r="AU119" s="40"/>
      <c r="AV119" s="40"/>
      <c r="AW119" s="40"/>
      <c r="AX119" s="40"/>
      <c r="AY119" s="40"/>
      <c r="AZ119" s="40"/>
    </row>
    <row r="120" spans="1:52">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c r="AA120" s="40"/>
      <c r="AB120" s="40"/>
      <c r="AC120" s="40"/>
      <c r="AD120" s="40"/>
      <c r="AE120" s="40"/>
      <c r="AF120" s="40"/>
      <c r="AG120" s="40"/>
      <c r="AH120" s="40"/>
      <c r="AI120" s="40"/>
      <c r="AJ120" s="40"/>
      <c r="AK120" s="40"/>
      <c r="AL120" s="40"/>
      <c r="AM120" s="40"/>
      <c r="AN120" s="40"/>
      <c r="AO120" s="40"/>
      <c r="AP120" s="40"/>
      <c r="AQ120" s="40"/>
      <c r="AR120" s="40"/>
      <c r="AS120" s="40"/>
      <c r="AT120" s="40"/>
      <c r="AU120" s="40"/>
      <c r="AV120" s="40"/>
      <c r="AW120" s="40"/>
      <c r="AX120" s="40"/>
      <c r="AY120" s="40"/>
      <c r="AZ120" s="40"/>
    </row>
    <row r="121" spans="1:52">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c r="AA121" s="40"/>
      <c r="AB121" s="40"/>
      <c r="AC121" s="40"/>
      <c r="AD121" s="40"/>
      <c r="AE121" s="40"/>
      <c r="AF121" s="40"/>
      <c r="AG121" s="40"/>
      <c r="AH121" s="40"/>
      <c r="AI121" s="40"/>
      <c r="AJ121" s="40"/>
      <c r="AK121" s="40"/>
      <c r="AL121" s="40"/>
      <c r="AM121" s="40"/>
      <c r="AN121" s="40"/>
      <c r="AO121" s="40"/>
      <c r="AP121" s="40"/>
      <c r="AQ121" s="40"/>
      <c r="AR121" s="40"/>
      <c r="AS121" s="40"/>
      <c r="AT121" s="40"/>
      <c r="AU121" s="40"/>
      <c r="AV121" s="40"/>
      <c r="AW121" s="40"/>
      <c r="AX121" s="40"/>
      <c r="AY121" s="40"/>
      <c r="AZ121" s="40"/>
    </row>
    <row r="122" spans="1:52">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c r="AA122" s="40"/>
      <c r="AB122" s="40"/>
      <c r="AC122" s="40"/>
      <c r="AD122" s="40"/>
      <c r="AE122" s="40"/>
      <c r="AF122" s="40"/>
      <c r="AG122" s="40"/>
      <c r="AH122" s="40"/>
      <c r="AI122" s="40"/>
      <c r="AJ122" s="40"/>
      <c r="AK122" s="40"/>
      <c r="AL122" s="40"/>
      <c r="AM122" s="40"/>
      <c r="AN122" s="40"/>
      <c r="AO122" s="40"/>
      <c r="AP122" s="40"/>
      <c r="AQ122" s="40"/>
      <c r="AR122" s="40"/>
      <c r="AS122" s="40"/>
      <c r="AT122" s="40"/>
      <c r="AU122" s="40"/>
      <c r="AV122" s="40"/>
      <c r="AW122" s="40"/>
      <c r="AX122" s="40"/>
      <c r="AY122" s="40"/>
      <c r="AZ122" s="40"/>
    </row>
    <row r="123" spans="1:52">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c r="AA123" s="40"/>
      <c r="AB123" s="40"/>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row>
    <row r="124" spans="1:52">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c r="AA124" s="40"/>
      <c r="AB124" s="40"/>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row>
    <row r="125" spans="1:52">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c r="AA125" s="40"/>
      <c r="AB125" s="40"/>
      <c r="AC125" s="40"/>
      <c r="AD125" s="40"/>
      <c r="AE125" s="40"/>
      <c r="AF125" s="40"/>
      <c r="AG125" s="40"/>
      <c r="AH125" s="40"/>
      <c r="AI125" s="40"/>
      <c r="AJ125" s="40"/>
      <c r="AK125" s="40"/>
      <c r="AL125" s="40"/>
      <c r="AM125" s="40"/>
      <c r="AN125" s="40"/>
      <c r="AO125" s="40"/>
      <c r="AP125" s="40"/>
      <c r="AQ125" s="40"/>
      <c r="AR125" s="40"/>
      <c r="AS125" s="40"/>
      <c r="AT125" s="40"/>
      <c r="AU125" s="40"/>
      <c r="AV125" s="40"/>
      <c r="AW125" s="40"/>
      <c r="AX125" s="40"/>
      <c r="AY125" s="40"/>
      <c r="AZ125" s="40"/>
    </row>
    <row r="126" spans="1:52">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c r="AA126" s="40"/>
      <c r="AB126" s="40"/>
      <c r="AC126" s="40"/>
      <c r="AD126" s="40"/>
      <c r="AE126" s="40"/>
      <c r="AF126" s="40"/>
      <c r="AG126" s="40"/>
      <c r="AH126" s="40"/>
      <c r="AI126" s="40"/>
      <c r="AJ126" s="40"/>
      <c r="AK126" s="40"/>
      <c r="AL126" s="40"/>
      <c r="AM126" s="40"/>
      <c r="AN126" s="40"/>
      <c r="AO126" s="40"/>
      <c r="AP126" s="40"/>
      <c r="AQ126" s="40"/>
      <c r="AR126" s="40"/>
      <c r="AS126" s="40"/>
      <c r="AT126" s="40"/>
      <c r="AU126" s="40"/>
      <c r="AV126" s="40"/>
      <c r="AW126" s="40"/>
      <c r="AX126" s="40"/>
      <c r="AY126" s="40"/>
      <c r="AZ126" s="40"/>
    </row>
    <row r="127" spans="1:52">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c r="AA127" s="40"/>
      <c r="AB127" s="40"/>
      <c r="AC127" s="40"/>
      <c r="AD127" s="40"/>
      <c r="AE127" s="40"/>
      <c r="AF127" s="40"/>
      <c r="AG127" s="40"/>
      <c r="AH127" s="40"/>
      <c r="AI127" s="40"/>
      <c r="AJ127" s="40"/>
      <c r="AK127" s="40"/>
      <c r="AL127" s="40"/>
      <c r="AM127" s="40"/>
      <c r="AN127" s="40"/>
      <c r="AO127" s="40"/>
      <c r="AP127" s="40"/>
      <c r="AQ127" s="40"/>
      <c r="AR127" s="40"/>
      <c r="AS127" s="40"/>
      <c r="AT127" s="40"/>
      <c r="AU127" s="40"/>
      <c r="AV127" s="40"/>
      <c r="AW127" s="40"/>
      <c r="AX127" s="40"/>
      <c r="AY127" s="40"/>
      <c r="AZ127" s="40"/>
    </row>
    <row r="128" spans="1:52">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c r="AA128" s="40"/>
      <c r="AB128" s="40"/>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row>
    <row r="129" spans="1:52">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c r="AA129" s="40"/>
      <c r="AB129" s="40"/>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row>
    <row r="130" spans="1:52">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c r="AA130" s="40"/>
      <c r="AB130" s="40"/>
      <c r="AC130" s="40"/>
      <c r="AD130" s="40"/>
      <c r="AE130" s="40"/>
      <c r="AF130" s="40"/>
      <c r="AG130" s="40"/>
      <c r="AH130" s="40"/>
      <c r="AI130" s="40"/>
      <c r="AJ130" s="40"/>
      <c r="AK130" s="40"/>
      <c r="AL130" s="40"/>
      <c r="AM130" s="40"/>
      <c r="AN130" s="40"/>
      <c r="AO130" s="40"/>
      <c r="AP130" s="40"/>
      <c r="AQ130" s="40"/>
      <c r="AR130" s="40"/>
      <c r="AS130" s="40"/>
      <c r="AT130" s="40"/>
      <c r="AU130" s="40"/>
      <c r="AV130" s="40"/>
      <c r="AW130" s="40"/>
      <c r="AX130" s="40"/>
      <c r="AY130" s="40"/>
      <c r="AZ130" s="40"/>
    </row>
    <row r="131" spans="1:52">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c r="AA131" s="40"/>
      <c r="AB131" s="40"/>
      <c r="AC131" s="40"/>
      <c r="AD131" s="40"/>
      <c r="AE131" s="40"/>
      <c r="AF131" s="40"/>
      <c r="AG131" s="40"/>
      <c r="AH131" s="40"/>
      <c r="AI131" s="40"/>
      <c r="AJ131" s="40"/>
      <c r="AK131" s="40"/>
      <c r="AL131" s="40"/>
      <c r="AM131" s="40"/>
      <c r="AN131" s="40"/>
      <c r="AO131" s="40"/>
      <c r="AP131" s="40"/>
      <c r="AQ131" s="40"/>
      <c r="AR131" s="40"/>
      <c r="AS131" s="40"/>
      <c r="AT131" s="40"/>
      <c r="AU131" s="40"/>
      <c r="AV131" s="40"/>
      <c r="AW131" s="40"/>
      <c r="AX131" s="40"/>
      <c r="AY131" s="40"/>
      <c r="AZ131" s="40"/>
    </row>
    <row r="132" spans="1:52">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c r="AA132" s="40"/>
      <c r="AB132" s="40"/>
      <c r="AC132" s="40"/>
      <c r="AD132" s="40"/>
      <c r="AE132" s="40"/>
      <c r="AF132" s="40"/>
      <c r="AG132" s="40"/>
      <c r="AH132" s="40"/>
      <c r="AI132" s="40"/>
      <c r="AJ132" s="40"/>
      <c r="AK132" s="40"/>
      <c r="AL132" s="40"/>
      <c r="AM132" s="40"/>
      <c r="AN132" s="40"/>
      <c r="AO132" s="40"/>
      <c r="AP132" s="40"/>
      <c r="AQ132" s="40"/>
      <c r="AR132" s="40"/>
      <c r="AS132" s="40"/>
      <c r="AT132" s="40"/>
      <c r="AU132" s="40"/>
      <c r="AV132" s="40"/>
      <c r="AW132" s="40"/>
      <c r="AX132" s="40"/>
      <c r="AY132" s="40"/>
      <c r="AZ132" s="40"/>
    </row>
    <row r="133" spans="1:52">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c r="AA133" s="40"/>
      <c r="AB133" s="40"/>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row>
    <row r="134" spans="1:52">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c r="AA134" s="40"/>
      <c r="AB134" s="40"/>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row>
    <row r="135" spans="1:52">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c r="AA135" s="40"/>
      <c r="AB135" s="40"/>
      <c r="AC135" s="40"/>
      <c r="AD135" s="40"/>
      <c r="AE135" s="40"/>
      <c r="AF135" s="40"/>
      <c r="AG135" s="40"/>
      <c r="AH135" s="40"/>
      <c r="AI135" s="40"/>
      <c r="AJ135" s="40"/>
      <c r="AK135" s="40"/>
      <c r="AL135" s="40"/>
      <c r="AM135" s="40"/>
      <c r="AN135" s="40"/>
      <c r="AO135" s="40"/>
      <c r="AP135" s="40"/>
      <c r="AQ135" s="40"/>
      <c r="AR135" s="40"/>
      <c r="AS135" s="40"/>
      <c r="AT135" s="40"/>
      <c r="AU135" s="40"/>
      <c r="AV135" s="40"/>
      <c r="AW135" s="40"/>
      <c r="AX135" s="40"/>
      <c r="AY135" s="40"/>
      <c r="AZ135" s="40"/>
    </row>
    <row r="136" spans="1:52">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row>
    <row r="137" spans="1:52">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c r="AA137" s="40"/>
      <c r="AB137" s="40"/>
      <c r="AC137" s="40"/>
      <c r="AD137" s="40"/>
      <c r="AE137" s="40"/>
      <c r="AF137" s="40"/>
      <c r="AG137" s="40"/>
      <c r="AH137" s="40"/>
      <c r="AI137" s="40"/>
      <c r="AJ137" s="40"/>
      <c r="AK137" s="40"/>
      <c r="AL137" s="40"/>
      <c r="AM137" s="40"/>
      <c r="AN137" s="40"/>
      <c r="AO137" s="40"/>
      <c r="AP137" s="40"/>
      <c r="AQ137" s="40"/>
      <c r="AR137" s="40"/>
      <c r="AS137" s="40"/>
      <c r="AT137" s="40"/>
      <c r="AU137" s="40"/>
      <c r="AV137" s="40"/>
      <c r="AW137" s="40"/>
      <c r="AX137" s="40"/>
      <c r="AY137" s="40"/>
      <c r="AZ137" s="40"/>
    </row>
    <row r="138" spans="1:52">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c r="AA138" s="40"/>
      <c r="AB138" s="40"/>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row>
    <row r="139" spans="1:52">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c r="AA139" s="40"/>
      <c r="AB139" s="40"/>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row>
    <row r="140" spans="1:52">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c r="AA140" s="40"/>
      <c r="AB140" s="40"/>
      <c r="AC140" s="40"/>
      <c r="AD140" s="40"/>
      <c r="AE140" s="40"/>
      <c r="AF140" s="40"/>
      <c r="AG140" s="40"/>
      <c r="AH140" s="40"/>
      <c r="AI140" s="40"/>
      <c r="AJ140" s="40"/>
      <c r="AK140" s="40"/>
      <c r="AL140" s="40"/>
      <c r="AM140" s="40"/>
      <c r="AN140" s="40"/>
      <c r="AO140" s="40"/>
      <c r="AP140" s="40"/>
      <c r="AQ140" s="40"/>
      <c r="AR140" s="40"/>
      <c r="AS140" s="40"/>
      <c r="AT140" s="40"/>
      <c r="AU140" s="40"/>
      <c r="AV140" s="40"/>
      <c r="AW140" s="40"/>
      <c r="AX140" s="40"/>
      <c r="AY140" s="40"/>
      <c r="AZ140" s="40"/>
    </row>
    <row r="141" spans="1:52">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c r="AA141" s="40"/>
      <c r="AB141" s="40"/>
      <c r="AC141" s="40"/>
      <c r="AD141" s="40"/>
      <c r="AE141" s="40"/>
      <c r="AF141" s="40"/>
      <c r="AG141" s="40"/>
      <c r="AH141" s="40"/>
      <c r="AI141" s="40"/>
      <c r="AJ141" s="40"/>
      <c r="AK141" s="40"/>
      <c r="AL141" s="40"/>
      <c r="AM141" s="40"/>
      <c r="AN141" s="40"/>
      <c r="AO141" s="40"/>
      <c r="AP141" s="40"/>
      <c r="AQ141" s="40"/>
      <c r="AR141" s="40"/>
      <c r="AS141" s="40"/>
      <c r="AT141" s="40"/>
      <c r="AU141" s="40"/>
      <c r="AV141" s="40"/>
      <c r="AW141" s="40"/>
      <c r="AX141" s="40"/>
      <c r="AY141" s="40"/>
      <c r="AZ141" s="40"/>
    </row>
    <row r="142" spans="1:52">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c r="AA142" s="40"/>
      <c r="AB142" s="40"/>
      <c r="AC142" s="40"/>
      <c r="AD142" s="40"/>
      <c r="AE142" s="40"/>
      <c r="AF142" s="40"/>
      <c r="AG142" s="40"/>
      <c r="AH142" s="40"/>
      <c r="AI142" s="40"/>
      <c r="AJ142" s="40"/>
      <c r="AK142" s="40"/>
      <c r="AL142" s="40"/>
      <c r="AM142" s="40"/>
      <c r="AN142" s="40"/>
      <c r="AO142" s="40"/>
      <c r="AP142" s="40"/>
      <c r="AQ142" s="40"/>
      <c r="AR142" s="40"/>
      <c r="AS142" s="40"/>
      <c r="AT142" s="40"/>
      <c r="AU142" s="40"/>
      <c r="AV142" s="40"/>
      <c r="AW142" s="40"/>
      <c r="AX142" s="40"/>
      <c r="AY142" s="40"/>
      <c r="AZ142" s="40"/>
    </row>
    <row r="143" spans="1:52">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c r="AA143" s="40"/>
      <c r="AB143" s="40"/>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row>
    <row r="144" spans="1:52">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c r="AA144" s="40"/>
      <c r="AB144" s="40"/>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row>
    <row r="145" spans="1:52">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c r="AA145" s="40"/>
      <c r="AB145" s="40"/>
      <c r="AC145" s="40"/>
      <c r="AD145" s="40"/>
      <c r="AE145" s="40"/>
      <c r="AF145" s="40"/>
      <c r="AG145" s="40"/>
      <c r="AH145" s="40"/>
      <c r="AI145" s="40"/>
      <c r="AJ145" s="40"/>
      <c r="AK145" s="40"/>
      <c r="AL145" s="40"/>
      <c r="AM145" s="40"/>
      <c r="AN145" s="40"/>
      <c r="AO145" s="40"/>
      <c r="AP145" s="40"/>
      <c r="AQ145" s="40"/>
      <c r="AR145" s="40"/>
      <c r="AS145" s="40"/>
      <c r="AT145" s="40"/>
      <c r="AU145" s="40"/>
      <c r="AV145" s="40"/>
      <c r="AW145" s="40"/>
      <c r="AX145" s="40"/>
      <c r="AY145" s="40"/>
      <c r="AZ145" s="40"/>
    </row>
    <row r="146" spans="1:52">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c r="AA146" s="40"/>
      <c r="AB146" s="40"/>
      <c r="AC146" s="40"/>
      <c r="AD146" s="40"/>
      <c r="AE146" s="40"/>
      <c r="AF146" s="40"/>
      <c r="AG146" s="40"/>
      <c r="AH146" s="40"/>
      <c r="AI146" s="40"/>
      <c r="AJ146" s="40"/>
      <c r="AK146" s="40"/>
      <c r="AL146" s="40"/>
      <c r="AM146" s="40"/>
      <c r="AN146" s="40"/>
      <c r="AO146" s="40"/>
      <c r="AP146" s="40"/>
      <c r="AQ146" s="40"/>
      <c r="AR146" s="40"/>
      <c r="AS146" s="40"/>
      <c r="AT146" s="40"/>
      <c r="AU146" s="40"/>
      <c r="AV146" s="40"/>
      <c r="AW146" s="40"/>
      <c r="AX146" s="40"/>
      <c r="AY146" s="40"/>
      <c r="AZ146" s="40"/>
    </row>
    <row r="147" spans="1:52">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c r="AA147" s="40"/>
      <c r="AB147" s="40"/>
      <c r="AC147" s="40"/>
      <c r="AD147" s="40"/>
      <c r="AE147" s="40"/>
      <c r="AF147" s="40"/>
      <c r="AG147" s="40"/>
      <c r="AH147" s="40"/>
      <c r="AI147" s="40"/>
      <c r="AJ147" s="40"/>
      <c r="AK147" s="40"/>
      <c r="AL147" s="40"/>
      <c r="AM147" s="40"/>
      <c r="AN147" s="40"/>
      <c r="AO147" s="40"/>
      <c r="AP147" s="40"/>
      <c r="AQ147" s="40"/>
      <c r="AR147" s="40"/>
      <c r="AS147" s="40"/>
      <c r="AT147" s="40"/>
      <c r="AU147" s="40"/>
      <c r="AV147" s="40"/>
      <c r="AW147" s="40"/>
      <c r="AX147" s="40"/>
      <c r="AY147" s="40"/>
      <c r="AZ147" s="40"/>
    </row>
    <row r="148" spans="1:52">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c r="AA148" s="40"/>
      <c r="AB148" s="40"/>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row>
    <row r="149" spans="1:52">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c r="AA149" s="40"/>
      <c r="AB149" s="40"/>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row>
    <row r="150" spans="1:52">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c r="AA150" s="40"/>
      <c r="AB150" s="40"/>
      <c r="AC150" s="40"/>
      <c r="AD150" s="40"/>
      <c r="AE150" s="40"/>
      <c r="AF150" s="40"/>
      <c r="AG150" s="40"/>
      <c r="AH150" s="40"/>
      <c r="AI150" s="40"/>
      <c r="AJ150" s="40"/>
      <c r="AK150" s="40"/>
      <c r="AL150" s="40"/>
      <c r="AM150" s="40"/>
      <c r="AN150" s="40"/>
      <c r="AO150" s="40"/>
      <c r="AP150" s="40"/>
      <c r="AQ150" s="40"/>
      <c r="AR150" s="40"/>
      <c r="AS150" s="40"/>
      <c r="AT150" s="40"/>
      <c r="AU150" s="40"/>
      <c r="AV150" s="40"/>
      <c r="AW150" s="40"/>
      <c r="AX150" s="40"/>
      <c r="AY150" s="40"/>
      <c r="AZ150" s="40"/>
    </row>
    <row r="151" spans="1:52">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c r="AA151" s="40"/>
      <c r="AB151" s="40"/>
      <c r="AC151" s="40"/>
      <c r="AD151" s="40"/>
      <c r="AE151" s="40"/>
      <c r="AF151" s="40"/>
      <c r="AG151" s="40"/>
      <c r="AH151" s="40"/>
      <c r="AI151" s="40"/>
      <c r="AJ151" s="40"/>
      <c r="AK151" s="40"/>
      <c r="AL151" s="40"/>
      <c r="AM151" s="40"/>
      <c r="AN151" s="40"/>
      <c r="AO151" s="40"/>
      <c r="AP151" s="40"/>
      <c r="AQ151" s="40"/>
      <c r="AR151" s="40"/>
      <c r="AS151" s="40"/>
      <c r="AT151" s="40"/>
      <c r="AU151" s="40"/>
      <c r="AV151" s="40"/>
      <c r="AW151" s="40"/>
      <c r="AX151" s="40"/>
      <c r="AY151" s="40"/>
      <c r="AZ151" s="40"/>
    </row>
    <row r="152" spans="1:52">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c r="AA152" s="40"/>
      <c r="AB152" s="40"/>
      <c r="AC152" s="40"/>
      <c r="AD152" s="40"/>
      <c r="AE152" s="40"/>
      <c r="AF152" s="40"/>
      <c r="AG152" s="40"/>
      <c r="AH152" s="40"/>
      <c r="AI152" s="40"/>
      <c r="AJ152" s="40"/>
      <c r="AK152" s="40"/>
      <c r="AL152" s="40"/>
      <c r="AM152" s="40"/>
      <c r="AN152" s="40"/>
      <c r="AO152" s="40"/>
      <c r="AP152" s="40"/>
      <c r="AQ152" s="40"/>
      <c r="AR152" s="40"/>
      <c r="AS152" s="40"/>
      <c r="AT152" s="40"/>
      <c r="AU152" s="40"/>
      <c r="AV152" s="40"/>
      <c r="AW152" s="40"/>
      <c r="AX152" s="40"/>
      <c r="AY152" s="40"/>
      <c r="AZ152" s="40"/>
    </row>
    <row r="153" spans="1:52">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row>
    <row r="154" spans="1:52">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row>
    <row r="155" spans="1:52">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c r="AI155" s="40"/>
      <c r="AJ155" s="40"/>
      <c r="AK155" s="40"/>
      <c r="AL155" s="40"/>
      <c r="AM155" s="40"/>
      <c r="AN155" s="40"/>
      <c r="AO155" s="40"/>
      <c r="AP155" s="40"/>
      <c r="AQ155" s="40"/>
      <c r="AR155" s="40"/>
      <c r="AS155" s="40"/>
      <c r="AT155" s="40"/>
      <c r="AU155" s="40"/>
      <c r="AV155" s="40"/>
      <c r="AW155" s="40"/>
      <c r="AX155" s="40"/>
      <c r="AY155" s="40"/>
      <c r="AZ155" s="40"/>
    </row>
    <row r="156" spans="1:52">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row>
    <row r="157" spans="1:52">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row>
    <row r="158" spans="1:52">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c r="AA158" s="40"/>
      <c r="AB158" s="40"/>
      <c r="AC158" s="40"/>
      <c r="AD158" s="40"/>
      <c r="AE158" s="40"/>
      <c r="AF158" s="40"/>
      <c r="AG158" s="40"/>
      <c r="AH158" s="40"/>
      <c r="AI158" s="40"/>
      <c r="AJ158" s="40"/>
      <c r="AK158" s="40"/>
      <c r="AL158" s="40"/>
      <c r="AM158" s="40"/>
      <c r="AN158" s="40"/>
      <c r="AO158" s="40"/>
      <c r="AP158" s="40"/>
      <c r="AQ158" s="40"/>
      <c r="AR158" s="40"/>
      <c r="AS158" s="40"/>
      <c r="AT158" s="40"/>
      <c r="AU158" s="40"/>
      <c r="AV158" s="40"/>
      <c r="AW158" s="40"/>
      <c r="AX158" s="40"/>
      <c r="AY158" s="40"/>
      <c r="AZ158" s="40"/>
    </row>
    <row r="159" spans="1:52">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c r="AA159" s="40"/>
      <c r="AB159" s="40"/>
      <c r="AC159" s="40"/>
      <c r="AD159" s="40"/>
      <c r="AE159" s="40"/>
      <c r="AF159" s="40"/>
      <c r="AG159" s="40"/>
      <c r="AH159" s="40"/>
      <c r="AI159" s="40"/>
      <c r="AJ159" s="40"/>
      <c r="AK159" s="40"/>
      <c r="AL159" s="40"/>
      <c r="AM159" s="40"/>
      <c r="AN159" s="40"/>
      <c r="AO159" s="40"/>
      <c r="AP159" s="40"/>
      <c r="AQ159" s="40"/>
      <c r="AR159" s="40"/>
      <c r="AS159" s="40"/>
      <c r="AT159" s="40"/>
      <c r="AU159" s="40"/>
      <c r="AV159" s="40"/>
      <c r="AW159" s="40"/>
      <c r="AX159" s="40"/>
      <c r="AY159" s="40"/>
      <c r="AZ159" s="40"/>
    </row>
    <row r="160" spans="1:52">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c r="AA160" s="40"/>
      <c r="AB160" s="40"/>
      <c r="AC160" s="40"/>
      <c r="AD160" s="40"/>
      <c r="AE160" s="40"/>
      <c r="AF160" s="40"/>
      <c r="AG160" s="40"/>
      <c r="AH160" s="40"/>
      <c r="AI160" s="40"/>
      <c r="AJ160" s="40"/>
      <c r="AK160" s="40"/>
      <c r="AL160" s="40"/>
      <c r="AM160" s="40"/>
      <c r="AN160" s="40"/>
      <c r="AO160" s="40"/>
      <c r="AP160" s="40"/>
      <c r="AQ160" s="40"/>
      <c r="AR160" s="40"/>
      <c r="AS160" s="40"/>
      <c r="AT160" s="40"/>
      <c r="AU160" s="40"/>
      <c r="AV160" s="40"/>
      <c r="AW160" s="40"/>
      <c r="AX160" s="40"/>
      <c r="AY160" s="40"/>
      <c r="AZ160" s="40"/>
    </row>
    <row r="161" spans="1:52">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c r="AA161" s="40"/>
      <c r="AB161" s="40"/>
      <c r="AC161" s="40"/>
      <c r="AD161" s="40"/>
      <c r="AE161" s="40"/>
      <c r="AF161" s="40"/>
      <c r="AG161" s="40"/>
      <c r="AH161" s="40"/>
      <c r="AI161" s="40"/>
      <c r="AJ161" s="40"/>
      <c r="AK161" s="40"/>
      <c r="AL161" s="40"/>
      <c r="AM161" s="40"/>
      <c r="AN161" s="40"/>
      <c r="AO161" s="40"/>
      <c r="AP161" s="40"/>
      <c r="AQ161" s="40"/>
      <c r="AR161" s="40"/>
      <c r="AS161" s="40"/>
      <c r="AT161" s="40"/>
      <c r="AU161" s="40"/>
      <c r="AV161" s="40"/>
      <c r="AW161" s="40"/>
      <c r="AX161" s="40"/>
      <c r="AY161" s="40"/>
      <c r="AZ161" s="40"/>
    </row>
    <row r="162" spans="1:52">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c r="AA162" s="40"/>
      <c r="AB162" s="40"/>
      <c r="AC162" s="40"/>
      <c r="AD162" s="40"/>
      <c r="AE162" s="40"/>
      <c r="AF162" s="40"/>
      <c r="AG162" s="40"/>
      <c r="AH162" s="40"/>
      <c r="AI162" s="40"/>
      <c r="AJ162" s="40"/>
      <c r="AK162" s="40"/>
      <c r="AL162" s="40"/>
      <c r="AM162" s="40"/>
      <c r="AN162" s="40"/>
      <c r="AO162" s="40"/>
      <c r="AP162" s="40"/>
      <c r="AQ162" s="40"/>
      <c r="AR162" s="40"/>
      <c r="AS162" s="40"/>
      <c r="AT162" s="40"/>
      <c r="AU162" s="40"/>
      <c r="AV162" s="40"/>
      <c r="AW162" s="40"/>
      <c r="AX162" s="40"/>
      <c r="AY162" s="40"/>
      <c r="AZ162" s="40"/>
    </row>
    <row r="163" spans="1:52">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c r="AA163" s="40"/>
      <c r="AB163" s="40"/>
      <c r="AC163" s="40"/>
      <c r="AD163" s="40"/>
      <c r="AE163" s="40"/>
      <c r="AF163" s="40"/>
      <c r="AG163" s="40"/>
      <c r="AH163" s="40"/>
      <c r="AI163" s="40"/>
      <c r="AJ163" s="40"/>
      <c r="AK163" s="40"/>
      <c r="AL163" s="40"/>
      <c r="AM163" s="40"/>
      <c r="AN163" s="40"/>
      <c r="AO163" s="40"/>
      <c r="AP163" s="40"/>
      <c r="AQ163" s="40"/>
      <c r="AR163" s="40"/>
      <c r="AS163" s="40"/>
      <c r="AT163" s="40"/>
      <c r="AU163" s="40"/>
      <c r="AV163" s="40"/>
      <c r="AW163" s="40"/>
      <c r="AX163" s="40"/>
      <c r="AY163" s="40"/>
      <c r="AZ163" s="40"/>
    </row>
    <row r="164" spans="1:52">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c r="AA164" s="40"/>
      <c r="AB164" s="40"/>
      <c r="AC164" s="40"/>
      <c r="AD164" s="40"/>
      <c r="AE164" s="40"/>
      <c r="AF164" s="40"/>
      <c r="AG164" s="40"/>
      <c r="AH164" s="40"/>
      <c r="AI164" s="40"/>
      <c r="AJ164" s="40"/>
      <c r="AK164" s="40"/>
      <c r="AL164" s="40"/>
      <c r="AM164" s="40"/>
      <c r="AN164" s="40"/>
      <c r="AO164" s="40"/>
      <c r="AP164" s="40"/>
      <c r="AQ164" s="40"/>
      <c r="AR164" s="40"/>
      <c r="AS164" s="40"/>
      <c r="AT164" s="40"/>
      <c r="AU164" s="40"/>
      <c r="AV164" s="40"/>
      <c r="AW164" s="40"/>
      <c r="AX164" s="40"/>
      <c r="AY164" s="40"/>
      <c r="AZ164" s="40"/>
    </row>
    <row r="165" spans="1:52">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c r="AA165" s="40"/>
      <c r="AB165" s="40"/>
      <c r="AC165" s="40"/>
      <c r="AD165" s="40"/>
      <c r="AE165" s="40"/>
      <c r="AF165" s="40"/>
      <c r="AG165" s="40"/>
      <c r="AH165" s="40"/>
      <c r="AI165" s="40"/>
      <c r="AJ165" s="40"/>
      <c r="AK165" s="40"/>
      <c r="AL165" s="40"/>
      <c r="AM165" s="40"/>
      <c r="AN165" s="40"/>
      <c r="AO165" s="40"/>
      <c r="AP165" s="40"/>
      <c r="AQ165" s="40"/>
      <c r="AR165" s="40"/>
      <c r="AS165" s="40"/>
      <c r="AT165" s="40"/>
      <c r="AU165" s="40"/>
      <c r="AV165" s="40"/>
      <c r="AW165" s="40"/>
      <c r="AX165" s="40"/>
      <c r="AY165" s="40"/>
      <c r="AZ165" s="40"/>
    </row>
    <row r="166" spans="1:52">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c r="AA166" s="40"/>
      <c r="AB166" s="40"/>
      <c r="AC166" s="40"/>
      <c r="AD166" s="40"/>
      <c r="AE166" s="40"/>
      <c r="AF166" s="40"/>
      <c r="AG166" s="40"/>
      <c r="AH166" s="40"/>
      <c r="AI166" s="40"/>
      <c r="AJ166" s="40"/>
      <c r="AK166" s="40"/>
      <c r="AL166" s="40"/>
      <c r="AM166" s="40"/>
      <c r="AN166" s="40"/>
      <c r="AO166" s="40"/>
      <c r="AP166" s="40"/>
      <c r="AQ166" s="40"/>
      <c r="AR166" s="40"/>
      <c r="AS166" s="40"/>
      <c r="AT166" s="40"/>
      <c r="AU166" s="40"/>
      <c r="AV166" s="40"/>
      <c r="AW166" s="40"/>
      <c r="AX166" s="40"/>
      <c r="AY166" s="40"/>
      <c r="AZ166" s="40"/>
    </row>
    <row r="167" spans="1:52">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c r="AA167" s="40"/>
      <c r="AB167" s="40"/>
      <c r="AC167" s="40"/>
      <c r="AD167" s="40"/>
      <c r="AE167" s="40"/>
      <c r="AF167" s="40"/>
      <c r="AG167" s="40"/>
      <c r="AH167" s="40"/>
      <c r="AI167" s="40"/>
      <c r="AJ167" s="40"/>
      <c r="AK167" s="40"/>
      <c r="AL167" s="40"/>
      <c r="AM167" s="40"/>
      <c r="AN167" s="40"/>
      <c r="AO167" s="40"/>
      <c r="AP167" s="40"/>
      <c r="AQ167" s="40"/>
      <c r="AR167" s="40"/>
      <c r="AS167" s="40"/>
      <c r="AT167" s="40"/>
      <c r="AU167" s="40"/>
      <c r="AV167" s="40"/>
      <c r="AW167" s="40"/>
      <c r="AX167" s="40"/>
      <c r="AY167" s="40"/>
      <c r="AZ167" s="40"/>
    </row>
    <row r="168" spans="1:52">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c r="AA168" s="40"/>
      <c r="AB168" s="40"/>
      <c r="AC168" s="40"/>
      <c r="AD168" s="40"/>
      <c r="AE168" s="40"/>
      <c r="AF168" s="40"/>
      <c r="AG168" s="40"/>
      <c r="AH168" s="40"/>
      <c r="AI168" s="40"/>
      <c r="AJ168" s="40"/>
      <c r="AK168" s="40"/>
      <c r="AL168" s="40"/>
      <c r="AM168" s="40"/>
      <c r="AN168" s="40"/>
      <c r="AO168" s="40"/>
      <c r="AP168" s="40"/>
      <c r="AQ168" s="40"/>
      <c r="AR168" s="40"/>
      <c r="AS168" s="40"/>
      <c r="AT168" s="40"/>
      <c r="AU168" s="40"/>
      <c r="AV168" s="40"/>
      <c r="AW168" s="40"/>
      <c r="AX168" s="40"/>
      <c r="AY168" s="40"/>
      <c r="AZ168" s="40"/>
    </row>
    <row r="169" spans="1:52">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c r="AA169" s="40"/>
      <c r="AB169" s="40"/>
      <c r="AC169" s="40"/>
      <c r="AD169" s="40"/>
      <c r="AE169" s="40"/>
      <c r="AF169" s="40"/>
      <c r="AG169" s="40"/>
      <c r="AH169" s="40"/>
      <c r="AI169" s="40"/>
      <c r="AJ169" s="40"/>
      <c r="AK169" s="40"/>
      <c r="AL169" s="40"/>
      <c r="AM169" s="40"/>
      <c r="AN169" s="40"/>
      <c r="AO169" s="40"/>
      <c r="AP169" s="40"/>
      <c r="AQ169" s="40"/>
      <c r="AR169" s="40"/>
      <c r="AS169" s="40"/>
      <c r="AT169" s="40"/>
      <c r="AU169" s="40"/>
      <c r="AV169" s="40"/>
      <c r="AW169" s="40"/>
      <c r="AX169" s="40"/>
      <c r="AY169" s="40"/>
      <c r="AZ169" s="40"/>
    </row>
    <row r="170" spans="1:52">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c r="AA170" s="40"/>
      <c r="AB170" s="40"/>
      <c r="AC170" s="40"/>
      <c r="AD170" s="40"/>
      <c r="AE170" s="40"/>
      <c r="AF170" s="40"/>
      <c r="AG170" s="40"/>
      <c r="AH170" s="40"/>
      <c r="AI170" s="40"/>
      <c r="AJ170" s="40"/>
      <c r="AK170" s="40"/>
      <c r="AL170" s="40"/>
      <c r="AM170" s="40"/>
      <c r="AN170" s="40"/>
      <c r="AO170" s="40"/>
      <c r="AP170" s="40"/>
      <c r="AQ170" s="40"/>
      <c r="AR170" s="40"/>
      <c r="AS170" s="40"/>
      <c r="AT170" s="40"/>
      <c r="AU170" s="40"/>
      <c r="AV170" s="40"/>
      <c r="AW170" s="40"/>
      <c r="AX170" s="40"/>
      <c r="AY170" s="40"/>
      <c r="AZ170" s="40"/>
    </row>
    <row r="171" spans="1:52">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c r="AA171" s="40"/>
      <c r="AB171" s="40"/>
      <c r="AC171" s="40"/>
      <c r="AD171" s="40"/>
      <c r="AE171" s="40"/>
      <c r="AF171" s="40"/>
      <c r="AG171" s="40"/>
      <c r="AH171" s="40"/>
      <c r="AI171" s="40"/>
      <c r="AJ171" s="40"/>
      <c r="AK171" s="40"/>
      <c r="AL171" s="40"/>
      <c r="AM171" s="40"/>
      <c r="AN171" s="40"/>
      <c r="AO171" s="40"/>
      <c r="AP171" s="40"/>
      <c r="AQ171" s="40"/>
      <c r="AR171" s="40"/>
      <c r="AS171" s="40"/>
      <c r="AT171" s="40"/>
      <c r="AU171" s="40"/>
      <c r="AV171" s="40"/>
      <c r="AW171" s="40"/>
      <c r="AX171" s="40"/>
      <c r="AY171" s="40"/>
      <c r="AZ171" s="40"/>
    </row>
    <row r="172" spans="1:52">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c r="AA172" s="40"/>
      <c r="AB172" s="40"/>
      <c r="AC172" s="40"/>
      <c r="AD172" s="40"/>
      <c r="AE172" s="40"/>
      <c r="AF172" s="40"/>
      <c r="AG172" s="40"/>
      <c r="AH172" s="40"/>
      <c r="AI172" s="40"/>
      <c r="AJ172" s="40"/>
      <c r="AK172" s="40"/>
      <c r="AL172" s="40"/>
      <c r="AM172" s="40"/>
      <c r="AN172" s="40"/>
      <c r="AO172" s="40"/>
      <c r="AP172" s="40"/>
      <c r="AQ172" s="40"/>
      <c r="AR172" s="40"/>
      <c r="AS172" s="40"/>
      <c r="AT172" s="40"/>
      <c r="AU172" s="40"/>
      <c r="AV172" s="40"/>
      <c r="AW172" s="40"/>
      <c r="AX172" s="40"/>
      <c r="AY172" s="40"/>
      <c r="AZ172" s="40"/>
    </row>
    <row r="173" spans="1:52">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c r="AA173" s="40"/>
      <c r="AB173" s="40"/>
      <c r="AC173" s="40"/>
      <c r="AD173" s="40"/>
      <c r="AE173" s="40"/>
      <c r="AF173" s="40"/>
      <c r="AG173" s="40"/>
      <c r="AH173" s="40"/>
      <c r="AI173" s="40"/>
      <c r="AJ173" s="40"/>
      <c r="AK173" s="40"/>
      <c r="AL173" s="40"/>
      <c r="AM173" s="40"/>
      <c r="AN173" s="40"/>
      <c r="AO173" s="40"/>
      <c r="AP173" s="40"/>
      <c r="AQ173" s="40"/>
      <c r="AR173" s="40"/>
      <c r="AS173" s="40"/>
      <c r="AT173" s="40"/>
      <c r="AU173" s="40"/>
      <c r="AV173" s="40"/>
      <c r="AW173" s="40"/>
      <c r="AX173" s="40"/>
      <c r="AY173" s="40"/>
      <c r="AZ173" s="40"/>
    </row>
    <row r="174" spans="1:52">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c r="AA174" s="40"/>
      <c r="AB174" s="40"/>
      <c r="AC174" s="40"/>
      <c r="AD174" s="40"/>
      <c r="AE174" s="40"/>
      <c r="AF174" s="40"/>
      <c r="AG174" s="40"/>
      <c r="AH174" s="40"/>
      <c r="AI174" s="40"/>
      <c r="AJ174" s="40"/>
      <c r="AK174" s="40"/>
      <c r="AL174" s="40"/>
      <c r="AM174" s="40"/>
      <c r="AN174" s="40"/>
      <c r="AO174" s="40"/>
      <c r="AP174" s="40"/>
      <c r="AQ174" s="40"/>
      <c r="AR174" s="40"/>
      <c r="AS174" s="40"/>
      <c r="AT174" s="40"/>
      <c r="AU174" s="40"/>
      <c r="AV174" s="40"/>
      <c r="AW174" s="40"/>
      <c r="AX174" s="40"/>
      <c r="AY174" s="40"/>
      <c r="AZ174" s="40"/>
    </row>
    <row r="175" spans="1:52">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c r="AA175" s="40"/>
      <c r="AB175" s="40"/>
      <c r="AC175" s="40"/>
      <c r="AD175" s="40"/>
      <c r="AE175" s="40"/>
      <c r="AF175" s="40"/>
      <c r="AG175" s="40"/>
      <c r="AH175" s="40"/>
      <c r="AI175" s="40"/>
      <c r="AJ175" s="40"/>
      <c r="AK175" s="40"/>
      <c r="AL175" s="40"/>
      <c r="AM175" s="40"/>
      <c r="AN175" s="40"/>
      <c r="AO175" s="40"/>
      <c r="AP175" s="40"/>
      <c r="AQ175" s="40"/>
      <c r="AR175" s="40"/>
      <c r="AS175" s="40"/>
      <c r="AT175" s="40"/>
      <c r="AU175" s="40"/>
      <c r="AV175" s="40"/>
      <c r="AW175" s="40"/>
      <c r="AX175" s="40"/>
      <c r="AY175" s="40"/>
      <c r="AZ175" s="40"/>
    </row>
    <row r="176" spans="1:52">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c r="AA176" s="40"/>
      <c r="AB176" s="40"/>
      <c r="AC176" s="40"/>
      <c r="AD176" s="40"/>
      <c r="AE176" s="40"/>
      <c r="AF176" s="40"/>
      <c r="AG176" s="40"/>
      <c r="AH176" s="40"/>
      <c r="AI176" s="40"/>
      <c r="AJ176" s="40"/>
      <c r="AK176" s="40"/>
      <c r="AL176" s="40"/>
      <c r="AM176" s="40"/>
      <c r="AN176" s="40"/>
      <c r="AO176" s="40"/>
      <c r="AP176" s="40"/>
      <c r="AQ176" s="40"/>
      <c r="AR176" s="40"/>
      <c r="AS176" s="40"/>
      <c r="AT176" s="40"/>
      <c r="AU176" s="40"/>
      <c r="AV176" s="40"/>
      <c r="AW176" s="40"/>
      <c r="AX176" s="40"/>
      <c r="AY176" s="40"/>
      <c r="AZ176" s="40"/>
    </row>
    <row r="177" spans="1:52">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c r="AA177" s="40"/>
      <c r="AB177" s="40"/>
      <c r="AC177" s="40"/>
      <c r="AD177" s="40"/>
      <c r="AE177" s="40"/>
      <c r="AF177" s="40"/>
      <c r="AG177" s="40"/>
      <c r="AH177" s="40"/>
      <c r="AI177" s="40"/>
      <c r="AJ177" s="40"/>
      <c r="AK177" s="40"/>
      <c r="AL177" s="40"/>
      <c r="AM177" s="40"/>
      <c r="AN177" s="40"/>
      <c r="AO177" s="40"/>
      <c r="AP177" s="40"/>
      <c r="AQ177" s="40"/>
      <c r="AR177" s="40"/>
      <c r="AS177" s="40"/>
      <c r="AT177" s="40"/>
      <c r="AU177" s="40"/>
      <c r="AV177" s="40"/>
      <c r="AW177" s="40"/>
      <c r="AX177" s="40"/>
      <c r="AY177" s="40"/>
      <c r="AZ177" s="40"/>
    </row>
    <row r="178" spans="1:52">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c r="AA178" s="40"/>
      <c r="AB178" s="40"/>
      <c r="AC178" s="40"/>
      <c r="AD178" s="40"/>
      <c r="AE178" s="40"/>
      <c r="AF178" s="40"/>
      <c r="AG178" s="40"/>
      <c r="AH178" s="40"/>
      <c r="AI178" s="40"/>
      <c r="AJ178" s="40"/>
      <c r="AK178" s="40"/>
      <c r="AL178" s="40"/>
      <c r="AM178" s="40"/>
      <c r="AN178" s="40"/>
      <c r="AO178" s="40"/>
      <c r="AP178" s="40"/>
      <c r="AQ178" s="40"/>
      <c r="AR178" s="40"/>
      <c r="AS178" s="40"/>
      <c r="AT178" s="40"/>
      <c r="AU178" s="40"/>
      <c r="AV178" s="40"/>
      <c r="AW178" s="40"/>
      <c r="AX178" s="40"/>
      <c r="AY178" s="40"/>
      <c r="AZ178" s="40"/>
    </row>
    <row r="179" spans="1:52">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c r="AA179" s="40"/>
      <c r="AB179" s="40"/>
      <c r="AC179" s="40"/>
      <c r="AD179" s="40"/>
      <c r="AE179" s="40"/>
      <c r="AF179" s="40"/>
      <c r="AG179" s="40"/>
      <c r="AH179" s="40"/>
      <c r="AI179" s="40"/>
      <c r="AJ179" s="40"/>
      <c r="AK179" s="40"/>
      <c r="AL179" s="40"/>
      <c r="AM179" s="40"/>
      <c r="AN179" s="40"/>
      <c r="AO179" s="40"/>
      <c r="AP179" s="40"/>
      <c r="AQ179" s="40"/>
      <c r="AR179" s="40"/>
      <c r="AS179" s="40"/>
      <c r="AT179" s="40"/>
      <c r="AU179" s="40"/>
      <c r="AV179" s="40"/>
      <c r="AW179" s="40"/>
      <c r="AX179" s="40"/>
      <c r="AY179" s="40"/>
      <c r="AZ179" s="40"/>
    </row>
    <row r="180" spans="1:52">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c r="AA180" s="40"/>
      <c r="AB180" s="40"/>
      <c r="AC180" s="40"/>
      <c r="AD180" s="40"/>
      <c r="AE180" s="40"/>
      <c r="AF180" s="40"/>
      <c r="AG180" s="40"/>
      <c r="AH180" s="40"/>
      <c r="AI180" s="40"/>
      <c r="AJ180" s="40"/>
      <c r="AK180" s="40"/>
      <c r="AL180" s="40"/>
      <c r="AM180" s="40"/>
      <c r="AN180" s="40"/>
      <c r="AO180" s="40"/>
      <c r="AP180" s="40"/>
      <c r="AQ180" s="40"/>
      <c r="AR180" s="40"/>
      <c r="AS180" s="40"/>
      <c r="AT180" s="40"/>
      <c r="AU180" s="40"/>
      <c r="AV180" s="40"/>
      <c r="AW180" s="40"/>
      <c r="AX180" s="40"/>
      <c r="AY180" s="40"/>
      <c r="AZ180" s="40"/>
    </row>
    <row r="181" spans="1:52">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c r="AA181" s="40"/>
      <c r="AB181" s="40"/>
      <c r="AC181" s="40"/>
      <c r="AD181" s="40"/>
      <c r="AE181" s="40"/>
      <c r="AF181" s="40"/>
      <c r="AG181" s="40"/>
      <c r="AH181" s="40"/>
      <c r="AI181" s="40"/>
      <c r="AJ181" s="40"/>
      <c r="AK181" s="40"/>
      <c r="AL181" s="40"/>
      <c r="AM181" s="40"/>
      <c r="AN181" s="40"/>
      <c r="AO181" s="40"/>
      <c r="AP181" s="40"/>
      <c r="AQ181" s="40"/>
      <c r="AR181" s="40"/>
      <c r="AS181" s="40"/>
      <c r="AT181" s="40"/>
      <c r="AU181" s="40"/>
      <c r="AV181" s="40"/>
      <c r="AW181" s="40"/>
      <c r="AX181" s="40"/>
      <c r="AY181" s="40"/>
      <c r="AZ181" s="40"/>
    </row>
    <row r="182" spans="1:52">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c r="AA182" s="40"/>
      <c r="AB182" s="40"/>
      <c r="AC182" s="40"/>
      <c r="AD182" s="40"/>
      <c r="AE182" s="40"/>
      <c r="AF182" s="40"/>
      <c r="AG182" s="40"/>
      <c r="AH182" s="40"/>
      <c r="AI182" s="40"/>
      <c r="AJ182" s="40"/>
      <c r="AK182" s="40"/>
      <c r="AL182" s="40"/>
      <c r="AM182" s="40"/>
      <c r="AN182" s="40"/>
      <c r="AO182" s="40"/>
      <c r="AP182" s="40"/>
      <c r="AQ182" s="40"/>
      <c r="AR182" s="40"/>
      <c r="AS182" s="40"/>
      <c r="AT182" s="40"/>
      <c r="AU182" s="40"/>
      <c r="AV182" s="40"/>
      <c r="AW182" s="40"/>
      <c r="AX182" s="40"/>
      <c r="AY182" s="40"/>
      <c r="AZ182" s="40"/>
    </row>
    <row r="183" spans="1:52">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c r="AA183" s="40"/>
      <c r="AB183" s="40"/>
      <c r="AC183" s="40"/>
      <c r="AD183" s="40"/>
      <c r="AE183" s="40"/>
      <c r="AF183" s="40"/>
      <c r="AG183" s="40"/>
      <c r="AH183" s="40"/>
      <c r="AI183" s="40"/>
      <c r="AJ183" s="40"/>
      <c r="AK183" s="40"/>
      <c r="AL183" s="40"/>
      <c r="AM183" s="40"/>
      <c r="AN183" s="40"/>
      <c r="AO183" s="40"/>
      <c r="AP183" s="40"/>
      <c r="AQ183" s="40"/>
      <c r="AR183" s="40"/>
      <c r="AS183" s="40"/>
      <c r="AT183" s="40"/>
      <c r="AU183" s="40"/>
      <c r="AV183" s="40"/>
      <c r="AW183" s="40"/>
      <c r="AX183" s="40"/>
      <c r="AY183" s="40"/>
      <c r="AZ183" s="40"/>
    </row>
    <row r="184" spans="1:52">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c r="AA184" s="40"/>
      <c r="AB184" s="40"/>
      <c r="AC184" s="40"/>
      <c r="AD184" s="40"/>
      <c r="AE184" s="40"/>
      <c r="AF184" s="40"/>
      <c r="AG184" s="40"/>
      <c r="AH184" s="40"/>
      <c r="AI184" s="40"/>
      <c r="AJ184" s="40"/>
      <c r="AK184" s="40"/>
      <c r="AL184" s="40"/>
      <c r="AM184" s="40"/>
      <c r="AN184" s="40"/>
      <c r="AO184" s="40"/>
      <c r="AP184" s="40"/>
      <c r="AQ184" s="40"/>
      <c r="AR184" s="40"/>
      <c r="AS184" s="40"/>
      <c r="AT184" s="40"/>
      <c r="AU184" s="40"/>
      <c r="AV184" s="40"/>
      <c r="AW184" s="40"/>
      <c r="AX184" s="40"/>
      <c r="AY184" s="40"/>
      <c r="AZ184" s="40"/>
    </row>
    <row r="185" spans="1:52">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c r="AA185" s="40"/>
      <c r="AB185" s="40"/>
      <c r="AC185" s="40"/>
      <c r="AD185" s="40"/>
      <c r="AE185" s="40"/>
      <c r="AF185" s="40"/>
      <c r="AG185" s="40"/>
      <c r="AH185" s="40"/>
      <c r="AI185" s="40"/>
      <c r="AJ185" s="40"/>
      <c r="AK185" s="40"/>
      <c r="AL185" s="40"/>
      <c r="AM185" s="40"/>
      <c r="AN185" s="40"/>
      <c r="AO185" s="40"/>
      <c r="AP185" s="40"/>
      <c r="AQ185" s="40"/>
      <c r="AR185" s="40"/>
      <c r="AS185" s="40"/>
      <c r="AT185" s="40"/>
      <c r="AU185" s="40"/>
      <c r="AV185" s="40"/>
      <c r="AW185" s="40"/>
      <c r="AX185" s="40"/>
      <c r="AY185" s="40"/>
      <c r="AZ185" s="40"/>
    </row>
    <row r="186" spans="1:52">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c r="AA186" s="40"/>
      <c r="AB186" s="40"/>
      <c r="AC186" s="40"/>
      <c r="AD186" s="40"/>
      <c r="AE186" s="40"/>
      <c r="AF186" s="40"/>
      <c r="AG186" s="40"/>
      <c r="AH186" s="40"/>
      <c r="AI186" s="40"/>
      <c r="AJ186" s="40"/>
      <c r="AK186" s="40"/>
      <c r="AL186" s="40"/>
      <c r="AM186" s="40"/>
      <c r="AN186" s="40"/>
      <c r="AO186" s="40"/>
      <c r="AP186" s="40"/>
      <c r="AQ186" s="40"/>
      <c r="AR186" s="40"/>
      <c r="AS186" s="40"/>
      <c r="AT186" s="40"/>
      <c r="AU186" s="40"/>
      <c r="AV186" s="40"/>
      <c r="AW186" s="40"/>
      <c r="AX186" s="40"/>
      <c r="AY186" s="40"/>
      <c r="AZ186" s="40"/>
    </row>
    <row r="187" spans="1:52">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c r="AA187" s="40"/>
      <c r="AB187" s="40"/>
      <c r="AC187" s="40"/>
      <c r="AD187" s="40"/>
      <c r="AE187" s="40"/>
      <c r="AF187" s="40"/>
      <c r="AG187" s="40"/>
      <c r="AH187" s="40"/>
      <c r="AI187" s="40"/>
      <c r="AJ187" s="40"/>
      <c r="AK187" s="40"/>
      <c r="AL187" s="40"/>
      <c r="AM187" s="40"/>
      <c r="AN187" s="40"/>
      <c r="AO187" s="40"/>
      <c r="AP187" s="40"/>
      <c r="AQ187" s="40"/>
      <c r="AR187" s="40"/>
      <c r="AS187" s="40"/>
      <c r="AT187" s="40"/>
      <c r="AU187" s="40"/>
      <c r="AV187" s="40"/>
      <c r="AW187" s="40"/>
      <c r="AX187" s="40"/>
      <c r="AY187" s="40"/>
      <c r="AZ187" s="40"/>
    </row>
    <row r="188" spans="1:52">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c r="AA188" s="40"/>
      <c r="AB188" s="40"/>
      <c r="AC188" s="40"/>
      <c r="AD188" s="40"/>
      <c r="AE188" s="40"/>
      <c r="AF188" s="40"/>
      <c r="AG188" s="40"/>
      <c r="AH188" s="40"/>
      <c r="AI188" s="40"/>
      <c r="AJ188" s="40"/>
      <c r="AK188" s="40"/>
      <c r="AL188" s="40"/>
      <c r="AM188" s="40"/>
      <c r="AN188" s="40"/>
      <c r="AO188" s="40"/>
      <c r="AP188" s="40"/>
      <c r="AQ188" s="40"/>
      <c r="AR188" s="40"/>
      <c r="AS188" s="40"/>
      <c r="AT188" s="40"/>
      <c r="AU188" s="40"/>
      <c r="AV188" s="40"/>
      <c r="AW188" s="40"/>
      <c r="AX188" s="40"/>
      <c r="AY188" s="40"/>
      <c r="AZ188" s="40"/>
    </row>
    <row r="189" spans="1:52">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c r="AA189" s="40"/>
      <c r="AB189" s="40"/>
      <c r="AC189" s="40"/>
      <c r="AD189" s="40"/>
      <c r="AE189" s="40"/>
      <c r="AF189" s="40"/>
      <c r="AG189" s="40"/>
      <c r="AH189" s="40"/>
      <c r="AI189" s="40"/>
      <c r="AJ189" s="40"/>
      <c r="AK189" s="40"/>
      <c r="AL189" s="40"/>
      <c r="AM189" s="40"/>
      <c r="AN189" s="40"/>
      <c r="AO189" s="40"/>
      <c r="AP189" s="40"/>
      <c r="AQ189" s="40"/>
      <c r="AR189" s="40"/>
      <c r="AS189" s="40"/>
      <c r="AT189" s="40"/>
      <c r="AU189" s="40"/>
      <c r="AV189" s="40"/>
      <c r="AW189" s="40"/>
      <c r="AX189" s="40"/>
      <c r="AY189" s="40"/>
      <c r="AZ189" s="40"/>
    </row>
    <row r="190" spans="1:52">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c r="AA190" s="40"/>
      <c r="AB190" s="40"/>
      <c r="AC190" s="40"/>
      <c r="AD190" s="40"/>
      <c r="AE190" s="40"/>
      <c r="AF190" s="40"/>
      <c r="AG190" s="40"/>
      <c r="AH190" s="40"/>
      <c r="AI190" s="40"/>
      <c r="AJ190" s="40"/>
      <c r="AK190" s="40"/>
      <c r="AL190" s="40"/>
      <c r="AM190" s="40"/>
      <c r="AN190" s="40"/>
      <c r="AO190" s="40"/>
      <c r="AP190" s="40"/>
      <c r="AQ190" s="40"/>
      <c r="AR190" s="40"/>
      <c r="AS190" s="40"/>
      <c r="AT190" s="40"/>
      <c r="AU190" s="40"/>
      <c r="AV190" s="40"/>
      <c r="AW190" s="40"/>
      <c r="AX190" s="40"/>
      <c r="AY190" s="40"/>
      <c r="AZ190" s="40"/>
    </row>
    <row r="191" spans="1:52">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c r="AA191" s="40"/>
      <c r="AB191" s="40"/>
      <c r="AC191" s="40"/>
      <c r="AD191" s="40"/>
      <c r="AE191" s="40"/>
      <c r="AF191" s="40"/>
      <c r="AG191" s="40"/>
      <c r="AH191" s="40"/>
      <c r="AI191" s="40"/>
      <c r="AJ191" s="40"/>
      <c r="AK191" s="40"/>
      <c r="AL191" s="40"/>
      <c r="AM191" s="40"/>
      <c r="AN191" s="40"/>
      <c r="AO191" s="40"/>
      <c r="AP191" s="40"/>
      <c r="AQ191" s="40"/>
      <c r="AR191" s="40"/>
      <c r="AS191" s="40"/>
      <c r="AT191" s="40"/>
      <c r="AU191" s="40"/>
      <c r="AV191" s="40"/>
      <c r="AW191" s="40"/>
      <c r="AX191" s="40"/>
      <c r="AY191" s="40"/>
      <c r="AZ191" s="40"/>
    </row>
    <row r="192" spans="1:52">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c r="AA192" s="40"/>
      <c r="AB192" s="40"/>
      <c r="AC192" s="40"/>
      <c r="AD192" s="40"/>
      <c r="AE192" s="40"/>
      <c r="AF192" s="40"/>
      <c r="AG192" s="40"/>
      <c r="AH192" s="40"/>
      <c r="AI192" s="40"/>
      <c r="AJ192" s="40"/>
      <c r="AK192" s="40"/>
      <c r="AL192" s="40"/>
      <c r="AM192" s="40"/>
      <c r="AN192" s="40"/>
      <c r="AO192" s="40"/>
      <c r="AP192" s="40"/>
      <c r="AQ192" s="40"/>
      <c r="AR192" s="40"/>
      <c r="AS192" s="40"/>
      <c r="AT192" s="40"/>
      <c r="AU192" s="40"/>
      <c r="AV192" s="40"/>
      <c r="AW192" s="40"/>
      <c r="AX192" s="40"/>
      <c r="AY192" s="40"/>
      <c r="AZ192" s="40"/>
    </row>
    <row r="193" spans="1:52">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c r="AA193" s="40"/>
      <c r="AB193" s="40"/>
      <c r="AC193" s="40"/>
      <c r="AD193" s="40"/>
      <c r="AE193" s="40"/>
      <c r="AF193" s="40"/>
      <c r="AG193" s="40"/>
      <c r="AH193" s="40"/>
      <c r="AI193" s="40"/>
      <c r="AJ193" s="40"/>
      <c r="AK193" s="40"/>
      <c r="AL193" s="40"/>
      <c r="AM193" s="40"/>
      <c r="AN193" s="40"/>
      <c r="AO193" s="40"/>
      <c r="AP193" s="40"/>
      <c r="AQ193" s="40"/>
      <c r="AR193" s="40"/>
      <c r="AS193" s="40"/>
      <c r="AT193" s="40"/>
      <c r="AU193" s="40"/>
      <c r="AV193" s="40"/>
      <c r="AW193" s="40"/>
      <c r="AX193" s="40"/>
      <c r="AY193" s="40"/>
      <c r="AZ193" s="40"/>
    </row>
    <row r="194" spans="1:52">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c r="AA194" s="40"/>
      <c r="AB194" s="40"/>
      <c r="AC194" s="40"/>
      <c r="AD194" s="40"/>
      <c r="AE194" s="40"/>
      <c r="AF194" s="40"/>
      <c r="AG194" s="40"/>
      <c r="AH194" s="40"/>
      <c r="AI194" s="40"/>
      <c r="AJ194" s="40"/>
      <c r="AK194" s="40"/>
      <c r="AL194" s="40"/>
      <c r="AM194" s="40"/>
      <c r="AN194" s="40"/>
      <c r="AO194" s="40"/>
      <c r="AP194" s="40"/>
      <c r="AQ194" s="40"/>
      <c r="AR194" s="40"/>
      <c r="AS194" s="40"/>
      <c r="AT194" s="40"/>
      <c r="AU194" s="40"/>
      <c r="AV194" s="40"/>
      <c r="AW194" s="40"/>
      <c r="AX194" s="40"/>
      <c r="AY194" s="40"/>
      <c r="AZ194" s="40"/>
    </row>
    <row r="195" spans="1:52">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c r="AA195" s="40"/>
      <c r="AB195" s="40"/>
      <c r="AC195" s="40"/>
      <c r="AD195" s="40"/>
      <c r="AE195" s="40"/>
      <c r="AF195" s="40"/>
      <c r="AG195" s="40"/>
      <c r="AH195" s="40"/>
      <c r="AI195" s="40"/>
      <c r="AJ195" s="40"/>
      <c r="AK195" s="40"/>
      <c r="AL195" s="40"/>
      <c r="AM195" s="40"/>
      <c r="AN195" s="40"/>
      <c r="AO195" s="40"/>
      <c r="AP195" s="40"/>
      <c r="AQ195" s="40"/>
      <c r="AR195" s="40"/>
      <c r="AS195" s="40"/>
      <c r="AT195" s="40"/>
      <c r="AU195" s="40"/>
      <c r="AV195" s="40"/>
      <c r="AW195" s="40"/>
      <c r="AX195" s="40"/>
      <c r="AY195" s="40"/>
      <c r="AZ195" s="40"/>
    </row>
    <row r="196" spans="1:52">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c r="AA196" s="40"/>
      <c r="AB196" s="40"/>
      <c r="AC196" s="40"/>
      <c r="AD196" s="40"/>
      <c r="AE196" s="40"/>
      <c r="AF196" s="40"/>
      <c r="AG196" s="40"/>
      <c r="AH196" s="40"/>
      <c r="AI196" s="40"/>
      <c r="AJ196" s="40"/>
      <c r="AK196" s="40"/>
      <c r="AL196" s="40"/>
      <c r="AM196" s="40"/>
      <c r="AN196" s="40"/>
      <c r="AO196" s="40"/>
      <c r="AP196" s="40"/>
      <c r="AQ196" s="40"/>
      <c r="AR196" s="40"/>
      <c r="AS196" s="40"/>
      <c r="AT196" s="40"/>
      <c r="AU196" s="40"/>
      <c r="AV196" s="40"/>
      <c r="AW196" s="40"/>
      <c r="AX196" s="40"/>
      <c r="AY196" s="40"/>
      <c r="AZ196" s="40"/>
    </row>
    <row r="197" spans="1:52">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c r="AA197" s="40"/>
      <c r="AB197" s="40"/>
      <c r="AC197" s="40"/>
      <c r="AD197" s="40"/>
      <c r="AE197" s="40"/>
      <c r="AF197" s="40"/>
      <c r="AG197" s="40"/>
      <c r="AH197" s="40"/>
      <c r="AI197" s="40"/>
      <c r="AJ197" s="40"/>
      <c r="AK197" s="40"/>
      <c r="AL197" s="40"/>
      <c r="AM197" s="40"/>
      <c r="AN197" s="40"/>
      <c r="AO197" s="40"/>
      <c r="AP197" s="40"/>
      <c r="AQ197" s="40"/>
      <c r="AR197" s="40"/>
      <c r="AS197" s="40"/>
      <c r="AT197" s="40"/>
      <c r="AU197" s="40"/>
      <c r="AV197" s="40"/>
      <c r="AW197" s="40"/>
      <c r="AX197" s="40"/>
      <c r="AY197" s="40"/>
      <c r="AZ197" s="40"/>
    </row>
    <row r="198" spans="1:52">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c r="AA198" s="40"/>
      <c r="AB198" s="40"/>
      <c r="AC198" s="40"/>
      <c r="AD198" s="40"/>
      <c r="AE198" s="40"/>
      <c r="AF198" s="40"/>
      <c r="AG198" s="40"/>
      <c r="AH198" s="40"/>
      <c r="AI198" s="40"/>
      <c r="AJ198" s="40"/>
      <c r="AK198" s="40"/>
      <c r="AL198" s="40"/>
      <c r="AM198" s="40"/>
      <c r="AN198" s="40"/>
      <c r="AO198" s="40"/>
      <c r="AP198" s="40"/>
      <c r="AQ198" s="40"/>
      <c r="AR198" s="40"/>
      <c r="AS198" s="40"/>
      <c r="AT198" s="40"/>
      <c r="AU198" s="40"/>
      <c r="AV198" s="40"/>
      <c r="AW198" s="40"/>
      <c r="AX198" s="40"/>
      <c r="AY198" s="40"/>
      <c r="AZ198" s="40"/>
    </row>
    <row r="199" spans="1:52">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c r="AA199" s="40"/>
      <c r="AB199" s="40"/>
      <c r="AC199" s="40"/>
      <c r="AD199" s="40"/>
      <c r="AE199" s="40"/>
      <c r="AF199" s="40"/>
      <c r="AG199" s="40"/>
      <c r="AH199" s="40"/>
      <c r="AI199" s="40"/>
      <c r="AJ199" s="40"/>
      <c r="AK199" s="40"/>
      <c r="AL199" s="40"/>
      <c r="AM199" s="40"/>
      <c r="AN199" s="40"/>
      <c r="AO199" s="40"/>
      <c r="AP199" s="40"/>
      <c r="AQ199" s="40"/>
      <c r="AR199" s="40"/>
      <c r="AS199" s="40"/>
      <c r="AT199" s="40"/>
      <c r="AU199" s="40"/>
      <c r="AV199" s="40"/>
      <c r="AW199" s="40"/>
      <c r="AX199" s="40"/>
      <c r="AY199" s="40"/>
      <c r="AZ199" s="40"/>
    </row>
    <row r="200" spans="1:52">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c r="AA200" s="40"/>
      <c r="AB200" s="40"/>
      <c r="AC200" s="40"/>
      <c r="AD200" s="40"/>
      <c r="AE200" s="40"/>
      <c r="AF200" s="40"/>
      <c r="AG200" s="40"/>
      <c r="AH200" s="40"/>
      <c r="AI200" s="40"/>
      <c r="AJ200" s="40"/>
      <c r="AK200" s="40"/>
      <c r="AL200" s="40"/>
      <c r="AM200" s="40"/>
      <c r="AN200" s="40"/>
      <c r="AO200" s="40"/>
      <c r="AP200" s="40"/>
      <c r="AQ200" s="40"/>
      <c r="AR200" s="40"/>
      <c r="AS200" s="40"/>
      <c r="AT200" s="40"/>
      <c r="AU200" s="40"/>
      <c r="AV200" s="40"/>
      <c r="AW200" s="40"/>
      <c r="AX200" s="40"/>
      <c r="AY200" s="40"/>
      <c r="AZ200" s="40"/>
    </row>
    <row r="201" spans="1:52">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c r="AA201" s="40"/>
      <c r="AB201" s="40"/>
      <c r="AC201" s="40"/>
      <c r="AD201" s="40"/>
      <c r="AE201" s="40"/>
      <c r="AF201" s="40"/>
      <c r="AG201" s="40"/>
      <c r="AH201" s="40"/>
      <c r="AI201" s="40"/>
      <c r="AJ201" s="40"/>
      <c r="AK201" s="40"/>
      <c r="AL201" s="40"/>
      <c r="AM201" s="40"/>
      <c r="AN201" s="40"/>
      <c r="AO201" s="40"/>
      <c r="AP201" s="40"/>
      <c r="AQ201" s="40"/>
      <c r="AR201" s="40"/>
      <c r="AS201" s="40"/>
      <c r="AT201" s="40"/>
      <c r="AU201" s="40"/>
      <c r="AV201" s="40"/>
      <c r="AW201" s="40"/>
      <c r="AX201" s="40"/>
      <c r="AY201" s="40"/>
      <c r="AZ201" s="40"/>
    </row>
    <row r="202" spans="1:52">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c r="AA202" s="40"/>
      <c r="AB202" s="40"/>
      <c r="AC202" s="40"/>
      <c r="AD202" s="40"/>
      <c r="AE202" s="40"/>
      <c r="AF202" s="40"/>
      <c r="AG202" s="40"/>
      <c r="AH202" s="40"/>
      <c r="AI202" s="40"/>
      <c r="AJ202" s="40"/>
      <c r="AK202" s="40"/>
      <c r="AL202" s="40"/>
      <c r="AM202" s="40"/>
      <c r="AN202" s="40"/>
      <c r="AO202" s="40"/>
      <c r="AP202" s="40"/>
      <c r="AQ202" s="40"/>
      <c r="AR202" s="40"/>
      <c r="AS202" s="40"/>
      <c r="AT202" s="40"/>
      <c r="AU202" s="40"/>
      <c r="AV202" s="40"/>
      <c r="AW202" s="40"/>
      <c r="AX202" s="40"/>
      <c r="AY202" s="40"/>
      <c r="AZ202" s="40"/>
    </row>
    <row r="203" spans="1:52">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c r="AA203" s="40"/>
      <c r="AB203" s="40"/>
      <c r="AC203" s="40"/>
      <c r="AD203" s="40"/>
      <c r="AE203" s="40"/>
      <c r="AF203" s="40"/>
      <c r="AG203" s="40"/>
      <c r="AH203" s="40"/>
      <c r="AI203" s="40"/>
      <c r="AJ203" s="40"/>
      <c r="AK203" s="40"/>
      <c r="AL203" s="40"/>
      <c r="AM203" s="40"/>
      <c r="AN203" s="40"/>
      <c r="AO203" s="40"/>
      <c r="AP203" s="40"/>
      <c r="AQ203" s="40"/>
      <c r="AR203" s="40"/>
      <c r="AS203" s="40"/>
      <c r="AT203" s="40"/>
      <c r="AU203" s="40"/>
      <c r="AV203" s="40"/>
      <c r="AW203" s="40"/>
      <c r="AX203" s="40"/>
      <c r="AY203" s="40"/>
      <c r="AZ203" s="40"/>
    </row>
    <row r="204" spans="1:52">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c r="AA204" s="40"/>
      <c r="AB204" s="40"/>
      <c r="AC204" s="40"/>
      <c r="AD204" s="40"/>
      <c r="AE204" s="40"/>
      <c r="AF204" s="40"/>
      <c r="AG204" s="40"/>
      <c r="AH204" s="40"/>
      <c r="AI204" s="40"/>
      <c r="AJ204" s="40"/>
      <c r="AK204" s="40"/>
      <c r="AL204" s="40"/>
      <c r="AM204" s="40"/>
      <c r="AN204" s="40"/>
      <c r="AO204" s="40"/>
      <c r="AP204" s="40"/>
      <c r="AQ204" s="40"/>
      <c r="AR204" s="40"/>
      <c r="AS204" s="40"/>
      <c r="AT204" s="40"/>
      <c r="AU204" s="40"/>
      <c r="AV204" s="40"/>
      <c r="AW204" s="40"/>
      <c r="AX204" s="40"/>
      <c r="AY204" s="40"/>
      <c r="AZ204" s="40"/>
    </row>
    <row r="205" spans="1:52">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c r="AA205" s="40"/>
      <c r="AB205" s="40"/>
      <c r="AC205" s="40"/>
      <c r="AD205" s="40"/>
      <c r="AE205" s="40"/>
      <c r="AF205" s="40"/>
      <c r="AG205" s="40"/>
      <c r="AH205" s="40"/>
      <c r="AI205" s="40"/>
      <c r="AJ205" s="40"/>
      <c r="AK205" s="40"/>
      <c r="AL205" s="40"/>
      <c r="AM205" s="40"/>
      <c r="AN205" s="40"/>
      <c r="AO205" s="40"/>
      <c r="AP205" s="40"/>
      <c r="AQ205" s="40"/>
      <c r="AR205" s="40"/>
      <c r="AS205" s="40"/>
      <c r="AT205" s="40"/>
      <c r="AU205" s="40"/>
      <c r="AV205" s="40"/>
      <c r="AW205" s="40"/>
      <c r="AX205" s="40"/>
      <c r="AY205" s="40"/>
      <c r="AZ205" s="40"/>
    </row>
    <row r="206" spans="1:52">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c r="AA206" s="40"/>
      <c r="AB206" s="40"/>
      <c r="AC206" s="40"/>
      <c r="AD206" s="40"/>
      <c r="AE206" s="40"/>
      <c r="AF206" s="40"/>
      <c r="AG206" s="40"/>
      <c r="AH206" s="40"/>
      <c r="AI206" s="40"/>
      <c r="AJ206" s="40"/>
      <c r="AK206" s="40"/>
      <c r="AL206" s="40"/>
      <c r="AM206" s="40"/>
      <c r="AN206" s="40"/>
      <c r="AO206" s="40"/>
      <c r="AP206" s="40"/>
      <c r="AQ206" s="40"/>
      <c r="AR206" s="40"/>
      <c r="AS206" s="40"/>
      <c r="AT206" s="40"/>
      <c r="AU206" s="40"/>
      <c r="AV206" s="40"/>
      <c r="AW206" s="40"/>
      <c r="AX206" s="40"/>
      <c r="AY206" s="40"/>
      <c r="AZ206" s="40"/>
    </row>
    <row r="207" spans="1:52">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c r="AA207" s="40"/>
      <c r="AB207" s="40"/>
      <c r="AC207" s="40"/>
      <c r="AD207" s="40"/>
      <c r="AE207" s="40"/>
      <c r="AF207" s="40"/>
      <c r="AG207" s="40"/>
      <c r="AH207" s="40"/>
      <c r="AI207" s="40"/>
      <c r="AJ207" s="40"/>
      <c r="AK207" s="40"/>
      <c r="AL207" s="40"/>
      <c r="AM207" s="40"/>
      <c r="AN207" s="40"/>
      <c r="AO207" s="40"/>
      <c r="AP207" s="40"/>
      <c r="AQ207" s="40"/>
      <c r="AR207" s="40"/>
      <c r="AS207" s="40"/>
      <c r="AT207" s="40"/>
      <c r="AU207" s="40"/>
      <c r="AV207" s="40"/>
      <c r="AW207" s="40"/>
      <c r="AX207" s="40"/>
      <c r="AY207" s="40"/>
      <c r="AZ207" s="40"/>
    </row>
    <row r="208" spans="1:52">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c r="AA208" s="40"/>
      <c r="AB208" s="40"/>
      <c r="AC208" s="40"/>
      <c r="AD208" s="40"/>
      <c r="AE208" s="40"/>
      <c r="AF208" s="40"/>
      <c r="AG208" s="40"/>
      <c r="AH208" s="40"/>
      <c r="AI208" s="40"/>
      <c r="AJ208" s="40"/>
      <c r="AK208" s="40"/>
      <c r="AL208" s="40"/>
      <c r="AM208" s="40"/>
      <c r="AN208" s="40"/>
      <c r="AO208" s="40"/>
      <c r="AP208" s="40"/>
      <c r="AQ208" s="40"/>
      <c r="AR208" s="40"/>
      <c r="AS208" s="40"/>
      <c r="AT208" s="40"/>
      <c r="AU208" s="40"/>
      <c r="AV208" s="40"/>
      <c r="AW208" s="40"/>
      <c r="AX208" s="40"/>
      <c r="AY208" s="40"/>
      <c r="AZ208" s="40"/>
    </row>
    <row r="209" spans="1:52">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c r="AA209" s="40"/>
      <c r="AB209" s="40"/>
      <c r="AC209" s="40"/>
      <c r="AD209" s="40"/>
      <c r="AE209" s="40"/>
      <c r="AF209" s="40"/>
      <c r="AG209" s="40"/>
      <c r="AH209" s="40"/>
      <c r="AI209" s="40"/>
      <c r="AJ209" s="40"/>
      <c r="AK209" s="40"/>
      <c r="AL209" s="40"/>
      <c r="AM209" s="40"/>
      <c r="AN209" s="40"/>
      <c r="AO209" s="40"/>
      <c r="AP209" s="40"/>
      <c r="AQ209" s="40"/>
      <c r="AR209" s="40"/>
      <c r="AS209" s="40"/>
      <c r="AT209" s="40"/>
      <c r="AU209" s="40"/>
      <c r="AV209" s="40"/>
      <c r="AW209" s="40"/>
      <c r="AX209" s="40"/>
      <c r="AY209" s="40"/>
      <c r="AZ209" s="40"/>
    </row>
    <row r="210" spans="1:52">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c r="AA210" s="40"/>
      <c r="AB210" s="40"/>
      <c r="AC210" s="40"/>
      <c r="AD210" s="40"/>
      <c r="AE210" s="40"/>
      <c r="AF210" s="40"/>
      <c r="AG210" s="40"/>
      <c r="AH210" s="40"/>
      <c r="AI210" s="40"/>
      <c r="AJ210" s="40"/>
      <c r="AK210" s="40"/>
      <c r="AL210" s="40"/>
      <c r="AM210" s="40"/>
      <c r="AN210" s="40"/>
      <c r="AO210" s="40"/>
      <c r="AP210" s="40"/>
      <c r="AQ210" s="40"/>
      <c r="AR210" s="40"/>
      <c r="AS210" s="40"/>
      <c r="AT210" s="40"/>
      <c r="AU210" s="40"/>
      <c r="AV210" s="40"/>
      <c r="AW210" s="40"/>
      <c r="AX210" s="40"/>
      <c r="AY210" s="40"/>
      <c r="AZ210" s="40"/>
    </row>
    <row r="211" spans="1:52">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c r="AA211" s="40"/>
      <c r="AB211" s="40"/>
      <c r="AC211" s="40"/>
      <c r="AD211" s="40"/>
      <c r="AE211" s="40"/>
      <c r="AF211" s="40"/>
      <c r="AG211" s="40"/>
      <c r="AH211" s="40"/>
      <c r="AI211" s="40"/>
      <c r="AJ211" s="40"/>
      <c r="AK211" s="40"/>
      <c r="AL211" s="40"/>
      <c r="AM211" s="40"/>
      <c r="AN211" s="40"/>
      <c r="AO211" s="40"/>
      <c r="AP211" s="40"/>
      <c r="AQ211" s="40"/>
      <c r="AR211" s="40"/>
      <c r="AS211" s="40"/>
      <c r="AT211" s="40"/>
      <c r="AU211" s="40"/>
      <c r="AV211" s="40"/>
      <c r="AW211" s="40"/>
      <c r="AX211" s="40"/>
      <c r="AY211" s="40"/>
      <c r="AZ211" s="40"/>
    </row>
    <row r="212" spans="1:52">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c r="AA212" s="40"/>
      <c r="AB212" s="40"/>
      <c r="AC212" s="40"/>
      <c r="AD212" s="40"/>
      <c r="AE212" s="40"/>
      <c r="AF212" s="40"/>
      <c r="AG212" s="40"/>
      <c r="AH212" s="40"/>
      <c r="AI212" s="40"/>
      <c r="AJ212" s="40"/>
      <c r="AK212" s="40"/>
      <c r="AL212" s="40"/>
      <c r="AM212" s="40"/>
      <c r="AN212" s="40"/>
      <c r="AO212" s="40"/>
      <c r="AP212" s="40"/>
      <c r="AQ212" s="40"/>
      <c r="AR212" s="40"/>
      <c r="AS212" s="40"/>
      <c r="AT212" s="40"/>
      <c r="AU212" s="40"/>
      <c r="AV212" s="40"/>
      <c r="AW212" s="40"/>
      <c r="AX212" s="40"/>
      <c r="AY212" s="40"/>
      <c r="AZ212" s="40"/>
    </row>
    <row r="213" spans="1:52">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c r="AA213" s="40"/>
      <c r="AB213" s="40"/>
      <c r="AC213" s="40"/>
      <c r="AD213" s="40"/>
      <c r="AE213" s="40"/>
      <c r="AF213" s="40"/>
      <c r="AG213" s="40"/>
      <c r="AH213" s="40"/>
      <c r="AI213" s="40"/>
      <c r="AJ213" s="40"/>
      <c r="AK213" s="40"/>
      <c r="AL213" s="40"/>
      <c r="AM213" s="40"/>
      <c r="AN213" s="40"/>
      <c r="AO213" s="40"/>
      <c r="AP213" s="40"/>
      <c r="AQ213" s="40"/>
      <c r="AR213" s="40"/>
      <c r="AS213" s="40"/>
      <c r="AT213" s="40"/>
      <c r="AU213" s="40"/>
      <c r="AV213" s="40"/>
      <c r="AW213" s="40"/>
      <c r="AX213" s="40"/>
      <c r="AY213" s="40"/>
      <c r="AZ213" s="40"/>
    </row>
    <row r="214" spans="1:52">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c r="AA214" s="40"/>
      <c r="AB214" s="40"/>
      <c r="AC214" s="40"/>
      <c r="AD214" s="40"/>
      <c r="AE214" s="40"/>
      <c r="AF214" s="40"/>
      <c r="AG214" s="40"/>
      <c r="AH214" s="40"/>
      <c r="AI214" s="40"/>
      <c r="AJ214" s="40"/>
      <c r="AK214" s="40"/>
      <c r="AL214" s="40"/>
      <c r="AM214" s="40"/>
      <c r="AN214" s="40"/>
      <c r="AO214" s="40"/>
      <c r="AP214" s="40"/>
      <c r="AQ214" s="40"/>
      <c r="AR214" s="40"/>
      <c r="AS214" s="40"/>
      <c r="AT214" s="40"/>
      <c r="AU214" s="40"/>
      <c r="AV214" s="40"/>
      <c r="AW214" s="40"/>
      <c r="AX214" s="40"/>
      <c r="AY214" s="40"/>
      <c r="AZ214" s="40"/>
    </row>
    <row r="215" spans="1:52">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c r="AA215" s="40"/>
      <c r="AB215" s="40"/>
      <c r="AC215" s="40"/>
      <c r="AD215" s="40"/>
      <c r="AE215" s="40"/>
      <c r="AF215" s="40"/>
      <c r="AG215" s="40"/>
      <c r="AH215" s="40"/>
      <c r="AI215" s="40"/>
      <c r="AJ215" s="40"/>
      <c r="AK215" s="40"/>
      <c r="AL215" s="40"/>
      <c r="AM215" s="40"/>
      <c r="AN215" s="40"/>
      <c r="AO215" s="40"/>
      <c r="AP215" s="40"/>
      <c r="AQ215" s="40"/>
      <c r="AR215" s="40"/>
      <c r="AS215" s="40"/>
      <c r="AT215" s="40"/>
      <c r="AU215" s="40"/>
      <c r="AV215" s="40"/>
      <c r="AW215" s="40"/>
      <c r="AX215" s="40"/>
      <c r="AY215" s="40"/>
      <c r="AZ215" s="40"/>
    </row>
    <row r="216" spans="1:52">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c r="AA216" s="40"/>
      <c r="AB216" s="40"/>
      <c r="AC216" s="40"/>
      <c r="AD216" s="40"/>
      <c r="AE216" s="40"/>
      <c r="AF216" s="40"/>
      <c r="AG216" s="40"/>
      <c r="AH216" s="40"/>
      <c r="AI216" s="40"/>
      <c r="AJ216" s="40"/>
      <c r="AK216" s="40"/>
      <c r="AL216" s="40"/>
      <c r="AM216" s="40"/>
      <c r="AN216" s="40"/>
      <c r="AO216" s="40"/>
      <c r="AP216" s="40"/>
      <c r="AQ216" s="40"/>
      <c r="AR216" s="40"/>
      <c r="AS216" s="40"/>
      <c r="AT216" s="40"/>
      <c r="AU216" s="40"/>
      <c r="AV216" s="40"/>
      <c r="AW216" s="40"/>
      <c r="AX216" s="40"/>
      <c r="AY216" s="40"/>
      <c r="AZ216" s="40"/>
    </row>
    <row r="217" spans="1:52">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c r="AA217" s="40"/>
      <c r="AB217" s="40"/>
      <c r="AC217" s="40"/>
      <c r="AD217" s="40"/>
      <c r="AE217" s="40"/>
      <c r="AF217" s="40"/>
      <c r="AG217" s="40"/>
      <c r="AH217" s="40"/>
      <c r="AI217" s="40"/>
      <c r="AJ217" s="40"/>
      <c r="AK217" s="40"/>
      <c r="AL217" s="40"/>
      <c r="AM217" s="40"/>
      <c r="AN217" s="40"/>
      <c r="AO217" s="40"/>
      <c r="AP217" s="40"/>
      <c r="AQ217" s="40"/>
      <c r="AR217" s="40"/>
      <c r="AS217" s="40"/>
      <c r="AT217" s="40"/>
      <c r="AU217" s="40"/>
      <c r="AV217" s="40"/>
      <c r="AW217" s="40"/>
      <c r="AX217" s="40"/>
      <c r="AY217" s="40"/>
      <c r="AZ217" s="40"/>
    </row>
    <row r="218" spans="1:52">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c r="AA218" s="40"/>
      <c r="AB218" s="40"/>
      <c r="AC218" s="40"/>
      <c r="AD218" s="40"/>
      <c r="AE218" s="40"/>
      <c r="AF218" s="40"/>
      <c r="AG218" s="40"/>
      <c r="AH218" s="40"/>
      <c r="AI218" s="40"/>
      <c r="AJ218" s="40"/>
      <c r="AK218" s="40"/>
      <c r="AL218" s="40"/>
      <c r="AM218" s="40"/>
      <c r="AN218" s="40"/>
      <c r="AO218" s="40"/>
      <c r="AP218" s="40"/>
      <c r="AQ218" s="40"/>
      <c r="AR218" s="40"/>
      <c r="AS218" s="40"/>
      <c r="AT218" s="40"/>
      <c r="AU218" s="40"/>
      <c r="AV218" s="40"/>
      <c r="AW218" s="40"/>
      <c r="AX218" s="40"/>
      <c r="AY218" s="40"/>
      <c r="AZ218" s="40"/>
    </row>
    <row r="219" spans="1:52">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c r="AA219" s="40"/>
      <c r="AB219" s="40"/>
      <c r="AC219" s="40"/>
      <c r="AD219" s="40"/>
      <c r="AE219" s="40"/>
      <c r="AF219" s="40"/>
      <c r="AG219" s="40"/>
      <c r="AH219" s="40"/>
      <c r="AI219" s="40"/>
      <c r="AJ219" s="40"/>
      <c r="AK219" s="40"/>
      <c r="AL219" s="40"/>
      <c r="AM219" s="40"/>
      <c r="AN219" s="40"/>
      <c r="AO219" s="40"/>
      <c r="AP219" s="40"/>
      <c r="AQ219" s="40"/>
      <c r="AR219" s="40"/>
      <c r="AS219" s="40"/>
      <c r="AT219" s="40"/>
      <c r="AU219" s="40"/>
      <c r="AV219" s="40"/>
      <c r="AW219" s="40"/>
      <c r="AX219" s="40"/>
      <c r="AY219" s="40"/>
      <c r="AZ219" s="40"/>
    </row>
    <row r="220" spans="1:52">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c r="AA220" s="40"/>
      <c r="AB220" s="40"/>
      <c r="AC220" s="40"/>
      <c r="AD220" s="40"/>
      <c r="AE220" s="40"/>
      <c r="AF220" s="40"/>
      <c r="AG220" s="40"/>
      <c r="AH220" s="40"/>
      <c r="AI220" s="40"/>
      <c r="AJ220" s="40"/>
      <c r="AK220" s="40"/>
      <c r="AL220" s="40"/>
      <c r="AM220" s="40"/>
      <c r="AN220" s="40"/>
      <c r="AO220" s="40"/>
      <c r="AP220" s="40"/>
      <c r="AQ220" s="40"/>
      <c r="AR220" s="40"/>
      <c r="AS220" s="40"/>
      <c r="AT220" s="40"/>
      <c r="AU220" s="40"/>
      <c r="AV220" s="40"/>
      <c r="AW220" s="40"/>
      <c r="AX220" s="40"/>
      <c r="AY220" s="40"/>
      <c r="AZ220" s="40"/>
    </row>
    <row r="221" spans="1:52">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c r="AA221" s="40"/>
      <c r="AB221" s="40"/>
      <c r="AC221" s="40"/>
      <c r="AD221" s="40"/>
      <c r="AE221" s="40"/>
      <c r="AF221" s="40"/>
      <c r="AG221" s="40"/>
      <c r="AH221" s="40"/>
      <c r="AI221" s="40"/>
      <c r="AJ221" s="40"/>
      <c r="AK221" s="40"/>
      <c r="AL221" s="40"/>
      <c r="AM221" s="40"/>
      <c r="AN221" s="40"/>
      <c r="AO221" s="40"/>
      <c r="AP221" s="40"/>
      <c r="AQ221" s="40"/>
      <c r="AR221" s="40"/>
      <c r="AS221" s="40"/>
      <c r="AT221" s="40"/>
      <c r="AU221" s="40"/>
      <c r="AV221" s="40"/>
      <c r="AW221" s="40"/>
      <c r="AX221" s="40"/>
      <c r="AY221" s="40"/>
      <c r="AZ221" s="40"/>
    </row>
    <row r="222" spans="1:52">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c r="AA222" s="40"/>
      <c r="AB222" s="40"/>
      <c r="AC222" s="40"/>
      <c r="AD222" s="40"/>
      <c r="AE222" s="40"/>
      <c r="AF222" s="40"/>
      <c r="AG222" s="40"/>
      <c r="AH222" s="40"/>
      <c r="AI222" s="40"/>
      <c r="AJ222" s="40"/>
      <c r="AK222" s="40"/>
      <c r="AL222" s="40"/>
      <c r="AM222" s="40"/>
      <c r="AN222" s="40"/>
      <c r="AO222" s="40"/>
      <c r="AP222" s="40"/>
      <c r="AQ222" s="40"/>
      <c r="AR222" s="40"/>
      <c r="AS222" s="40"/>
      <c r="AT222" s="40"/>
      <c r="AU222" s="40"/>
      <c r="AV222" s="40"/>
      <c r="AW222" s="40"/>
      <c r="AX222" s="40"/>
      <c r="AY222" s="40"/>
      <c r="AZ222" s="40"/>
    </row>
    <row r="223" spans="1:52">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c r="AA223" s="40"/>
      <c r="AB223" s="40"/>
      <c r="AC223" s="40"/>
      <c r="AD223" s="40"/>
      <c r="AE223" s="40"/>
      <c r="AF223" s="40"/>
      <c r="AG223" s="40"/>
      <c r="AH223" s="40"/>
      <c r="AI223" s="40"/>
      <c r="AJ223" s="40"/>
      <c r="AK223" s="40"/>
      <c r="AL223" s="40"/>
      <c r="AM223" s="40"/>
      <c r="AN223" s="40"/>
      <c r="AO223" s="40"/>
      <c r="AP223" s="40"/>
      <c r="AQ223" s="40"/>
      <c r="AR223" s="40"/>
      <c r="AS223" s="40"/>
      <c r="AT223" s="40"/>
      <c r="AU223" s="40"/>
      <c r="AV223" s="40"/>
      <c r="AW223" s="40"/>
      <c r="AX223" s="40"/>
      <c r="AY223" s="40"/>
      <c r="AZ223" s="40"/>
    </row>
    <row r="224" spans="1:52">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c r="AA224" s="40"/>
      <c r="AB224" s="40"/>
      <c r="AC224" s="40"/>
      <c r="AD224" s="40"/>
      <c r="AE224" s="40"/>
      <c r="AF224" s="40"/>
      <c r="AG224" s="40"/>
      <c r="AH224" s="40"/>
      <c r="AI224" s="40"/>
      <c r="AJ224" s="40"/>
      <c r="AK224" s="40"/>
      <c r="AL224" s="40"/>
      <c r="AM224" s="40"/>
      <c r="AN224" s="40"/>
      <c r="AO224" s="40"/>
      <c r="AP224" s="40"/>
      <c r="AQ224" s="40"/>
      <c r="AR224" s="40"/>
      <c r="AS224" s="40"/>
      <c r="AT224" s="40"/>
      <c r="AU224" s="40"/>
      <c r="AV224" s="40"/>
      <c r="AW224" s="40"/>
      <c r="AX224" s="40"/>
      <c r="AY224" s="40"/>
      <c r="AZ224" s="40"/>
    </row>
    <row r="225" spans="1:52">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c r="AA225" s="40"/>
      <c r="AB225" s="40"/>
      <c r="AC225" s="40"/>
      <c r="AD225" s="40"/>
      <c r="AE225" s="40"/>
      <c r="AF225" s="40"/>
      <c r="AG225" s="40"/>
      <c r="AH225" s="40"/>
      <c r="AI225" s="40"/>
      <c r="AJ225" s="40"/>
      <c r="AK225" s="40"/>
      <c r="AL225" s="40"/>
      <c r="AM225" s="40"/>
      <c r="AN225" s="40"/>
      <c r="AO225" s="40"/>
      <c r="AP225" s="40"/>
      <c r="AQ225" s="40"/>
      <c r="AR225" s="40"/>
      <c r="AS225" s="40"/>
      <c r="AT225" s="40"/>
      <c r="AU225" s="40"/>
      <c r="AV225" s="40"/>
      <c r="AW225" s="40"/>
      <c r="AX225" s="40"/>
      <c r="AY225" s="40"/>
      <c r="AZ225" s="40"/>
    </row>
    <row r="226" spans="1:52">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c r="AA226" s="40"/>
      <c r="AB226" s="40"/>
      <c r="AC226" s="40"/>
      <c r="AD226" s="40"/>
      <c r="AE226" s="40"/>
      <c r="AF226" s="40"/>
      <c r="AG226" s="40"/>
      <c r="AH226" s="40"/>
      <c r="AI226" s="40"/>
      <c r="AJ226" s="40"/>
      <c r="AK226" s="40"/>
      <c r="AL226" s="40"/>
      <c r="AM226" s="40"/>
      <c r="AN226" s="40"/>
      <c r="AO226" s="40"/>
      <c r="AP226" s="40"/>
      <c r="AQ226" s="40"/>
      <c r="AR226" s="40"/>
      <c r="AS226" s="40"/>
      <c r="AT226" s="40"/>
      <c r="AU226" s="40"/>
      <c r="AV226" s="40"/>
      <c r="AW226" s="40"/>
      <c r="AX226" s="40"/>
      <c r="AY226" s="40"/>
      <c r="AZ226" s="40"/>
    </row>
    <row r="227" spans="1:52">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c r="AA227" s="40"/>
      <c r="AB227" s="40"/>
      <c r="AC227" s="40"/>
      <c r="AD227" s="40"/>
      <c r="AE227" s="40"/>
      <c r="AF227" s="40"/>
      <c r="AG227" s="40"/>
      <c r="AH227" s="40"/>
      <c r="AI227" s="40"/>
      <c r="AJ227" s="40"/>
      <c r="AK227" s="40"/>
      <c r="AL227" s="40"/>
      <c r="AM227" s="40"/>
      <c r="AN227" s="40"/>
      <c r="AO227" s="40"/>
      <c r="AP227" s="40"/>
      <c r="AQ227" s="40"/>
      <c r="AR227" s="40"/>
      <c r="AS227" s="40"/>
      <c r="AT227" s="40"/>
      <c r="AU227" s="40"/>
      <c r="AV227" s="40"/>
      <c r="AW227" s="40"/>
      <c r="AX227" s="40"/>
      <c r="AY227" s="40"/>
      <c r="AZ227" s="40"/>
    </row>
    <row r="228" spans="1:52">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c r="AA228" s="40"/>
      <c r="AB228" s="40"/>
      <c r="AC228" s="40"/>
      <c r="AD228" s="40"/>
      <c r="AE228" s="40"/>
      <c r="AF228" s="40"/>
      <c r="AG228" s="40"/>
      <c r="AH228" s="40"/>
      <c r="AI228" s="40"/>
      <c r="AJ228" s="40"/>
      <c r="AK228" s="40"/>
      <c r="AL228" s="40"/>
      <c r="AM228" s="40"/>
      <c r="AN228" s="40"/>
      <c r="AO228" s="40"/>
      <c r="AP228" s="40"/>
      <c r="AQ228" s="40"/>
      <c r="AR228" s="40"/>
      <c r="AS228" s="40"/>
      <c r="AT228" s="40"/>
      <c r="AU228" s="40"/>
      <c r="AV228" s="40"/>
      <c r="AW228" s="40"/>
      <c r="AX228" s="40"/>
      <c r="AY228" s="40"/>
      <c r="AZ228" s="40"/>
    </row>
    <row r="229" spans="1:52">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c r="AA229" s="40"/>
      <c r="AB229" s="40"/>
      <c r="AC229" s="40"/>
      <c r="AD229" s="40"/>
      <c r="AE229" s="40"/>
      <c r="AF229" s="40"/>
      <c r="AG229" s="40"/>
      <c r="AH229" s="40"/>
      <c r="AI229" s="40"/>
      <c r="AJ229" s="40"/>
      <c r="AK229" s="40"/>
      <c r="AL229" s="40"/>
      <c r="AM229" s="40"/>
      <c r="AN229" s="40"/>
      <c r="AO229" s="40"/>
      <c r="AP229" s="40"/>
      <c r="AQ229" s="40"/>
      <c r="AR229" s="40"/>
      <c r="AS229" s="40"/>
      <c r="AT229" s="40"/>
      <c r="AU229" s="40"/>
      <c r="AV229" s="40"/>
      <c r="AW229" s="40"/>
      <c r="AX229" s="40"/>
      <c r="AY229" s="40"/>
      <c r="AZ229" s="40"/>
    </row>
    <row r="230" spans="1:52">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c r="AA230" s="40"/>
      <c r="AB230" s="40"/>
      <c r="AC230" s="40"/>
      <c r="AD230" s="40"/>
      <c r="AE230" s="40"/>
      <c r="AF230" s="40"/>
      <c r="AG230" s="40"/>
      <c r="AH230" s="40"/>
      <c r="AI230" s="40"/>
      <c r="AJ230" s="40"/>
      <c r="AK230" s="40"/>
      <c r="AL230" s="40"/>
      <c r="AM230" s="40"/>
      <c r="AN230" s="40"/>
      <c r="AO230" s="40"/>
      <c r="AP230" s="40"/>
      <c r="AQ230" s="40"/>
      <c r="AR230" s="40"/>
      <c r="AS230" s="40"/>
      <c r="AT230" s="40"/>
      <c r="AU230" s="40"/>
      <c r="AV230" s="40"/>
      <c r="AW230" s="40"/>
      <c r="AX230" s="40"/>
      <c r="AY230" s="40"/>
      <c r="AZ230" s="40"/>
    </row>
    <row r="231" spans="1:52">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c r="AA231" s="40"/>
      <c r="AB231" s="40"/>
      <c r="AC231" s="40"/>
      <c r="AD231" s="40"/>
      <c r="AE231" s="40"/>
      <c r="AF231" s="40"/>
      <c r="AG231" s="40"/>
      <c r="AH231" s="40"/>
      <c r="AI231" s="40"/>
      <c r="AJ231" s="40"/>
      <c r="AK231" s="40"/>
      <c r="AL231" s="40"/>
      <c r="AM231" s="40"/>
      <c r="AN231" s="40"/>
      <c r="AO231" s="40"/>
      <c r="AP231" s="40"/>
      <c r="AQ231" s="40"/>
      <c r="AR231" s="40"/>
      <c r="AS231" s="40"/>
      <c r="AT231" s="40"/>
      <c r="AU231" s="40"/>
      <c r="AV231" s="40"/>
      <c r="AW231" s="40"/>
      <c r="AX231" s="40"/>
      <c r="AY231" s="40"/>
      <c r="AZ231" s="40"/>
    </row>
    <row r="232" spans="1:52">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c r="AA232" s="40"/>
      <c r="AB232" s="40"/>
      <c r="AC232" s="40"/>
      <c r="AD232" s="40"/>
      <c r="AE232" s="40"/>
      <c r="AF232" s="40"/>
      <c r="AG232" s="40"/>
      <c r="AH232" s="40"/>
      <c r="AI232" s="40"/>
      <c r="AJ232" s="40"/>
      <c r="AK232" s="40"/>
      <c r="AL232" s="40"/>
      <c r="AM232" s="40"/>
      <c r="AN232" s="40"/>
      <c r="AO232" s="40"/>
      <c r="AP232" s="40"/>
      <c r="AQ232" s="40"/>
      <c r="AR232" s="40"/>
      <c r="AS232" s="40"/>
      <c r="AT232" s="40"/>
      <c r="AU232" s="40"/>
      <c r="AV232" s="40"/>
      <c r="AW232" s="40"/>
      <c r="AX232" s="40"/>
      <c r="AY232" s="40"/>
      <c r="AZ232" s="40"/>
    </row>
    <row r="233" spans="1:52">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c r="AA233" s="40"/>
      <c r="AB233" s="40"/>
      <c r="AC233" s="40"/>
      <c r="AD233" s="40"/>
      <c r="AE233" s="40"/>
      <c r="AF233" s="40"/>
      <c r="AG233" s="40"/>
      <c r="AH233" s="40"/>
      <c r="AI233" s="40"/>
      <c r="AJ233" s="40"/>
      <c r="AK233" s="40"/>
      <c r="AL233" s="40"/>
      <c r="AM233" s="40"/>
      <c r="AN233" s="40"/>
      <c r="AO233" s="40"/>
      <c r="AP233" s="40"/>
      <c r="AQ233" s="40"/>
      <c r="AR233" s="40"/>
      <c r="AS233" s="40"/>
      <c r="AT233" s="40"/>
      <c r="AU233" s="40"/>
      <c r="AV233" s="40"/>
      <c r="AW233" s="40"/>
      <c r="AX233" s="40"/>
      <c r="AY233" s="40"/>
      <c r="AZ233" s="40"/>
    </row>
    <row r="234" spans="1:52">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c r="AA234" s="40"/>
      <c r="AB234" s="40"/>
      <c r="AC234" s="40"/>
      <c r="AD234" s="40"/>
      <c r="AE234" s="40"/>
      <c r="AF234" s="40"/>
      <c r="AG234" s="40"/>
      <c r="AH234" s="40"/>
      <c r="AI234" s="40"/>
      <c r="AJ234" s="40"/>
      <c r="AK234" s="40"/>
      <c r="AL234" s="40"/>
      <c r="AM234" s="40"/>
      <c r="AN234" s="40"/>
      <c r="AO234" s="40"/>
      <c r="AP234" s="40"/>
      <c r="AQ234" s="40"/>
      <c r="AR234" s="40"/>
      <c r="AS234" s="40"/>
      <c r="AT234" s="40"/>
      <c r="AU234" s="40"/>
      <c r="AV234" s="40"/>
      <c r="AW234" s="40"/>
      <c r="AX234" s="40"/>
      <c r="AY234" s="40"/>
      <c r="AZ234" s="40"/>
    </row>
    <row r="235" spans="1:52">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c r="AA235" s="40"/>
      <c r="AB235" s="40"/>
      <c r="AC235" s="40"/>
      <c r="AD235" s="40"/>
      <c r="AE235" s="40"/>
      <c r="AF235" s="40"/>
      <c r="AG235" s="40"/>
      <c r="AH235" s="40"/>
      <c r="AI235" s="40"/>
      <c r="AJ235" s="40"/>
      <c r="AK235" s="40"/>
      <c r="AL235" s="40"/>
      <c r="AM235" s="40"/>
      <c r="AN235" s="40"/>
      <c r="AO235" s="40"/>
      <c r="AP235" s="40"/>
      <c r="AQ235" s="40"/>
      <c r="AR235" s="40"/>
      <c r="AS235" s="40"/>
      <c r="AT235" s="40"/>
      <c r="AU235" s="40"/>
      <c r="AV235" s="40"/>
      <c r="AW235" s="40"/>
      <c r="AX235" s="40"/>
      <c r="AY235" s="40"/>
      <c r="AZ235" s="40"/>
    </row>
    <row r="236" spans="1:52">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c r="AA236" s="40"/>
      <c r="AB236" s="40"/>
      <c r="AC236" s="40"/>
      <c r="AD236" s="40"/>
      <c r="AE236" s="40"/>
      <c r="AF236" s="40"/>
      <c r="AG236" s="40"/>
      <c r="AH236" s="40"/>
      <c r="AI236" s="40"/>
      <c r="AJ236" s="40"/>
      <c r="AK236" s="40"/>
      <c r="AL236" s="40"/>
      <c r="AM236" s="40"/>
      <c r="AN236" s="40"/>
      <c r="AO236" s="40"/>
      <c r="AP236" s="40"/>
      <c r="AQ236" s="40"/>
      <c r="AR236" s="40"/>
      <c r="AS236" s="40"/>
      <c r="AT236" s="40"/>
      <c r="AU236" s="40"/>
      <c r="AV236" s="40"/>
      <c r="AW236" s="40"/>
      <c r="AX236" s="40"/>
      <c r="AY236" s="40"/>
      <c r="AZ236" s="40"/>
    </row>
    <row r="237" spans="1:52">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c r="AA237" s="40"/>
      <c r="AB237" s="40"/>
      <c r="AC237" s="40"/>
      <c r="AD237" s="40"/>
      <c r="AE237" s="40"/>
      <c r="AF237" s="40"/>
      <c r="AG237" s="40"/>
      <c r="AH237" s="40"/>
      <c r="AI237" s="40"/>
      <c r="AJ237" s="40"/>
      <c r="AK237" s="40"/>
      <c r="AL237" s="40"/>
      <c r="AM237" s="40"/>
      <c r="AN237" s="40"/>
      <c r="AO237" s="40"/>
      <c r="AP237" s="40"/>
      <c r="AQ237" s="40"/>
      <c r="AR237" s="40"/>
      <c r="AS237" s="40"/>
      <c r="AT237" s="40"/>
      <c r="AU237" s="40"/>
      <c r="AV237" s="40"/>
      <c r="AW237" s="40"/>
      <c r="AX237" s="40"/>
      <c r="AY237" s="40"/>
      <c r="AZ237" s="40"/>
    </row>
    <row r="238" spans="1:52">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c r="AA238" s="40"/>
      <c r="AB238" s="40"/>
      <c r="AC238" s="40"/>
      <c r="AD238" s="40"/>
      <c r="AE238" s="40"/>
      <c r="AF238" s="40"/>
      <c r="AG238" s="40"/>
      <c r="AH238" s="40"/>
      <c r="AI238" s="40"/>
      <c r="AJ238" s="40"/>
      <c r="AK238" s="40"/>
      <c r="AL238" s="40"/>
      <c r="AM238" s="40"/>
      <c r="AN238" s="40"/>
      <c r="AO238" s="40"/>
      <c r="AP238" s="40"/>
      <c r="AQ238" s="40"/>
      <c r="AR238" s="40"/>
      <c r="AS238" s="40"/>
      <c r="AT238" s="40"/>
      <c r="AU238" s="40"/>
      <c r="AV238" s="40"/>
      <c r="AW238" s="40"/>
      <c r="AX238" s="40"/>
      <c r="AY238" s="40"/>
      <c r="AZ238" s="40"/>
    </row>
    <row r="239" spans="1:52">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c r="AA239" s="40"/>
      <c r="AB239" s="40"/>
      <c r="AC239" s="40"/>
      <c r="AD239" s="40"/>
      <c r="AE239" s="40"/>
      <c r="AF239" s="40"/>
      <c r="AG239" s="40"/>
      <c r="AH239" s="40"/>
      <c r="AI239" s="40"/>
      <c r="AJ239" s="40"/>
      <c r="AK239" s="40"/>
      <c r="AL239" s="40"/>
      <c r="AM239" s="40"/>
      <c r="AN239" s="40"/>
      <c r="AO239" s="40"/>
      <c r="AP239" s="40"/>
      <c r="AQ239" s="40"/>
      <c r="AR239" s="40"/>
      <c r="AS239" s="40"/>
      <c r="AT239" s="40"/>
      <c r="AU239" s="40"/>
      <c r="AV239" s="40"/>
      <c r="AW239" s="40"/>
      <c r="AX239" s="40"/>
      <c r="AY239" s="40"/>
      <c r="AZ239" s="40"/>
    </row>
    <row r="240" spans="1:52">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c r="AA240" s="40"/>
      <c r="AB240" s="40"/>
      <c r="AC240" s="40"/>
      <c r="AD240" s="40"/>
      <c r="AE240" s="40"/>
      <c r="AF240" s="40"/>
      <c r="AG240" s="40"/>
      <c r="AH240" s="40"/>
      <c r="AI240" s="40"/>
      <c r="AJ240" s="40"/>
      <c r="AK240" s="40"/>
      <c r="AL240" s="40"/>
      <c r="AM240" s="40"/>
      <c r="AN240" s="40"/>
      <c r="AO240" s="40"/>
      <c r="AP240" s="40"/>
      <c r="AQ240" s="40"/>
      <c r="AR240" s="40"/>
      <c r="AS240" s="40"/>
      <c r="AT240" s="40"/>
      <c r="AU240" s="40"/>
      <c r="AV240" s="40"/>
      <c r="AW240" s="40"/>
      <c r="AX240" s="40"/>
      <c r="AY240" s="40"/>
      <c r="AZ240" s="40"/>
    </row>
    <row r="241" spans="1:52">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c r="AA241" s="40"/>
      <c r="AB241" s="40"/>
      <c r="AC241" s="40"/>
      <c r="AD241" s="40"/>
      <c r="AE241" s="40"/>
      <c r="AF241" s="40"/>
      <c r="AG241" s="40"/>
      <c r="AH241" s="40"/>
      <c r="AI241" s="40"/>
      <c r="AJ241" s="40"/>
      <c r="AK241" s="40"/>
      <c r="AL241" s="40"/>
      <c r="AM241" s="40"/>
      <c r="AN241" s="40"/>
      <c r="AO241" s="40"/>
      <c r="AP241" s="40"/>
      <c r="AQ241" s="40"/>
      <c r="AR241" s="40"/>
      <c r="AS241" s="40"/>
      <c r="AT241" s="40"/>
      <c r="AU241" s="40"/>
      <c r="AV241" s="40"/>
      <c r="AW241" s="40"/>
      <c r="AX241" s="40"/>
      <c r="AY241" s="40"/>
      <c r="AZ241" s="40"/>
    </row>
    <row r="242" spans="1:52">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c r="AA242" s="40"/>
      <c r="AB242" s="40"/>
      <c r="AC242" s="40"/>
      <c r="AD242" s="40"/>
      <c r="AE242" s="40"/>
      <c r="AF242" s="40"/>
      <c r="AG242" s="40"/>
      <c r="AH242" s="40"/>
      <c r="AI242" s="40"/>
      <c r="AJ242" s="40"/>
      <c r="AK242" s="40"/>
      <c r="AL242" s="40"/>
      <c r="AM242" s="40"/>
      <c r="AN242" s="40"/>
      <c r="AO242" s="40"/>
      <c r="AP242" s="40"/>
      <c r="AQ242" s="40"/>
      <c r="AR242" s="40"/>
      <c r="AS242" s="40"/>
      <c r="AT242" s="40"/>
      <c r="AU242" s="40"/>
      <c r="AV242" s="40"/>
      <c r="AW242" s="40"/>
      <c r="AX242" s="40"/>
      <c r="AY242" s="40"/>
      <c r="AZ242" s="40"/>
    </row>
    <row r="243" spans="1:52">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c r="AA243" s="40"/>
      <c r="AB243" s="40"/>
      <c r="AC243" s="40"/>
      <c r="AD243" s="40"/>
      <c r="AE243" s="40"/>
      <c r="AF243" s="40"/>
      <c r="AG243" s="40"/>
      <c r="AH243" s="40"/>
      <c r="AI243" s="40"/>
      <c r="AJ243" s="40"/>
      <c r="AK243" s="40"/>
      <c r="AL243" s="40"/>
      <c r="AM243" s="40"/>
      <c r="AN243" s="40"/>
      <c r="AO243" s="40"/>
      <c r="AP243" s="40"/>
      <c r="AQ243" s="40"/>
      <c r="AR243" s="40"/>
      <c r="AS243" s="40"/>
      <c r="AT243" s="40"/>
      <c r="AU243" s="40"/>
      <c r="AV243" s="40"/>
      <c r="AW243" s="40"/>
      <c r="AX243" s="40"/>
      <c r="AY243" s="40"/>
      <c r="AZ243" s="40"/>
    </row>
    <row r="244" spans="1:52">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c r="AA244" s="40"/>
      <c r="AB244" s="40"/>
      <c r="AC244" s="40"/>
      <c r="AD244" s="40"/>
      <c r="AE244" s="40"/>
      <c r="AF244" s="40"/>
      <c r="AG244" s="40"/>
      <c r="AH244" s="40"/>
      <c r="AI244" s="40"/>
      <c r="AJ244" s="40"/>
      <c r="AK244" s="40"/>
      <c r="AL244" s="40"/>
      <c r="AM244" s="40"/>
      <c r="AN244" s="40"/>
      <c r="AO244" s="40"/>
      <c r="AP244" s="40"/>
      <c r="AQ244" s="40"/>
      <c r="AR244" s="40"/>
      <c r="AS244" s="40"/>
      <c r="AT244" s="40"/>
      <c r="AU244" s="40"/>
      <c r="AV244" s="40"/>
      <c r="AW244" s="40"/>
      <c r="AX244" s="40"/>
      <c r="AY244" s="40"/>
      <c r="AZ244" s="40"/>
    </row>
    <row r="245" spans="1:52">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c r="AA245" s="40"/>
      <c r="AB245" s="40"/>
      <c r="AC245" s="40"/>
      <c r="AD245" s="40"/>
      <c r="AE245" s="40"/>
      <c r="AF245" s="40"/>
      <c r="AG245" s="40"/>
      <c r="AH245" s="40"/>
      <c r="AI245" s="40"/>
      <c r="AJ245" s="40"/>
      <c r="AK245" s="40"/>
      <c r="AL245" s="40"/>
      <c r="AM245" s="40"/>
      <c r="AN245" s="40"/>
      <c r="AO245" s="40"/>
      <c r="AP245" s="40"/>
      <c r="AQ245" s="40"/>
      <c r="AR245" s="40"/>
      <c r="AS245" s="40"/>
      <c r="AT245" s="40"/>
      <c r="AU245" s="40"/>
      <c r="AV245" s="40"/>
      <c r="AW245" s="40"/>
      <c r="AX245" s="40"/>
      <c r="AY245" s="40"/>
      <c r="AZ245" s="40"/>
    </row>
    <row r="246" spans="1:52">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c r="AA246" s="40"/>
      <c r="AB246" s="40"/>
      <c r="AC246" s="40"/>
      <c r="AD246" s="40"/>
      <c r="AE246" s="40"/>
      <c r="AF246" s="40"/>
      <c r="AG246" s="40"/>
      <c r="AH246" s="40"/>
      <c r="AI246" s="40"/>
      <c r="AJ246" s="40"/>
      <c r="AK246" s="40"/>
      <c r="AL246" s="40"/>
      <c r="AM246" s="40"/>
      <c r="AN246" s="40"/>
      <c r="AO246" s="40"/>
      <c r="AP246" s="40"/>
      <c r="AQ246" s="40"/>
      <c r="AR246" s="40"/>
      <c r="AS246" s="40"/>
      <c r="AT246" s="40"/>
      <c r="AU246" s="40"/>
      <c r="AV246" s="40"/>
      <c r="AW246" s="40"/>
      <c r="AX246" s="40"/>
      <c r="AY246" s="40"/>
      <c r="AZ246" s="40"/>
    </row>
    <row r="247" spans="1:52">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c r="AA247" s="40"/>
      <c r="AB247" s="40"/>
      <c r="AC247" s="40"/>
      <c r="AD247" s="40"/>
      <c r="AE247" s="40"/>
      <c r="AF247" s="40"/>
      <c r="AG247" s="40"/>
      <c r="AH247" s="40"/>
      <c r="AI247" s="40"/>
      <c r="AJ247" s="40"/>
      <c r="AK247" s="40"/>
      <c r="AL247" s="40"/>
      <c r="AM247" s="40"/>
      <c r="AN247" s="40"/>
      <c r="AO247" s="40"/>
      <c r="AP247" s="40"/>
      <c r="AQ247" s="40"/>
      <c r="AR247" s="40"/>
      <c r="AS247" s="40"/>
      <c r="AT247" s="40"/>
      <c r="AU247" s="40"/>
      <c r="AV247" s="40"/>
      <c r="AW247" s="40"/>
      <c r="AX247" s="40"/>
      <c r="AY247" s="40"/>
      <c r="AZ247" s="40"/>
    </row>
    <row r="248" spans="1:52">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c r="AA248" s="40"/>
      <c r="AB248" s="40"/>
      <c r="AC248" s="40"/>
      <c r="AD248" s="40"/>
      <c r="AE248" s="40"/>
      <c r="AF248" s="40"/>
      <c r="AG248" s="40"/>
      <c r="AH248" s="40"/>
      <c r="AI248" s="40"/>
      <c r="AJ248" s="40"/>
      <c r="AK248" s="40"/>
      <c r="AL248" s="40"/>
      <c r="AM248" s="40"/>
      <c r="AN248" s="40"/>
      <c r="AO248" s="40"/>
      <c r="AP248" s="40"/>
      <c r="AQ248" s="40"/>
      <c r="AR248" s="40"/>
      <c r="AS248" s="40"/>
      <c r="AT248" s="40"/>
      <c r="AU248" s="40"/>
      <c r="AV248" s="40"/>
      <c r="AW248" s="40"/>
      <c r="AX248" s="40"/>
      <c r="AY248" s="40"/>
      <c r="AZ248" s="40"/>
    </row>
    <row r="249" spans="1:52">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c r="AA249" s="40"/>
      <c r="AB249" s="40"/>
      <c r="AC249" s="40"/>
      <c r="AD249" s="40"/>
      <c r="AE249" s="40"/>
      <c r="AF249" s="40"/>
      <c r="AG249" s="40"/>
      <c r="AH249" s="40"/>
      <c r="AI249" s="40"/>
      <c r="AJ249" s="40"/>
      <c r="AK249" s="40"/>
      <c r="AL249" s="40"/>
      <c r="AM249" s="40"/>
      <c r="AN249" s="40"/>
      <c r="AO249" s="40"/>
      <c r="AP249" s="40"/>
      <c r="AQ249" s="40"/>
      <c r="AR249" s="40"/>
      <c r="AS249" s="40"/>
      <c r="AT249" s="40"/>
      <c r="AU249" s="40"/>
      <c r="AV249" s="40"/>
      <c r="AW249" s="40"/>
      <c r="AX249" s="40"/>
      <c r="AY249" s="40"/>
      <c r="AZ249" s="40"/>
    </row>
    <row r="250" spans="1:52">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c r="AA250" s="40"/>
      <c r="AB250" s="40"/>
      <c r="AC250" s="40"/>
      <c r="AD250" s="40"/>
      <c r="AE250" s="40"/>
      <c r="AF250" s="40"/>
      <c r="AG250" s="40"/>
      <c r="AH250" s="40"/>
      <c r="AI250" s="40"/>
      <c r="AJ250" s="40"/>
      <c r="AK250" s="40"/>
      <c r="AL250" s="40"/>
      <c r="AM250" s="40"/>
      <c r="AN250" s="40"/>
      <c r="AO250" s="40"/>
      <c r="AP250" s="40"/>
      <c r="AQ250" s="40"/>
      <c r="AR250" s="40"/>
      <c r="AS250" s="40"/>
      <c r="AT250" s="40"/>
      <c r="AU250" s="40"/>
      <c r="AV250" s="40"/>
      <c r="AW250" s="40"/>
      <c r="AX250" s="40"/>
      <c r="AY250" s="40"/>
      <c r="AZ250" s="40"/>
    </row>
    <row r="251" spans="1:52">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c r="AA251" s="40"/>
      <c r="AB251" s="40"/>
      <c r="AC251" s="40"/>
      <c r="AD251" s="40"/>
      <c r="AE251" s="40"/>
      <c r="AF251" s="40"/>
      <c r="AG251" s="40"/>
      <c r="AH251" s="40"/>
      <c r="AI251" s="40"/>
      <c r="AJ251" s="40"/>
      <c r="AK251" s="40"/>
      <c r="AL251" s="40"/>
      <c r="AM251" s="40"/>
      <c r="AN251" s="40"/>
      <c r="AO251" s="40"/>
      <c r="AP251" s="40"/>
      <c r="AQ251" s="40"/>
      <c r="AR251" s="40"/>
      <c r="AS251" s="40"/>
      <c r="AT251" s="40"/>
      <c r="AU251" s="40"/>
      <c r="AV251" s="40"/>
      <c r="AW251" s="40"/>
      <c r="AX251" s="40"/>
      <c r="AY251" s="40"/>
      <c r="AZ251" s="40"/>
    </row>
    <row r="252" spans="1:52">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c r="AA252" s="40"/>
      <c r="AB252" s="40"/>
      <c r="AC252" s="40"/>
      <c r="AD252" s="40"/>
      <c r="AE252" s="40"/>
      <c r="AF252" s="40"/>
      <c r="AG252" s="40"/>
      <c r="AH252" s="40"/>
      <c r="AI252" s="40"/>
      <c r="AJ252" s="40"/>
      <c r="AK252" s="40"/>
      <c r="AL252" s="40"/>
      <c r="AM252" s="40"/>
      <c r="AN252" s="40"/>
      <c r="AO252" s="40"/>
      <c r="AP252" s="40"/>
      <c r="AQ252" s="40"/>
      <c r="AR252" s="40"/>
      <c r="AS252" s="40"/>
      <c r="AT252" s="40"/>
      <c r="AU252" s="40"/>
      <c r="AV252" s="40"/>
      <c r="AW252" s="40"/>
      <c r="AX252" s="40"/>
      <c r="AY252" s="40"/>
      <c r="AZ252" s="40"/>
    </row>
    <row r="253" spans="1:52">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c r="AA253" s="40"/>
      <c r="AB253" s="40"/>
      <c r="AC253" s="40"/>
      <c r="AD253" s="40"/>
      <c r="AE253" s="40"/>
      <c r="AF253" s="40"/>
      <c r="AG253" s="40"/>
      <c r="AH253" s="40"/>
      <c r="AI253" s="40"/>
      <c r="AJ253" s="40"/>
      <c r="AK253" s="40"/>
      <c r="AL253" s="40"/>
      <c r="AM253" s="40"/>
      <c r="AN253" s="40"/>
      <c r="AO253" s="40"/>
      <c r="AP253" s="40"/>
      <c r="AQ253" s="40"/>
      <c r="AR253" s="40"/>
      <c r="AS253" s="40"/>
      <c r="AT253" s="40"/>
      <c r="AU253" s="40"/>
      <c r="AV253" s="40"/>
      <c r="AW253" s="40"/>
      <c r="AX253" s="40"/>
      <c r="AY253" s="40"/>
      <c r="AZ253" s="40"/>
    </row>
    <row r="254" spans="1:52">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c r="AA254" s="40"/>
      <c r="AB254" s="40"/>
      <c r="AC254" s="40"/>
      <c r="AD254" s="40"/>
      <c r="AE254" s="40"/>
      <c r="AF254" s="40"/>
      <c r="AG254" s="40"/>
      <c r="AH254" s="40"/>
      <c r="AI254" s="40"/>
      <c r="AJ254" s="40"/>
      <c r="AK254" s="40"/>
      <c r="AL254" s="40"/>
      <c r="AM254" s="40"/>
      <c r="AN254" s="40"/>
      <c r="AO254" s="40"/>
      <c r="AP254" s="40"/>
      <c r="AQ254" s="40"/>
      <c r="AR254" s="40"/>
      <c r="AS254" s="40"/>
      <c r="AT254" s="40"/>
      <c r="AU254" s="40"/>
      <c r="AV254" s="40"/>
      <c r="AW254" s="40"/>
      <c r="AX254" s="40"/>
      <c r="AY254" s="40"/>
      <c r="AZ254" s="40"/>
    </row>
    <row r="255" spans="1:52">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c r="AA255" s="40"/>
      <c r="AB255" s="40"/>
      <c r="AC255" s="40"/>
      <c r="AD255" s="40"/>
      <c r="AE255" s="40"/>
      <c r="AF255" s="40"/>
      <c r="AG255" s="40"/>
      <c r="AH255" s="40"/>
      <c r="AI255" s="40"/>
      <c r="AJ255" s="40"/>
      <c r="AK255" s="40"/>
      <c r="AL255" s="40"/>
      <c r="AM255" s="40"/>
      <c r="AN255" s="40"/>
      <c r="AO255" s="40"/>
      <c r="AP255" s="40"/>
      <c r="AQ255" s="40"/>
      <c r="AR255" s="40"/>
      <c r="AS255" s="40"/>
      <c r="AT255" s="40"/>
      <c r="AU255" s="40"/>
      <c r="AV255" s="40"/>
      <c r="AW255" s="40"/>
      <c r="AX255" s="40"/>
      <c r="AY255" s="40"/>
      <c r="AZ255" s="40"/>
    </row>
    <row r="256" spans="1:52">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c r="AA256" s="40"/>
      <c r="AB256" s="40"/>
      <c r="AC256" s="40"/>
      <c r="AD256" s="40"/>
      <c r="AE256" s="40"/>
      <c r="AF256" s="40"/>
      <c r="AG256" s="40"/>
      <c r="AH256" s="40"/>
      <c r="AI256" s="40"/>
      <c r="AJ256" s="40"/>
      <c r="AK256" s="40"/>
      <c r="AL256" s="40"/>
      <c r="AM256" s="40"/>
      <c r="AN256" s="40"/>
      <c r="AO256" s="40"/>
      <c r="AP256" s="40"/>
      <c r="AQ256" s="40"/>
      <c r="AR256" s="40"/>
      <c r="AS256" s="40"/>
      <c r="AT256" s="40"/>
      <c r="AU256" s="40"/>
      <c r="AV256" s="40"/>
      <c r="AW256" s="40"/>
      <c r="AX256" s="40"/>
      <c r="AY256" s="40"/>
      <c r="AZ256" s="40"/>
    </row>
    <row r="257" spans="1:52">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c r="AA257" s="40"/>
      <c r="AB257" s="40"/>
      <c r="AC257" s="40"/>
      <c r="AD257" s="40"/>
      <c r="AE257" s="40"/>
      <c r="AF257" s="40"/>
      <c r="AG257" s="40"/>
      <c r="AH257" s="40"/>
      <c r="AI257" s="40"/>
      <c r="AJ257" s="40"/>
      <c r="AK257" s="40"/>
      <c r="AL257" s="40"/>
      <c r="AM257" s="40"/>
      <c r="AN257" s="40"/>
      <c r="AO257" s="40"/>
      <c r="AP257" s="40"/>
      <c r="AQ257" s="40"/>
      <c r="AR257" s="40"/>
      <c r="AS257" s="40"/>
      <c r="AT257" s="40"/>
      <c r="AU257" s="40"/>
      <c r="AV257" s="40"/>
      <c r="AW257" s="40"/>
      <c r="AX257" s="40"/>
      <c r="AY257" s="40"/>
      <c r="AZ257" s="40"/>
    </row>
    <row r="258" spans="1:52">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c r="AA258" s="40"/>
      <c r="AB258" s="40"/>
      <c r="AC258" s="40"/>
      <c r="AD258" s="40"/>
      <c r="AE258" s="40"/>
      <c r="AF258" s="40"/>
      <c r="AG258" s="40"/>
      <c r="AH258" s="40"/>
      <c r="AI258" s="40"/>
      <c r="AJ258" s="40"/>
      <c r="AK258" s="40"/>
      <c r="AL258" s="40"/>
      <c r="AM258" s="40"/>
      <c r="AN258" s="40"/>
      <c r="AO258" s="40"/>
      <c r="AP258" s="40"/>
      <c r="AQ258" s="40"/>
      <c r="AR258" s="40"/>
      <c r="AS258" s="40"/>
      <c r="AT258" s="40"/>
      <c r="AU258" s="40"/>
      <c r="AV258" s="40"/>
      <c r="AW258" s="40"/>
      <c r="AX258" s="40"/>
      <c r="AY258" s="40"/>
      <c r="AZ258" s="40"/>
    </row>
    <row r="259" spans="1:52">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c r="AA259" s="40"/>
      <c r="AB259" s="40"/>
      <c r="AC259" s="40"/>
      <c r="AD259" s="40"/>
      <c r="AE259" s="40"/>
      <c r="AF259" s="40"/>
      <c r="AG259" s="40"/>
      <c r="AH259" s="40"/>
      <c r="AI259" s="40"/>
      <c r="AJ259" s="40"/>
      <c r="AK259" s="40"/>
      <c r="AL259" s="40"/>
      <c r="AM259" s="40"/>
      <c r="AN259" s="40"/>
      <c r="AO259" s="40"/>
      <c r="AP259" s="40"/>
      <c r="AQ259" s="40"/>
      <c r="AR259" s="40"/>
      <c r="AS259" s="40"/>
      <c r="AT259" s="40"/>
      <c r="AU259" s="40"/>
      <c r="AV259" s="40"/>
      <c r="AW259" s="40"/>
      <c r="AX259" s="40"/>
      <c r="AY259" s="40"/>
      <c r="AZ259" s="40"/>
    </row>
    <row r="260" spans="1:52">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c r="AA260" s="40"/>
      <c r="AB260" s="40"/>
      <c r="AC260" s="40"/>
      <c r="AD260" s="40"/>
      <c r="AE260" s="40"/>
      <c r="AF260" s="40"/>
      <c r="AG260" s="40"/>
      <c r="AH260" s="40"/>
      <c r="AI260" s="40"/>
      <c r="AJ260" s="40"/>
      <c r="AK260" s="40"/>
      <c r="AL260" s="40"/>
      <c r="AM260" s="40"/>
      <c r="AN260" s="40"/>
      <c r="AO260" s="40"/>
      <c r="AP260" s="40"/>
      <c r="AQ260" s="40"/>
      <c r="AR260" s="40"/>
      <c r="AS260" s="40"/>
      <c r="AT260" s="40"/>
      <c r="AU260" s="40"/>
      <c r="AV260" s="40"/>
      <c r="AW260" s="40"/>
      <c r="AX260" s="40"/>
      <c r="AY260" s="40"/>
      <c r="AZ260" s="40"/>
    </row>
    <row r="261" spans="1:52">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c r="AA261" s="40"/>
      <c r="AB261" s="40"/>
      <c r="AC261" s="40"/>
      <c r="AD261" s="40"/>
      <c r="AE261" s="40"/>
      <c r="AF261" s="40"/>
      <c r="AG261" s="40"/>
      <c r="AH261" s="40"/>
      <c r="AI261" s="40"/>
      <c r="AJ261" s="40"/>
      <c r="AK261" s="40"/>
      <c r="AL261" s="40"/>
      <c r="AM261" s="40"/>
      <c r="AN261" s="40"/>
      <c r="AO261" s="40"/>
      <c r="AP261" s="40"/>
      <c r="AQ261" s="40"/>
      <c r="AR261" s="40"/>
      <c r="AS261" s="40"/>
      <c r="AT261" s="40"/>
      <c r="AU261" s="40"/>
      <c r="AV261" s="40"/>
      <c r="AW261" s="40"/>
      <c r="AX261" s="40"/>
      <c r="AY261" s="40"/>
      <c r="AZ261" s="40"/>
    </row>
    <row r="262" spans="1:52">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c r="AA262" s="40"/>
      <c r="AB262" s="40"/>
      <c r="AC262" s="40"/>
      <c r="AD262" s="40"/>
      <c r="AE262" s="40"/>
      <c r="AF262" s="40"/>
      <c r="AG262" s="40"/>
      <c r="AH262" s="40"/>
      <c r="AI262" s="40"/>
      <c r="AJ262" s="40"/>
      <c r="AK262" s="40"/>
      <c r="AL262" s="40"/>
      <c r="AM262" s="40"/>
      <c r="AN262" s="40"/>
      <c r="AO262" s="40"/>
      <c r="AP262" s="40"/>
      <c r="AQ262" s="40"/>
      <c r="AR262" s="40"/>
      <c r="AS262" s="40"/>
      <c r="AT262" s="40"/>
      <c r="AU262" s="40"/>
      <c r="AV262" s="40"/>
      <c r="AW262" s="40"/>
      <c r="AX262" s="40"/>
      <c r="AY262" s="40"/>
      <c r="AZ262" s="40"/>
    </row>
    <row r="263" spans="1:52">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c r="AA263" s="40"/>
      <c r="AB263" s="40"/>
      <c r="AC263" s="40"/>
      <c r="AD263" s="40"/>
      <c r="AE263" s="40"/>
      <c r="AF263" s="40"/>
      <c r="AG263" s="40"/>
      <c r="AH263" s="40"/>
      <c r="AI263" s="40"/>
      <c r="AJ263" s="40"/>
      <c r="AK263" s="40"/>
      <c r="AL263" s="40"/>
      <c r="AM263" s="40"/>
      <c r="AN263" s="40"/>
      <c r="AO263" s="40"/>
      <c r="AP263" s="40"/>
      <c r="AQ263" s="40"/>
      <c r="AR263" s="40"/>
      <c r="AS263" s="40"/>
      <c r="AT263" s="40"/>
      <c r="AU263" s="40"/>
      <c r="AV263" s="40"/>
      <c r="AW263" s="40"/>
      <c r="AX263" s="40"/>
      <c r="AY263" s="40"/>
      <c r="AZ263" s="40"/>
    </row>
    <row r="264" spans="1:52">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c r="AA264" s="40"/>
      <c r="AB264" s="40"/>
      <c r="AC264" s="40"/>
      <c r="AD264" s="40"/>
      <c r="AE264" s="40"/>
      <c r="AF264" s="40"/>
      <c r="AG264" s="40"/>
      <c r="AH264" s="40"/>
      <c r="AI264" s="40"/>
      <c r="AJ264" s="40"/>
      <c r="AK264" s="40"/>
      <c r="AL264" s="40"/>
      <c r="AM264" s="40"/>
      <c r="AN264" s="40"/>
      <c r="AO264" s="40"/>
      <c r="AP264" s="40"/>
      <c r="AQ264" s="40"/>
      <c r="AR264" s="40"/>
      <c r="AS264" s="40"/>
      <c r="AT264" s="40"/>
      <c r="AU264" s="40"/>
      <c r="AV264" s="40"/>
      <c r="AW264" s="40"/>
      <c r="AX264" s="40"/>
      <c r="AY264" s="40"/>
      <c r="AZ264" s="40"/>
    </row>
    <row r="265" spans="1:52">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c r="AA265" s="40"/>
      <c r="AB265" s="40"/>
      <c r="AC265" s="40"/>
      <c r="AD265" s="40"/>
      <c r="AE265" s="40"/>
      <c r="AF265" s="40"/>
      <c r="AG265" s="40"/>
      <c r="AH265" s="40"/>
      <c r="AI265" s="40"/>
      <c r="AJ265" s="40"/>
      <c r="AK265" s="40"/>
      <c r="AL265" s="40"/>
      <c r="AM265" s="40"/>
      <c r="AN265" s="40"/>
      <c r="AO265" s="40"/>
      <c r="AP265" s="40"/>
      <c r="AQ265" s="40"/>
      <c r="AR265" s="40"/>
      <c r="AS265" s="40"/>
      <c r="AT265" s="40"/>
      <c r="AU265" s="40"/>
      <c r="AV265" s="40"/>
      <c r="AW265" s="40"/>
      <c r="AX265" s="40"/>
      <c r="AY265" s="40"/>
      <c r="AZ265" s="40"/>
    </row>
    <row r="266" spans="1:52">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c r="AA266" s="40"/>
      <c r="AB266" s="40"/>
      <c r="AC266" s="40"/>
      <c r="AD266" s="40"/>
      <c r="AE266" s="40"/>
      <c r="AF266" s="40"/>
      <c r="AG266" s="40"/>
      <c r="AH266" s="40"/>
      <c r="AI266" s="40"/>
      <c r="AJ266" s="40"/>
      <c r="AK266" s="40"/>
      <c r="AL266" s="40"/>
      <c r="AM266" s="40"/>
      <c r="AN266" s="40"/>
      <c r="AO266" s="40"/>
      <c r="AP266" s="40"/>
      <c r="AQ266" s="40"/>
      <c r="AR266" s="40"/>
      <c r="AS266" s="40"/>
      <c r="AT266" s="40"/>
      <c r="AU266" s="40"/>
      <c r="AV266" s="40"/>
      <c r="AW266" s="40"/>
      <c r="AX266" s="40"/>
      <c r="AY266" s="40"/>
      <c r="AZ266" s="40"/>
    </row>
    <row r="267" spans="1:52">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c r="AA267" s="40"/>
      <c r="AB267" s="40"/>
      <c r="AC267" s="40"/>
      <c r="AD267" s="40"/>
      <c r="AE267" s="40"/>
      <c r="AF267" s="40"/>
      <c r="AG267" s="40"/>
      <c r="AH267" s="40"/>
      <c r="AI267" s="40"/>
      <c r="AJ267" s="40"/>
      <c r="AK267" s="40"/>
      <c r="AL267" s="40"/>
      <c r="AM267" s="40"/>
      <c r="AN267" s="40"/>
      <c r="AO267" s="40"/>
      <c r="AP267" s="40"/>
      <c r="AQ267" s="40"/>
      <c r="AR267" s="40"/>
      <c r="AS267" s="40"/>
      <c r="AT267" s="40"/>
      <c r="AU267" s="40"/>
      <c r="AV267" s="40"/>
      <c r="AW267" s="40"/>
      <c r="AX267" s="40"/>
      <c r="AY267" s="40"/>
      <c r="AZ267" s="40"/>
    </row>
    <row r="268" spans="1:52">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c r="AA268" s="40"/>
      <c r="AB268" s="40"/>
      <c r="AC268" s="40"/>
      <c r="AD268" s="40"/>
      <c r="AE268" s="40"/>
      <c r="AF268" s="40"/>
      <c r="AG268" s="40"/>
      <c r="AH268" s="40"/>
      <c r="AI268" s="40"/>
      <c r="AJ268" s="40"/>
      <c r="AK268" s="40"/>
      <c r="AL268" s="40"/>
      <c r="AM268" s="40"/>
      <c r="AN268" s="40"/>
      <c r="AO268" s="40"/>
      <c r="AP268" s="40"/>
      <c r="AQ268" s="40"/>
      <c r="AR268" s="40"/>
      <c r="AS268" s="40"/>
      <c r="AT268" s="40"/>
      <c r="AU268" s="40"/>
      <c r="AV268" s="40"/>
      <c r="AW268" s="40"/>
      <c r="AX268" s="40"/>
      <c r="AY268" s="40"/>
      <c r="AZ268" s="40"/>
    </row>
    <row r="269" spans="1:52">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c r="AA269" s="40"/>
      <c r="AB269" s="40"/>
      <c r="AC269" s="40"/>
      <c r="AD269" s="40"/>
      <c r="AE269" s="40"/>
      <c r="AF269" s="40"/>
      <c r="AG269" s="40"/>
      <c r="AH269" s="40"/>
      <c r="AI269" s="40"/>
      <c r="AJ269" s="40"/>
      <c r="AK269" s="40"/>
      <c r="AL269" s="40"/>
      <c r="AM269" s="40"/>
      <c r="AN269" s="40"/>
      <c r="AO269" s="40"/>
      <c r="AP269" s="40"/>
      <c r="AQ269" s="40"/>
      <c r="AR269" s="40"/>
      <c r="AS269" s="40"/>
      <c r="AT269" s="40"/>
      <c r="AU269" s="40"/>
      <c r="AV269" s="40"/>
      <c r="AW269" s="40"/>
      <c r="AX269" s="40"/>
      <c r="AY269" s="40"/>
      <c r="AZ269" s="40"/>
    </row>
    <row r="270" spans="1:52">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c r="AA270" s="40"/>
      <c r="AB270" s="40"/>
      <c r="AC270" s="40"/>
      <c r="AD270" s="40"/>
      <c r="AE270" s="40"/>
      <c r="AF270" s="40"/>
      <c r="AG270" s="40"/>
      <c r="AH270" s="40"/>
      <c r="AI270" s="40"/>
      <c r="AJ270" s="40"/>
      <c r="AK270" s="40"/>
      <c r="AL270" s="40"/>
      <c r="AM270" s="40"/>
      <c r="AN270" s="40"/>
      <c r="AO270" s="40"/>
      <c r="AP270" s="40"/>
      <c r="AQ270" s="40"/>
      <c r="AR270" s="40"/>
      <c r="AS270" s="40"/>
      <c r="AT270" s="40"/>
      <c r="AU270" s="40"/>
      <c r="AV270" s="40"/>
      <c r="AW270" s="40"/>
      <c r="AX270" s="40"/>
      <c r="AY270" s="40"/>
      <c r="AZ270" s="40"/>
    </row>
    <row r="271" spans="1:52">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c r="AA271" s="40"/>
      <c r="AB271" s="40"/>
      <c r="AC271" s="40"/>
      <c r="AD271" s="40"/>
      <c r="AE271" s="40"/>
      <c r="AF271" s="40"/>
      <c r="AG271" s="40"/>
      <c r="AH271" s="40"/>
      <c r="AI271" s="40"/>
      <c r="AJ271" s="40"/>
      <c r="AK271" s="40"/>
      <c r="AL271" s="40"/>
      <c r="AM271" s="40"/>
      <c r="AN271" s="40"/>
      <c r="AO271" s="40"/>
      <c r="AP271" s="40"/>
      <c r="AQ271" s="40"/>
      <c r="AR271" s="40"/>
      <c r="AS271" s="40"/>
      <c r="AT271" s="40"/>
      <c r="AU271" s="40"/>
      <c r="AV271" s="40"/>
      <c r="AW271" s="40"/>
      <c r="AX271" s="40"/>
      <c r="AY271" s="40"/>
      <c r="AZ271" s="40"/>
    </row>
    <row r="272" spans="1:52">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c r="AA272" s="40"/>
      <c r="AB272" s="40"/>
      <c r="AC272" s="40"/>
      <c r="AD272" s="40"/>
      <c r="AE272" s="40"/>
      <c r="AF272" s="40"/>
      <c r="AG272" s="40"/>
      <c r="AH272" s="40"/>
      <c r="AI272" s="40"/>
      <c r="AJ272" s="40"/>
      <c r="AK272" s="40"/>
      <c r="AL272" s="40"/>
      <c r="AM272" s="40"/>
      <c r="AN272" s="40"/>
      <c r="AO272" s="40"/>
      <c r="AP272" s="40"/>
      <c r="AQ272" s="40"/>
      <c r="AR272" s="40"/>
      <c r="AS272" s="40"/>
      <c r="AT272" s="40"/>
      <c r="AU272" s="40"/>
      <c r="AV272" s="40"/>
      <c r="AW272" s="40"/>
      <c r="AX272" s="40"/>
      <c r="AY272" s="40"/>
      <c r="AZ272" s="40"/>
    </row>
    <row r="273" spans="1:52">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c r="AA273" s="40"/>
      <c r="AB273" s="40"/>
      <c r="AC273" s="40"/>
      <c r="AD273" s="40"/>
      <c r="AE273" s="40"/>
      <c r="AF273" s="40"/>
      <c r="AG273" s="40"/>
      <c r="AH273" s="40"/>
      <c r="AI273" s="40"/>
      <c r="AJ273" s="40"/>
      <c r="AK273" s="40"/>
      <c r="AL273" s="40"/>
      <c r="AM273" s="40"/>
      <c r="AN273" s="40"/>
      <c r="AO273" s="40"/>
      <c r="AP273" s="40"/>
      <c r="AQ273" s="40"/>
      <c r="AR273" s="40"/>
      <c r="AS273" s="40"/>
      <c r="AT273" s="40"/>
      <c r="AU273" s="40"/>
      <c r="AV273" s="40"/>
      <c r="AW273" s="40"/>
      <c r="AX273" s="40"/>
      <c r="AY273" s="40"/>
      <c r="AZ273" s="40"/>
    </row>
    <row r="274" spans="1:52">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c r="AA274" s="40"/>
      <c r="AB274" s="40"/>
      <c r="AC274" s="40"/>
      <c r="AD274" s="40"/>
      <c r="AE274" s="40"/>
      <c r="AF274" s="40"/>
      <c r="AG274" s="40"/>
      <c r="AH274" s="40"/>
      <c r="AI274" s="40"/>
      <c r="AJ274" s="40"/>
      <c r="AK274" s="40"/>
      <c r="AL274" s="40"/>
      <c r="AM274" s="40"/>
      <c r="AN274" s="40"/>
      <c r="AO274" s="40"/>
      <c r="AP274" s="40"/>
      <c r="AQ274" s="40"/>
      <c r="AR274" s="40"/>
      <c r="AS274" s="40"/>
      <c r="AT274" s="40"/>
      <c r="AU274" s="40"/>
      <c r="AV274" s="40"/>
      <c r="AW274" s="40"/>
      <c r="AX274" s="40"/>
      <c r="AY274" s="40"/>
      <c r="AZ274" s="40"/>
    </row>
    <row r="275" spans="1:52">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c r="AA275" s="40"/>
      <c r="AB275" s="40"/>
      <c r="AC275" s="40"/>
      <c r="AD275" s="40"/>
      <c r="AE275" s="40"/>
      <c r="AF275" s="40"/>
      <c r="AG275" s="40"/>
      <c r="AH275" s="40"/>
      <c r="AI275" s="40"/>
      <c r="AJ275" s="40"/>
      <c r="AK275" s="40"/>
      <c r="AL275" s="40"/>
      <c r="AM275" s="40"/>
      <c r="AN275" s="40"/>
      <c r="AO275" s="40"/>
      <c r="AP275" s="40"/>
      <c r="AQ275" s="40"/>
      <c r="AR275" s="40"/>
      <c r="AS275" s="40"/>
      <c r="AT275" s="40"/>
      <c r="AU275" s="40"/>
      <c r="AV275" s="40"/>
      <c r="AW275" s="40"/>
      <c r="AX275" s="40"/>
      <c r="AY275" s="40"/>
      <c r="AZ275" s="40"/>
    </row>
    <row r="276" spans="1:52">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c r="AA276" s="40"/>
      <c r="AB276" s="40"/>
      <c r="AC276" s="40"/>
      <c r="AD276" s="40"/>
      <c r="AE276" s="40"/>
      <c r="AF276" s="40"/>
      <c r="AG276" s="40"/>
      <c r="AH276" s="40"/>
      <c r="AI276" s="40"/>
      <c r="AJ276" s="40"/>
      <c r="AK276" s="40"/>
      <c r="AL276" s="40"/>
      <c r="AM276" s="40"/>
      <c r="AN276" s="40"/>
      <c r="AO276" s="40"/>
      <c r="AP276" s="40"/>
      <c r="AQ276" s="40"/>
      <c r="AR276" s="40"/>
      <c r="AS276" s="40"/>
      <c r="AT276" s="40"/>
      <c r="AU276" s="40"/>
      <c r="AV276" s="40"/>
      <c r="AW276" s="40"/>
      <c r="AX276" s="40"/>
      <c r="AY276" s="40"/>
      <c r="AZ276" s="40"/>
    </row>
    <row r="277" spans="1:52">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c r="AA277" s="40"/>
      <c r="AB277" s="40"/>
      <c r="AC277" s="40"/>
      <c r="AD277" s="40"/>
      <c r="AE277" s="40"/>
      <c r="AF277" s="40"/>
      <c r="AG277" s="40"/>
      <c r="AH277" s="40"/>
      <c r="AI277" s="40"/>
      <c r="AJ277" s="40"/>
      <c r="AK277" s="40"/>
      <c r="AL277" s="40"/>
      <c r="AM277" s="40"/>
      <c r="AN277" s="40"/>
      <c r="AO277" s="40"/>
      <c r="AP277" s="40"/>
      <c r="AQ277" s="40"/>
      <c r="AR277" s="40"/>
      <c r="AS277" s="40"/>
      <c r="AT277" s="40"/>
      <c r="AU277" s="40"/>
      <c r="AV277" s="40"/>
      <c r="AW277" s="40"/>
      <c r="AX277" s="40"/>
      <c r="AY277" s="40"/>
      <c r="AZ277" s="40"/>
    </row>
    <row r="278" spans="1:52">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c r="AA278" s="40"/>
      <c r="AB278" s="40"/>
      <c r="AC278" s="40"/>
      <c r="AD278" s="40"/>
      <c r="AE278" s="40"/>
      <c r="AF278" s="40"/>
      <c r="AG278" s="40"/>
      <c r="AH278" s="40"/>
      <c r="AI278" s="40"/>
      <c r="AJ278" s="40"/>
      <c r="AK278" s="40"/>
      <c r="AL278" s="40"/>
      <c r="AM278" s="40"/>
      <c r="AN278" s="40"/>
      <c r="AO278" s="40"/>
      <c r="AP278" s="40"/>
      <c r="AQ278" s="40"/>
      <c r="AR278" s="40"/>
      <c r="AS278" s="40"/>
      <c r="AT278" s="40"/>
      <c r="AU278" s="40"/>
      <c r="AV278" s="40"/>
      <c r="AW278" s="40"/>
      <c r="AX278" s="40"/>
      <c r="AY278" s="40"/>
      <c r="AZ278" s="40"/>
    </row>
    <row r="279" spans="1:52">
      <c r="A279" s="40"/>
      <c r="B279" s="40"/>
      <c r="C279" s="40"/>
      <c r="D279" s="40"/>
      <c r="E279" s="40"/>
      <c r="F279" s="40"/>
      <c r="G279" s="40"/>
      <c r="H279" s="40"/>
      <c r="I279" s="40"/>
      <c r="J279" s="40"/>
      <c r="K279" s="40"/>
      <c r="L279" s="40"/>
      <c r="M279" s="40"/>
      <c r="N279" s="40"/>
      <c r="O279" s="40"/>
      <c r="P279" s="40"/>
      <c r="Q279" s="40"/>
      <c r="T279" s="40"/>
      <c r="U279" s="40"/>
      <c r="V279" s="40"/>
      <c r="W279" s="40"/>
      <c r="X279" s="40"/>
      <c r="Y279" s="40"/>
      <c r="Z279" s="40"/>
      <c r="AA279" s="40"/>
      <c r="AB279" s="40"/>
      <c r="AC279" s="40"/>
      <c r="AD279" s="40"/>
      <c r="AE279" s="40"/>
      <c r="AF279" s="40"/>
      <c r="AG279" s="40"/>
      <c r="AH279" s="40"/>
      <c r="AI279" s="40"/>
      <c r="AJ279" s="40"/>
      <c r="AK279" s="40"/>
      <c r="AL279" s="40"/>
      <c r="AM279" s="40"/>
      <c r="AN279" s="40"/>
      <c r="AO279" s="40"/>
      <c r="AP279" s="40"/>
      <c r="AQ279" s="40"/>
      <c r="AR279" s="40"/>
      <c r="AS279" s="40"/>
      <c r="AT279" s="40"/>
      <c r="AU279" s="40"/>
      <c r="AV279" s="40"/>
      <c r="AW279" s="40"/>
      <c r="AX279" s="40"/>
      <c r="AY279" s="40"/>
      <c r="AZ279" s="40"/>
    </row>
    <row r="280" spans="1:52">
      <c r="A280" s="40"/>
      <c r="B280" s="40"/>
      <c r="C280" s="40"/>
      <c r="D280" s="40"/>
      <c r="E280" s="40"/>
      <c r="F280" s="40"/>
      <c r="G280" s="40"/>
      <c r="H280" s="40"/>
      <c r="I280" s="40"/>
      <c r="J280" s="40"/>
      <c r="K280" s="40"/>
      <c r="L280" s="40"/>
      <c r="M280" s="40"/>
      <c r="N280" s="40"/>
      <c r="O280" s="40"/>
      <c r="P280" s="40"/>
      <c r="Q280" s="40"/>
      <c r="T280" s="40"/>
      <c r="U280" s="40"/>
      <c r="V280" s="40"/>
      <c r="W280" s="40"/>
      <c r="X280" s="40"/>
      <c r="Y280" s="40"/>
      <c r="Z280" s="40"/>
      <c r="AA280" s="40"/>
      <c r="AB280" s="40"/>
      <c r="AC280" s="40"/>
      <c r="AD280" s="40"/>
      <c r="AE280" s="40"/>
      <c r="AF280" s="40"/>
      <c r="AG280" s="40"/>
      <c r="AH280" s="40"/>
      <c r="AI280" s="40"/>
      <c r="AJ280" s="40"/>
      <c r="AK280" s="40"/>
      <c r="AL280" s="40"/>
      <c r="AM280" s="40"/>
      <c r="AN280" s="40"/>
      <c r="AO280" s="40"/>
      <c r="AP280" s="40"/>
      <c r="AQ280" s="40"/>
      <c r="AR280" s="40"/>
      <c r="AS280" s="40"/>
      <c r="AT280" s="40"/>
      <c r="AU280" s="40"/>
      <c r="AV280" s="40"/>
      <c r="AW280" s="40"/>
      <c r="AX280" s="40"/>
      <c r="AY280" s="40"/>
      <c r="AZ280" s="40"/>
    </row>
    <row r="281" spans="1:52">
      <c r="A281" s="40"/>
      <c r="B281" s="40"/>
      <c r="C281" s="40"/>
      <c r="D281" s="40"/>
      <c r="E281" s="40"/>
      <c r="F281" s="40"/>
      <c r="G281" s="40"/>
      <c r="H281" s="40"/>
      <c r="I281" s="40"/>
      <c r="J281" s="40"/>
      <c r="K281" s="40"/>
      <c r="L281" s="40"/>
      <c r="M281" s="40"/>
      <c r="N281" s="40"/>
      <c r="O281" s="40"/>
      <c r="P281" s="40"/>
      <c r="Q281" s="40"/>
      <c r="T281" s="40"/>
      <c r="U281" s="40"/>
      <c r="V281" s="40"/>
      <c r="W281" s="40"/>
      <c r="X281" s="40"/>
      <c r="Y281" s="40"/>
      <c r="Z281" s="40"/>
      <c r="AA281" s="40"/>
      <c r="AB281" s="40"/>
      <c r="AC281" s="40"/>
      <c r="AD281" s="40"/>
      <c r="AE281" s="40"/>
      <c r="AF281" s="40"/>
      <c r="AG281" s="40"/>
      <c r="AH281" s="40"/>
      <c r="AI281" s="40"/>
      <c r="AJ281" s="40"/>
      <c r="AK281" s="40"/>
      <c r="AL281" s="40"/>
      <c r="AM281" s="40"/>
      <c r="AN281" s="40"/>
      <c r="AO281" s="40"/>
      <c r="AP281" s="40"/>
      <c r="AQ281" s="40"/>
      <c r="AR281" s="40"/>
      <c r="AS281" s="40"/>
      <c r="AT281" s="40"/>
      <c r="AU281" s="40"/>
      <c r="AV281" s="40"/>
      <c r="AW281" s="40"/>
      <c r="AX281" s="40"/>
      <c r="AY281" s="40"/>
      <c r="AZ281" s="40"/>
    </row>
    <row r="282" spans="1:52">
      <c r="A282" s="40"/>
      <c r="B282" s="40"/>
      <c r="C282" s="40"/>
      <c r="D282" s="40"/>
      <c r="E282" s="40"/>
      <c r="F282" s="40"/>
      <c r="G282" s="40"/>
      <c r="H282" s="40"/>
      <c r="I282" s="40"/>
      <c r="J282" s="40"/>
      <c r="K282" s="40"/>
      <c r="L282" s="40"/>
      <c r="M282" s="40"/>
      <c r="N282" s="40"/>
      <c r="O282" s="40"/>
      <c r="P282" s="40"/>
      <c r="Q282" s="40"/>
      <c r="T282" s="40"/>
      <c r="U282" s="40"/>
      <c r="V282" s="40"/>
      <c r="W282" s="40"/>
      <c r="X282" s="40"/>
      <c r="Y282" s="40"/>
      <c r="Z282" s="40"/>
      <c r="AA282" s="40"/>
      <c r="AB282" s="40"/>
      <c r="AC282" s="40"/>
      <c r="AD282" s="40"/>
      <c r="AE282" s="40"/>
      <c r="AF282" s="40"/>
      <c r="AG282" s="40"/>
      <c r="AH282" s="40"/>
      <c r="AI282" s="40"/>
      <c r="AJ282" s="40"/>
      <c r="AK282" s="40"/>
      <c r="AL282" s="40"/>
      <c r="AM282" s="40"/>
      <c r="AN282" s="40"/>
      <c r="AO282" s="40"/>
      <c r="AP282" s="40"/>
      <c r="AQ282" s="40"/>
      <c r="AR282" s="40"/>
      <c r="AS282" s="40"/>
      <c r="AT282" s="40"/>
      <c r="AU282" s="40"/>
      <c r="AV282" s="40"/>
      <c r="AW282" s="40"/>
      <c r="AX282" s="40"/>
      <c r="AY282" s="40"/>
      <c r="AZ282" s="40"/>
    </row>
    <row r="283" spans="1:52">
      <c r="A283" s="40"/>
      <c r="B283" s="40"/>
      <c r="C283" s="40"/>
      <c r="D283" s="40"/>
      <c r="E283" s="40"/>
      <c r="F283" s="40"/>
      <c r="G283" s="40"/>
      <c r="H283" s="40"/>
      <c r="I283" s="40"/>
      <c r="J283" s="40"/>
      <c r="K283" s="40"/>
      <c r="L283" s="40"/>
      <c r="M283" s="40"/>
      <c r="N283" s="40"/>
      <c r="O283" s="40"/>
      <c r="P283" s="40"/>
      <c r="Q283" s="40"/>
      <c r="T283" s="40"/>
      <c r="U283" s="40"/>
      <c r="V283" s="40"/>
      <c r="W283" s="40"/>
      <c r="X283" s="40"/>
      <c r="Y283" s="40"/>
      <c r="Z283" s="40"/>
      <c r="AA283" s="40"/>
      <c r="AB283" s="40"/>
      <c r="AC283" s="40"/>
      <c r="AD283" s="40"/>
      <c r="AE283" s="40"/>
      <c r="AF283" s="40"/>
      <c r="AG283" s="40"/>
      <c r="AH283" s="40"/>
      <c r="AI283" s="40"/>
      <c r="AJ283" s="40"/>
      <c r="AK283" s="40"/>
      <c r="AL283" s="40"/>
      <c r="AM283" s="40"/>
      <c r="AN283" s="40"/>
      <c r="AO283" s="40"/>
      <c r="AP283" s="40"/>
      <c r="AQ283" s="40"/>
      <c r="AR283" s="40"/>
      <c r="AS283" s="40"/>
      <c r="AT283" s="40"/>
      <c r="AU283" s="40"/>
      <c r="AV283" s="40"/>
      <c r="AW283" s="40"/>
      <c r="AX283" s="40"/>
      <c r="AY283" s="40"/>
      <c r="AZ283" s="40"/>
    </row>
    <row r="284" spans="1:52">
      <c r="A284" s="40"/>
      <c r="B284" s="40"/>
      <c r="C284" s="40"/>
      <c r="D284" s="40"/>
      <c r="E284" s="40"/>
      <c r="F284" s="40"/>
      <c r="G284" s="40"/>
      <c r="H284" s="40"/>
      <c r="I284" s="40"/>
      <c r="J284" s="40"/>
      <c r="K284" s="40"/>
      <c r="L284" s="40"/>
      <c r="M284" s="40"/>
      <c r="N284" s="40"/>
      <c r="O284" s="40"/>
      <c r="P284" s="40"/>
      <c r="Q284" s="40"/>
      <c r="T284" s="40"/>
      <c r="U284" s="40"/>
      <c r="V284" s="40"/>
      <c r="W284" s="40"/>
      <c r="X284" s="40"/>
      <c r="Y284" s="40"/>
      <c r="Z284" s="40"/>
      <c r="AA284" s="40"/>
      <c r="AB284" s="40"/>
      <c r="AC284" s="40"/>
      <c r="AD284" s="40"/>
      <c r="AE284" s="40"/>
      <c r="AF284" s="40"/>
      <c r="AG284" s="40"/>
      <c r="AH284" s="40"/>
      <c r="AI284" s="40"/>
      <c r="AJ284" s="40"/>
      <c r="AK284" s="40"/>
      <c r="AL284" s="40"/>
      <c r="AM284" s="40"/>
      <c r="AN284" s="40"/>
      <c r="AO284" s="40"/>
      <c r="AP284" s="40"/>
      <c r="AQ284" s="40"/>
      <c r="AR284" s="40"/>
      <c r="AS284" s="40"/>
      <c r="AT284" s="40"/>
      <c r="AU284" s="40"/>
      <c r="AV284" s="40"/>
      <c r="AW284" s="40"/>
      <c r="AX284" s="40"/>
      <c r="AY284" s="40"/>
      <c r="AZ284" s="40"/>
    </row>
    <row r="285" spans="1:52">
      <c r="A285" s="40"/>
      <c r="B285" s="40"/>
      <c r="C285" s="40"/>
      <c r="D285" s="40"/>
      <c r="E285" s="40"/>
      <c r="F285" s="40"/>
      <c r="G285" s="40"/>
      <c r="H285" s="40"/>
      <c r="I285" s="40"/>
      <c r="J285" s="40"/>
      <c r="K285" s="40"/>
      <c r="L285" s="40"/>
      <c r="M285" s="40"/>
      <c r="N285" s="40"/>
      <c r="O285" s="40"/>
      <c r="P285" s="40"/>
      <c r="Q285" s="40"/>
      <c r="T285" s="40"/>
      <c r="U285" s="40"/>
      <c r="V285" s="40"/>
      <c r="W285" s="40"/>
      <c r="X285" s="40"/>
      <c r="Y285" s="40"/>
      <c r="Z285" s="40"/>
      <c r="AA285" s="40"/>
      <c r="AB285" s="40"/>
      <c r="AC285" s="40"/>
      <c r="AD285" s="40"/>
      <c r="AE285" s="40"/>
      <c r="AF285" s="40"/>
      <c r="AG285" s="40"/>
      <c r="AH285" s="40"/>
      <c r="AI285" s="40"/>
      <c r="AJ285" s="40"/>
      <c r="AK285" s="40"/>
      <c r="AL285" s="40"/>
      <c r="AM285" s="40"/>
      <c r="AN285" s="40"/>
      <c r="AO285" s="40"/>
      <c r="AP285" s="40"/>
      <c r="AQ285" s="40"/>
      <c r="AR285" s="40"/>
      <c r="AS285" s="40"/>
      <c r="AT285" s="40"/>
      <c r="AU285" s="40"/>
      <c r="AV285" s="40"/>
      <c r="AW285" s="40"/>
      <c r="AX285" s="40"/>
      <c r="AY285" s="40"/>
      <c r="AZ285" s="40"/>
    </row>
    <row r="286" spans="1:52">
      <c r="A286" s="40"/>
      <c r="B286" s="40"/>
      <c r="C286" s="40"/>
      <c r="D286" s="40"/>
      <c r="E286" s="40"/>
      <c r="F286" s="40"/>
      <c r="G286" s="40"/>
      <c r="H286" s="40"/>
      <c r="I286" s="40"/>
      <c r="J286" s="40"/>
      <c r="K286" s="40"/>
      <c r="L286" s="40"/>
      <c r="M286" s="40"/>
      <c r="N286" s="40"/>
      <c r="O286" s="40"/>
      <c r="P286" s="40"/>
      <c r="Q286" s="40"/>
      <c r="T286" s="40"/>
      <c r="U286" s="40"/>
      <c r="V286" s="40"/>
      <c r="W286" s="40"/>
      <c r="X286" s="40"/>
      <c r="Y286" s="40"/>
      <c r="Z286" s="40"/>
      <c r="AA286" s="40"/>
      <c r="AB286" s="40"/>
      <c r="AC286" s="40"/>
      <c r="AD286" s="40"/>
      <c r="AE286" s="40"/>
      <c r="AF286" s="40"/>
      <c r="AG286" s="40"/>
      <c r="AH286" s="40"/>
      <c r="AI286" s="40"/>
      <c r="AJ286" s="40"/>
      <c r="AK286" s="40"/>
      <c r="AL286" s="40"/>
      <c r="AM286" s="40"/>
      <c r="AN286" s="40"/>
      <c r="AO286" s="40"/>
      <c r="AP286" s="40"/>
      <c r="AQ286" s="40"/>
      <c r="AR286" s="40"/>
      <c r="AS286" s="40"/>
      <c r="AT286" s="40"/>
      <c r="AU286" s="40"/>
      <c r="AV286" s="40"/>
      <c r="AW286" s="40"/>
      <c r="AX286" s="40"/>
      <c r="AY286" s="40"/>
      <c r="AZ286" s="40"/>
    </row>
    <row r="287" spans="1:52">
      <c r="A287" s="40"/>
      <c r="B287" s="40"/>
      <c r="C287" s="40"/>
      <c r="D287" s="40"/>
      <c r="E287" s="40"/>
      <c r="F287" s="40"/>
      <c r="G287" s="40"/>
      <c r="H287" s="40"/>
      <c r="I287" s="40"/>
      <c r="J287" s="40"/>
      <c r="K287" s="40"/>
      <c r="L287" s="40"/>
      <c r="M287" s="40"/>
      <c r="N287" s="40"/>
      <c r="O287" s="40"/>
      <c r="P287" s="40"/>
      <c r="Q287" s="40"/>
      <c r="T287" s="40"/>
      <c r="U287" s="40"/>
      <c r="V287" s="40"/>
      <c r="W287" s="40"/>
      <c r="X287" s="40"/>
      <c r="Y287" s="40"/>
      <c r="Z287" s="40"/>
      <c r="AA287" s="40"/>
      <c r="AB287" s="40"/>
      <c r="AC287" s="40"/>
      <c r="AD287" s="40"/>
      <c r="AE287" s="40"/>
      <c r="AF287" s="40"/>
      <c r="AG287" s="40"/>
      <c r="AH287" s="40"/>
      <c r="AI287" s="40"/>
      <c r="AJ287" s="40"/>
      <c r="AK287" s="40"/>
      <c r="AL287" s="40"/>
      <c r="AM287" s="40"/>
      <c r="AN287" s="40"/>
      <c r="AO287" s="40"/>
      <c r="AP287" s="40"/>
      <c r="AQ287" s="40"/>
      <c r="AR287" s="40"/>
      <c r="AS287" s="40"/>
      <c r="AT287" s="40"/>
      <c r="AU287" s="40"/>
      <c r="AV287" s="40"/>
      <c r="AW287" s="40"/>
      <c r="AX287" s="40"/>
      <c r="AY287" s="40"/>
      <c r="AZ287" s="40"/>
    </row>
    <row r="288" spans="1:52">
      <c r="A288" s="40"/>
      <c r="B288" s="40"/>
      <c r="C288" s="40"/>
      <c r="D288" s="40"/>
      <c r="E288" s="40"/>
      <c r="F288" s="40"/>
      <c r="G288" s="40"/>
      <c r="H288" s="40"/>
      <c r="I288" s="40"/>
      <c r="J288" s="40"/>
      <c r="K288" s="40"/>
      <c r="L288" s="40"/>
      <c r="M288" s="40"/>
      <c r="N288" s="40"/>
      <c r="O288" s="40"/>
      <c r="P288" s="40"/>
      <c r="Q288" s="40"/>
      <c r="T288" s="40"/>
      <c r="U288" s="40"/>
      <c r="V288" s="40"/>
      <c r="W288" s="40"/>
      <c r="X288" s="40"/>
      <c r="Y288" s="40"/>
      <c r="Z288" s="40"/>
      <c r="AA288" s="40"/>
      <c r="AB288" s="40"/>
      <c r="AC288" s="40"/>
      <c r="AD288" s="40"/>
      <c r="AE288" s="40"/>
      <c r="AF288" s="40"/>
      <c r="AG288" s="40"/>
      <c r="AH288" s="40"/>
      <c r="AI288" s="40"/>
      <c r="AJ288" s="40"/>
      <c r="AK288" s="40"/>
      <c r="AL288" s="40"/>
      <c r="AM288" s="40"/>
      <c r="AN288" s="40"/>
      <c r="AO288" s="40"/>
      <c r="AP288" s="40"/>
      <c r="AQ288" s="40"/>
      <c r="AR288" s="40"/>
      <c r="AS288" s="40"/>
      <c r="AT288" s="40"/>
      <c r="AU288" s="40"/>
      <c r="AV288" s="40"/>
      <c r="AW288" s="40"/>
      <c r="AX288" s="40"/>
      <c r="AY288" s="40"/>
      <c r="AZ288" s="40"/>
    </row>
    <row r="289" spans="1:52">
      <c r="A289" s="40"/>
      <c r="B289" s="40"/>
      <c r="C289" s="40"/>
      <c r="D289" s="40"/>
      <c r="E289" s="40"/>
      <c r="F289" s="40"/>
      <c r="G289" s="40"/>
      <c r="H289" s="40"/>
      <c r="I289" s="40"/>
      <c r="J289" s="40"/>
      <c r="K289" s="40"/>
      <c r="L289" s="40"/>
      <c r="M289" s="40"/>
      <c r="N289" s="40"/>
      <c r="O289" s="40"/>
      <c r="P289" s="40"/>
      <c r="Q289" s="40"/>
      <c r="T289" s="40"/>
      <c r="U289" s="40"/>
      <c r="V289" s="40"/>
      <c r="W289" s="40"/>
      <c r="X289" s="40"/>
      <c r="Y289" s="40"/>
      <c r="Z289" s="40"/>
      <c r="AA289" s="40"/>
      <c r="AB289" s="40"/>
      <c r="AC289" s="40"/>
      <c r="AD289" s="40"/>
      <c r="AE289" s="40"/>
      <c r="AF289" s="40"/>
      <c r="AG289" s="40"/>
      <c r="AH289" s="40"/>
      <c r="AI289" s="40"/>
      <c r="AJ289" s="40"/>
      <c r="AK289" s="40"/>
      <c r="AL289" s="40"/>
      <c r="AM289" s="40"/>
      <c r="AN289" s="40"/>
      <c r="AO289" s="40"/>
      <c r="AP289" s="40"/>
      <c r="AQ289" s="40"/>
      <c r="AR289" s="40"/>
      <c r="AS289" s="40"/>
      <c r="AT289" s="40"/>
      <c r="AU289" s="40"/>
      <c r="AV289" s="40"/>
      <c r="AW289" s="40"/>
      <c r="AX289" s="40"/>
      <c r="AY289" s="40"/>
      <c r="AZ289" s="40"/>
    </row>
  </sheetData>
  <sheetProtection algorithmName="SHA-512" hashValue="CqVeqOw2ij+kUQY1XtNsX/wrwlV9y9TYBYCspfqoOHvyVR3GrZtDmJZexYj3hES+SckmpxsI9MnGMLu3/v+yQw==" saltValue="djEhwuiMR+n5sgucOhqHyA==" spinCount="100000" sheet="1" objects="1" scenarios="1"/>
  <mergeCells count="2">
    <mergeCell ref="H4:H7"/>
    <mergeCell ref="I4:I7"/>
  </mergeCells>
  <phoneticPr fontId="64" type="noConversion"/>
  <conditionalFormatting sqref="I4:I8">
    <cfRule type="cellIs" dxfId="1" priority="1" operator="notEqual">
      <formula>TODAY()</formula>
    </cfRule>
  </conditionalFormatting>
  <dataValidations disablePrompts="1" count="1">
    <dataValidation type="whole" imeMode="off" operator="greaterThanOrEqual" allowBlank="1" showInputMessage="1" showErrorMessage="1" errorTitle="提醒" error="显示阶段至少3年" sqref="C4">
      <formula1>3</formula1>
    </dataValidation>
  </dataValidations>
  <pageMargins left="0.75" right="0.75" top="1" bottom="1" header="0.5" footer="0.5"/>
  <pageSetup paperSize="9" firstPageNumber="4294963191" orientation="portrait" r:id="rId1"/>
  <headerFooter alignWithMargins="0"/>
  <drawing r:id="rId2"/>
  <legacyDrawing r:id="rId3"/>
  <controls>
    <mc:AlternateContent xmlns:mc="http://schemas.openxmlformats.org/markup-compatibility/2006">
      <mc:Choice Requires="x14">
        <control shapeId="18458" r:id="rId4" name="cbYears21">
          <controlPr defaultSize="0" linkedCell="C5" r:id="rId5">
            <anchor moveWithCells="1">
              <from>
                <xdr:col>2</xdr:col>
                <xdr:colOff>0</xdr:colOff>
                <xdr:row>4</xdr:row>
                <xdr:rowOff>0</xdr:rowOff>
              </from>
              <to>
                <xdr:col>3</xdr:col>
                <xdr:colOff>9525</xdr:colOff>
                <xdr:row>5</xdr:row>
                <xdr:rowOff>28575</xdr:rowOff>
              </to>
            </anchor>
          </controlPr>
        </control>
      </mc:Choice>
      <mc:Fallback>
        <control shapeId="18458" r:id="rId4" name="cbYears21"/>
      </mc:Fallback>
    </mc:AlternateContent>
    <mc:AlternateContent xmlns:mc="http://schemas.openxmlformats.org/markup-compatibility/2006">
      <mc:Choice Requires="x14">
        <control shapeId="18459" r:id="rId6" name="cbYears22">
          <controlPr defaultSize="0" linkedCell="C6" r:id="rId7">
            <anchor moveWithCells="1">
              <from>
                <xdr:col>2</xdr:col>
                <xdr:colOff>0</xdr:colOff>
                <xdr:row>5</xdr:row>
                <xdr:rowOff>9525</xdr:rowOff>
              </from>
              <to>
                <xdr:col>3</xdr:col>
                <xdr:colOff>0</xdr:colOff>
                <xdr:row>5</xdr:row>
                <xdr:rowOff>266700</xdr:rowOff>
              </to>
            </anchor>
          </controlPr>
        </control>
      </mc:Choice>
      <mc:Fallback>
        <control shapeId="18459" r:id="rId6" name="cbYears2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12"/>
    <pageSetUpPr fitToPage="1"/>
  </sheetPr>
  <dimension ref="A1:T37"/>
  <sheetViews>
    <sheetView showGridLines="0" workbookViewId="0">
      <selection activeCell="I8" sqref="I8"/>
    </sheetView>
  </sheetViews>
  <sheetFormatPr defaultRowHeight="17.100000000000001" customHeight="1"/>
  <cols>
    <col min="1" max="1" width="2.375" style="9" customWidth="1"/>
    <col min="2" max="2" width="13.375" style="9" customWidth="1"/>
    <col min="3" max="3" width="10.25" style="9" customWidth="1"/>
    <col min="4" max="4" width="12.25" style="9" bestFit="1" customWidth="1"/>
    <col min="5" max="5" width="9" style="9" bestFit="1" customWidth="1"/>
    <col min="6" max="6" width="16.25" style="9" bestFit="1" customWidth="1"/>
    <col min="7" max="7" width="9" style="9" bestFit="1" customWidth="1"/>
    <col min="8" max="8" width="11.75" style="9" customWidth="1"/>
    <col min="9" max="9" width="9.375" style="9" bestFit="1" customWidth="1"/>
    <col min="10" max="10" width="9" style="9" bestFit="1" customWidth="1"/>
    <col min="11" max="11" width="9.375" style="9" customWidth="1"/>
    <col min="12" max="12" width="9" style="9" bestFit="1"/>
    <col min="13" max="13" width="9.5" style="9" bestFit="1" customWidth="1"/>
    <col min="14" max="18" width="9" style="9"/>
    <col min="19" max="19" width="10" style="9" customWidth="1"/>
    <col min="20" max="16384" width="9" style="9"/>
  </cols>
  <sheetData>
    <row r="1" spans="1:20" ht="12" customHeight="1" thickBot="1">
      <c r="A1" s="90"/>
      <c r="B1" s="90"/>
      <c r="C1" s="1869">
        <v>3</v>
      </c>
      <c r="D1" s="1869">
        <v>3</v>
      </c>
      <c r="E1" s="90"/>
      <c r="F1" s="90"/>
      <c r="G1" s="114">
        <v>480</v>
      </c>
      <c r="H1" s="114">
        <v>360</v>
      </c>
      <c r="I1" s="114">
        <v>1200</v>
      </c>
      <c r="J1" s="114">
        <v>1030</v>
      </c>
      <c r="K1" s="114">
        <v>1500</v>
      </c>
      <c r="L1" s="90"/>
      <c r="M1" s="90"/>
      <c r="N1" s="90"/>
      <c r="O1" s="90"/>
      <c r="P1" s="90"/>
      <c r="Q1" s="90"/>
      <c r="R1" s="90"/>
      <c r="S1" s="90"/>
      <c r="T1" s="90"/>
    </row>
    <row r="2" spans="1:20" ht="18" customHeight="1">
      <c r="A2" s="79"/>
      <c r="B2" s="187" t="s">
        <v>755</v>
      </c>
      <c r="C2" s="183"/>
      <c r="D2" s="183"/>
      <c r="E2" s="183"/>
      <c r="F2" s="183"/>
      <c r="G2" s="183"/>
      <c r="H2" s="184"/>
      <c r="I2" s="79"/>
      <c r="J2" s="79"/>
      <c r="K2" s="79"/>
      <c r="L2" s="79"/>
      <c r="M2" s="79"/>
      <c r="N2" s="79"/>
      <c r="O2" s="79"/>
      <c r="P2" s="79"/>
      <c r="Q2" s="79"/>
      <c r="R2" s="79"/>
      <c r="S2" s="79"/>
      <c r="T2" s="79"/>
    </row>
    <row r="3" spans="1:20" ht="38.25" customHeight="1">
      <c r="A3" s="79"/>
      <c r="B3" s="1844" t="s">
        <v>723</v>
      </c>
      <c r="C3" s="1845" t="s">
        <v>753</v>
      </c>
      <c r="D3" s="1845" t="s">
        <v>711</v>
      </c>
      <c r="E3" s="1845" t="s">
        <v>1226</v>
      </c>
      <c r="F3" s="1846" t="s">
        <v>1231</v>
      </c>
      <c r="G3" s="1846" t="s">
        <v>1233</v>
      </c>
      <c r="H3" s="1847" t="s">
        <v>1234</v>
      </c>
      <c r="I3" s="1841"/>
      <c r="J3" s="79"/>
      <c r="K3" s="79"/>
      <c r="L3" s="79"/>
      <c r="M3" s="79"/>
      <c r="N3" s="79"/>
      <c r="O3" s="79"/>
      <c r="P3" s="79"/>
      <c r="Q3" s="79"/>
      <c r="R3" s="79"/>
      <c r="S3" s="79"/>
      <c r="T3" s="79"/>
    </row>
    <row r="4" spans="1:20" ht="18" customHeight="1">
      <c r="A4" s="79"/>
      <c r="B4" s="215" t="s">
        <v>1084</v>
      </c>
      <c r="C4" s="1651" t="s">
        <v>727</v>
      </c>
      <c r="D4" s="1835" t="s">
        <v>1227</v>
      </c>
      <c r="E4" s="1842" t="s">
        <v>726</v>
      </c>
      <c r="F4" s="2551">
        <f>资金成本!C12</f>
        <v>6.1663999999999997E-2</v>
      </c>
      <c r="G4" s="2554">
        <f ca="1">公司说明!E10</f>
        <v>43930</v>
      </c>
      <c r="H4" s="2557">
        <v>5</v>
      </c>
      <c r="I4" s="79"/>
      <c r="J4" s="79"/>
      <c r="K4" s="79"/>
      <c r="L4" s="79"/>
      <c r="M4" s="79"/>
      <c r="N4" s="79"/>
      <c r="O4" s="79"/>
      <c r="P4" s="79"/>
      <c r="Q4" s="79"/>
      <c r="R4" s="79"/>
      <c r="S4" s="79"/>
      <c r="T4" s="79"/>
    </row>
    <row r="5" spans="1:20" ht="18" customHeight="1">
      <c r="A5" s="79"/>
      <c r="B5" s="115" t="s">
        <v>1085</v>
      </c>
      <c r="C5" s="1607" t="s">
        <v>727</v>
      </c>
      <c r="D5" s="1652">
        <f>I1/1000-1</f>
        <v>0.19999999999999996</v>
      </c>
      <c r="E5" s="1652">
        <f>K1/1000-1</f>
        <v>0.5</v>
      </c>
      <c r="F5" s="2552"/>
      <c r="G5" s="2555"/>
      <c r="H5" s="2558"/>
      <c r="I5" s="79"/>
      <c r="J5" s="79"/>
      <c r="K5" s="79"/>
      <c r="L5" s="79"/>
      <c r="M5" s="79"/>
      <c r="N5" s="79"/>
      <c r="O5" s="79"/>
      <c r="P5" s="79"/>
      <c r="Q5" s="79"/>
      <c r="R5" s="79"/>
      <c r="S5" s="79"/>
      <c r="T5" s="79"/>
    </row>
    <row r="6" spans="1:20" ht="18" customHeight="1">
      <c r="A6" s="79"/>
      <c r="B6" s="1836" t="s">
        <v>1228</v>
      </c>
      <c r="C6" s="1837" t="s">
        <v>727</v>
      </c>
      <c r="D6" s="1838" t="s">
        <v>1230</v>
      </c>
      <c r="E6" s="1838" t="s">
        <v>1229</v>
      </c>
      <c r="F6" s="2552"/>
      <c r="G6" s="2555"/>
      <c r="H6" s="2558"/>
      <c r="I6" s="79"/>
      <c r="J6" s="79"/>
      <c r="K6" s="79"/>
      <c r="L6" s="79"/>
      <c r="M6" s="79"/>
      <c r="N6" s="79"/>
      <c r="O6" s="79"/>
      <c r="P6" s="79"/>
      <c r="Q6" s="79"/>
      <c r="R6" s="79"/>
      <c r="S6" s="79"/>
      <c r="T6" s="79"/>
    </row>
    <row r="7" spans="1:20" ht="18" customHeight="1" thickBot="1">
      <c r="A7" s="79"/>
      <c r="B7" s="116" t="s">
        <v>1087</v>
      </c>
      <c r="C7" s="1653" t="str">
        <f>"After "&amp;(C4+C5+C6)&amp;" 年"</f>
        <v>After 9 年</v>
      </c>
      <c r="D7" s="1654">
        <f>J1/1000-1</f>
        <v>3.0000000000000027E-2</v>
      </c>
      <c r="E7" s="1843">
        <v>0.15</v>
      </c>
      <c r="F7" s="2553"/>
      <c r="G7" s="2556"/>
      <c r="H7" s="2559"/>
      <c r="I7" s="79"/>
      <c r="J7" s="79"/>
      <c r="K7" s="79"/>
      <c r="L7" s="79"/>
      <c r="M7" s="79"/>
      <c r="N7" s="79"/>
      <c r="O7" s="79"/>
      <c r="P7" s="79"/>
      <c r="Q7" s="79"/>
      <c r="R7" s="79"/>
      <c r="S7" s="79"/>
      <c r="T7" s="79"/>
    </row>
    <row r="8" spans="1:20" ht="18" customHeight="1">
      <c r="A8" s="79"/>
      <c r="B8" s="1839" t="s">
        <v>1232</v>
      </c>
      <c r="C8" s="1840"/>
      <c r="D8" s="1839"/>
      <c r="E8" s="1839"/>
      <c r="F8" s="79"/>
      <c r="G8" s="79"/>
      <c r="H8" s="79"/>
      <c r="I8" s="79"/>
      <c r="J8" s="79"/>
      <c r="K8" s="79"/>
      <c r="L8" s="79"/>
      <c r="M8" s="79"/>
      <c r="N8" s="79"/>
      <c r="O8" s="79"/>
      <c r="P8" s="79"/>
      <c r="Q8" s="79"/>
      <c r="R8" s="79"/>
      <c r="S8" s="79"/>
      <c r="T8" s="79"/>
    </row>
    <row r="9" spans="1:20" ht="18" customHeight="1" thickBot="1">
      <c r="A9" s="79"/>
      <c r="B9" s="79"/>
      <c r="C9" s="79"/>
      <c r="D9" s="79"/>
      <c r="E9" s="79"/>
      <c r="F9" s="79"/>
      <c r="G9" s="79"/>
      <c r="H9" s="79"/>
      <c r="I9" s="79"/>
      <c r="J9" s="79"/>
      <c r="K9" s="79"/>
      <c r="L9" s="79"/>
      <c r="M9" s="79"/>
      <c r="N9" s="79"/>
      <c r="O9" s="79"/>
      <c r="P9" s="79"/>
      <c r="Q9" s="79"/>
      <c r="R9" s="79"/>
      <c r="S9" s="79"/>
      <c r="T9" s="79"/>
    </row>
    <row r="10" spans="1:20" ht="18" customHeight="1">
      <c r="A10" s="79"/>
      <c r="B10" s="2549" t="s">
        <v>756</v>
      </c>
      <c r="C10" s="2550"/>
      <c r="D10" s="212"/>
      <c r="E10" s="269">
        <f>(1+D5)/(1+资金成本!C12)</f>
        <v>1.1303011122162945</v>
      </c>
      <c r="F10" s="179">
        <f>E12+1</f>
        <v>2020</v>
      </c>
      <c r="G10" s="179">
        <f>E12+2</f>
        <v>2021</v>
      </c>
      <c r="H10" s="179">
        <f>E12+3</f>
        <v>2022</v>
      </c>
      <c r="I10" s="179">
        <f>H10+1</f>
        <v>2023</v>
      </c>
      <c r="J10" s="179">
        <f t="shared" ref="J10:K10" si="0">I10+1</f>
        <v>2024</v>
      </c>
      <c r="K10" s="179">
        <f t="shared" si="0"/>
        <v>2025</v>
      </c>
      <c r="L10" s="179">
        <f t="shared" ref="L10" si="1">K10+1</f>
        <v>2026</v>
      </c>
      <c r="M10" s="179">
        <f t="shared" ref="M10" si="2">L10+1</f>
        <v>2027</v>
      </c>
      <c r="N10" s="179">
        <f t="shared" ref="N10" si="3">M10+1</f>
        <v>2028</v>
      </c>
      <c r="O10" s="1868">
        <f t="shared" ref="O10" si="4">N10+1</f>
        <v>2029</v>
      </c>
    </row>
    <row r="11" spans="1:20" s="12" customFormat="1" ht="18" customHeight="1">
      <c r="A11" s="117"/>
      <c r="B11" s="1609" t="s">
        <v>757</v>
      </c>
      <c r="C11" s="1611" t="s">
        <v>732</v>
      </c>
      <c r="D11" s="1610"/>
      <c r="E11" s="1612"/>
      <c r="F11" s="1641" t="s">
        <v>1090</v>
      </c>
      <c r="G11" s="1610"/>
      <c r="H11" s="1610"/>
      <c r="I11" s="1641" t="s">
        <v>1091</v>
      </c>
      <c r="J11" s="1848"/>
      <c r="K11" s="1848"/>
      <c r="L11" s="1861" t="s">
        <v>1235</v>
      </c>
      <c r="M11" s="1610"/>
      <c r="N11" s="1610"/>
      <c r="O11" s="1863" t="s">
        <v>758</v>
      </c>
    </row>
    <row r="12" spans="1:20" s="12" customFormat="1" ht="18" customHeight="1">
      <c r="A12" s="117"/>
      <c r="B12" s="1613" t="s">
        <v>759</v>
      </c>
      <c r="C12" s="1509">
        <f>E12-2</f>
        <v>2017</v>
      </c>
      <c r="D12" s="1510">
        <f>E12-1</f>
        <v>2018</v>
      </c>
      <c r="E12" s="1655">
        <f>公司说明!$B$1</f>
        <v>2019</v>
      </c>
      <c r="F12" s="1509" t="str">
        <f t="shared" ref="F12:N12" si="5">F10&amp;"E"</f>
        <v>2020E</v>
      </c>
      <c r="G12" s="1510" t="str">
        <f t="shared" si="5"/>
        <v>2021E</v>
      </c>
      <c r="H12" s="1510" t="str">
        <f t="shared" si="5"/>
        <v>2022E</v>
      </c>
      <c r="I12" s="1509" t="str">
        <f t="shared" si="5"/>
        <v>2023E</v>
      </c>
      <c r="J12" s="1510" t="str">
        <f t="shared" si="5"/>
        <v>2024E</v>
      </c>
      <c r="K12" s="1510" t="str">
        <f t="shared" si="5"/>
        <v>2025E</v>
      </c>
      <c r="L12" s="1509" t="str">
        <f t="shared" si="5"/>
        <v>2026E</v>
      </c>
      <c r="M12" s="1510" t="str">
        <f t="shared" si="5"/>
        <v>2027E</v>
      </c>
      <c r="N12" s="1510" t="str">
        <f t="shared" si="5"/>
        <v>2028E</v>
      </c>
      <c r="O12" s="1864" t="str">
        <f t="shared" ref="O12" si="6">O10&amp;"E"</f>
        <v>2029E</v>
      </c>
    </row>
    <row r="13" spans="1:20" ht="18" customHeight="1">
      <c r="A13" s="79"/>
      <c r="B13" s="1656" t="s">
        <v>620</v>
      </c>
      <c r="C13" s="1614">
        <f>利润表!K32</f>
        <v>585.19201240999996</v>
      </c>
      <c r="D13" s="1615">
        <f>利润表!L32</f>
        <v>751.25749126999995</v>
      </c>
      <c r="E13" s="1616">
        <f>利润表!M32</f>
        <v>957.06279530999996</v>
      </c>
      <c r="F13" s="1857">
        <f ca="1">利润表!N32</f>
        <v>-1385.1762566433215</v>
      </c>
      <c r="G13" s="1657">
        <f ca="1">利润表!O32</f>
        <v>-1645.565048547644</v>
      </c>
      <c r="H13" s="1858">
        <f ca="1">利润表!P32</f>
        <v>-1636.00618991734</v>
      </c>
      <c r="I13" s="1617">
        <f ca="1">H13*(1+I15)</f>
        <v>-1963.2074279008079</v>
      </c>
      <c r="J13" s="1658">
        <f t="shared" ref="J13:K13" ca="1" si="7">I13*(1+J15)</f>
        <v>-2355.8489134809693</v>
      </c>
      <c r="K13" s="1658">
        <f t="shared" ca="1" si="7"/>
        <v>-2827.0186961771628</v>
      </c>
      <c r="L13" s="1617">
        <f t="shared" ref="L13" ca="1" si="8">K13*(1+L15)</f>
        <v>-3232.2247092958896</v>
      </c>
      <c r="M13" s="1658">
        <f t="shared" ref="M13" ca="1" si="9">L13*(1+M15)</f>
        <v>-3512.3508507682</v>
      </c>
      <c r="N13" s="1658">
        <f t="shared" ref="N13" ca="1" si="10">M13*(1+N15)</f>
        <v>-3617.7213762912461</v>
      </c>
      <c r="O13" s="1865">
        <f ca="1">N13*(1+O15)</f>
        <v>-3726.2530175799834</v>
      </c>
    </row>
    <row r="14" spans="1:20" s="162" customFormat="1" ht="18" customHeight="1">
      <c r="A14" s="161"/>
      <c r="B14" s="1656" t="s">
        <v>760</v>
      </c>
      <c r="C14" s="1659">
        <f>资产负债!K308</f>
        <v>0</v>
      </c>
      <c r="D14" s="1660">
        <f>资产负债!L308</f>
        <v>0</v>
      </c>
      <c r="E14" s="1661">
        <f>资产负债!M308</f>
        <v>0</v>
      </c>
      <c r="F14" s="1662">
        <f>资产负债!M308</f>
        <v>0</v>
      </c>
      <c r="G14" s="1663">
        <f>资产负债!N308</f>
        <v>0</v>
      </c>
      <c r="H14" s="1664">
        <f ca="1">1-(1+I15)/I17+1/H17+资产负债!O308</f>
        <v>2.4199678458849156</v>
      </c>
      <c r="I14" s="1665">
        <f ca="1">1-(1+J15)/J17+1/I17</f>
        <v>-403.00491500454893</v>
      </c>
      <c r="J14" s="1849">
        <f t="shared" ref="J14:K14" ca="1" si="11">1-(1+K15)/K17+1/J17</f>
        <v>333.58395387377931</v>
      </c>
      <c r="K14" s="1849">
        <f t="shared" ca="1" si="11"/>
        <v>1.7391304347825987E-2</v>
      </c>
      <c r="L14" s="1665">
        <f t="shared" ref="L14" ca="1" si="12">1-(1+M15)/M17+1/L17</f>
        <v>-0.4663043478260871</v>
      </c>
      <c r="M14" s="1849">
        <f t="shared" ref="M14" ca="1" si="13">1-(1+N15)/N17+1/M17</f>
        <v>-2.1166666666666663</v>
      </c>
      <c r="N14" s="1849">
        <f t="shared" ref="N14" ca="1" si="14">1-(1+O15)/O17+1/N17</f>
        <v>0.79999999999999893</v>
      </c>
      <c r="O14" s="1866">
        <f>1-O15/O17</f>
        <v>0.79999999999999982</v>
      </c>
    </row>
    <row r="15" spans="1:20" s="162" customFormat="1" ht="18" customHeight="1">
      <c r="A15" s="161"/>
      <c r="B15" s="1856" t="s">
        <v>1236</v>
      </c>
      <c r="C15" s="1659"/>
      <c r="D15" s="1660"/>
      <c r="E15" s="1661"/>
      <c r="F15" s="1662">
        <f ca="1">(F13-E13)/E13</f>
        <v>-2.4473201376453595</v>
      </c>
      <c r="G15" s="1663">
        <f t="shared" ref="G15:H15" ca="1" si="15">(G13-F13)/F13</f>
        <v>0.18798242509247096</v>
      </c>
      <c r="H15" s="1664">
        <f t="shared" ca="1" si="15"/>
        <v>-5.8088609980751381E-3</v>
      </c>
      <c r="I15" s="1665">
        <f>$D$5</f>
        <v>0.19999999999999996</v>
      </c>
      <c r="J15" s="1849">
        <f t="shared" ref="J15:K15" si="16">$D$5</f>
        <v>0.19999999999999996</v>
      </c>
      <c r="K15" s="1849">
        <f t="shared" si="16"/>
        <v>0.19999999999999996</v>
      </c>
      <c r="L15" s="1859">
        <f>K15-L16</f>
        <v>0.14333333333333331</v>
      </c>
      <c r="M15" s="1851">
        <f t="shared" ref="M15" si="17">L15-M16</f>
        <v>8.666666666666667E-2</v>
      </c>
      <c r="N15" s="1851">
        <f t="shared" ref="N15" si="18">M15-N16</f>
        <v>3.0000000000000027E-2</v>
      </c>
      <c r="O15" s="1866">
        <f>$D$7</f>
        <v>3.0000000000000027E-2</v>
      </c>
    </row>
    <row r="16" spans="1:20" s="162" customFormat="1" ht="18" customHeight="1">
      <c r="A16" s="161"/>
      <c r="B16" s="1656" t="s">
        <v>1237</v>
      </c>
      <c r="C16" s="1659"/>
      <c r="D16" s="1660"/>
      <c r="E16" s="1661"/>
      <c r="F16" s="1662"/>
      <c r="G16" s="1663"/>
      <c r="H16" s="1664"/>
      <c r="I16" s="1665">
        <f ca="1">H15-I15</f>
        <v>-0.2058088609980751</v>
      </c>
      <c r="J16" s="1849">
        <f>0%</f>
        <v>0</v>
      </c>
      <c r="K16" s="1849">
        <f>0%</f>
        <v>0</v>
      </c>
      <c r="L16" s="1859">
        <f>($D$5-$D$7)/($C$6)</f>
        <v>5.6666666666666643E-2</v>
      </c>
      <c r="M16" s="1851">
        <f t="shared" ref="M16:N16" si="19">($D$5-$D$7)/($C$6)</f>
        <v>5.6666666666666643E-2</v>
      </c>
      <c r="N16" s="1851">
        <f t="shared" si="19"/>
        <v>5.6666666666666643E-2</v>
      </c>
      <c r="O16" s="1866">
        <v>0</v>
      </c>
    </row>
    <row r="17" spans="1:20" s="162" customFormat="1" ht="18" customHeight="1">
      <c r="A17" s="161"/>
      <c r="B17" s="1656" t="s">
        <v>1174</v>
      </c>
      <c r="C17" s="1659">
        <f>财务分析!E99</f>
        <v>0.11641233195385778</v>
      </c>
      <c r="D17" s="1660">
        <f>财务分析!F99</f>
        <v>0.1352669285414661</v>
      </c>
      <c r="E17" s="1661">
        <f>财务分析!G99</f>
        <v>0.1466766350136175</v>
      </c>
      <c r="F17" s="1662">
        <f ca="1">财务分析!H99</f>
        <v>-0.28083430300040552</v>
      </c>
      <c r="G17" s="1663">
        <f ca="1">财务分析!I99</f>
        <v>-0.50065927637330232</v>
      </c>
      <c r="H17" s="1664">
        <f ca="1">财务分析!J99</f>
        <v>-0.99104434715362388</v>
      </c>
      <c r="I17" s="1665">
        <f ca="1">H17-I18</f>
        <v>-0.49402956476908261</v>
      </c>
      <c r="J17" s="1849">
        <f t="shared" ref="J17:K17" ca="1" si="20">I17-J18</f>
        <v>2.9852176154586685E-3</v>
      </c>
      <c r="K17" s="1849">
        <f t="shared" ca="1" si="20"/>
        <v>0.49999999999999994</v>
      </c>
      <c r="L17" s="1859">
        <f ca="1">K17-L18</f>
        <v>0.3833333333333333</v>
      </c>
      <c r="M17" s="1851">
        <f t="shared" ref="M17" ca="1" si="21">L17-M18</f>
        <v>0.26666666666666666</v>
      </c>
      <c r="N17" s="1851">
        <f t="shared" ref="N17" ca="1" si="22">M17-N18</f>
        <v>0.15000000000000002</v>
      </c>
      <c r="O17" s="1866">
        <f>$E$7</f>
        <v>0.15</v>
      </c>
    </row>
    <row r="18" spans="1:20" s="162" customFormat="1" ht="18" customHeight="1">
      <c r="A18" s="161"/>
      <c r="B18" s="1656" t="s">
        <v>1238</v>
      </c>
      <c r="C18" s="1659"/>
      <c r="D18" s="1660"/>
      <c r="E18" s="1661"/>
      <c r="F18" s="1662"/>
      <c r="G18" s="1663"/>
      <c r="H18" s="1664"/>
      <c r="I18" s="1665">
        <f ca="1">($H$17-$E$5)/$C$5</f>
        <v>-0.49701478238454128</v>
      </c>
      <c r="J18" s="1849">
        <f t="shared" ref="J18:K18" ca="1" si="23">($H$17-$E$5)/$C$5</f>
        <v>-0.49701478238454128</v>
      </c>
      <c r="K18" s="1849">
        <f t="shared" ca="1" si="23"/>
        <v>-0.49701478238454128</v>
      </c>
      <c r="L18" s="1859">
        <f>($E$5-$E$7)/($C$6)</f>
        <v>0.11666666666666665</v>
      </c>
      <c r="M18" s="1851">
        <f t="shared" ref="M18:N18" si="24">($E$5-$E$7)/($C$6)</f>
        <v>0.11666666666666665</v>
      </c>
      <c r="N18" s="1851">
        <f t="shared" si="24"/>
        <v>0.11666666666666665</v>
      </c>
      <c r="O18" s="1866">
        <v>0</v>
      </c>
    </row>
    <row r="19" spans="1:20" ht="18" customHeight="1">
      <c r="A19" s="79"/>
      <c r="B19" s="1656" t="s">
        <v>761</v>
      </c>
      <c r="C19" s="1666">
        <f t="shared" ref="C19:N19" si="25">C13*C14</f>
        <v>0</v>
      </c>
      <c r="D19" s="1667">
        <f t="shared" si="25"/>
        <v>0</v>
      </c>
      <c r="E19" s="1668">
        <f t="shared" si="25"/>
        <v>0</v>
      </c>
      <c r="F19" s="1617">
        <f>资产负债!N307</f>
        <v>0</v>
      </c>
      <c r="G19" s="1658">
        <f ca="1">资产负债!O307</f>
        <v>0</v>
      </c>
      <c r="H19" s="1618">
        <f ca="1">资产负债!O308*DDM!G13+DDM!H13*(1-(1+I15)/I17+1/H17)</f>
        <v>-3959.0823752686533</v>
      </c>
      <c r="I19" s="1617">
        <f t="shared" ca="1" si="25"/>
        <v>791182.24261746428</v>
      </c>
      <c r="J19" s="1658">
        <f t="shared" ca="1" si="25"/>
        <v>-785873.39528822876</v>
      </c>
      <c r="K19" s="1658">
        <f t="shared" ca="1" si="25"/>
        <v>-49.165542542211242</v>
      </c>
      <c r="L19" s="1617">
        <f t="shared" ca="1" si="25"/>
        <v>1507.2004350955838</v>
      </c>
      <c r="M19" s="1658">
        <f t="shared" ca="1" si="25"/>
        <v>7434.4759674593552</v>
      </c>
      <c r="N19" s="1658">
        <f t="shared" ca="1" si="25"/>
        <v>-2894.1771010329931</v>
      </c>
      <c r="O19" s="1865">
        <f t="shared" ref="O19" ca="1" si="26">O13*O14</f>
        <v>-2981.0024140639862</v>
      </c>
    </row>
    <row r="20" spans="1:20" ht="18" customHeight="1">
      <c r="A20" s="79"/>
      <c r="B20" s="1669" t="s">
        <v>734</v>
      </c>
      <c r="C20" s="1670" t="s">
        <v>726</v>
      </c>
      <c r="D20" s="1671" t="s">
        <v>726</v>
      </c>
      <c r="E20" s="1672" t="s">
        <v>726</v>
      </c>
      <c r="F20" s="1619">
        <f>F19/(1+$F$4)^(F10-$E$12-1+$H$4/12)</f>
        <v>0</v>
      </c>
      <c r="G20" s="1620">
        <f t="shared" ref="G20" ca="1" si="27">G19/(1+$F$4)^(G10-$E$12-1+$H$4/12)</f>
        <v>0</v>
      </c>
      <c r="H20" s="1621">
        <f ca="1">资产负债!O308*DDM!G13/(1+$F$4)^(H10-$E$12-1+$H$4/12)+DDM!H13*(1-(1+I15)/I17+1/H17)/(1+$F$4)^(H10-$E$12+$H$4/12)</f>
        <v>-3227.0471445002527</v>
      </c>
      <c r="I20" s="1619">
        <f ca="1">I19/(1+$F$4)^(I10-$E$12+$H$4/12)</f>
        <v>607435.55982435099</v>
      </c>
      <c r="J20" s="1620">
        <f t="shared" ref="J20:N20" ca="1" si="28">J19/(1+$F$4)^(J10-$E$12+$H$4/12)</f>
        <v>-568315.07529673621</v>
      </c>
      <c r="K20" s="1620">
        <f t="shared" ca="1" si="28"/>
        <v>-33.489628869714849</v>
      </c>
      <c r="L20" s="1619">
        <f t="shared" ca="1" si="28"/>
        <v>967.01546253726076</v>
      </c>
      <c r="M20" s="1620">
        <f t="shared" ca="1" si="28"/>
        <v>4492.8888892716877</v>
      </c>
      <c r="N20" s="1620">
        <f t="shared" ca="1" si="28"/>
        <v>-1647.4541190129937</v>
      </c>
      <c r="O20" s="1867"/>
    </row>
    <row r="21" spans="1:20" ht="18" customHeight="1">
      <c r="A21" s="79"/>
      <c r="B21" s="1673" t="s">
        <v>754</v>
      </c>
      <c r="C21" s="1674"/>
      <c r="D21" s="1675"/>
      <c r="E21" s="1676"/>
      <c r="F21" s="1677">
        <f ca="1">SUM(F20:H20)</f>
        <v>-3227.0471445002527</v>
      </c>
      <c r="G21" s="1678"/>
      <c r="H21" s="1678"/>
      <c r="I21" s="1679">
        <f ca="1">SUM(I20:K20)</f>
        <v>39086.99489874507</v>
      </c>
      <c r="J21" s="1850"/>
      <c r="K21" s="1850"/>
      <c r="L21" s="1862">
        <f ca="1">SUM(L20:N20)</f>
        <v>3812.4502327959544</v>
      </c>
      <c r="M21" s="1852"/>
      <c r="N21" s="1852"/>
      <c r="O21" s="1853">
        <f ca="1">O19/($F$4-$D$7)*1/(1+$F$4)^(O10-$E$12-1+$H$4/12)</f>
        <v>-53590.125776382862</v>
      </c>
    </row>
    <row r="22" spans="1:20" ht="18" customHeight="1">
      <c r="A22" s="79"/>
      <c r="B22" s="1656" t="s">
        <v>742</v>
      </c>
      <c r="C22" s="1680"/>
      <c r="D22" s="1681"/>
      <c r="E22" s="1682"/>
      <c r="F22" s="1683">
        <f ca="1">SUM(F21:O21)</f>
        <v>-13917.727789342091</v>
      </c>
      <c r="G22" s="1684"/>
      <c r="H22" s="1684"/>
      <c r="I22" s="1685"/>
      <c r="J22" s="1684"/>
      <c r="K22" s="1684"/>
      <c r="L22" s="1685"/>
      <c r="M22" s="1684"/>
      <c r="N22" s="1684"/>
      <c r="O22" s="1854"/>
    </row>
    <row r="23" spans="1:20" ht="17.100000000000001" customHeight="1">
      <c r="A23" s="79"/>
      <c r="B23" s="2268" t="s">
        <v>743</v>
      </c>
      <c r="C23" s="2269"/>
      <c r="D23" s="2270"/>
      <c r="E23" s="2271"/>
      <c r="F23" s="2272">
        <f>公司说明!C6</f>
        <v>522.6</v>
      </c>
      <c r="G23" s="2273"/>
      <c r="H23" s="2273"/>
      <c r="I23" s="2274"/>
      <c r="J23" s="2273"/>
      <c r="K23" s="2273"/>
      <c r="L23" s="2274"/>
      <c r="M23" s="2273"/>
      <c r="N23" s="2273"/>
      <c r="O23" s="2275"/>
    </row>
    <row r="24" spans="1:20" ht="17.100000000000001" customHeight="1" thickBot="1">
      <c r="A24" s="79"/>
      <c r="B24" s="118" t="str">
        <f>"每股价值（"&amp;E12&amp;"年末）"</f>
        <v>每股价值（2019年末）</v>
      </c>
      <c r="C24" s="2266"/>
      <c r="D24" s="2266"/>
      <c r="E24" s="2267"/>
      <c r="F24" s="1686">
        <f ca="1">F22/F23</f>
        <v>-26.631702620248927</v>
      </c>
      <c r="G24" s="119"/>
      <c r="H24" s="119"/>
      <c r="I24" s="120"/>
      <c r="J24" s="119"/>
      <c r="K24" s="119"/>
      <c r="L24" s="120"/>
      <c r="M24" s="119"/>
      <c r="N24" s="119"/>
      <c r="O24" s="1855"/>
    </row>
    <row r="25" spans="1:20" ht="17.100000000000001" customHeight="1" thickBot="1">
      <c r="A25" s="79"/>
      <c r="B25" s="118" t="str">
        <f ca="1">"最新每股价值 " &amp; TEXT(G4, "yyyy/m/d")</f>
        <v>最新每股价值 2020/4/9</v>
      </c>
      <c r="C25" s="2266"/>
      <c r="D25" s="2266"/>
      <c r="E25" s="2267"/>
      <c r="F25" s="1686">
        <f ca="1">F24*(1+资金成本!$C$12)^((_xlfn.DAYS(G4,DATE(YEAR(G4),1,1))+1)/365)</f>
        <v>-27.071896666837354</v>
      </c>
      <c r="G25" s="119"/>
      <c r="H25" s="119"/>
      <c r="I25" s="120"/>
      <c r="J25" s="119"/>
      <c r="K25" s="119"/>
      <c r="L25" s="120"/>
      <c r="M25" s="119"/>
      <c r="N25" s="119"/>
      <c r="O25" s="1855"/>
    </row>
    <row r="26" spans="1:20" ht="17.100000000000001" customHeight="1" thickBot="1">
      <c r="A26" s="79"/>
      <c r="B26" s="79"/>
      <c r="C26" s="79"/>
      <c r="D26" s="79"/>
      <c r="E26" s="79"/>
      <c r="F26" s="79"/>
      <c r="G26" s="79"/>
      <c r="H26" s="79"/>
      <c r="I26" s="79"/>
      <c r="J26" s="79"/>
      <c r="K26" s="79"/>
      <c r="L26" s="79"/>
      <c r="M26" s="79"/>
      <c r="N26" s="79"/>
      <c r="O26" s="79"/>
      <c r="P26" s="79"/>
      <c r="Q26" s="79"/>
      <c r="R26" s="79"/>
      <c r="S26" s="79"/>
      <c r="T26" s="79"/>
    </row>
    <row r="27" spans="1:20" ht="18" customHeight="1">
      <c r="A27" s="79"/>
      <c r="B27" s="181" t="s">
        <v>762</v>
      </c>
      <c r="C27" s="181"/>
      <c r="D27" s="181"/>
      <c r="E27" s="181"/>
      <c r="F27" s="181"/>
      <c r="G27" s="181"/>
      <c r="H27" s="181"/>
      <c r="I27" s="181"/>
      <c r="J27" s="181"/>
      <c r="K27" s="182"/>
      <c r="L27" s="79"/>
      <c r="M27" s="79"/>
      <c r="N27" s="79"/>
      <c r="O27" s="79"/>
      <c r="P27" s="79"/>
      <c r="Q27" s="79"/>
      <c r="R27" s="79"/>
      <c r="S27" s="79"/>
      <c r="T27" s="79"/>
    </row>
    <row r="28" spans="1:20" ht="18" customHeight="1">
      <c r="A28" s="79"/>
      <c r="B28" s="26" t="s">
        <v>744</v>
      </c>
      <c r="C28" s="24"/>
      <c r="D28" s="22"/>
      <c r="E28" s="22"/>
      <c r="F28" s="22"/>
      <c r="G28" s="23"/>
      <c r="H28" s="25" t="s">
        <v>752</v>
      </c>
      <c r="I28" s="22"/>
      <c r="J28" s="22"/>
      <c r="K28" s="27"/>
      <c r="L28" s="79"/>
      <c r="M28" s="79"/>
      <c r="N28" s="79"/>
      <c r="O28" s="79"/>
      <c r="P28" s="79"/>
      <c r="Q28" s="79"/>
      <c r="R28" s="79"/>
      <c r="S28" s="79"/>
      <c r="T28" s="79"/>
    </row>
    <row r="29" spans="1:20" ht="18" customHeight="1">
      <c r="A29" s="79"/>
      <c r="B29" s="28"/>
      <c r="C29" s="1642">
        <f ca="1">F24</f>
        <v>-26.631702620248927</v>
      </c>
      <c r="D29" s="1596">
        <f>E29-0.5%</f>
        <v>9.999999999999995E-3</v>
      </c>
      <c r="E29" s="1596">
        <f>F29-0.5%</f>
        <v>1.4999999999999996E-2</v>
      </c>
      <c r="F29" s="1596">
        <f>G29-0.5%</f>
        <v>1.9999999999999997E-2</v>
      </c>
      <c r="G29" s="1596">
        <f>H29-0.5%</f>
        <v>2.4999999999999998E-2</v>
      </c>
      <c r="H29" s="1605">
        <v>0.03</v>
      </c>
      <c r="I29" s="1596">
        <f>H29+0.5%</f>
        <v>3.4999999999999996E-2</v>
      </c>
      <c r="J29" s="1596">
        <f>I29+0.5%</f>
        <v>3.9999999999999994E-2</v>
      </c>
      <c r="K29" s="1597">
        <f>J29+0.5%</f>
        <v>4.4999999999999991E-2</v>
      </c>
      <c r="L29" s="79"/>
      <c r="M29" s="79"/>
      <c r="N29" s="79"/>
      <c r="O29" s="79"/>
      <c r="P29" s="79"/>
      <c r="Q29" s="79"/>
      <c r="R29" s="79"/>
      <c r="S29" s="2265"/>
      <c r="T29" s="79"/>
    </row>
    <row r="30" spans="1:20" ht="18" customHeight="1">
      <c r="A30" s="79"/>
      <c r="B30" s="29"/>
      <c r="C30" s="1643">
        <f>C31-0.5%</f>
        <v>0.12059999999999998</v>
      </c>
      <c r="D30" s="1644">
        <f t="dataTable" ref="D30:K36" dt2D="1" dtr="0" r1="D7" r2="F4" ca="1"/>
        <v>83.340852951929833</v>
      </c>
      <c r="E30" s="1644">
        <v>83.072030835467274</v>
      </c>
      <c r="F30" s="1644">
        <v>82.777097415748585</v>
      </c>
      <c r="G30" s="1644">
        <v>82.451957003222788</v>
      </c>
      <c r="H30" s="1644">
        <v>82.091609782610277</v>
      </c>
      <c r="I30" s="1644">
        <v>81.689887757491391</v>
      </c>
      <c r="J30" s="1644">
        <v>81.239092411243064</v>
      </c>
      <c r="K30" s="1645">
        <v>80.729488582632911</v>
      </c>
      <c r="L30" s="79"/>
      <c r="M30" s="79"/>
      <c r="N30" s="79"/>
      <c r="O30" s="79"/>
      <c r="P30" s="79"/>
      <c r="Q30" s="79"/>
      <c r="R30" s="79"/>
      <c r="S30" s="79"/>
      <c r="T30" s="79"/>
    </row>
    <row r="31" spans="1:20" ht="18" customHeight="1">
      <c r="A31" s="79"/>
      <c r="B31" s="29"/>
      <c r="C31" s="1643">
        <f>C32-0.5%</f>
        <v>0.12559999999999999</v>
      </c>
      <c r="D31" s="1644">
        <v>86.402287260596253</v>
      </c>
      <c r="E31" s="1644">
        <v>86.202632177370759</v>
      </c>
      <c r="F31" s="1644">
        <v>85.984649486131815</v>
      </c>
      <c r="G31" s="1644">
        <v>85.745607654986543</v>
      </c>
      <c r="H31" s="1644">
        <v>85.482203701855269</v>
      </c>
      <c r="I31" s="1644">
        <v>85.19040550954135</v>
      </c>
      <c r="J31" s="1644">
        <v>84.86523887739105</v>
      </c>
      <c r="K31" s="1645">
        <v>84.500495311784377</v>
      </c>
      <c r="L31" s="79"/>
      <c r="M31" s="79"/>
      <c r="N31" s="79"/>
      <c r="O31" s="79"/>
      <c r="P31" s="79"/>
      <c r="Q31" s="79"/>
      <c r="R31" s="79"/>
      <c r="S31" s="79"/>
      <c r="T31" s="79"/>
    </row>
    <row r="32" spans="1:20" ht="18" customHeight="1">
      <c r="A32" s="79"/>
      <c r="B32" s="30" t="s">
        <v>763</v>
      </c>
      <c r="C32" s="1643">
        <f>C33-0.5%</f>
        <v>0.13059999999999999</v>
      </c>
      <c r="D32" s="1644">
        <v>89.181325726718967</v>
      </c>
      <c r="E32" s="1644">
        <v>89.038066499805865</v>
      </c>
      <c r="F32" s="1644">
        <v>88.882404389820067</v>
      </c>
      <c r="G32" s="1644">
        <v>88.71257878101558</v>
      </c>
      <c r="H32" s="1644">
        <v>88.526479034635429</v>
      </c>
      <c r="I32" s="1644">
        <v>88.321552955697157</v>
      </c>
      <c r="J32" s="1644">
        <v>88.094684950767558</v>
      </c>
      <c r="K32" s="1645">
        <v>87.842031484022428</v>
      </c>
      <c r="L32" s="79"/>
      <c r="M32" s="79"/>
      <c r="N32" s="79"/>
      <c r="O32" s="79"/>
      <c r="P32" s="79"/>
      <c r="Q32" s="79"/>
      <c r="R32" s="79"/>
      <c r="S32" s="79"/>
      <c r="T32" s="79"/>
    </row>
    <row r="33" spans="1:20" ht="18" customHeight="1">
      <c r="A33" s="79"/>
      <c r="B33" s="31">
        <f>资金成本!C12</f>
        <v>6.1663999999999997E-2</v>
      </c>
      <c r="C33" s="1650">
        <v>0.1356</v>
      </c>
      <c r="D33" s="1644">
        <v>91.70490942163903</v>
      </c>
      <c r="E33" s="1644">
        <v>91.607740797099481</v>
      </c>
      <c r="F33" s="1646">
        <v>91.502689616326222</v>
      </c>
      <c r="G33" s="1644">
        <v>91.388687922107522</v>
      </c>
      <c r="H33" s="1644">
        <v>91.264465492608409</v>
      </c>
      <c r="I33" s="1644">
        <v>91.128499576801914</v>
      </c>
      <c r="J33" s="1644">
        <v>90.978948856500708</v>
      </c>
      <c r="K33" s="1645">
        <v>90.813565541511394</v>
      </c>
      <c r="L33" s="79"/>
      <c r="M33" s="79"/>
      <c r="N33" s="79"/>
      <c r="O33" s="79"/>
      <c r="P33" s="79"/>
      <c r="Q33" s="79"/>
      <c r="R33" s="79"/>
      <c r="S33" s="79"/>
      <c r="T33" s="79"/>
    </row>
    <row r="34" spans="1:20" ht="18" customHeight="1">
      <c r="A34" s="79"/>
      <c r="B34" s="29"/>
      <c r="C34" s="1643">
        <f>C33+0.5%</f>
        <v>0.1406</v>
      </c>
      <c r="D34" s="1644">
        <v>93.996368572299446</v>
      </c>
      <c r="E34" s="1644">
        <v>93.936925028729718</v>
      </c>
      <c r="F34" s="1644">
        <v>93.873050410968972</v>
      </c>
      <c r="G34" s="1644">
        <v>93.804170809581663</v>
      </c>
      <c r="H34" s="1644">
        <v>93.729608534040821</v>
      </c>
      <c r="I34" s="1644">
        <v>93.648557543340885</v>
      </c>
      <c r="J34" s="1644">
        <v>93.560051549755443</v>
      </c>
      <c r="K34" s="1645">
        <v>93.462922113314178</v>
      </c>
      <c r="L34" s="79"/>
      <c r="M34" s="79"/>
      <c r="N34" s="79"/>
      <c r="O34" s="79"/>
      <c r="P34" s="79"/>
      <c r="Q34" s="79"/>
      <c r="R34" s="79"/>
      <c r="S34" s="79"/>
      <c r="T34" s="79"/>
    </row>
    <row r="35" spans="1:20" ht="18" customHeight="1">
      <c r="A35" s="79"/>
      <c r="B35" s="29"/>
      <c r="C35" s="1643">
        <f>C34+0.5%</f>
        <v>0.14560000000000001</v>
      </c>
      <c r="D35" s="1644">
        <v>96.076058253521097</v>
      </c>
      <c r="E35" s="1644">
        <v>96.047512423141157</v>
      </c>
      <c r="F35" s="1644">
        <v>96.01716830176953</v>
      </c>
      <c r="G35" s="1644">
        <v>95.984803232597301</v>
      </c>
      <c r="H35" s="1644">
        <v>95.950156036876351</v>
      </c>
      <c r="I35" s="1644">
        <v>95.912918306428537</v>
      </c>
      <c r="J35" s="1644">
        <v>95.872723222435908</v>
      </c>
      <c r="K35" s="1645">
        <v>95.829131039874113</v>
      </c>
      <c r="L35" s="79"/>
      <c r="M35" s="79"/>
      <c r="N35" s="79"/>
      <c r="O35" s="79"/>
      <c r="P35" s="79"/>
      <c r="Q35" s="79"/>
      <c r="R35" s="79"/>
      <c r="S35" s="79"/>
      <c r="T35" s="79"/>
    </row>
    <row r="36" spans="1:20" ht="18" customHeight="1" thickBot="1">
      <c r="A36" s="79"/>
      <c r="B36" s="32"/>
      <c r="C36" s="1647">
        <f>C35+0.5%</f>
        <v>0.15060000000000001</v>
      </c>
      <c r="D36" s="1648">
        <v>97.961860105215578</v>
      </c>
      <c r="E36" s="1648">
        <v>97.958613318555365</v>
      </c>
      <c r="F36" s="1648">
        <v>97.955570466923618</v>
      </c>
      <c r="G36" s="1648">
        <v>97.952756873784807</v>
      </c>
      <c r="H36" s="1648">
        <v>97.950202062182939</v>
      </c>
      <c r="I36" s="1648">
        <v>97.94794066295502</v>
      </c>
      <c r="J36" s="1648">
        <v>97.946013569295673</v>
      </c>
      <c r="K36" s="1649">
        <v>97.944469419322672</v>
      </c>
      <c r="L36" s="79"/>
      <c r="M36" s="79"/>
      <c r="N36" s="79"/>
      <c r="O36" s="79"/>
      <c r="P36" s="79"/>
      <c r="Q36" s="79"/>
      <c r="R36" s="79"/>
      <c r="S36" s="79"/>
      <c r="T36" s="79"/>
    </row>
    <row r="37" spans="1:20" ht="18" customHeight="1">
      <c r="A37" s="79"/>
      <c r="B37" s="14"/>
      <c r="C37" s="14"/>
      <c r="D37" s="14"/>
      <c r="E37" s="14"/>
      <c r="F37" s="14"/>
      <c r="G37" s="14"/>
      <c r="H37" s="14"/>
      <c r="I37" s="14"/>
      <c r="J37" s="14"/>
      <c r="K37" s="14"/>
      <c r="L37" s="79"/>
      <c r="M37" s="79"/>
      <c r="N37" s="79"/>
      <c r="O37" s="79"/>
      <c r="P37" s="79"/>
      <c r="Q37" s="79"/>
      <c r="R37" s="79"/>
      <c r="S37" s="79"/>
      <c r="T37" s="79"/>
    </row>
  </sheetData>
  <mergeCells count="4">
    <mergeCell ref="B10:C10"/>
    <mergeCell ref="F4:F7"/>
    <mergeCell ref="G4:G7"/>
    <mergeCell ref="H4:H7"/>
  </mergeCells>
  <phoneticPr fontId="64" type="noConversion"/>
  <conditionalFormatting sqref="G4:G7">
    <cfRule type="cellIs" dxfId="0" priority="1" operator="notEqual">
      <formula>TODAY()</formula>
    </cfRule>
  </conditionalFormatting>
  <pageMargins left="0.25" right="0.25" top="0.75" bottom="0.75" header="0.3" footer="0.3"/>
  <pageSetup paperSize="8" scale="34" firstPageNumber="4294963191" fitToHeight="0" orientation="landscape" r:id="rId1"/>
  <headerFooter alignWithMargins="0"/>
  <drawing r:id="rId2"/>
  <legacyDrawing r:id="rId3"/>
  <controls>
    <mc:AlternateContent xmlns:mc="http://schemas.openxmlformats.org/markup-compatibility/2006">
      <mc:Choice Requires="x14">
        <control shapeId="20512" r:id="rId4" name="cbDDMYears22">
          <controlPr defaultSize="0" linkedCell="C6" r:id="rId5">
            <anchor moveWithCells="1">
              <from>
                <xdr:col>2</xdr:col>
                <xdr:colOff>9525</xdr:colOff>
                <xdr:row>5</xdr:row>
                <xdr:rowOff>9525</xdr:rowOff>
              </from>
              <to>
                <xdr:col>3</xdr:col>
                <xdr:colOff>0</xdr:colOff>
                <xdr:row>5</xdr:row>
                <xdr:rowOff>209550</xdr:rowOff>
              </to>
            </anchor>
          </controlPr>
        </control>
      </mc:Choice>
      <mc:Fallback>
        <control shapeId="20512" r:id="rId4" name="cbDDMYears22"/>
      </mc:Fallback>
    </mc:AlternateContent>
    <mc:AlternateContent xmlns:mc="http://schemas.openxmlformats.org/markup-compatibility/2006">
      <mc:Choice Requires="x14">
        <control shapeId="20505" r:id="rId6" name="SpinButton3">
          <controlPr defaultSize="0" linkedCell="I1" r:id="rId7">
            <anchor moveWithCells="1">
              <from>
                <xdr:col>3</xdr:col>
                <xdr:colOff>800100</xdr:colOff>
                <xdr:row>4</xdr:row>
                <xdr:rowOff>19050</xdr:rowOff>
              </from>
              <to>
                <xdr:col>3</xdr:col>
                <xdr:colOff>923925</xdr:colOff>
                <xdr:row>5</xdr:row>
                <xdr:rowOff>0</xdr:rowOff>
              </to>
            </anchor>
          </controlPr>
        </control>
      </mc:Choice>
      <mc:Fallback>
        <control shapeId="20505" r:id="rId6" name="SpinButton3"/>
      </mc:Fallback>
    </mc:AlternateContent>
    <mc:AlternateContent xmlns:mc="http://schemas.openxmlformats.org/markup-compatibility/2006">
      <mc:Choice Requires="x14">
        <control shapeId="20506" r:id="rId8" name="cbDDMYears21">
          <controlPr defaultSize="0" linkedCell="C5" r:id="rId9">
            <anchor moveWithCells="1">
              <from>
                <xdr:col>2</xdr:col>
                <xdr:colOff>9525</xdr:colOff>
                <xdr:row>4</xdr:row>
                <xdr:rowOff>9525</xdr:rowOff>
              </from>
              <to>
                <xdr:col>3</xdr:col>
                <xdr:colOff>0</xdr:colOff>
                <xdr:row>4</xdr:row>
                <xdr:rowOff>209550</xdr:rowOff>
              </to>
            </anchor>
          </controlPr>
        </control>
      </mc:Choice>
      <mc:Fallback>
        <control shapeId="20506" r:id="rId8" name="cbDDMYears21"/>
      </mc:Fallback>
    </mc:AlternateContent>
    <mc:AlternateContent xmlns:mc="http://schemas.openxmlformats.org/markup-compatibility/2006">
      <mc:Choice Requires="x14">
        <control shapeId="20508" r:id="rId10" name="SpinButton4">
          <controlPr defaultSize="0" linkedCell="J1" r:id="rId7">
            <anchor moveWithCells="1">
              <from>
                <xdr:col>3</xdr:col>
                <xdr:colOff>800100</xdr:colOff>
                <xdr:row>6</xdr:row>
                <xdr:rowOff>9525</xdr:rowOff>
              </from>
              <to>
                <xdr:col>3</xdr:col>
                <xdr:colOff>923925</xdr:colOff>
                <xdr:row>6</xdr:row>
                <xdr:rowOff>219075</xdr:rowOff>
              </to>
            </anchor>
          </controlPr>
        </control>
      </mc:Choice>
      <mc:Fallback>
        <control shapeId="20508" r:id="rId10" name="SpinButton4"/>
      </mc:Fallback>
    </mc:AlternateContent>
    <mc:AlternateContent xmlns:mc="http://schemas.openxmlformats.org/markup-compatibility/2006">
      <mc:Choice Requires="x14">
        <control shapeId="20510" r:id="rId11" name="SpinButton5">
          <controlPr defaultSize="0" linkedCell="K1" r:id="rId12">
            <anchor moveWithCells="1">
              <from>
                <xdr:col>4</xdr:col>
                <xdr:colOff>561975</xdr:colOff>
                <xdr:row>4</xdr:row>
                <xdr:rowOff>9525</xdr:rowOff>
              </from>
              <to>
                <xdr:col>5</xdr:col>
                <xdr:colOff>0</xdr:colOff>
                <xdr:row>5</xdr:row>
                <xdr:rowOff>0</xdr:rowOff>
              </to>
            </anchor>
          </controlPr>
        </control>
      </mc:Choice>
      <mc:Fallback>
        <control shapeId="20510" r:id="rId11" name="SpinButton5"/>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indexed="39"/>
  </sheetPr>
  <dimension ref="A1:AZ306"/>
  <sheetViews>
    <sheetView showGridLines="0" workbookViewId="0">
      <selection activeCell="F15" sqref="F15"/>
    </sheetView>
  </sheetViews>
  <sheetFormatPr defaultRowHeight="17.100000000000001" customHeight="1"/>
  <cols>
    <col min="1" max="1" width="2.375" style="9" customWidth="1"/>
    <col min="2" max="2" width="19.875" style="9" customWidth="1"/>
    <col min="3" max="3" width="10.125" style="9" customWidth="1"/>
    <col min="4" max="4" width="11.125" style="9" customWidth="1"/>
    <col min="5" max="5" width="12.5" style="9" customWidth="1"/>
    <col min="6" max="10" width="11.75" style="9" customWidth="1"/>
    <col min="11" max="11" width="9" style="9" bestFit="1"/>
    <col min="12" max="16384" width="9" style="9"/>
  </cols>
  <sheetData>
    <row r="1" spans="1:52" ht="12" customHeight="1">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row>
    <row r="2" spans="1:52" ht="17.100000000000001" customHeight="1">
      <c r="A2" s="79"/>
      <c r="B2" s="188" t="s">
        <v>764</v>
      </c>
      <c r="C2" s="189"/>
      <c r="D2" s="190"/>
      <c r="E2" s="191"/>
      <c r="F2" s="79"/>
      <c r="G2" s="79"/>
      <c r="H2" s="79"/>
      <c r="I2" s="79"/>
      <c r="J2" s="79"/>
      <c r="K2" s="79"/>
      <c r="L2" s="79"/>
      <c r="M2" s="79"/>
      <c r="N2" s="79"/>
      <c r="O2" s="79"/>
      <c r="P2" s="79"/>
      <c r="Q2" s="79"/>
      <c r="R2" s="79"/>
      <c r="S2" s="79"/>
      <c r="T2" s="79"/>
      <c r="U2" s="79"/>
      <c r="V2" s="79"/>
      <c r="W2" s="79"/>
      <c r="X2" s="79"/>
      <c r="Y2" s="79"/>
      <c r="Z2" s="79"/>
      <c r="AA2" s="79"/>
      <c r="AB2" s="79"/>
      <c r="AC2" s="79"/>
      <c r="AD2" s="79"/>
      <c r="AE2" s="79"/>
      <c r="AF2" s="79"/>
      <c r="AG2" s="79"/>
      <c r="AH2" s="79"/>
      <c r="AI2" s="79"/>
      <c r="AJ2" s="79"/>
      <c r="AK2" s="79"/>
      <c r="AL2" s="79"/>
      <c r="AM2" s="79"/>
      <c r="AN2" s="79"/>
      <c r="AO2" s="79"/>
      <c r="AP2" s="79"/>
      <c r="AQ2" s="79"/>
      <c r="AR2" s="79"/>
      <c r="AS2" s="79"/>
      <c r="AT2" s="79"/>
      <c r="AU2" s="79"/>
      <c r="AV2" s="79"/>
      <c r="AW2" s="79"/>
      <c r="AX2" s="79"/>
      <c r="AY2" s="79"/>
      <c r="AZ2" s="79"/>
    </row>
    <row r="3" spans="1:52" ht="17.100000000000001" customHeight="1">
      <c r="A3" s="79"/>
      <c r="B3" s="451" t="s">
        <v>765</v>
      </c>
      <c r="C3" s="280">
        <f>F3</f>
        <v>3.2000000000000001E-2</v>
      </c>
      <c r="D3" s="226" t="s">
        <v>766</v>
      </c>
      <c r="E3" s="227"/>
      <c r="F3" s="276">
        <f>IF(C5&lt;&gt;0,C5,C4)</f>
        <v>3.2000000000000001E-2</v>
      </c>
      <c r="G3" s="79"/>
      <c r="H3" s="79"/>
      <c r="I3" s="79"/>
      <c r="J3" s="79"/>
      <c r="K3" s="79"/>
      <c r="L3" s="79"/>
      <c r="M3" s="79"/>
      <c r="N3" s="79"/>
      <c r="O3" s="79"/>
      <c r="P3" s="79"/>
      <c r="Q3" s="79"/>
      <c r="R3" s="79"/>
      <c r="S3" s="79"/>
      <c r="T3" s="79"/>
      <c r="U3" s="79"/>
      <c r="V3" s="79"/>
      <c r="W3" s="79"/>
      <c r="X3" s="79"/>
      <c r="Y3" s="79"/>
      <c r="Z3" s="79"/>
      <c r="AA3" s="79"/>
      <c r="AB3" s="79"/>
      <c r="AC3" s="79"/>
      <c r="AD3" s="79"/>
      <c r="AE3" s="79"/>
      <c r="AF3" s="79"/>
      <c r="AG3" s="79"/>
      <c r="AH3" s="79"/>
      <c r="AI3" s="79"/>
      <c r="AJ3" s="79"/>
      <c r="AK3" s="79"/>
      <c r="AL3" s="79"/>
      <c r="AM3" s="79"/>
      <c r="AN3" s="79"/>
      <c r="AO3" s="79"/>
      <c r="AP3" s="79"/>
      <c r="AQ3" s="79"/>
      <c r="AR3" s="79"/>
      <c r="AS3" s="79"/>
      <c r="AT3" s="79"/>
      <c r="AU3" s="79"/>
      <c r="AV3" s="79"/>
      <c r="AW3" s="79"/>
      <c r="AX3" s="79"/>
      <c r="AY3" s="79"/>
      <c r="AZ3" s="79"/>
    </row>
    <row r="4" spans="1:52" ht="17.100000000000001" customHeight="1">
      <c r="A4" s="79"/>
      <c r="B4" s="451" t="s">
        <v>767</v>
      </c>
      <c r="C4" s="281">
        <v>3.2000000000000001E-2</v>
      </c>
      <c r="D4" s="235"/>
      <c r="E4" s="456"/>
      <c r="F4" s="79"/>
      <c r="G4" s="79"/>
      <c r="H4" s="79"/>
      <c r="I4" s="79"/>
      <c r="J4" s="79"/>
      <c r="K4" s="79"/>
      <c r="L4" s="79"/>
      <c r="M4" s="79"/>
      <c r="N4" s="79"/>
      <c r="O4" s="79"/>
      <c r="P4" s="79"/>
      <c r="Q4" s="79"/>
      <c r="R4" s="79"/>
      <c r="S4" s="79"/>
      <c r="T4" s="79"/>
      <c r="U4" s="79"/>
      <c r="V4" s="79"/>
      <c r="W4" s="79"/>
      <c r="X4" s="79"/>
      <c r="Y4" s="79"/>
      <c r="Z4" s="79"/>
      <c r="AA4" s="79"/>
      <c r="AB4" s="79"/>
      <c r="AC4" s="79"/>
      <c r="AD4" s="79"/>
      <c r="AE4" s="79"/>
      <c r="AF4" s="79"/>
      <c r="AG4" s="79"/>
      <c r="AH4" s="79"/>
      <c r="AI4" s="79"/>
      <c r="AJ4" s="79"/>
      <c r="AK4" s="79"/>
      <c r="AL4" s="79"/>
      <c r="AM4" s="79"/>
      <c r="AN4" s="79"/>
      <c r="AO4" s="79"/>
      <c r="AP4" s="79"/>
      <c r="AQ4" s="79"/>
      <c r="AR4" s="79"/>
      <c r="AS4" s="79"/>
      <c r="AT4" s="79"/>
      <c r="AU4" s="79"/>
      <c r="AV4" s="79"/>
      <c r="AW4" s="79"/>
      <c r="AX4" s="79"/>
      <c r="AY4" s="79"/>
      <c r="AZ4" s="79"/>
    </row>
    <row r="5" spans="1:52" ht="17.100000000000001" customHeight="1">
      <c r="A5" s="79"/>
      <c r="B5" s="451" t="s">
        <v>768</v>
      </c>
      <c r="C5" s="229"/>
      <c r="D5" s="235"/>
      <c r="E5" s="236"/>
      <c r="F5" s="79"/>
      <c r="G5" s="79"/>
      <c r="H5" s="79"/>
      <c r="I5" s="79"/>
      <c r="J5" s="79"/>
      <c r="K5" s="79"/>
      <c r="L5" s="79"/>
      <c r="M5" s="79"/>
      <c r="N5" s="79"/>
      <c r="O5" s="79"/>
      <c r="P5" s="79"/>
      <c r="Q5" s="79"/>
      <c r="R5" s="79"/>
      <c r="S5" s="79"/>
      <c r="T5" s="79"/>
      <c r="U5" s="79"/>
      <c r="V5" s="79"/>
      <c r="W5" s="79"/>
      <c r="X5" s="79"/>
      <c r="Y5" s="79"/>
      <c r="Z5" s="79"/>
      <c r="AA5" s="79"/>
      <c r="AB5" s="79"/>
      <c r="AC5" s="79"/>
      <c r="AD5" s="79"/>
      <c r="AE5" s="79"/>
      <c r="AF5" s="79"/>
      <c r="AG5" s="79"/>
      <c r="AH5" s="79"/>
      <c r="AI5" s="79"/>
      <c r="AJ5" s="79"/>
      <c r="AK5" s="79"/>
      <c r="AL5" s="79"/>
      <c r="AM5" s="79"/>
      <c r="AN5" s="79"/>
      <c r="AO5" s="79"/>
      <c r="AP5" s="79"/>
      <c r="AQ5" s="79"/>
      <c r="AR5" s="79"/>
      <c r="AS5" s="79"/>
      <c r="AT5" s="79"/>
      <c r="AU5" s="79"/>
      <c r="AV5" s="79"/>
      <c r="AW5" s="79"/>
      <c r="AX5" s="79"/>
      <c r="AY5" s="79"/>
      <c r="AZ5" s="79"/>
    </row>
    <row r="6" spans="1:52" ht="17.100000000000001" customHeight="1">
      <c r="A6" s="79"/>
      <c r="B6" s="101" t="s">
        <v>769</v>
      </c>
      <c r="C6" s="282">
        <f>F6</f>
        <v>2.8799999999999999E-2</v>
      </c>
      <c r="D6" s="228" t="s">
        <v>766</v>
      </c>
      <c r="E6" s="225"/>
      <c r="F6" s="276">
        <f>IF(C8&lt;&gt;0,C8,C7)</f>
        <v>2.8799999999999999E-2</v>
      </c>
      <c r="G6" s="79"/>
      <c r="H6" s="79"/>
      <c r="I6" s="79"/>
      <c r="J6" s="79"/>
      <c r="K6" s="79"/>
      <c r="L6" s="79"/>
      <c r="M6" s="79"/>
      <c r="N6" s="79"/>
      <c r="O6" s="79"/>
      <c r="P6" s="79"/>
      <c r="Q6" s="79"/>
      <c r="R6" s="79"/>
      <c r="S6" s="79"/>
      <c r="T6" s="79"/>
      <c r="U6" s="79"/>
      <c r="V6" s="79"/>
      <c r="W6" s="79"/>
      <c r="X6" s="79"/>
      <c r="Y6" s="79"/>
      <c r="Z6" s="79"/>
      <c r="AA6" s="79"/>
      <c r="AB6" s="79"/>
      <c r="AC6" s="79"/>
      <c r="AD6" s="79"/>
      <c r="AE6" s="79"/>
      <c r="AF6" s="79"/>
      <c r="AG6" s="79"/>
      <c r="AH6" s="79"/>
      <c r="AI6" s="79"/>
      <c r="AJ6" s="79"/>
      <c r="AK6" s="79"/>
      <c r="AL6" s="79"/>
      <c r="AM6" s="79"/>
      <c r="AN6" s="79"/>
      <c r="AO6" s="79"/>
      <c r="AP6" s="79"/>
      <c r="AQ6" s="79"/>
      <c r="AR6" s="79"/>
      <c r="AS6" s="79"/>
      <c r="AT6" s="79"/>
      <c r="AU6" s="79"/>
      <c r="AV6" s="79"/>
      <c r="AW6" s="79"/>
      <c r="AX6" s="79"/>
      <c r="AY6" s="79"/>
      <c r="AZ6" s="79"/>
    </row>
    <row r="7" spans="1:52" ht="17.100000000000001" customHeight="1">
      <c r="A7" s="79"/>
      <c r="B7" s="101" t="s">
        <v>770</v>
      </c>
      <c r="C7" s="281">
        <v>2.8799999999999999E-2</v>
      </c>
      <c r="D7" s="457"/>
      <c r="E7" s="456"/>
      <c r="F7" s="79"/>
      <c r="G7" s="79"/>
      <c r="H7" s="79"/>
      <c r="I7" s="79"/>
      <c r="J7" s="79"/>
      <c r="K7" s="79"/>
      <c r="L7" s="79"/>
      <c r="M7" s="79"/>
      <c r="N7" s="79"/>
      <c r="O7" s="79"/>
      <c r="P7" s="79"/>
      <c r="Q7" s="79"/>
      <c r="R7" s="79"/>
      <c r="S7" s="79"/>
      <c r="T7" s="79"/>
      <c r="U7" s="79"/>
      <c r="V7" s="79"/>
      <c r="W7" s="79"/>
      <c r="X7" s="79"/>
      <c r="Y7" s="79"/>
      <c r="Z7" s="79"/>
      <c r="AA7" s="79"/>
      <c r="AB7" s="79"/>
      <c r="AC7" s="79"/>
      <c r="AD7" s="79"/>
      <c r="AE7" s="79"/>
      <c r="AF7" s="79"/>
      <c r="AG7" s="79"/>
      <c r="AH7" s="79"/>
      <c r="AI7" s="79"/>
      <c r="AJ7" s="79"/>
      <c r="AK7" s="79"/>
      <c r="AL7" s="79"/>
      <c r="AM7" s="79"/>
      <c r="AN7" s="79"/>
      <c r="AO7" s="79"/>
      <c r="AP7" s="79"/>
      <c r="AQ7" s="79"/>
      <c r="AR7" s="79"/>
      <c r="AS7" s="79"/>
      <c r="AT7" s="79"/>
      <c r="AU7" s="79"/>
      <c r="AV7" s="79"/>
      <c r="AW7" s="79"/>
      <c r="AX7" s="79"/>
      <c r="AY7" s="79"/>
      <c r="AZ7" s="79"/>
    </row>
    <row r="8" spans="1:52" ht="17.100000000000001" customHeight="1">
      <c r="A8" s="79"/>
      <c r="B8" s="101" t="s">
        <v>771</v>
      </c>
      <c r="C8" s="229"/>
      <c r="D8" s="235"/>
      <c r="E8" s="236"/>
      <c r="F8" s="79"/>
      <c r="G8" s="79"/>
      <c r="H8" s="79"/>
      <c r="I8" s="79"/>
      <c r="J8" s="79"/>
      <c r="K8" s="79"/>
      <c r="L8" s="79"/>
      <c r="M8" s="79"/>
      <c r="N8" s="79"/>
      <c r="O8" s="79"/>
      <c r="P8" s="79"/>
      <c r="Q8" s="79"/>
      <c r="R8" s="79"/>
      <c r="S8" s="79"/>
      <c r="T8" s="79"/>
      <c r="U8" s="79"/>
      <c r="V8" s="79"/>
      <c r="W8" s="79"/>
      <c r="X8" s="79"/>
      <c r="Y8" s="79"/>
      <c r="Z8" s="79"/>
      <c r="AA8" s="79"/>
      <c r="AB8" s="79"/>
      <c r="AC8" s="79"/>
      <c r="AD8" s="79"/>
      <c r="AE8" s="79"/>
      <c r="AF8" s="79"/>
      <c r="AG8" s="79"/>
      <c r="AH8" s="79"/>
      <c r="AI8" s="79"/>
      <c r="AJ8" s="79"/>
      <c r="AK8" s="79"/>
      <c r="AL8" s="79"/>
      <c r="AM8" s="79"/>
      <c r="AN8" s="79"/>
      <c r="AO8" s="79"/>
      <c r="AP8" s="79"/>
      <c r="AQ8" s="79"/>
      <c r="AR8" s="79"/>
      <c r="AS8" s="79"/>
      <c r="AT8" s="79"/>
      <c r="AU8" s="79"/>
      <c r="AV8" s="79"/>
      <c r="AW8" s="79"/>
      <c r="AX8" s="79"/>
      <c r="AY8" s="79"/>
      <c r="AZ8" s="79"/>
    </row>
    <row r="9" spans="1:52" ht="17.100000000000001" customHeight="1">
      <c r="A9" s="79"/>
      <c r="B9" s="452" t="s">
        <v>772</v>
      </c>
      <c r="C9" s="283">
        <f>F9</f>
        <v>1.03</v>
      </c>
      <c r="D9" s="235" t="s">
        <v>766</v>
      </c>
      <c r="E9" s="236"/>
      <c r="F9" s="276">
        <f>IF(C11&lt;&gt;0,C11,C10)</f>
        <v>1.03</v>
      </c>
      <c r="G9" s="79"/>
      <c r="H9" s="79"/>
      <c r="I9" s="79"/>
      <c r="J9" s="79"/>
      <c r="K9" s="79"/>
      <c r="L9" s="79"/>
      <c r="M9" s="79"/>
      <c r="N9" s="79"/>
      <c r="O9" s="79"/>
      <c r="P9" s="79"/>
      <c r="Q9" s="79"/>
      <c r="R9" s="79"/>
      <c r="S9" s="79"/>
      <c r="T9" s="79"/>
      <c r="U9" s="79"/>
      <c r="V9" s="79"/>
      <c r="W9" s="79"/>
      <c r="X9" s="79"/>
      <c r="Y9" s="79"/>
      <c r="Z9" s="79"/>
      <c r="AA9" s="79"/>
      <c r="AB9" s="79"/>
      <c r="AC9" s="79"/>
      <c r="AD9" s="79"/>
      <c r="AE9" s="79"/>
      <c r="AF9" s="79"/>
      <c r="AG9" s="79"/>
      <c r="AH9" s="79"/>
      <c r="AI9" s="79"/>
      <c r="AJ9" s="79"/>
      <c r="AK9" s="79"/>
      <c r="AL9" s="79"/>
      <c r="AM9" s="79"/>
      <c r="AN9" s="79"/>
      <c r="AO9" s="79"/>
      <c r="AP9" s="79"/>
      <c r="AQ9" s="79"/>
      <c r="AR9" s="79"/>
      <c r="AS9" s="79"/>
      <c r="AT9" s="79"/>
      <c r="AU9" s="79"/>
      <c r="AV9" s="79"/>
      <c r="AW9" s="79"/>
      <c r="AX9" s="79"/>
      <c r="AY9" s="79"/>
      <c r="AZ9" s="79"/>
    </row>
    <row r="10" spans="1:52" ht="17.100000000000001" customHeight="1">
      <c r="A10" s="79"/>
      <c r="B10" s="102" t="s">
        <v>773</v>
      </c>
      <c r="C10" s="284">
        <v>1.03</v>
      </c>
      <c r="D10" s="457"/>
      <c r="E10" s="463">
        <v>43921</v>
      </c>
      <c r="F10" s="286"/>
      <c r="G10" s="79"/>
      <c r="H10" s="79"/>
      <c r="I10" s="79"/>
      <c r="J10" s="285"/>
      <c r="K10" s="79"/>
      <c r="L10" s="79"/>
      <c r="M10" s="79"/>
      <c r="N10" s="79"/>
      <c r="O10" s="79"/>
      <c r="P10" s="79"/>
      <c r="Q10" s="79"/>
      <c r="R10" s="79"/>
      <c r="S10" s="79"/>
      <c r="T10" s="79"/>
      <c r="U10" s="79"/>
      <c r="V10" s="79"/>
      <c r="W10" s="79"/>
      <c r="X10" s="79"/>
      <c r="Y10" s="79"/>
      <c r="Z10" s="79"/>
      <c r="AA10" s="79"/>
      <c r="AB10" s="79"/>
      <c r="AC10" s="79"/>
      <c r="AD10" s="79"/>
      <c r="AE10" s="79"/>
      <c r="AF10" s="79"/>
      <c r="AG10" s="79"/>
      <c r="AH10" s="79"/>
      <c r="AI10" s="79"/>
      <c r="AJ10" s="79"/>
      <c r="AK10" s="79"/>
      <c r="AL10" s="79"/>
      <c r="AM10" s="79"/>
      <c r="AN10" s="79"/>
      <c r="AO10" s="79"/>
      <c r="AP10" s="79"/>
      <c r="AQ10" s="79"/>
      <c r="AR10" s="79"/>
      <c r="AS10" s="79"/>
      <c r="AT10" s="79"/>
      <c r="AU10" s="79"/>
      <c r="AV10" s="79"/>
      <c r="AW10" s="79"/>
      <c r="AX10" s="79"/>
      <c r="AY10" s="79"/>
      <c r="AZ10" s="79"/>
    </row>
    <row r="11" spans="1:52" ht="17.100000000000001" customHeight="1">
      <c r="A11" s="79"/>
      <c r="B11" s="102" t="s">
        <v>774</v>
      </c>
      <c r="C11" s="230"/>
      <c r="D11" s="237"/>
      <c r="E11" s="236"/>
      <c r="F11" s="286"/>
      <c r="G11" s="79"/>
      <c r="H11" s="79"/>
      <c r="I11" s="79"/>
      <c r="J11" s="79"/>
      <c r="K11" s="79"/>
      <c r="L11" s="79"/>
      <c r="M11" s="79"/>
      <c r="N11" s="79"/>
      <c r="O11" s="79"/>
      <c r="P11" s="79"/>
      <c r="Q11" s="79"/>
      <c r="R11" s="79"/>
      <c r="S11" s="79"/>
      <c r="T11" s="79"/>
      <c r="U11" s="79"/>
      <c r="V11" s="79"/>
      <c r="W11" s="79"/>
      <c r="X11" s="79"/>
      <c r="Y11" s="79"/>
      <c r="Z11" s="79"/>
      <c r="AA11" s="79"/>
      <c r="AB11" s="79"/>
      <c r="AC11" s="79"/>
      <c r="AD11" s="79"/>
      <c r="AE11" s="79"/>
      <c r="AF11" s="79"/>
      <c r="AG11" s="79"/>
      <c r="AH11" s="79"/>
      <c r="AI11" s="79"/>
      <c r="AJ11" s="79"/>
      <c r="AK11" s="79"/>
      <c r="AL11" s="79"/>
      <c r="AM11" s="79"/>
      <c r="AN11" s="79"/>
      <c r="AO11" s="79"/>
      <c r="AP11" s="79"/>
      <c r="AQ11" s="79"/>
      <c r="AR11" s="79"/>
      <c r="AS11" s="79"/>
      <c r="AT11" s="79"/>
      <c r="AU11" s="79"/>
      <c r="AV11" s="79"/>
      <c r="AW11" s="79"/>
      <c r="AX11" s="79"/>
      <c r="AY11" s="79"/>
      <c r="AZ11" s="79"/>
    </row>
    <row r="12" spans="1:52" ht="17.100000000000001" customHeight="1">
      <c r="A12" s="79"/>
      <c r="B12" s="103" t="s">
        <v>775</v>
      </c>
      <c r="C12" s="231">
        <f>C3+C9*C6</f>
        <v>6.1663999999999997E-2</v>
      </c>
      <c r="D12" s="237" t="s">
        <v>776</v>
      </c>
      <c r="E12" s="236"/>
      <c r="F12" s="79"/>
      <c r="G12" s="79"/>
      <c r="H12" s="79"/>
      <c r="I12" s="79"/>
      <c r="J12" s="79"/>
      <c r="K12" s="79"/>
      <c r="L12" s="79"/>
      <c r="M12" s="79"/>
      <c r="N12" s="79"/>
      <c r="O12" s="79"/>
      <c r="P12" s="79"/>
      <c r="Q12" s="79"/>
      <c r="R12" s="79"/>
      <c r="S12" s="79"/>
      <c r="T12" s="79"/>
      <c r="U12" s="79"/>
      <c r="V12" s="79"/>
      <c r="W12" s="79"/>
      <c r="X12" s="79"/>
      <c r="Y12" s="79"/>
      <c r="Z12" s="79"/>
      <c r="AA12" s="79"/>
      <c r="AB12" s="79"/>
      <c r="AC12" s="79"/>
      <c r="AD12" s="79"/>
      <c r="AE12" s="79"/>
      <c r="AF12" s="79"/>
      <c r="AG12" s="79"/>
      <c r="AH12" s="79"/>
      <c r="AI12" s="79"/>
      <c r="AJ12" s="79"/>
      <c r="AK12" s="79"/>
      <c r="AL12" s="79"/>
      <c r="AM12" s="79"/>
      <c r="AN12" s="79"/>
      <c r="AO12" s="79"/>
      <c r="AP12" s="79"/>
      <c r="AQ12" s="79"/>
      <c r="AR12" s="79"/>
      <c r="AS12" s="79"/>
      <c r="AT12" s="79"/>
      <c r="AU12" s="79"/>
      <c r="AV12" s="79"/>
      <c r="AW12" s="79"/>
      <c r="AX12" s="79"/>
      <c r="AY12" s="79"/>
      <c r="AZ12" s="79"/>
    </row>
    <row r="13" spans="1:52" ht="17.100000000000001" customHeight="1">
      <c r="A13" s="79"/>
      <c r="B13" s="101" t="s">
        <v>777</v>
      </c>
      <c r="C13" s="232">
        <v>0.05</v>
      </c>
      <c r="D13" s="235" t="s">
        <v>778</v>
      </c>
      <c r="E13" s="236"/>
      <c r="F13" s="79"/>
      <c r="G13" s="79"/>
      <c r="H13" s="79"/>
      <c r="I13" s="79"/>
      <c r="J13" s="79"/>
      <c r="K13" s="79"/>
      <c r="L13" s="79"/>
      <c r="M13" s="79"/>
      <c r="N13" s="79"/>
      <c r="O13" s="79"/>
      <c r="P13" s="79"/>
      <c r="Q13" s="79"/>
      <c r="R13" s="79"/>
      <c r="S13" s="79"/>
      <c r="T13" s="79"/>
      <c r="U13" s="79"/>
      <c r="V13" s="79"/>
      <c r="W13" s="79"/>
      <c r="X13" s="79"/>
      <c r="Y13" s="79"/>
      <c r="Z13" s="79"/>
      <c r="AA13" s="79"/>
      <c r="AB13" s="79"/>
      <c r="AC13" s="79"/>
      <c r="AD13" s="79"/>
      <c r="AE13" s="79"/>
      <c r="AF13" s="79"/>
      <c r="AG13" s="79"/>
      <c r="AH13" s="79"/>
      <c r="AI13" s="79"/>
      <c r="AJ13" s="79"/>
      <c r="AK13" s="79"/>
      <c r="AL13" s="79"/>
      <c r="AM13" s="79"/>
      <c r="AN13" s="79"/>
      <c r="AO13" s="79"/>
      <c r="AP13" s="79"/>
      <c r="AQ13" s="79"/>
      <c r="AR13" s="79"/>
      <c r="AS13" s="79"/>
      <c r="AT13" s="79"/>
      <c r="AU13" s="79"/>
      <c r="AV13" s="79"/>
      <c r="AW13" s="79"/>
      <c r="AX13" s="79"/>
      <c r="AY13" s="79"/>
      <c r="AZ13" s="79"/>
    </row>
    <row r="14" spans="1:52" ht="17.100000000000001" customHeight="1">
      <c r="A14" s="79"/>
      <c r="B14" s="101" t="s">
        <v>162</v>
      </c>
      <c r="C14" s="233">
        <v>0.25</v>
      </c>
      <c r="D14" s="235" t="s">
        <v>779</v>
      </c>
      <c r="E14" s="236"/>
      <c r="F14" s="79"/>
      <c r="G14" s="79"/>
      <c r="H14" s="79"/>
      <c r="I14" s="79"/>
      <c r="J14" s="79"/>
      <c r="K14" s="79"/>
      <c r="L14" s="79"/>
      <c r="M14" s="79"/>
      <c r="N14" s="79"/>
      <c r="O14" s="79"/>
      <c r="P14" s="79"/>
      <c r="Q14" s="79"/>
      <c r="R14" s="79"/>
      <c r="S14" s="79"/>
      <c r="T14" s="79"/>
      <c r="U14" s="79"/>
      <c r="V14" s="79"/>
      <c r="W14" s="79"/>
      <c r="X14" s="79"/>
      <c r="Y14" s="79"/>
      <c r="Z14" s="79"/>
      <c r="AA14" s="79"/>
      <c r="AB14" s="79"/>
      <c r="AC14" s="79"/>
      <c r="AD14" s="79"/>
      <c r="AE14" s="79"/>
      <c r="AF14" s="79"/>
      <c r="AG14" s="79"/>
      <c r="AH14" s="79"/>
      <c r="AI14" s="79"/>
      <c r="AJ14" s="79"/>
      <c r="AK14" s="79"/>
      <c r="AL14" s="79"/>
      <c r="AM14" s="79"/>
      <c r="AN14" s="79"/>
      <c r="AO14" s="79"/>
      <c r="AP14" s="79"/>
      <c r="AQ14" s="79"/>
      <c r="AR14" s="79"/>
      <c r="AS14" s="79"/>
      <c r="AT14" s="79"/>
      <c r="AU14" s="79"/>
      <c r="AV14" s="79"/>
      <c r="AW14" s="79"/>
      <c r="AX14" s="79"/>
      <c r="AY14" s="79"/>
      <c r="AZ14" s="79"/>
    </row>
    <row r="15" spans="1:52" ht="17.100000000000001" customHeight="1">
      <c r="A15" s="79"/>
      <c r="B15" s="451" t="s">
        <v>780</v>
      </c>
      <c r="C15" s="234">
        <v>0.25</v>
      </c>
      <c r="D15" s="235" t="s">
        <v>781</v>
      </c>
      <c r="E15" s="236"/>
      <c r="F15" s="79"/>
      <c r="G15" s="79"/>
      <c r="H15" s="79"/>
      <c r="I15" s="79"/>
      <c r="J15" s="79"/>
      <c r="K15" s="79"/>
      <c r="L15" s="79"/>
      <c r="M15" s="79"/>
      <c r="N15" s="79"/>
      <c r="O15" s="79"/>
      <c r="P15" s="79"/>
      <c r="Q15" s="79"/>
      <c r="R15" s="79"/>
      <c r="S15" s="79"/>
      <c r="T15" s="79"/>
      <c r="U15" s="79"/>
      <c r="V15" s="79"/>
      <c r="W15" s="79"/>
      <c r="X15" s="79"/>
      <c r="Y15" s="79"/>
      <c r="Z15" s="79"/>
      <c r="AA15" s="79"/>
      <c r="AB15" s="79"/>
      <c r="AC15" s="79"/>
      <c r="AD15" s="79"/>
      <c r="AE15" s="79"/>
      <c r="AF15" s="79"/>
      <c r="AG15" s="79"/>
      <c r="AH15" s="79"/>
      <c r="AI15" s="79"/>
      <c r="AJ15" s="79"/>
      <c r="AK15" s="79"/>
      <c r="AL15" s="79"/>
      <c r="AM15" s="79"/>
      <c r="AN15" s="79"/>
      <c r="AO15" s="79"/>
      <c r="AP15" s="79"/>
      <c r="AQ15" s="79"/>
      <c r="AR15" s="79"/>
      <c r="AS15" s="79"/>
      <c r="AT15" s="79"/>
      <c r="AU15" s="79"/>
      <c r="AV15" s="79"/>
      <c r="AW15" s="79"/>
      <c r="AX15" s="79"/>
      <c r="AY15" s="79"/>
      <c r="AZ15" s="79"/>
    </row>
    <row r="16" spans="1:52" ht="17.100000000000001" customHeight="1">
      <c r="A16" s="79"/>
      <c r="B16" s="104" t="s">
        <v>713</v>
      </c>
      <c r="C16" s="242">
        <f>C12*(1-C14)+C13*C14*(1-C15)</f>
        <v>5.5622999999999999E-2</v>
      </c>
      <c r="D16" s="238" t="s">
        <v>782</v>
      </c>
      <c r="E16" s="239"/>
      <c r="F16" s="79"/>
      <c r="G16" s="79"/>
      <c r="H16" s="79"/>
      <c r="I16" s="79"/>
      <c r="J16" s="79"/>
      <c r="K16" s="79"/>
      <c r="L16" s="79"/>
      <c r="M16" s="79"/>
      <c r="N16" s="79"/>
      <c r="O16" s="79"/>
      <c r="P16" s="79"/>
      <c r="Q16" s="79"/>
      <c r="R16" s="79"/>
      <c r="S16" s="79"/>
      <c r="T16" s="79"/>
      <c r="U16" s="79"/>
      <c r="V16" s="79"/>
      <c r="W16" s="79"/>
      <c r="X16" s="79"/>
      <c r="Y16" s="79"/>
      <c r="Z16" s="79"/>
      <c r="AA16" s="79"/>
      <c r="AB16" s="79"/>
      <c r="AC16" s="79"/>
      <c r="AD16" s="79"/>
      <c r="AE16" s="79"/>
      <c r="AF16" s="79"/>
      <c r="AG16" s="79"/>
      <c r="AH16" s="79"/>
      <c r="AI16" s="79"/>
      <c r="AJ16" s="79"/>
      <c r="AK16" s="79"/>
      <c r="AL16" s="79"/>
      <c r="AM16" s="79"/>
      <c r="AN16" s="79"/>
      <c r="AO16" s="79"/>
      <c r="AP16" s="79"/>
      <c r="AQ16" s="79"/>
      <c r="AR16" s="79"/>
      <c r="AS16" s="79"/>
      <c r="AT16" s="79"/>
      <c r="AU16" s="79"/>
      <c r="AV16" s="79"/>
      <c r="AW16" s="79"/>
      <c r="AX16" s="79"/>
      <c r="AY16" s="79"/>
      <c r="AZ16" s="79"/>
    </row>
    <row r="17" spans="1:52" ht="17.100000000000001" customHeight="1">
      <c r="A17" s="79"/>
      <c r="B17" s="79"/>
      <c r="C17" s="79" t="b">
        <v>1</v>
      </c>
      <c r="D17" s="79"/>
      <c r="E17" s="79"/>
      <c r="F17" s="79"/>
      <c r="G17" s="79"/>
      <c r="H17" s="79"/>
      <c r="I17" s="79"/>
      <c r="J17" s="79"/>
      <c r="K17" s="79"/>
      <c r="L17" s="79"/>
      <c r="M17" s="79"/>
      <c r="N17" s="79"/>
      <c r="O17" s="79"/>
      <c r="P17" s="79"/>
      <c r="Q17" s="79"/>
      <c r="R17" s="79"/>
      <c r="S17" s="79"/>
      <c r="T17" s="79"/>
      <c r="U17" s="79"/>
      <c r="V17" s="79"/>
      <c r="W17" s="79"/>
      <c r="X17" s="79"/>
      <c r="Y17" s="79"/>
      <c r="Z17" s="79"/>
      <c r="AA17" s="79"/>
      <c r="AB17" s="79"/>
      <c r="AC17" s="79"/>
      <c r="AD17" s="79"/>
      <c r="AE17" s="79"/>
      <c r="AF17" s="79"/>
      <c r="AG17" s="79"/>
      <c r="AH17" s="79"/>
      <c r="AI17" s="79"/>
      <c r="AJ17" s="79"/>
      <c r="AK17" s="79"/>
      <c r="AL17" s="79"/>
      <c r="AM17" s="79"/>
      <c r="AN17" s="79"/>
      <c r="AO17" s="79"/>
      <c r="AP17" s="79"/>
      <c r="AQ17" s="79"/>
      <c r="AR17" s="79"/>
      <c r="AS17" s="79"/>
      <c r="AT17" s="79"/>
      <c r="AU17" s="79"/>
      <c r="AV17" s="79"/>
      <c r="AW17" s="79"/>
      <c r="AX17" s="79"/>
      <c r="AY17" s="79"/>
      <c r="AZ17" s="79"/>
    </row>
    <row r="18" spans="1:52" ht="17.100000000000001" customHeight="1">
      <c r="A18" s="79"/>
      <c r="B18" s="79"/>
      <c r="C18" s="79"/>
      <c r="D18" s="79"/>
      <c r="E18" s="79"/>
      <c r="F18" s="79"/>
      <c r="G18" s="79"/>
      <c r="H18" s="79"/>
      <c r="I18" s="79"/>
      <c r="J18" s="79"/>
      <c r="K18" s="79"/>
      <c r="L18" s="79"/>
      <c r="M18" s="79"/>
      <c r="N18" s="79"/>
      <c r="O18" s="79"/>
      <c r="P18" s="79"/>
      <c r="Q18" s="79"/>
      <c r="R18" s="79"/>
      <c r="S18" s="79"/>
      <c r="T18" s="79"/>
      <c r="U18" s="79"/>
      <c r="V18" s="79"/>
      <c r="W18" s="79"/>
      <c r="X18" s="79"/>
      <c r="Y18" s="79"/>
      <c r="Z18" s="79"/>
      <c r="AA18" s="79"/>
      <c r="AB18" s="79"/>
      <c r="AC18" s="79"/>
      <c r="AD18" s="79"/>
      <c r="AE18" s="79"/>
      <c r="AF18" s="79"/>
      <c r="AG18" s="79"/>
      <c r="AH18" s="79"/>
      <c r="AI18" s="79"/>
      <c r="AJ18" s="79"/>
      <c r="AK18" s="79"/>
      <c r="AL18" s="79"/>
      <c r="AM18" s="79"/>
      <c r="AN18" s="79"/>
      <c r="AO18" s="79"/>
      <c r="AP18" s="79"/>
      <c r="AQ18" s="79"/>
      <c r="AR18" s="79"/>
      <c r="AS18" s="79"/>
      <c r="AT18" s="79"/>
      <c r="AU18" s="79"/>
      <c r="AV18" s="79"/>
      <c r="AW18" s="79"/>
      <c r="AX18" s="79"/>
      <c r="AY18" s="79"/>
      <c r="AZ18" s="79"/>
    </row>
    <row r="19" spans="1:52" ht="17.100000000000001" customHeight="1">
      <c r="A19" s="79"/>
      <c r="B19" s="173" t="s">
        <v>783</v>
      </c>
      <c r="C19" s="176"/>
      <c r="D19" s="176"/>
      <c r="E19" s="176"/>
      <c r="F19" s="176"/>
      <c r="G19" s="176"/>
      <c r="H19" s="177">
        <v>12</v>
      </c>
      <c r="I19" s="176"/>
      <c r="J19" s="178"/>
      <c r="K19" s="79"/>
      <c r="L19" s="79"/>
      <c r="M19" s="79"/>
      <c r="N19" s="79"/>
      <c r="O19" s="79"/>
      <c r="P19" s="79"/>
      <c r="Q19" s="79"/>
      <c r="R19" s="79"/>
      <c r="S19" s="79"/>
      <c r="T19" s="79"/>
      <c r="U19" s="79"/>
      <c r="V19" s="79"/>
      <c r="W19" s="79"/>
      <c r="X19" s="79"/>
      <c r="Y19" s="79"/>
      <c r="Z19" s="79"/>
      <c r="AA19" s="79"/>
      <c r="AB19" s="79"/>
      <c r="AC19" s="79"/>
      <c r="AD19" s="79"/>
      <c r="AE19" s="79"/>
      <c r="AF19" s="79"/>
      <c r="AG19" s="79"/>
      <c r="AH19" s="79"/>
      <c r="AI19" s="79"/>
      <c r="AJ19" s="79"/>
      <c r="AK19" s="79"/>
      <c r="AL19" s="79"/>
      <c r="AM19" s="79"/>
      <c r="AN19" s="79"/>
      <c r="AO19" s="79"/>
      <c r="AP19" s="79"/>
      <c r="AQ19" s="79"/>
      <c r="AR19" s="79"/>
      <c r="AS19" s="79"/>
      <c r="AT19" s="79"/>
      <c r="AU19" s="79"/>
      <c r="AV19" s="79"/>
      <c r="AW19" s="79"/>
      <c r="AX19" s="79"/>
      <c r="AY19" s="79"/>
      <c r="AZ19" s="79"/>
    </row>
    <row r="20" spans="1:52" ht="17.100000000000001" customHeight="1">
      <c r="A20" s="79"/>
      <c r="B20" s="152"/>
      <c r="C20" s="136">
        <f>资产负债!I3</f>
        <v>2015</v>
      </c>
      <c r="D20" s="136">
        <f>资产负债!J3</f>
        <v>2016</v>
      </c>
      <c r="E20" s="136">
        <f>资产负债!K3</f>
        <v>2017</v>
      </c>
      <c r="F20" s="136">
        <f>资产负债!L3</f>
        <v>2018</v>
      </c>
      <c r="G20" s="136">
        <f>资产负债!M3</f>
        <v>2019</v>
      </c>
      <c r="H20" s="136" t="str">
        <f>资产负债!N3</f>
        <v>2020E</v>
      </c>
      <c r="I20" s="136" t="str">
        <f>资产负债!O3</f>
        <v>2021E</v>
      </c>
      <c r="J20" s="153" t="str">
        <f>资产负债!P3</f>
        <v>2022E</v>
      </c>
      <c r="K20" s="92"/>
      <c r="L20" s="79"/>
      <c r="M20" s="79"/>
      <c r="N20" s="79"/>
      <c r="O20" s="79"/>
      <c r="P20" s="79"/>
      <c r="Q20" s="79"/>
      <c r="R20" s="79"/>
      <c r="S20" s="79"/>
      <c r="T20" s="79"/>
      <c r="U20" s="79"/>
      <c r="V20" s="79"/>
      <c r="W20" s="79"/>
      <c r="X20" s="79"/>
      <c r="Y20" s="79"/>
      <c r="Z20" s="79"/>
      <c r="AA20" s="79"/>
      <c r="AB20" s="79"/>
      <c r="AC20" s="79"/>
      <c r="AD20" s="79"/>
      <c r="AE20" s="79"/>
      <c r="AF20" s="79"/>
      <c r="AG20" s="79"/>
      <c r="AH20" s="79"/>
      <c r="AI20" s="79"/>
      <c r="AJ20" s="79"/>
      <c r="AK20" s="79"/>
      <c r="AL20" s="79"/>
      <c r="AM20" s="79"/>
      <c r="AN20" s="79"/>
      <c r="AO20" s="79"/>
      <c r="AP20" s="79"/>
      <c r="AQ20" s="79"/>
      <c r="AR20" s="79"/>
      <c r="AS20" s="79"/>
      <c r="AT20" s="79"/>
      <c r="AU20" s="79"/>
      <c r="AV20" s="79"/>
      <c r="AW20" s="79"/>
      <c r="AX20" s="79"/>
      <c r="AY20" s="79"/>
      <c r="AZ20" s="79"/>
    </row>
    <row r="21" spans="1:52" ht="17.100000000000001" customHeight="1">
      <c r="A21" s="79"/>
      <c r="B21" s="154" t="str">
        <f t="shared" ref="B21:J21" ca="1" si="0">OFFSET(B83,$H$19,0)</f>
        <v>付息债务/全部投入资本</v>
      </c>
      <c r="C21" s="155">
        <f t="shared" ca="1" si="0"/>
        <v>4.4512437087521452E-3</v>
      </c>
      <c r="D21" s="155">
        <f t="shared" ca="1" si="0"/>
        <v>3.4458097149617792E-3</v>
      </c>
      <c r="E21" s="155">
        <f t="shared" ca="1" si="0"/>
        <v>2.8544253757735679E-3</v>
      </c>
      <c r="F21" s="155">
        <f t="shared" ca="1" si="0"/>
        <v>5.4525486659287459E-3</v>
      </c>
      <c r="G21" s="155">
        <f t="shared" ca="1" si="0"/>
        <v>0.12517427347758567</v>
      </c>
      <c r="H21" s="156">
        <f t="shared" ca="1" si="0"/>
        <v>0.21092836154900188</v>
      </c>
      <c r="I21" s="156">
        <f t="shared" ca="1" si="0"/>
        <v>0.52919810007705159</v>
      </c>
      <c r="J21" s="157">
        <f t="shared" ca="1" si="0"/>
        <v>0.78163617664617413</v>
      </c>
      <c r="K21" s="125"/>
      <c r="L21" s="79"/>
      <c r="M21" s="79"/>
      <c r="N21" s="79"/>
      <c r="O21" s="79"/>
      <c r="P21" s="79"/>
      <c r="Q21" s="79"/>
      <c r="R21" s="79"/>
      <c r="S21" s="79"/>
      <c r="T21" s="79"/>
      <c r="U21" s="79"/>
      <c r="V21" s="79"/>
      <c r="W21" s="79"/>
      <c r="X21" s="79"/>
      <c r="Y21" s="79"/>
      <c r="Z21" s="79"/>
      <c r="AA21" s="79"/>
      <c r="AB21" s="79"/>
      <c r="AC21" s="79"/>
      <c r="AD21" s="79"/>
      <c r="AE21" s="79"/>
      <c r="AF21" s="79"/>
      <c r="AG21" s="79"/>
      <c r="AH21" s="79"/>
      <c r="AI21" s="79"/>
      <c r="AJ21" s="79"/>
      <c r="AK21" s="79"/>
      <c r="AL21" s="79"/>
      <c r="AM21" s="79"/>
      <c r="AN21" s="79"/>
      <c r="AO21" s="79"/>
      <c r="AP21" s="79"/>
      <c r="AQ21" s="79"/>
      <c r="AR21" s="79"/>
      <c r="AS21" s="79"/>
      <c r="AT21" s="79"/>
      <c r="AU21" s="79"/>
      <c r="AV21" s="79"/>
      <c r="AW21" s="79"/>
      <c r="AX21" s="79"/>
      <c r="AY21" s="79"/>
      <c r="AZ21" s="79"/>
    </row>
    <row r="22" spans="1:52" ht="17.100000000000001" customHeight="1">
      <c r="A22" s="79"/>
      <c r="B22" s="79"/>
      <c r="C22" s="79"/>
      <c r="D22" s="79"/>
      <c r="E22" s="79"/>
      <c r="F22" s="79"/>
      <c r="G22" s="79"/>
      <c r="H22" s="79"/>
      <c r="I22" s="79"/>
      <c r="J22" s="79"/>
      <c r="K22" s="92"/>
      <c r="L22" s="79"/>
      <c r="M22" s="79"/>
      <c r="N22" s="79"/>
      <c r="O22" s="79"/>
      <c r="P22" s="79"/>
      <c r="Q22" s="79"/>
      <c r="R22" s="79"/>
      <c r="S22" s="79"/>
      <c r="T22" s="79"/>
      <c r="U22" s="79"/>
      <c r="V22" s="79"/>
      <c r="W22" s="79"/>
      <c r="X22" s="79"/>
      <c r="Y22" s="79"/>
      <c r="Z22" s="79"/>
      <c r="AA22" s="79"/>
      <c r="AB22" s="79"/>
      <c r="AC22" s="79"/>
      <c r="AD22" s="79"/>
      <c r="AE22" s="79"/>
      <c r="AF22" s="79"/>
      <c r="AG22" s="79"/>
      <c r="AH22" s="79"/>
      <c r="AI22" s="79"/>
      <c r="AJ22" s="79"/>
      <c r="AK22" s="79"/>
      <c r="AL22" s="79"/>
      <c r="AM22" s="79"/>
      <c r="AN22" s="79"/>
      <c r="AO22" s="79"/>
      <c r="AP22" s="79"/>
      <c r="AQ22" s="79"/>
      <c r="AR22" s="79"/>
      <c r="AS22" s="79"/>
      <c r="AT22" s="79"/>
      <c r="AU22" s="79"/>
      <c r="AV22" s="79"/>
      <c r="AW22" s="79"/>
      <c r="AX22" s="79"/>
      <c r="AY22" s="79"/>
      <c r="AZ22" s="79"/>
    </row>
    <row r="23" spans="1:52" ht="17.100000000000001" customHeight="1">
      <c r="A23" s="79"/>
      <c r="B23" s="192" t="s">
        <v>784</v>
      </c>
      <c r="C23" s="176"/>
      <c r="D23" s="176"/>
      <c r="E23" s="176"/>
      <c r="F23" s="176"/>
      <c r="G23" s="178"/>
      <c r="H23" s="126"/>
      <c r="I23" s="126"/>
      <c r="J23" s="126"/>
      <c r="K23" s="79"/>
      <c r="L23" s="79"/>
      <c r="M23" s="79"/>
      <c r="N23" s="79"/>
      <c r="O23" s="79"/>
      <c r="P23" s="79"/>
      <c r="Q23" s="79"/>
      <c r="R23" s="79"/>
      <c r="S23" s="79"/>
      <c r="T23" s="79"/>
      <c r="U23" s="79"/>
      <c r="V23" s="79"/>
      <c r="W23" s="79"/>
      <c r="X23" s="79"/>
      <c r="Y23" s="79"/>
      <c r="Z23" s="79"/>
      <c r="AA23" s="79"/>
      <c r="AB23" s="79"/>
      <c r="AC23" s="79"/>
      <c r="AD23" s="79"/>
      <c r="AE23" s="79"/>
      <c r="AF23" s="79"/>
      <c r="AG23" s="79"/>
      <c r="AH23" s="79"/>
      <c r="AI23" s="79"/>
      <c r="AJ23" s="79"/>
      <c r="AK23" s="79"/>
      <c r="AL23" s="79"/>
      <c r="AM23" s="79"/>
      <c r="AN23" s="79"/>
      <c r="AO23" s="79"/>
      <c r="AP23" s="79"/>
      <c r="AQ23" s="79"/>
      <c r="AR23" s="79"/>
      <c r="AS23" s="79"/>
      <c r="AT23" s="79"/>
      <c r="AU23" s="79"/>
      <c r="AV23" s="79"/>
      <c r="AW23" s="79"/>
      <c r="AX23" s="79"/>
      <c r="AY23" s="79"/>
      <c r="AZ23" s="79"/>
    </row>
    <row r="24" spans="1:52" ht="17.100000000000001" customHeight="1">
      <c r="A24" s="79"/>
      <c r="B24" s="121" t="s">
        <v>785</v>
      </c>
      <c r="C24" s="92"/>
      <c r="D24" s="92"/>
      <c r="E24" s="92"/>
      <c r="F24" s="92"/>
      <c r="G24" s="93"/>
      <c r="H24" s="79"/>
      <c r="I24" s="79"/>
      <c r="J24" s="79"/>
      <c r="K24" s="79"/>
      <c r="L24" s="79"/>
      <c r="M24" s="79"/>
      <c r="N24" s="79"/>
      <c r="O24" s="79"/>
      <c r="P24" s="79"/>
      <c r="Q24" s="79"/>
      <c r="R24" s="79"/>
      <c r="S24" s="79"/>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c r="AX24" s="79"/>
      <c r="AY24" s="79"/>
      <c r="AZ24" s="79"/>
    </row>
    <row r="25" spans="1:52" ht="17.100000000000001" customHeight="1">
      <c r="A25" s="79"/>
      <c r="B25" s="133" t="s">
        <v>69</v>
      </c>
      <c r="C25" s="134" t="s">
        <v>68</v>
      </c>
      <c r="D25" s="135" t="s">
        <v>786</v>
      </c>
      <c r="E25" s="135" t="s">
        <v>162</v>
      </c>
      <c r="F25" s="135" t="s">
        <v>787</v>
      </c>
      <c r="G25" s="137" t="s">
        <v>788</v>
      </c>
      <c r="H25" s="79"/>
      <c r="I25" s="79"/>
      <c r="J25" s="79"/>
      <c r="K25" s="79"/>
      <c r="L25" s="79"/>
      <c r="M25" s="79"/>
      <c r="N25" s="79"/>
      <c r="O25" s="79"/>
      <c r="P25" s="79"/>
      <c r="Q25" s="79"/>
      <c r="R25" s="79"/>
      <c r="S25" s="79"/>
      <c r="T25" s="79"/>
      <c r="U25" s="79"/>
      <c r="V25" s="79"/>
      <c r="W25" s="79"/>
      <c r="X25" s="79"/>
      <c r="Y25" s="79"/>
      <c r="Z25" s="79"/>
      <c r="AA25" s="79"/>
      <c r="AB25" s="79"/>
      <c r="AC25" s="79"/>
      <c r="AD25" s="79"/>
      <c r="AE25" s="79"/>
      <c r="AF25" s="79"/>
      <c r="AG25" s="79"/>
      <c r="AH25" s="79"/>
      <c r="AI25" s="79"/>
      <c r="AJ25" s="79"/>
      <c r="AK25" s="79"/>
      <c r="AL25" s="79"/>
      <c r="AM25" s="79"/>
      <c r="AN25" s="79"/>
      <c r="AO25" s="79"/>
      <c r="AP25" s="79"/>
      <c r="AQ25" s="79"/>
      <c r="AR25" s="79"/>
      <c r="AS25" s="79"/>
      <c r="AT25" s="79"/>
      <c r="AU25" s="79"/>
      <c r="AV25" s="79"/>
      <c r="AW25" s="79"/>
      <c r="AX25" s="79"/>
      <c r="AY25" s="79"/>
      <c r="AZ25" s="79"/>
    </row>
    <row r="26" spans="1:52" ht="17.100000000000001" customHeight="1">
      <c r="A26" s="79"/>
      <c r="B26" s="138"/>
      <c r="C26" s="194" t="s">
        <v>1596</v>
      </c>
      <c r="D26" s="139"/>
      <c r="E26" s="140"/>
      <c r="F26" s="140"/>
      <c r="G26" s="141">
        <f>D26/(1+(1-F26)*E26/(1-E26))</f>
        <v>0</v>
      </c>
      <c r="H26" s="79"/>
      <c r="I26" s="79"/>
      <c r="J26" s="79"/>
      <c r="K26" s="79"/>
      <c r="L26" s="79"/>
      <c r="M26" s="79"/>
      <c r="N26" s="79"/>
      <c r="O26" s="79"/>
      <c r="P26" s="79"/>
      <c r="Q26" s="79"/>
      <c r="R26" s="79"/>
      <c r="S26" s="79"/>
      <c r="T26" s="79"/>
      <c r="U26" s="79"/>
      <c r="V26" s="79"/>
      <c r="W26" s="79"/>
      <c r="X26" s="79"/>
      <c r="Y26" s="79"/>
      <c r="Z26" s="79"/>
      <c r="AA26" s="79"/>
      <c r="AB26" s="79"/>
      <c r="AC26" s="79"/>
      <c r="AD26" s="79"/>
      <c r="AE26" s="79"/>
      <c r="AF26" s="79"/>
      <c r="AG26" s="79"/>
      <c r="AH26" s="79"/>
      <c r="AI26" s="79"/>
      <c r="AJ26" s="79"/>
      <c r="AK26" s="79"/>
      <c r="AL26" s="79"/>
      <c r="AM26" s="79"/>
      <c r="AN26" s="79"/>
      <c r="AO26" s="79"/>
      <c r="AP26" s="79"/>
      <c r="AQ26" s="79"/>
      <c r="AR26" s="79"/>
      <c r="AS26" s="79"/>
      <c r="AT26" s="79"/>
      <c r="AU26" s="79"/>
      <c r="AV26" s="79"/>
      <c r="AW26" s="79"/>
      <c r="AX26" s="79"/>
      <c r="AY26" s="79"/>
      <c r="AZ26" s="79"/>
    </row>
    <row r="27" spans="1:52" ht="17.100000000000001" customHeight="1">
      <c r="A27" s="79"/>
      <c r="B27" s="138"/>
      <c r="C27" s="194" t="s">
        <v>1596</v>
      </c>
      <c r="D27" s="139"/>
      <c r="E27" s="140"/>
      <c r="F27" s="140"/>
      <c r="G27" s="141">
        <f t="shared" ref="G27:G35" si="1">D27/(1+(1-F27)*E27/(1-E27))</f>
        <v>0</v>
      </c>
      <c r="H27" s="79"/>
      <c r="I27" s="79"/>
      <c r="J27" s="79"/>
      <c r="K27" s="79"/>
      <c r="L27" s="79"/>
      <c r="M27" s="79"/>
      <c r="N27" s="79"/>
      <c r="O27" s="79"/>
      <c r="P27" s="79"/>
      <c r="Q27" s="79"/>
      <c r="R27" s="79"/>
      <c r="S27" s="79"/>
      <c r="T27" s="79"/>
      <c r="U27" s="79"/>
      <c r="V27" s="79"/>
      <c r="W27" s="79"/>
      <c r="X27" s="79"/>
      <c r="Y27" s="79"/>
      <c r="Z27" s="79"/>
      <c r="AA27" s="79"/>
      <c r="AB27" s="79"/>
      <c r="AC27" s="79"/>
      <c r="AD27" s="79"/>
      <c r="AE27" s="79"/>
      <c r="AF27" s="79"/>
      <c r="AG27" s="79"/>
      <c r="AH27" s="79"/>
      <c r="AI27" s="79"/>
      <c r="AJ27" s="79"/>
      <c r="AK27" s="79"/>
      <c r="AL27" s="79"/>
      <c r="AM27" s="79"/>
      <c r="AN27" s="79"/>
      <c r="AO27" s="79"/>
      <c r="AP27" s="79"/>
      <c r="AQ27" s="79"/>
      <c r="AR27" s="79"/>
      <c r="AS27" s="79"/>
      <c r="AT27" s="79"/>
      <c r="AU27" s="79"/>
      <c r="AV27" s="79"/>
      <c r="AW27" s="79"/>
      <c r="AX27" s="79"/>
      <c r="AY27" s="79"/>
      <c r="AZ27" s="79"/>
    </row>
    <row r="28" spans="1:52" ht="17.100000000000001" customHeight="1">
      <c r="A28" s="79"/>
      <c r="B28" s="138"/>
      <c r="C28" s="194" t="s">
        <v>1596</v>
      </c>
      <c r="D28" s="139"/>
      <c r="E28" s="140"/>
      <c r="F28" s="140"/>
      <c r="G28" s="141">
        <f t="shared" si="1"/>
        <v>0</v>
      </c>
      <c r="H28" s="79"/>
      <c r="I28" s="79"/>
      <c r="J28" s="79"/>
      <c r="K28" s="79"/>
      <c r="L28" s="79"/>
      <c r="M28" s="79"/>
      <c r="N28" s="79"/>
      <c r="O28" s="79"/>
      <c r="P28" s="79"/>
      <c r="Q28" s="79"/>
      <c r="R28" s="79"/>
      <c r="S28" s="79"/>
      <c r="T28" s="79"/>
      <c r="U28" s="79"/>
      <c r="V28" s="79"/>
      <c r="W28" s="79"/>
      <c r="X28" s="79"/>
      <c r="Y28" s="79"/>
      <c r="Z28" s="79"/>
      <c r="AA28" s="79"/>
      <c r="AB28" s="79"/>
      <c r="AC28" s="79"/>
      <c r="AD28" s="79"/>
      <c r="AE28" s="79"/>
      <c r="AF28" s="79"/>
      <c r="AG28" s="79"/>
      <c r="AH28" s="79"/>
      <c r="AI28" s="79"/>
      <c r="AJ28" s="79"/>
      <c r="AK28" s="79"/>
      <c r="AL28" s="79"/>
      <c r="AM28" s="79"/>
      <c r="AN28" s="79"/>
      <c r="AO28" s="79"/>
      <c r="AP28" s="79"/>
      <c r="AQ28" s="79"/>
      <c r="AR28" s="79"/>
      <c r="AS28" s="79"/>
      <c r="AT28" s="79"/>
      <c r="AU28" s="79"/>
      <c r="AV28" s="79"/>
      <c r="AW28" s="79"/>
      <c r="AX28" s="79"/>
      <c r="AY28" s="79"/>
      <c r="AZ28" s="79"/>
    </row>
    <row r="29" spans="1:52" ht="17.100000000000001" customHeight="1">
      <c r="A29" s="79"/>
      <c r="B29" s="138"/>
      <c r="C29" s="194" t="s">
        <v>1596</v>
      </c>
      <c r="D29" s="139"/>
      <c r="E29" s="140"/>
      <c r="F29" s="140"/>
      <c r="G29" s="141">
        <f t="shared" si="1"/>
        <v>0</v>
      </c>
      <c r="H29" s="79"/>
      <c r="I29" s="79"/>
      <c r="J29" s="79"/>
      <c r="K29" s="79"/>
      <c r="L29" s="79"/>
      <c r="M29" s="79"/>
      <c r="N29" s="79"/>
      <c r="O29" s="79"/>
      <c r="P29" s="79"/>
      <c r="Q29" s="79"/>
      <c r="R29" s="79"/>
      <c r="S29" s="79"/>
      <c r="T29" s="79"/>
      <c r="U29" s="79"/>
      <c r="V29" s="79"/>
      <c r="W29" s="79"/>
      <c r="X29" s="79"/>
      <c r="Y29" s="79"/>
      <c r="Z29" s="79"/>
      <c r="AA29" s="79"/>
      <c r="AB29" s="79"/>
      <c r="AC29" s="79"/>
      <c r="AD29" s="79"/>
      <c r="AE29" s="79"/>
      <c r="AF29" s="79"/>
      <c r="AG29" s="79"/>
      <c r="AH29" s="79"/>
      <c r="AI29" s="79"/>
      <c r="AJ29" s="79"/>
      <c r="AK29" s="79"/>
      <c r="AL29" s="79"/>
      <c r="AM29" s="79"/>
      <c r="AN29" s="79"/>
      <c r="AO29" s="79"/>
      <c r="AP29" s="79"/>
      <c r="AQ29" s="79"/>
      <c r="AR29" s="79"/>
      <c r="AS29" s="79"/>
      <c r="AT29" s="79"/>
      <c r="AU29" s="79"/>
      <c r="AV29" s="79"/>
      <c r="AW29" s="79"/>
      <c r="AX29" s="79"/>
      <c r="AY29" s="79"/>
      <c r="AZ29" s="79"/>
    </row>
    <row r="30" spans="1:52" ht="17.100000000000001" customHeight="1">
      <c r="A30" s="79"/>
      <c r="B30" s="138"/>
      <c r="C30" s="194" t="s">
        <v>1596</v>
      </c>
      <c r="D30" s="139"/>
      <c r="E30" s="140"/>
      <c r="F30" s="140"/>
      <c r="G30" s="141">
        <f t="shared" si="1"/>
        <v>0</v>
      </c>
      <c r="H30" s="79"/>
      <c r="I30" s="79"/>
      <c r="J30" s="79"/>
      <c r="K30" s="79"/>
      <c r="L30" s="79"/>
      <c r="M30" s="79"/>
      <c r="N30" s="79"/>
      <c r="O30" s="79"/>
      <c r="P30" s="79"/>
      <c r="Q30" s="79"/>
      <c r="R30" s="79"/>
      <c r="S30" s="79"/>
      <c r="T30" s="79"/>
      <c r="U30" s="79"/>
      <c r="V30" s="79"/>
      <c r="W30" s="79"/>
      <c r="X30" s="79"/>
      <c r="Y30" s="79"/>
      <c r="Z30" s="79"/>
      <c r="AA30" s="79"/>
      <c r="AB30" s="79"/>
      <c r="AC30" s="79"/>
      <c r="AD30" s="79"/>
      <c r="AE30" s="79"/>
      <c r="AF30" s="79"/>
      <c r="AG30" s="79"/>
      <c r="AH30" s="79"/>
      <c r="AI30" s="79"/>
      <c r="AJ30" s="79"/>
      <c r="AK30" s="79"/>
      <c r="AL30" s="79"/>
      <c r="AM30" s="79"/>
      <c r="AN30" s="79"/>
      <c r="AO30" s="79"/>
      <c r="AP30" s="79"/>
      <c r="AQ30" s="79"/>
      <c r="AR30" s="79"/>
      <c r="AS30" s="79"/>
      <c r="AT30" s="79"/>
      <c r="AU30" s="79"/>
      <c r="AV30" s="79"/>
      <c r="AW30" s="79"/>
      <c r="AX30" s="79"/>
      <c r="AY30" s="79"/>
      <c r="AZ30" s="79"/>
    </row>
    <row r="31" spans="1:52" ht="17.100000000000001" customHeight="1">
      <c r="A31" s="79"/>
      <c r="B31" s="138"/>
      <c r="C31" s="194" t="s">
        <v>1596</v>
      </c>
      <c r="D31" s="139"/>
      <c r="E31" s="140"/>
      <c r="F31" s="140"/>
      <c r="G31" s="141">
        <f t="shared" si="1"/>
        <v>0</v>
      </c>
      <c r="H31" s="79"/>
      <c r="I31" s="79"/>
      <c r="J31" s="79"/>
      <c r="K31" s="79"/>
      <c r="L31" s="79"/>
      <c r="M31" s="79"/>
      <c r="N31" s="79"/>
      <c r="O31" s="79"/>
      <c r="P31" s="79"/>
      <c r="Q31" s="79"/>
      <c r="R31" s="79"/>
      <c r="S31" s="79"/>
      <c r="T31" s="79"/>
      <c r="U31" s="79"/>
      <c r="V31" s="79"/>
      <c r="W31" s="79"/>
      <c r="X31" s="79"/>
      <c r="Y31" s="79"/>
      <c r="Z31" s="79"/>
      <c r="AA31" s="79"/>
      <c r="AB31" s="79"/>
      <c r="AC31" s="79"/>
      <c r="AD31" s="79"/>
      <c r="AE31" s="79"/>
      <c r="AF31" s="79"/>
      <c r="AG31" s="79"/>
      <c r="AH31" s="79"/>
      <c r="AI31" s="79"/>
      <c r="AJ31" s="79"/>
      <c r="AK31" s="79"/>
      <c r="AL31" s="79"/>
      <c r="AM31" s="79"/>
      <c r="AN31" s="79"/>
      <c r="AO31" s="79"/>
      <c r="AP31" s="79"/>
      <c r="AQ31" s="79"/>
      <c r="AR31" s="79"/>
      <c r="AS31" s="79"/>
      <c r="AT31" s="79"/>
      <c r="AU31" s="79"/>
      <c r="AV31" s="79"/>
      <c r="AW31" s="79"/>
      <c r="AX31" s="79"/>
      <c r="AY31" s="79"/>
      <c r="AZ31" s="79"/>
    </row>
    <row r="32" spans="1:52" ht="17.100000000000001" customHeight="1">
      <c r="A32" s="79"/>
      <c r="B32" s="138"/>
      <c r="C32" s="194" t="s">
        <v>1596</v>
      </c>
      <c r="D32" s="139"/>
      <c r="E32" s="140"/>
      <c r="F32" s="140"/>
      <c r="G32" s="141">
        <f t="shared" si="1"/>
        <v>0</v>
      </c>
      <c r="H32" s="79"/>
      <c r="I32" s="79"/>
      <c r="J32" s="79"/>
      <c r="K32" s="79"/>
      <c r="L32" s="79"/>
      <c r="M32" s="79"/>
      <c r="N32" s="79"/>
      <c r="O32" s="79"/>
      <c r="P32" s="79"/>
      <c r="Q32" s="79"/>
      <c r="R32" s="79"/>
      <c r="S32" s="79"/>
      <c r="T32" s="79"/>
      <c r="U32" s="79"/>
      <c r="V32" s="79"/>
      <c r="W32" s="79"/>
      <c r="X32" s="79"/>
      <c r="Y32" s="79"/>
      <c r="Z32" s="79"/>
      <c r="AA32" s="79"/>
      <c r="AB32" s="79"/>
      <c r="AC32" s="79"/>
      <c r="AD32" s="79"/>
      <c r="AE32" s="79"/>
      <c r="AF32" s="79"/>
      <c r="AG32" s="79"/>
      <c r="AH32" s="79"/>
      <c r="AI32" s="79"/>
      <c r="AJ32" s="79"/>
      <c r="AK32" s="79"/>
      <c r="AL32" s="79"/>
      <c r="AM32" s="79"/>
      <c r="AN32" s="79"/>
      <c r="AO32" s="79"/>
      <c r="AP32" s="79"/>
      <c r="AQ32" s="79"/>
      <c r="AR32" s="79"/>
      <c r="AS32" s="79"/>
      <c r="AT32" s="79"/>
      <c r="AU32" s="79"/>
      <c r="AV32" s="79"/>
      <c r="AW32" s="79"/>
      <c r="AX32" s="79"/>
      <c r="AY32" s="79"/>
      <c r="AZ32" s="79"/>
    </row>
    <row r="33" spans="1:52" ht="17.100000000000001" customHeight="1">
      <c r="A33" s="79"/>
      <c r="B33" s="138"/>
      <c r="C33" s="194" t="s">
        <v>1596</v>
      </c>
      <c r="D33" s="139"/>
      <c r="E33" s="140"/>
      <c r="F33" s="140"/>
      <c r="G33" s="141">
        <f t="shared" si="1"/>
        <v>0</v>
      </c>
      <c r="H33" s="79"/>
      <c r="I33" s="79"/>
      <c r="J33" s="79"/>
      <c r="K33" s="79"/>
      <c r="L33" s="79"/>
      <c r="M33" s="79"/>
      <c r="N33" s="79"/>
      <c r="O33" s="79"/>
      <c r="P33" s="79"/>
      <c r="Q33" s="79"/>
      <c r="R33" s="79"/>
      <c r="S33" s="79"/>
      <c r="T33" s="79"/>
      <c r="U33" s="79"/>
      <c r="V33" s="79"/>
      <c r="W33" s="79"/>
      <c r="X33" s="79"/>
      <c r="Y33" s="79"/>
      <c r="Z33" s="79"/>
      <c r="AA33" s="79"/>
      <c r="AB33" s="79"/>
      <c r="AC33" s="79"/>
      <c r="AD33" s="79"/>
      <c r="AE33" s="79"/>
      <c r="AF33" s="79"/>
      <c r="AG33" s="79"/>
      <c r="AH33" s="79"/>
      <c r="AI33" s="79"/>
      <c r="AJ33" s="79"/>
      <c r="AK33" s="79"/>
      <c r="AL33" s="79"/>
      <c r="AM33" s="79"/>
      <c r="AN33" s="79"/>
      <c r="AO33" s="79"/>
      <c r="AP33" s="79"/>
      <c r="AQ33" s="79"/>
      <c r="AR33" s="79"/>
      <c r="AS33" s="79"/>
      <c r="AT33" s="79"/>
      <c r="AU33" s="79"/>
      <c r="AV33" s="79"/>
      <c r="AW33" s="79"/>
      <c r="AX33" s="79"/>
      <c r="AY33" s="79"/>
      <c r="AZ33" s="79"/>
    </row>
    <row r="34" spans="1:52" ht="17.100000000000001" customHeight="1">
      <c r="A34" s="79"/>
      <c r="B34" s="138"/>
      <c r="C34" s="194" t="s">
        <v>1596</v>
      </c>
      <c r="D34" s="139"/>
      <c r="E34" s="140"/>
      <c r="F34" s="140"/>
      <c r="G34" s="141">
        <f t="shared" si="1"/>
        <v>0</v>
      </c>
      <c r="H34" s="79"/>
      <c r="I34" s="79"/>
      <c r="J34" s="79"/>
      <c r="K34" s="79"/>
      <c r="L34" s="79"/>
      <c r="M34" s="79"/>
      <c r="N34" s="79"/>
      <c r="O34" s="79"/>
      <c r="P34" s="79"/>
      <c r="Q34" s="79"/>
      <c r="R34" s="79"/>
      <c r="S34" s="79"/>
      <c r="T34" s="79"/>
      <c r="U34" s="79"/>
      <c r="V34" s="79"/>
      <c r="W34" s="79"/>
      <c r="X34" s="79"/>
      <c r="Y34" s="79"/>
      <c r="Z34" s="79"/>
      <c r="AA34" s="79"/>
      <c r="AB34" s="79"/>
      <c r="AC34" s="79"/>
      <c r="AD34" s="79"/>
      <c r="AE34" s="79"/>
      <c r="AF34" s="79"/>
      <c r="AG34" s="79"/>
      <c r="AH34" s="79"/>
      <c r="AI34" s="79"/>
      <c r="AJ34" s="79"/>
      <c r="AK34" s="79"/>
      <c r="AL34" s="79"/>
      <c r="AM34" s="79"/>
      <c r="AN34" s="79"/>
      <c r="AO34" s="79"/>
      <c r="AP34" s="79"/>
      <c r="AQ34" s="79"/>
      <c r="AR34" s="79"/>
      <c r="AS34" s="79"/>
      <c r="AT34" s="79"/>
      <c r="AU34" s="79"/>
      <c r="AV34" s="79"/>
      <c r="AW34" s="79"/>
      <c r="AX34" s="79"/>
      <c r="AY34" s="79"/>
      <c r="AZ34" s="79"/>
    </row>
    <row r="35" spans="1:52" ht="17.100000000000001" customHeight="1">
      <c r="A35" s="79"/>
      <c r="B35" s="138"/>
      <c r="C35" s="194" t="s">
        <v>1596</v>
      </c>
      <c r="D35" s="139"/>
      <c r="E35" s="140"/>
      <c r="F35" s="140"/>
      <c r="G35" s="141">
        <f t="shared" si="1"/>
        <v>0</v>
      </c>
      <c r="H35" s="79"/>
      <c r="I35" s="79"/>
      <c r="J35" s="79"/>
      <c r="K35" s="79"/>
      <c r="L35" s="79"/>
      <c r="M35" s="79"/>
      <c r="N35" s="79"/>
      <c r="O35" s="79"/>
      <c r="P35" s="79"/>
      <c r="Q35" s="79"/>
      <c r="R35" s="79"/>
      <c r="S35" s="79"/>
      <c r="T35" s="79"/>
      <c r="U35" s="79"/>
      <c r="V35" s="79"/>
      <c r="W35" s="79"/>
      <c r="X35" s="79"/>
      <c r="Y35" s="79"/>
      <c r="Z35" s="79"/>
      <c r="AA35" s="79"/>
      <c r="AB35" s="79"/>
      <c r="AC35" s="79"/>
      <c r="AD35" s="79"/>
      <c r="AE35" s="79"/>
      <c r="AF35" s="79"/>
      <c r="AG35" s="79"/>
      <c r="AH35" s="79"/>
      <c r="AI35" s="79"/>
      <c r="AJ35" s="79"/>
      <c r="AK35" s="79"/>
      <c r="AL35" s="79"/>
      <c r="AM35" s="79"/>
      <c r="AN35" s="79"/>
      <c r="AO35" s="79"/>
      <c r="AP35" s="79"/>
      <c r="AQ35" s="79"/>
      <c r="AR35" s="79"/>
      <c r="AS35" s="79"/>
      <c r="AT35" s="79"/>
      <c r="AU35" s="79"/>
      <c r="AV35" s="79"/>
      <c r="AW35" s="79"/>
      <c r="AX35" s="79"/>
      <c r="AY35" s="79"/>
      <c r="AZ35" s="79"/>
    </row>
    <row r="36" spans="1:52" ht="17.100000000000001" customHeight="1">
      <c r="A36" s="79"/>
      <c r="B36" s="33" t="s">
        <v>789</v>
      </c>
      <c r="C36" s="142" t="s">
        <v>790</v>
      </c>
      <c r="D36" s="143"/>
      <c r="E36" s="143"/>
      <c r="F36" s="143"/>
      <c r="G36" s="141" t="e">
        <f t="array" ref="G36">AVERAGE(IF(LEN($B26:$B35)=6,G26:G35))</f>
        <v>#DIV/0!</v>
      </c>
      <c r="H36" s="79"/>
      <c r="I36" s="79"/>
      <c r="J36" s="79"/>
      <c r="K36" s="79"/>
      <c r="L36" s="79"/>
      <c r="M36" s="79"/>
      <c r="N36" s="79"/>
      <c r="O36" s="79"/>
      <c r="P36" s="79"/>
      <c r="Q36" s="79"/>
      <c r="R36" s="79"/>
      <c r="S36" s="79"/>
      <c r="T36" s="79"/>
      <c r="U36" s="79"/>
      <c r="V36" s="79"/>
      <c r="W36" s="79"/>
      <c r="X36" s="79"/>
      <c r="Y36" s="79"/>
      <c r="Z36" s="79"/>
      <c r="AA36" s="79"/>
      <c r="AB36" s="79"/>
      <c r="AC36" s="79"/>
      <c r="AD36" s="79"/>
      <c r="AE36" s="79"/>
      <c r="AF36" s="79"/>
      <c r="AG36" s="79"/>
      <c r="AH36" s="79"/>
      <c r="AI36" s="79"/>
      <c r="AJ36" s="79"/>
      <c r="AK36" s="79"/>
      <c r="AL36" s="79"/>
      <c r="AM36" s="79"/>
      <c r="AN36" s="79"/>
      <c r="AO36" s="79"/>
      <c r="AP36" s="79"/>
      <c r="AQ36" s="79"/>
      <c r="AR36" s="79"/>
      <c r="AS36" s="79"/>
      <c r="AT36" s="79"/>
      <c r="AU36" s="79"/>
      <c r="AV36" s="79"/>
      <c r="AW36" s="79"/>
      <c r="AX36" s="79"/>
      <c r="AY36" s="79"/>
      <c r="AZ36" s="79"/>
    </row>
    <row r="37" spans="1:52" ht="8.25" customHeight="1">
      <c r="A37" s="79"/>
      <c r="B37" s="29"/>
      <c r="C37" s="92"/>
      <c r="D37" s="92"/>
      <c r="E37" s="92"/>
      <c r="F37" s="92"/>
      <c r="G37" s="93"/>
      <c r="H37" s="79"/>
      <c r="I37" s="79"/>
      <c r="J37" s="79"/>
      <c r="K37" s="79"/>
      <c r="L37" s="79"/>
      <c r="M37" s="79"/>
      <c r="N37" s="79"/>
      <c r="O37" s="79"/>
      <c r="P37" s="79"/>
      <c r="Q37" s="79"/>
      <c r="R37" s="79"/>
      <c r="S37" s="79"/>
      <c r="T37" s="79"/>
      <c r="U37" s="79"/>
      <c r="V37" s="79"/>
      <c r="W37" s="79"/>
      <c r="X37" s="79"/>
      <c r="Y37" s="79"/>
      <c r="Z37" s="79"/>
      <c r="AA37" s="79"/>
      <c r="AB37" s="79"/>
      <c r="AC37" s="79"/>
      <c r="AD37" s="79"/>
      <c r="AE37" s="79"/>
      <c r="AF37" s="79"/>
      <c r="AG37" s="79"/>
      <c r="AH37" s="79"/>
      <c r="AI37" s="79"/>
      <c r="AJ37" s="79"/>
      <c r="AK37" s="79"/>
      <c r="AL37" s="79"/>
      <c r="AM37" s="79"/>
      <c r="AN37" s="79"/>
      <c r="AO37" s="79"/>
      <c r="AP37" s="79"/>
      <c r="AQ37" s="79"/>
      <c r="AR37" s="79"/>
      <c r="AS37" s="79"/>
      <c r="AT37" s="79"/>
      <c r="AU37" s="79"/>
      <c r="AV37" s="79"/>
      <c r="AW37" s="79"/>
      <c r="AX37" s="79"/>
      <c r="AY37" s="79"/>
      <c r="AZ37" s="79"/>
    </row>
    <row r="38" spans="1:52" ht="17.100000000000001" customHeight="1">
      <c r="A38" s="79"/>
      <c r="B38" s="121" t="s">
        <v>791</v>
      </c>
      <c r="C38" s="92"/>
      <c r="D38" s="92"/>
      <c r="E38" s="92"/>
      <c r="F38" s="92"/>
      <c r="G38" s="93"/>
      <c r="H38" s="79"/>
      <c r="I38" s="79"/>
      <c r="J38" s="79"/>
      <c r="K38" s="79"/>
      <c r="L38" s="79"/>
      <c r="M38" s="79"/>
      <c r="N38" s="79"/>
      <c r="O38" s="79"/>
      <c r="P38" s="79"/>
      <c r="Q38" s="79"/>
      <c r="R38" s="79"/>
      <c r="S38" s="79"/>
      <c r="T38" s="79"/>
      <c r="U38" s="79"/>
      <c r="V38" s="79"/>
      <c r="W38" s="79"/>
      <c r="X38" s="79"/>
      <c r="Y38" s="79"/>
      <c r="Z38" s="79"/>
      <c r="AA38" s="79"/>
      <c r="AB38" s="79"/>
      <c r="AC38" s="79"/>
      <c r="AD38" s="79"/>
      <c r="AE38" s="79"/>
      <c r="AF38" s="79"/>
      <c r="AG38" s="79"/>
      <c r="AH38" s="79"/>
      <c r="AI38" s="79"/>
      <c r="AJ38" s="79"/>
      <c r="AK38" s="79"/>
      <c r="AL38" s="79"/>
      <c r="AM38" s="79"/>
      <c r="AN38" s="79"/>
      <c r="AO38" s="79"/>
      <c r="AP38" s="79"/>
      <c r="AQ38" s="79"/>
      <c r="AR38" s="79"/>
      <c r="AS38" s="79"/>
      <c r="AT38" s="79"/>
      <c r="AU38" s="79"/>
      <c r="AV38" s="79"/>
      <c r="AW38" s="79"/>
      <c r="AX38" s="79"/>
      <c r="AY38" s="79"/>
      <c r="AZ38" s="79"/>
    </row>
    <row r="39" spans="1:52" ht="17.100000000000001" customHeight="1">
      <c r="A39" s="79"/>
      <c r="B39" s="144" t="s">
        <v>69</v>
      </c>
      <c r="C39" s="145" t="s">
        <v>68</v>
      </c>
      <c r="D39" s="146" t="s">
        <v>788</v>
      </c>
      <c r="E39" s="146" t="s">
        <v>792</v>
      </c>
      <c r="F39" s="146" t="s">
        <v>787</v>
      </c>
      <c r="G39" s="147" t="s">
        <v>793</v>
      </c>
      <c r="H39" s="79"/>
      <c r="I39" s="79"/>
      <c r="J39" s="79"/>
      <c r="K39" s="79"/>
      <c r="L39" s="79"/>
      <c r="M39" s="79"/>
      <c r="N39" s="79"/>
      <c r="O39" s="79"/>
      <c r="P39" s="79"/>
      <c r="Q39" s="79"/>
      <c r="R39" s="79"/>
      <c r="S39" s="79"/>
      <c r="T39" s="79"/>
      <c r="U39" s="79"/>
      <c r="V39" s="79"/>
      <c r="W39" s="79"/>
      <c r="X39" s="79"/>
      <c r="Y39" s="79"/>
      <c r="Z39" s="79"/>
      <c r="AA39" s="79"/>
      <c r="AB39" s="79"/>
      <c r="AC39" s="79"/>
      <c r="AD39" s="79"/>
      <c r="AE39" s="79"/>
      <c r="AF39" s="79"/>
      <c r="AG39" s="79"/>
      <c r="AH39" s="79"/>
      <c r="AI39" s="79"/>
      <c r="AJ39" s="79"/>
      <c r="AK39" s="79"/>
      <c r="AL39" s="79"/>
      <c r="AM39" s="79"/>
      <c r="AN39" s="79"/>
      <c r="AO39" s="79"/>
      <c r="AP39" s="79"/>
      <c r="AQ39" s="79"/>
      <c r="AR39" s="79"/>
      <c r="AS39" s="79"/>
      <c r="AT39" s="79"/>
      <c r="AU39" s="79"/>
      <c r="AV39" s="79"/>
      <c r="AW39" s="79"/>
      <c r="AX39" s="79"/>
      <c r="AY39" s="79"/>
      <c r="AZ39" s="79"/>
    </row>
    <row r="40" spans="1:52" ht="17.100000000000001" customHeight="1">
      <c r="A40" s="79"/>
      <c r="B40" s="148" t="str">
        <f>公司说明!E4</f>
        <v>603806</v>
      </c>
      <c r="C40" s="195" t="s">
        <v>1593</v>
      </c>
      <c r="D40" s="193" t="e">
        <f>G36</f>
        <v>#DIV/0!</v>
      </c>
      <c r="E40" s="149">
        <f>C14</f>
        <v>0.25</v>
      </c>
      <c r="F40" s="150">
        <f>C15</f>
        <v>0.25</v>
      </c>
      <c r="G40" s="151" t="e">
        <f>D40*(1+(1-F40)*E40/(1-E40))</f>
        <v>#DIV/0!</v>
      </c>
      <c r="H40" s="79"/>
      <c r="I40" s="79"/>
      <c r="J40" s="79"/>
      <c r="K40" s="79"/>
      <c r="L40" s="79"/>
      <c r="M40" s="79"/>
      <c r="N40" s="79"/>
      <c r="O40" s="79"/>
      <c r="P40" s="79"/>
      <c r="Q40" s="79"/>
      <c r="R40" s="79"/>
      <c r="S40" s="79"/>
      <c r="T40" s="79"/>
      <c r="U40" s="79"/>
      <c r="V40" s="79"/>
      <c r="W40" s="79"/>
      <c r="X40" s="79"/>
      <c r="Y40" s="79"/>
      <c r="Z40" s="79"/>
      <c r="AA40" s="79"/>
      <c r="AB40" s="79"/>
      <c r="AC40" s="79"/>
      <c r="AD40" s="79"/>
      <c r="AE40" s="79"/>
      <c r="AF40" s="79"/>
      <c r="AG40" s="79"/>
      <c r="AH40" s="79"/>
      <c r="AI40" s="79"/>
      <c r="AJ40" s="79"/>
      <c r="AK40" s="79"/>
      <c r="AL40" s="79"/>
      <c r="AM40" s="79"/>
      <c r="AN40" s="79"/>
      <c r="AO40" s="79"/>
      <c r="AP40" s="79"/>
      <c r="AQ40" s="79"/>
      <c r="AR40" s="79"/>
      <c r="AS40" s="79"/>
      <c r="AT40" s="79"/>
      <c r="AU40" s="79"/>
      <c r="AV40" s="79"/>
      <c r="AW40" s="79"/>
      <c r="AX40" s="79"/>
      <c r="AY40" s="79"/>
      <c r="AZ40" s="79"/>
    </row>
    <row r="41" spans="1:52" ht="17.100000000000001" customHeight="1">
      <c r="A41" s="79"/>
      <c r="B41" s="79"/>
      <c r="C41" s="79"/>
      <c r="D41" s="79"/>
      <c r="E41" s="79"/>
      <c r="F41" s="79"/>
      <c r="G41" s="79"/>
      <c r="H41" s="79"/>
      <c r="I41" s="79"/>
      <c r="J41" s="79"/>
      <c r="K41" s="79"/>
      <c r="L41" s="79"/>
      <c r="M41" s="79"/>
      <c r="N41" s="79"/>
      <c r="O41" s="79"/>
      <c r="P41" s="79"/>
      <c r="Q41" s="79"/>
      <c r="R41" s="79"/>
      <c r="S41" s="79"/>
      <c r="T41" s="79"/>
      <c r="U41" s="79"/>
      <c r="V41" s="79"/>
      <c r="W41" s="79"/>
      <c r="X41" s="79"/>
      <c r="Y41" s="79"/>
      <c r="Z41" s="79"/>
      <c r="AA41" s="79"/>
      <c r="AB41" s="79"/>
      <c r="AC41" s="79"/>
      <c r="AD41" s="79"/>
      <c r="AE41" s="79"/>
      <c r="AF41" s="79"/>
      <c r="AG41" s="79"/>
      <c r="AH41" s="79"/>
      <c r="AI41" s="79"/>
      <c r="AJ41" s="79"/>
      <c r="AK41" s="79"/>
      <c r="AL41" s="79"/>
      <c r="AM41" s="79"/>
      <c r="AN41" s="79"/>
      <c r="AO41" s="79"/>
      <c r="AP41" s="79"/>
      <c r="AQ41" s="79"/>
      <c r="AR41" s="79"/>
      <c r="AS41" s="79"/>
      <c r="AT41" s="79"/>
      <c r="AU41" s="79"/>
      <c r="AV41" s="79"/>
      <c r="AW41" s="79"/>
      <c r="AX41" s="79"/>
      <c r="AY41" s="79"/>
      <c r="AZ41" s="79"/>
    </row>
    <row r="42" spans="1:52" ht="17.100000000000001" customHeight="1">
      <c r="A42" s="79"/>
      <c r="B42" s="79"/>
      <c r="C42" s="79"/>
      <c r="D42" s="79"/>
      <c r="E42" s="79"/>
      <c r="F42" s="79"/>
      <c r="G42" s="79"/>
      <c r="H42" s="79"/>
      <c r="I42" s="79"/>
      <c r="J42" s="79"/>
      <c r="K42" s="79"/>
      <c r="L42" s="79"/>
      <c r="M42" s="79"/>
      <c r="N42" s="79"/>
      <c r="O42" s="79"/>
      <c r="P42" s="79"/>
      <c r="Q42" s="79"/>
      <c r="R42" s="79"/>
      <c r="S42" s="79"/>
      <c r="T42" s="79"/>
      <c r="U42" s="79"/>
      <c r="V42" s="79"/>
      <c r="W42" s="79"/>
      <c r="X42" s="79"/>
      <c r="Y42" s="79"/>
      <c r="Z42" s="79"/>
      <c r="AA42" s="79"/>
      <c r="AB42" s="79"/>
      <c r="AC42" s="79"/>
      <c r="AD42" s="79"/>
      <c r="AE42" s="79"/>
      <c r="AF42" s="79"/>
      <c r="AG42" s="79"/>
      <c r="AH42" s="79"/>
      <c r="AI42" s="79"/>
      <c r="AJ42" s="79"/>
      <c r="AK42" s="79"/>
      <c r="AL42" s="79"/>
      <c r="AM42" s="79"/>
      <c r="AN42" s="79"/>
      <c r="AO42" s="79"/>
      <c r="AP42" s="79"/>
      <c r="AQ42" s="79"/>
      <c r="AR42" s="79"/>
      <c r="AS42" s="79"/>
      <c r="AT42" s="79"/>
      <c r="AU42" s="79"/>
      <c r="AV42" s="79"/>
      <c r="AW42" s="79"/>
      <c r="AX42" s="79"/>
      <c r="AY42" s="79"/>
      <c r="AZ42" s="79"/>
    </row>
    <row r="43" spans="1:52" ht="17.100000000000001" customHeight="1">
      <c r="A43" s="79"/>
      <c r="B43" s="79"/>
      <c r="C43" s="79"/>
      <c r="D43" s="79"/>
      <c r="E43" s="79"/>
      <c r="F43" s="79"/>
      <c r="G43" s="79"/>
      <c r="H43" s="79"/>
      <c r="I43" s="79"/>
      <c r="J43" s="79"/>
      <c r="K43" s="79"/>
      <c r="L43" s="79"/>
      <c r="M43" s="79"/>
      <c r="N43" s="79"/>
      <c r="O43" s="79"/>
      <c r="P43" s="79"/>
      <c r="Q43" s="79"/>
      <c r="R43" s="79"/>
      <c r="S43" s="79"/>
      <c r="T43" s="79"/>
      <c r="U43" s="79"/>
      <c r="V43" s="79"/>
      <c r="W43" s="79"/>
      <c r="X43" s="79"/>
      <c r="Y43" s="79"/>
      <c r="Z43" s="79"/>
      <c r="AA43" s="79"/>
      <c r="AB43" s="79"/>
      <c r="AC43" s="79"/>
      <c r="AD43" s="79"/>
      <c r="AE43" s="79"/>
      <c r="AF43" s="79"/>
      <c r="AG43" s="79"/>
      <c r="AH43" s="79"/>
      <c r="AI43" s="79"/>
      <c r="AJ43" s="79"/>
      <c r="AK43" s="79"/>
      <c r="AL43" s="79"/>
      <c r="AM43" s="79"/>
      <c r="AN43" s="79"/>
      <c r="AO43" s="79"/>
      <c r="AP43" s="79"/>
      <c r="AQ43" s="79"/>
      <c r="AR43" s="79"/>
      <c r="AS43" s="79"/>
      <c r="AT43" s="79"/>
      <c r="AU43" s="79"/>
      <c r="AV43" s="79"/>
      <c r="AW43" s="79"/>
      <c r="AX43" s="79"/>
      <c r="AY43" s="79"/>
      <c r="AZ43" s="79"/>
    </row>
    <row r="44" spans="1:52" ht="17.100000000000001" customHeight="1">
      <c r="A44" s="79"/>
      <c r="B44" s="79"/>
      <c r="C44" s="79"/>
      <c r="D44" s="79"/>
      <c r="E44" s="79"/>
      <c r="F44" s="79"/>
      <c r="G44" s="79"/>
      <c r="H44" s="79"/>
      <c r="I44" s="79"/>
      <c r="J44" s="79"/>
      <c r="K44" s="79"/>
      <c r="L44" s="79"/>
      <c r="M44" s="79"/>
      <c r="N44" s="79"/>
      <c r="O44" s="79"/>
      <c r="P44" s="79"/>
      <c r="Q44" s="79"/>
      <c r="R44" s="79"/>
      <c r="S44" s="79"/>
      <c r="T44" s="79"/>
      <c r="U44" s="79"/>
      <c r="V44" s="79"/>
      <c r="W44" s="79"/>
      <c r="X44" s="79"/>
      <c r="Y44" s="79"/>
      <c r="Z44" s="79"/>
      <c r="AA44" s="79"/>
      <c r="AB44" s="79"/>
      <c r="AC44" s="79"/>
      <c r="AD44" s="79"/>
      <c r="AE44" s="79"/>
      <c r="AF44" s="79"/>
      <c r="AG44" s="79"/>
      <c r="AH44" s="79"/>
      <c r="AI44" s="79"/>
      <c r="AJ44" s="79"/>
      <c r="AK44" s="79"/>
      <c r="AL44" s="79"/>
      <c r="AM44" s="79"/>
      <c r="AN44" s="79"/>
      <c r="AO44" s="79"/>
      <c r="AP44" s="79"/>
      <c r="AQ44" s="79"/>
      <c r="AR44" s="79"/>
      <c r="AS44" s="79"/>
      <c r="AT44" s="79"/>
      <c r="AU44" s="79"/>
      <c r="AV44" s="79"/>
      <c r="AW44" s="79"/>
      <c r="AX44" s="79"/>
      <c r="AY44" s="79"/>
      <c r="AZ44" s="79"/>
    </row>
    <row r="45" spans="1:52" ht="17.100000000000001" customHeight="1">
      <c r="A45" s="79"/>
      <c r="B45" s="79"/>
      <c r="C45" s="79"/>
      <c r="D45" s="79"/>
      <c r="E45" s="79"/>
      <c r="F45" s="79"/>
      <c r="G45" s="79"/>
      <c r="H45" s="79"/>
      <c r="I45" s="79"/>
      <c r="J45" s="79"/>
      <c r="K45" s="79"/>
      <c r="L45" s="79"/>
      <c r="M45" s="79"/>
      <c r="N45" s="79"/>
      <c r="O45" s="79"/>
      <c r="P45" s="79"/>
      <c r="Q45" s="79"/>
      <c r="R45" s="79"/>
      <c r="S45" s="79"/>
      <c r="T45" s="79"/>
      <c r="U45" s="79"/>
      <c r="V45" s="79"/>
      <c r="W45" s="79"/>
      <c r="X45" s="79"/>
      <c r="Y45" s="79"/>
      <c r="Z45" s="79"/>
      <c r="AA45" s="79"/>
      <c r="AB45" s="79"/>
      <c r="AC45" s="79"/>
      <c r="AD45" s="79"/>
      <c r="AE45" s="79"/>
      <c r="AF45" s="79"/>
      <c r="AG45" s="79"/>
      <c r="AH45" s="79"/>
      <c r="AI45" s="79"/>
      <c r="AJ45" s="79"/>
      <c r="AK45" s="79"/>
      <c r="AL45" s="79"/>
      <c r="AM45" s="79"/>
      <c r="AN45" s="79"/>
      <c r="AO45" s="79"/>
      <c r="AP45" s="79"/>
      <c r="AQ45" s="79"/>
      <c r="AR45" s="79"/>
      <c r="AS45" s="79"/>
      <c r="AT45" s="79"/>
      <c r="AU45" s="79"/>
      <c r="AV45" s="79"/>
      <c r="AW45" s="79"/>
      <c r="AX45" s="79"/>
      <c r="AY45" s="79"/>
      <c r="AZ45" s="79"/>
    </row>
    <row r="46" spans="1:52" ht="17.100000000000001" customHeight="1">
      <c r="A46" s="79"/>
      <c r="B46" s="79"/>
      <c r="C46" s="79"/>
      <c r="D46" s="79"/>
      <c r="E46" s="79"/>
      <c r="F46" s="79"/>
      <c r="G46" s="79"/>
      <c r="H46" s="79"/>
      <c r="I46" s="79"/>
      <c r="J46" s="79"/>
      <c r="K46" s="79"/>
      <c r="L46" s="79"/>
      <c r="M46" s="79"/>
      <c r="N46" s="79"/>
      <c r="O46" s="79"/>
      <c r="P46" s="79"/>
      <c r="Q46" s="79"/>
      <c r="R46" s="79"/>
      <c r="S46" s="79"/>
      <c r="T46" s="79"/>
      <c r="U46" s="79"/>
      <c r="V46" s="79"/>
      <c r="W46" s="79"/>
      <c r="X46" s="79"/>
      <c r="Y46" s="79"/>
      <c r="Z46" s="79"/>
      <c r="AA46" s="79"/>
      <c r="AB46" s="79"/>
      <c r="AC46" s="79"/>
      <c r="AD46" s="79"/>
      <c r="AE46" s="79"/>
      <c r="AF46" s="79"/>
      <c r="AG46" s="79"/>
      <c r="AH46" s="79"/>
      <c r="AI46" s="79"/>
      <c r="AJ46" s="79"/>
      <c r="AK46" s="79"/>
      <c r="AL46" s="79"/>
      <c r="AM46" s="79"/>
      <c r="AN46" s="79"/>
      <c r="AO46" s="79"/>
      <c r="AP46" s="79"/>
      <c r="AQ46" s="79"/>
      <c r="AR46" s="79"/>
      <c r="AS46" s="79"/>
      <c r="AT46" s="79"/>
      <c r="AU46" s="79"/>
      <c r="AV46" s="79"/>
      <c r="AW46" s="79"/>
      <c r="AX46" s="79"/>
      <c r="AY46" s="79"/>
      <c r="AZ46" s="79"/>
    </row>
    <row r="47" spans="1:52" ht="17.100000000000001" customHeight="1">
      <c r="A47" s="79"/>
      <c r="B47" s="79"/>
      <c r="C47" s="79"/>
      <c r="D47" s="79"/>
      <c r="E47" s="79"/>
      <c r="F47" s="79"/>
      <c r="G47" s="79"/>
      <c r="H47" s="79"/>
      <c r="I47" s="79"/>
      <c r="J47" s="79"/>
      <c r="K47" s="79"/>
      <c r="L47" s="79"/>
      <c r="M47" s="79"/>
      <c r="N47" s="79"/>
      <c r="O47" s="79"/>
      <c r="P47" s="79"/>
      <c r="Q47" s="79"/>
      <c r="R47" s="79"/>
      <c r="S47" s="79"/>
      <c r="T47" s="79"/>
      <c r="U47" s="79"/>
      <c r="V47" s="79"/>
      <c r="W47" s="79"/>
      <c r="X47" s="79"/>
      <c r="Y47" s="79"/>
      <c r="Z47" s="79"/>
      <c r="AA47" s="79"/>
      <c r="AB47" s="79"/>
      <c r="AC47" s="79"/>
      <c r="AD47" s="79"/>
      <c r="AE47" s="79"/>
      <c r="AF47" s="79"/>
      <c r="AG47" s="79"/>
      <c r="AH47" s="79"/>
      <c r="AI47" s="79"/>
      <c r="AJ47" s="79"/>
      <c r="AK47" s="79"/>
      <c r="AL47" s="79"/>
      <c r="AM47" s="79"/>
      <c r="AN47" s="79"/>
      <c r="AO47" s="79"/>
      <c r="AP47" s="79"/>
      <c r="AQ47" s="79"/>
      <c r="AR47" s="79"/>
      <c r="AS47" s="79"/>
      <c r="AT47" s="79"/>
      <c r="AU47" s="79"/>
      <c r="AV47" s="79"/>
      <c r="AW47" s="79"/>
      <c r="AX47" s="79"/>
      <c r="AY47" s="79"/>
      <c r="AZ47" s="79"/>
    </row>
    <row r="48" spans="1:52" ht="17.100000000000001" customHeight="1">
      <c r="A48" s="79"/>
      <c r="B48" s="79"/>
      <c r="C48" s="79"/>
      <c r="D48" s="79"/>
      <c r="E48" s="79"/>
      <c r="F48" s="79"/>
      <c r="G48" s="79"/>
      <c r="H48" s="79"/>
      <c r="I48" s="79"/>
      <c r="J48" s="79"/>
      <c r="K48" s="79"/>
      <c r="L48" s="79"/>
      <c r="M48" s="79"/>
      <c r="N48" s="79"/>
      <c r="O48" s="79"/>
      <c r="P48" s="79"/>
      <c r="Q48" s="79"/>
      <c r="R48" s="79"/>
      <c r="S48" s="79"/>
      <c r="T48" s="79"/>
      <c r="U48" s="79"/>
      <c r="V48" s="79"/>
      <c r="W48" s="79"/>
      <c r="X48" s="79"/>
      <c r="Y48" s="79"/>
      <c r="Z48" s="79"/>
      <c r="AA48" s="79"/>
      <c r="AB48" s="79"/>
      <c r="AC48" s="79"/>
      <c r="AD48" s="79"/>
      <c r="AE48" s="79"/>
      <c r="AF48" s="79"/>
      <c r="AG48" s="79"/>
      <c r="AH48" s="79"/>
      <c r="AI48" s="79"/>
      <c r="AJ48" s="79"/>
      <c r="AK48" s="79"/>
      <c r="AL48" s="79"/>
      <c r="AM48" s="79"/>
      <c r="AN48" s="79"/>
      <c r="AO48" s="79"/>
      <c r="AP48" s="79"/>
      <c r="AQ48" s="79"/>
      <c r="AR48" s="79"/>
      <c r="AS48" s="79"/>
      <c r="AT48" s="79"/>
      <c r="AU48" s="79"/>
      <c r="AV48" s="79"/>
      <c r="AW48" s="79"/>
      <c r="AX48" s="79"/>
      <c r="AY48" s="79"/>
      <c r="AZ48" s="79"/>
    </row>
    <row r="49" spans="1:52" ht="17.100000000000001" customHeight="1">
      <c r="A49" s="79"/>
      <c r="B49" s="79"/>
      <c r="C49" s="79"/>
      <c r="D49" s="79"/>
      <c r="E49" s="79"/>
      <c r="F49" s="79"/>
      <c r="G49" s="79"/>
      <c r="H49" s="79"/>
      <c r="I49" s="79"/>
      <c r="J49" s="79"/>
      <c r="K49" s="79"/>
      <c r="L49" s="79"/>
      <c r="M49" s="79"/>
      <c r="N49" s="79"/>
      <c r="O49" s="79"/>
      <c r="P49" s="79"/>
      <c r="Q49" s="79"/>
      <c r="R49" s="79"/>
      <c r="S49" s="79"/>
      <c r="T49" s="79"/>
      <c r="U49" s="79"/>
      <c r="V49" s="79"/>
      <c r="W49" s="79"/>
      <c r="X49" s="79"/>
      <c r="Y49" s="79"/>
      <c r="Z49" s="79"/>
      <c r="AA49" s="79"/>
      <c r="AB49" s="79"/>
      <c r="AC49" s="79"/>
      <c r="AD49" s="79"/>
      <c r="AE49" s="79"/>
      <c r="AF49" s="79"/>
      <c r="AG49" s="79"/>
      <c r="AH49" s="79"/>
      <c r="AI49" s="79"/>
      <c r="AJ49" s="79"/>
      <c r="AK49" s="79"/>
      <c r="AL49" s="79"/>
      <c r="AM49" s="79"/>
      <c r="AN49" s="79"/>
      <c r="AO49" s="79"/>
      <c r="AP49" s="79"/>
      <c r="AQ49" s="79"/>
      <c r="AR49" s="79"/>
      <c r="AS49" s="79"/>
      <c r="AT49" s="79"/>
      <c r="AU49" s="79"/>
      <c r="AV49" s="79"/>
      <c r="AW49" s="79"/>
      <c r="AX49" s="79"/>
      <c r="AY49" s="79"/>
      <c r="AZ49" s="79"/>
    </row>
    <row r="50" spans="1:52" ht="17.100000000000001" customHeight="1">
      <c r="A50" s="79"/>
      <c r="B50" s="79"/>
      <c r="C50" s="79"/>
      <c r="D50" s="79"/>
      <c r="E50" s="79"/>
      <c r="F50" s="79"/>
      <c r="G50" s="79"/>
      <c r="H50" s="79"/>
      <c r="I50" s="79"/>
      <c r="J50" s="79"/>
      <c r="K50" s="79"/>
      <c r="L50" s="79"/>
      <c r="M50" s="79"/>
      <c r="N50" s="79"/>
      <c r="O50" s="79"/>
      <c r="P50" s="79"/>
      <c r="Q50" s="79"/>
      <c r="R50" s="79"/>
      <c r="S50" s="79"/>
      <c r="T50" s="79"/>
      <c r="U50" s="79"/>
      <c r="V50" s="79"/>
      <c r="W50" s="79"/>
      <c r="X50" s="79"/>
      <c r="Y50" s="79"/>
      <c r="Z50" s="79"/>
      <c r="AA50" s="79"/>
      <c r="AB50" s="79"/>
      <c r="AC50" s="79"/>
      <c r="AD50" s="79"/>
      <c r="AE50" s="79"/>
      <c r="AF50" s="79"/>
      <c r="AG50" s="79"/>
      <c r="AH50" s="79"/>
      <c r="AI50" s="79"/>
      <c r="AJ50" s="79"/>
      <c r="AK50" s="79"/>
      <c r="AL50" s="79"/>
      <c r="AM50" s="79"/>
      <c r="AN50" s="79"/>
      <c r="AO50" s="79"/>
      <c r="AP50" s="79"/>
      <c r="AQ50" s="79"/>
      <c r="AR50" s="79"/>
      <c r="AS50" s="79"/>
      <c r="AT50" s="79"/>
      <c r="AU50" s="79"/>
      <c r="AV50" s="79"/>
      <c r="AW50" s="79"/>
      <c r="AX50" s="79"/>
      <c r="AY50" s="79"/>
      <c r="AZ50" s="79"/>
    </row>
    <row r="51" spans="1:52" ht="17.100000000000001" customHeight="1">
      <c r="A51" s="79"/>
      <c r="B51" s="79"/>
      <c r="C51" s="79"/>
      <c r="D51" s="79"/>
      <c r="E51" s="79"/>
      <c r="F51" s="79"/>
      <c r="G51" s="79"/>
      <c r="H51" s="79"/>
      <c r="I51" s="79"/>
      <c r="J51" s="79"/>
      <c r="K51" s="79"/>
      <c r="L51" s="79"/>
      <c r="M51" s="79"/>
      <c r="N51" s="79"/>
      <c r="O51" s="79"/>
      <c r="P51" s="79"/>
      <c r="Q51" s="79"/>
      <c r="R51" s="79"/>
      <c r="S51" s="79"/>
      <c r="T51" s="79"/>
      <c r="U51" s="79"/>
      <c r="V51" s="79"/>
      <c r="W51" s="79"/>
      <c r="X51" s="79"/>
      <c r="Y51" s="79"/>
      <c r="Z51" s="79"/>
      <c r="AA51" s="79"/>
      <c r="AB51" s="79"/>
      <c r="AC51" s="79"/>
      <c r="AD51" s="79"/>
      <c r="AE51" s="79"/>
      <c r="AF51" s="79"/>
      <c r="AG51" s="79"/>
      <c r="AH51" s="79"/>
      <c r="AI51" s="79"/>
      <c r="AJ51" s="79"/>
      <c r="AK51" s="79"/>
      <c r="AL51" s="79"/>
      <c r="AM51" s="79"/>
      <c r="AN51" s="79"/>
      <c r="AO51" s="79"/>
      <c r="AP51" s="79"/>
      <c r="AQ51" s="79"/>
      <c r="AR51" s="79"/>
      <c r="AS51" s="79"/>
      <c r="AT51" s="79"/>
      <c r="AU51" s="79"/>
      <c r="AV51" s="79"/>
      <c r="AW51" s="79"/>
      <c r="AX51" s="79"/>
      <c r="AY51" s="79"/>
      <c r="AZ51" s="79"/>
    </row>
    <row r="52" spans="1:52" ht="17.100000000000001" customHeight="1">
      <c r="A52" s="79"/>
      <c r="B52" s="79"/>
      <c r="C52" s="79"/>
      <c r="D52" s="79"/>
      <c r="E52" s="79"/>
      <c r="F52" s="79"/>
      <c r="G52" s="79"/>
      <c r="H52" s="79"/>
      <c r="I52" s="79"/>
      <c r="J52" s="79"/>
      <c r="K52" s="79"/>
      <c r="L52" s="79"/>
      <c r="M52" s="79"/>
      <c r="N52" s="79"/>
      <c r="O52" s="79"/>
      <c r="P52" s="79"/>
      <c r="Q52" s="79"/>
      <c r="R52" s="79"/>
      <c r="S52" s="79"/>
      <c r="T52" s="79"/>
      <c r="U52" s="79"/>
      <c r="V52" s="79"/>
      <c r="W52" s="79"/>
      <c r="X52" s="79"/>
      <c r="Y52" s="79"/>
      <c r="Z52" s="79"/>
      <c r="AA52" s="79"/>
      <c r="AB52" s="79"/>
      <c r="AC52" s="79"/>
      <c r="AD52" s="79"/>
      <c r="AE52" s="79"/>
      <c r="AF52" s="79"/>
      <c r="AG52" s="79"/>
      <c r="AH52" s="79"/>
      <c r="AI52" s="79"/>
      <c r="AJ52" s="79"/>
      <c r="AK52" s="79"/>
      <c r="AL52" s="79"/>
      <c r="AM52" s="79"/>
      <c r="AN52" s="79"/>
      <c r="AO52" s="79"/>
      <c r="AP52" s="79"/>
      <c r="AQ52" s="79"/>
      <c r="AR52" s="79"/>
      <c r="AS52" s="79"/>
      <c r="AT52" s="79"/>
      <c r="AU52" s="79"/>
      <c r="AV52" s="79"/>
      <c r="AW52" s="79"/>
      <c r="AX52" s="79"/>
      <c r="AY52" s="79"/>
      <c r="AZ52" s="79"/>
    </row>
    <row r="53" spans="1:52" ht="17.100000000000001" customHeight="1">
      <c r="A53" s="79"/>
      <c r="B53" s="79"/>
      <c r="C53" s="79"/>
      <c r="D53" s="79"/>
      <c r="E53" s="79"/>
      <c r="F53" s="79"/>
      <c r="G53" s="79"/>
      <c r="H53" s="79"/>
      <c r="I53" s="79"/>
      <c r="J53" s="79"/>
      <c r="K53" s="79"/>
      <c r="L53" s="79"/>
      <c r="M53" s="79"/>
      <c r="N53" s="79"/>
      <c r="O53" s="79"/>
      <c r="P53" s="79"/>
      <c r="Q53" s="79"/>
      <c r="R53" s="79"/>
      <c r="S53" s="79"/>
      <c r="T53" s="79"/>
      <c r="U53" s="79"/>
      <c r="V53" s="79"/>
      <c r="W53" s="79"/>
      <c r="X53" s="79"/>
      <c r="Y53" s="79"/>
      <c r="Z53" s="79"/>
      <c r="AA53" s="79"/>
      <c r="AB53" s="79"/>
      <c r="AC53" s="79"/>
      <c r="AD53" s="79"/>
      <c r="AE53" s="79"/>
      <c r="AF53" s="79"/>
      <c r="AG53" s="79"/>
      <c r="AH53" s="79"/>
      <c r="AI53" s="79"/>
      <c r="AJ53" s="79"/>
      <c r="AK53" s="79"/>
      <c r="AL53" s="79"/>
      <c r="AM53" s="79"/>
      <c r="AN53" s="79"/>
      <c r="AO53" s="79"/>
      <c r="AP53" s="79"/>
      <c r="AQ53" s="79"/>
      <c r="AR53" s="79"/>
      <c r="AS53" s="79"/>
      <c r="AT53" s="79"/>
      <c r="AU53" s="79"/>
      <c r="AV53" s="79"/>
      <c r="AW53" s="79"/>
      <c r="AX53" s="79"/>
      <c r="AY53" s="79"/>
      <c r="AZ53" s="79"/>
    </row>
    <row r="54" spans="1:52" ht="17.100000000000001" customHeight="1">
      <c r="A54" s="79"/>
      <c r="B54" s="79"/>
      <c r="C54" s="79"/>
      <c r="D54" s="79"/>
      <c r="E54" s="79"/>
      <c r="F54" s="79"/>
      <c r="G54" s="79"/>
      <c r="H54" s="79"/>
      <c r="I54" s="79"/>
      <c r="J54" s="79"/>
      <c r="K54" s="79"/>
      <c r="L54" s="79"/>
      <c r="M54" s="79"/>
      <c r="N54" s="79"/>
      <c r="O54" s="79"/>
      <c r="P54" s="79"/>
      <c r="Q54" s="79"/>
      <c r="R54" s="79"/>
      <c r="S54" s="79"/>
      <c r="T54" s="79"/>
      <c r="U54" s="79"/>
      <c r="V54" s="79"/>
      <c r="W54" s="79"/>
      <c r="X54" s="79"/>
      <c r="Y54" s="79"/>
      <c r="Z54" s="79"/>
      <c r="AA54" s="79"/>
      <c r="AB54" s="79"/>
      <c r="AC54" s="79"/>
      <c r="AD54" s="79"/>
      <c r="AE54" s="79"/>
      <c r="AF54" s="79"/>
      <c r="AG54" s="79"/>
      <c r="AH54" s="79"/>
      <c r="AI54" s="79"/>
      <c r="AJ54" s="79"/>
      <c r="AK54" s="79"/>
      <c r="AL54" s="79"/>
      <c r="AM54" s="79"/>
      <c r="AN54" s="79"/>
      <c r="AO54" s="79"/>
      <c r="AP54" s="79"/>
      <c r="AQ54" s="79"/>
      <c r="AR54" s="79"/>
      <c r="AS54" s="79"/>
      <c r="AT54" s="79"/>
      <c r="AU54" s="79"/>
      <c r="AV54" s="79"/>
      <c r="AW54" s="79"/>
      <c r="AX54" s="79"/>
      <c r="AY54" s="79"/>
      <c r="AZ54" s="79"/>
    </row>
    <row r="55" spans="1:52" ht="17.100000000000001" customHeight="1">
      <c r="A55" s="79"/>
      <c r="B55" s="79"/>
      <c r="C55" s="79"/>
      <c r="D55" s="79"/>
      <c r="E55" s="79"/>
      <c r="F55" s="79"/>
      <c r="G55" s="79"/>
      <c r="H55" s="79"/>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c r="AT55" s="79"/>
      <c r="AU55" s="79"/>
      <c r="AV55" s="79"/>
      <c r="AW55" s="79"/>
      <c r="AX55" s="79"/>
      <c r="AY55" s="79"/>
      <c r="AZ55" s="79"/>
    </row>
    <row r="56" spans="1:52" ht="17.100000000000001" customHeight="1">
      <c r="A56" s="79"/>
      <c r="B56" s="79"/>
      <c r="C56" s="79"/>
      <c r="D56" s="79"/>
      <c r="E56" s="79"/>
      <c r="F56" s="79"/>
      <c r="G56" s="79"/>
      <c r="H56" s="79"/>
      <c r="I56" s="79"/>
      <c r="J56" s="79"/>
      <c r="K56" s="79"/>
      <c r="L56" s="79"/>
      <c r="M56" s="79"/>
      <c r="N56" s="79"/>
      <c r="O56" s="79"/>
      <c r="P56" s="79"/>
      <c r="Q56" s="79"/>
      <c r="R56" s="79"/>
      <c r="S56" s="79"/>
      <c r="T56" s="79"/>
      <c r="U56" s="79"/>
      <c r="V56" s="79"/>
      <c r="W56" s="79"/>
      <c r="X56" s="79"/>
      <c r="Y56" s="79"/>
      <c r="Z56" s="79"/>
      <c r="AA56" s="79"/>
      <c r="AB56" s="79"/>
      <c r="AC56" s="79"/>
      <c r="AD56" s="79"/>
      <c r="AE56" s="79"/>
      <c r="AF56" s="79"/>
      <c r="AG56" s="79"/>
      <c r="AH56" s="79"/>
      <c r="AI56" s="79"/>
      <c r="AJ56" s="79"/>
      <c r="AK56" s="79"/>
      <c r="AL56" s="79"/>
      <c r="AM56" s="79"/>
      <c r="AN56" s="79"/>
      <c r="AO56" s="79"/>
      <c r="AP56" s="79"/>
      <c r="AQ56" s="79"/>
      <c r="AR56" s="79"/>
      <c r="AS56" s="79"/>
      <c r="AT56" s="79"/>
      <c r="AU56" s="79"/>
      <c r="AV56" s="79"/>
      <c r="AW56" s="79"/>
      <c r="AX56" s="79"/>
      <c r="AY56" s="79"/>
      <c r="AZ56" s="79"/>
    </row>
    <row r="57" spans="1:52" ht="17.100000000000001" customHeight="1">
      <c r="A57" s="79"/>
      <c r="B57" s="79"/>
      <c r="C57" s="79"/>
      <c r="D57" s="79"/>
      <c r="E57" s="79"/>
      <c r="F57" s="79"/>
      <c r="G57" s="79"/>
      <c r="H57" s="79"/>
      <c r="I57" s="79"/>
      <c r="J57" s="79"/>
      <c r="K57" s="79"/>
      <c r="L57" s="79"/>
      <c r="M57" s="79"/>
      <c r="N57" s="79"/>
      <c r="O57" s="79"/>
      <c r="P57" s="79"/>
      <c r="Q57" s="79"/>
      <c r="R57" s="79"/>
      <c r="S57" s="79"/>
      <c r="T57" s="79"/>
      <c r="U57" s="79"/>
      <c r="V57" s="79"/>
      <c r="W57" s="79"/>
      <c r="X57" s="79"/>
      <c r="Y57" s="79"/>
      <c r="Z57" s="79"/>
      <c r="AA57" s="79"/>
      <c r="AB57" s="79"/>
      <c r="AC57" s="79"/>
      <c r="AD57" s="79"/>
      <c r="AE57" s="79"/>
      <c r="AF57" s="79"/>
      <c r="AG57" s="79"/>
      <c r="AH57" s="79"/>
      <c r="AI57" s="79"/>
      <c r="AJ57" s="79"/>
      <c r="AK57" s="79"/>
      <c r="AL57" s="79"/>
      <c r="AM57" s="79"/>
      <c r="AN57" s="79"/>
      <c r="AO57" s="79"/>
      <c r="AP57" s="79"/>
      <c r="AQ57" s="79"/>
      <c r="AR57" s="79"/>
      <c r="AS57" s="79"/>
      <c r="AT57" s="79"/>
      <c r="AU57" s="79"/>
      <c r="AV57" s="79"/>
      <c r="AW57" s="79"/>
      <c r="AX57" s="79"/>
      <c r="AY57" s="79"/>
      <c r="AZ57" s="79"/>
    </row>
    <row r="58" spans="1:52" ht="17.100000000000001" customHeight="1">
      <c r="A58" s="79"/>
      <c r="B58" s="79"/>
      <c r="C58" s="79"/>
      <c r="D58" s="79"/>
      <c r="E58" s="79"/>
      <c r="F58" s="79"/>
      <c r="G58" s="79"/>
      <c r="H58" s="79"/>
      <c r="I58" s="79"/>
      <c r="J58" s="79"/>
      <c r="K58" s="79"/>
      <c r="L58" s="79"/>
      <c r="M58" s="79"/>
      <c r="N58" s="79"/>
      <c r="O58" s="79"/>
      <c r="P58" s="79"/>
      <c r="Q58" s="79"/>
      <c r="R58" s="79"/>
      <c r="S58" s="79"/>
      <c r="T58" s="79"/>
      <c r="U58" s="79"/>
      <c r="V58" s="79"/>
      <c r="W58" s="79"/>
      <c r="X58" s="79"/>
      <c r="Y58" s="79"/>
      <c r="Z58" s="79"/>
      <c r="AA58" s="79"/>
      <c r="AB58" s="79"/>
      <c r="AC58" s="79"/>
      <c r="AD58" s="79"/>
      <c r="AE58" s="79"/>
      <c r="AF58" s="79"/>
      <c r="AG58" s="79"/>
      <c r="AH58" s="79"/>
      <c r="AI58" s="79"/>
      <c r="AJ58" s="79"/>
      <c r="AK58" s="79"/>
      <c r="AL58" s="79"/>
      <c r="AM58" s="79"/>
      <c r="AN58" s="79"/>
      <c r="AO58" s="79"/>
      <c r="AP58" s="79"/>
      <c r="AQ58" s="79"/>
      <c r="AR58" s="79"/>
      <c r="AS58" s="79"/>
      <c r="AT58" s="79"/>
      <c r="AU58" s="79"/>
      <c r="AV58" s="79"/>
      <c r="AW58" s="79"/>
      <c r="AX58" s="79"/>
      <c r="AY58" s="79"/>
      <c r="AZ58" s="79"/>
    </row>
    <row r="59" spans="1:52" ht="17.100000000000001" customHeight="1">
      <c r="A59" s="79"/>
      <c r="B59" s="79"/>
      <c r="C59" s="79"/>
      <c r="D59" s="79"/>
      <c r="E59" s="79"/>
      <c r="F59" s="79"/>
      <c r="G59" s="79"/>
      <c r="H59" s="79"/>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c r="AT59" s="79"/>
      <c r="AU59" s="79"/>
      <c r="AV59" s="79"/>
      <c r="AW59" s="79"/>
      <c r="AX59" s="79"/>
      <c r="AY59" s="79"/>
      <c r="AZ59" s="79"/>
    </row>
    <row r="60" spans="1:52" ht="17.100000000000001" customHeight="1">
      <c r="A60" s="79"/>
      <c r="B60" s="79"/>
      <c r="C60" s="79"/>
      <c r="D60" s="79"/>
      <c r="E60" s="79"/>
      <c r="F60" s="79"/>
      <c r="G60" s="79"/>
      <c r="H60" s="79"/>
      <c r="I60" s="79"/>
      <c r="J60" s="79"/>
      <c r="K60" s="79"/>
      <c r="L60" s="79"/>
      <c r="M60" s="79"/>
      <c r="N60" s="79"/>
      <c r="O60" s="79"/>
      <c r="P60" s="79"/>
      <c r="Q60" s="79"/>
      <c r="R60" s="79"/>
      <c r="S60" s="79"/>
      <c r="T60" s="79"/>
      <c r="U60" s="79"/>
      <c r="V60" s="79"/>
      <c r="W60" s="79"/>
      <c r="X60" s="79"/>
      <c r="Y60" s="79"/>
      <c r="Z60" s="79"/>
      <c r="AA60" s="79"/>
      <c r="AB60" s="79"/>
      <c r="AC60" s="79"/>
      <c r="AD60" s="79"/>
      <c r="AE60" s="79"/>
      <c r="AF60" s="79"/>
      <c r="AG60" s="79"/>
      <c r="AH60" s="79"/>
      <c r="AI60" s="79"/>
      <c r="AJ60" s="79"/>
      <c r="AK60" s="79"/>
      <c r="AL60" s="79"/>
      <c r="AM60" s="79"/>
      <c r="AN60" s="79"/>
      <c r="AO60" s="79"/>
      <c r="AP60" s="79"/>
      <c r="AQ60" s="79"/>
      <c r="AR60" s="79"/>
      <c r="AS60" s="79"/>
      <c r="AT60" s="79"/>
      <c r="AU60" s="79"/>
      <c r="AV60" s="79"/>
      <c r="AW60" s="79"/>
      <c r="AX60" s="79"/>
      <c r="AY60" s="79"/>
      <c r="AZ60" s="79"/>
    </row>
    <row r="61" spans="1:52" ht="17.100000000000001" customHeight="1">
      <c r="A61" s="79"/>
      <c r="B61" s="79"/>
      <c r="C61" s="79"/>
      <c r="D61" s="79"/>
      <c r="E61" s="79"/>
      <c r="F61" s="79"/>
      <c r="G61" s="79"/>
      <c r="H61" s="79"/>
      <c r="I61" s="79"/>
      <c r="J61" s="79"/>
      <c r="K61" s="79"/>
      <c r="L61" s="79"/>
      <c r="M61" s="79"/>
      <c r="N61" s="79"/>
      <c r="O61" s="79"/>
      <c r="P61" s="79"/>
      <c r="Q61" s="79"/>
      <c r="R61" s="79"/>
      <c r="S61" s="79"/>
      <c r="T61" s="79"/>
      <c r="U61" s="79"/>
      <c r="V61" s="79"/>
      <c r="W61" s="79"/>
      <c r="X61" s="79"/>
      <c r="Y61" s="79"/>
      <c r="Z61" s="79"/>
      <c r="AA61" s="79"/>
      <c r="AB61" s="79"/>
      <c r="AC61" s="79"/>
      <c r="AD61" s="79"/>
      <c r="AE61" s="79"/>
      <c r="AF61" s="79"/>
      <c r="AG61" s="79"/>
      <c r="AH61" s="79"/>
      <c r="AI61" s="79"/>
      <c r="AJ61" s="79"/>
      <c r="AK61" s="79"/>
      <c r="AL61" s="79"/>
      <c r="AM61" s="79"/>
      <c r="AN61" s="79"/>
      <c r="AO61" s="79"/>
      <c r="AP61" s="79"/>
      <c r="AQ61" s="79"/>
      <c r="AR61" s="79"/>
      <c r="AS61" s="79"/>
      <c r="AT61" s="79"/>
      <c r="AU61" s="79"/>
      <c r="AV61" s="79"/>
      <c r="AW61" s="79"/>
      <c r="AX61" s="79"/>
      <c r="AY61" s="79"/>
      <c r="AZ61" s="79"/>
    </row>
    <row r="62" spans="1:52" ht="17.100000000000001" customHeight="1">
      <c r="A62" s="79"/>
      <c r="B62" s="79"/>
      <c r="C62" s="79"/>
      <c r="D62" s="79"/>
      <c r="E62" s="79"/>
      <c r="F62" s="79"/>
      <c r="G62" s="79"/>
      <c r="H62" s="79"/>
      <c r="I62" s="79"/>
      <c r="J62" s="79"/>
      <c r="K62" s="79"/>
      <c r="L62" s="79"/>
      <c r="M62" s="79"/>
      <c r="N62" s="79"/>
      <c r="O62" s="79"/>
      <c r="P62" s="79"/>
      <c r="Q62" s="79"/>
      <c r="R62" s="79"/>
      <c r="S62" s="79"/>
      <c r="T62" s="79"/>
      <c r="U62" s="79"/>
      <c r="V62" s="79"/>
      <c r="W62" s="79"/>
      <c r="X62" s="79"/>
      <c r="Y62" s="79"/>
      <c r="Z62" s="79"/>
      <c r="AA62" s="79"/>
      <c r="AB62" s="79"/>
      <c r="AC62" s="79"/>
      <c r="AD62" s="79"/>
      <c r="AE62" s="79"/>
      <c r="AF62" s="79"/>
      <c r="AG62" s="79"/>
      <c r="AH62" s="79"/>
      <c r="AI62" s="79"/>
      <c r="AJ62" s="79"/>
      <c r="AK62" s="79"/>
      <c r="AL62" s="79"/>
      <c r="AM62" s="79"/>
      <c r="AN62" s="79"/>
      <c r="AO62" s="79"/>
      <c r="AP62" s="79"/>
      <c r="AQ62" s="79"/>
      <c r="AR62" s="79"/>
      <c r="AS62" s="79"/>
      <c r="AT62" s="79"/>
      <c r="AU62" s="79"/>
      <c r="AV62" s="79"/>
      <c r="AW62" s="79"/>
      <c r="AX62" s="79"/>
      <c r="AY62" s="79"/>
      <c r="AZ62" s="79"/>
    </row>
    <row r="63" spans="1:52" ht="17.100000000000001" customHeight="1">
      <c r="A63" s="79"/>
      <c r="B63" s="79"/>
      <c r="C63" s="79"/>
      <c r="D63" s="79"/>
      <c r="E63" s="79"/>
      <c r="F63" s="79"/>
      <c r="G63" s="79"/>
      <c r="H63" s="79"/>
      <c r="I63" s="79"/>
      <c r="J63" s="79"/>
      <c r="K63" s="79"/>
      <c r="L63" s="79"/>
      <c r="M63" s="79"/>
      <c r="N63" s="79"/>
      <c r="O63" s="79"/>
      <c r="P63" s="79"/>
      <c r="Q63" s="79"/>
      <c r="R63" s="79"/>
      <c r="S63" s="79"/>
      <c r="T63" s="79"/>
      <c r="U63" s="79"/>
      <c r="V63" s="79"/>
      <c r="W63" s="79"/>
      <c r="X63" s="79"/>
      <c r="Y63" s="79"/>
      <c r="Z63" s="79"/>
      <c r="AA63" s="79"/>
      <c r="AB63" s="79"/>
      <c r="AC63" s="79"/>
      <c r="AD63" s="79"/>
      <c r="AE63" s="79"/>
      <c r="AF63" s="79"/>
      <c r="AG63" s="79"/>
      <c r="AH63" s="79"/>
      <c r="AI63" s="79"/>
      <c r="AJ63" s="79"/>
      <c r="AK63" s="79"/>
      <c r="AL63" s="79"/>
      <c r="AM63" s="79"/>
      <c r="AN63" s="79"/>
      <c r="AO63" s="79"/>
      <c r="AP63" s="79"/>
      <c r="AQ63" s="79"/>
      <c r="AR63" s="79"/>
      <c r="AS63" s="79"/>
      <c r="AT63" s="79"/>
      <c r="AU63" s="79"/>
      <c r="AV63" s="79"/>
      <c r="AW63" s="79"/>
      <c r="AX63" s="79"/>
      <c r="AY63" s="79"/>
      <c r="AZ63" s="79"/>
    </row>
    <row r="64" spans="1:52" ht="17.100000000000001" customHeight="1">
      <c r="A64" s="79"/>
      <c r="B64" s="79"/>
      <c r="C64" s="79"/>
      <c r="D64" s="79"/>
      <c r="E64" s="79"/>
      <c r="F64" s="79"/>
      <c r="G64" s="79"/>
      <c r="H64" s="79"/>
      <c r="I64" s="79"/>
      <c r="J64" s="79"/>
      <c r="K64" s="79"/>
      <c r="L64" s="79"/>
      <c r="M64" s="79"/>
      <c r="N64" s="79"/>
      <c r="O64" s="79"/>
      <c r="P64" s="79"/>
      <c r="Q64" s="79"/>
      <c r="R64" s="79"/>
      <c r="S64" s="79"/>
      <c r="T64" s="79"/>
      <c r="U64" s="79"/>
      <c r="V64" s="79"/>
      <c r="W64" s="79"/>
      <c r="X64" s="79"/>
      <c r="Y64" s="79"/>
      <c r="Z64" s="79"/>
      <c r="AA64" s="79"/>
      <c r="AB64" s="79"/>
      <c r="AC64" s="79"/>
      <c r="AD64" s="79"/>
      <c r="AE64" s="79"/>
      <c r="AF64" s="79"/>
      <c r="AG64" s="79"/>
      <c r="AH64" s="79"/>
      <c r="AI64" s="79"/>
      <c r="AJ64" s="79"/>
      <c r="AK64" s="79"/>
      <c r="AL64" s="79"/>
      <c r="AM64" s="79"/>
      <c r="AN64" s="79"/>
      <c r="AO64" s="79"/>
      <c r="AP64" s="79"/>
      <c r="AQ64" s="79"/>
      <c r="AR64" s="79"/>
      <c r="AS64" s="79"/>
      <c r="AT64" s="79"/>
      <c r="AU64" s="79"/>
      <c r="AV64" s="79"/>
      <c r="AW64" s="79"/>
      <c r="AX64" s="79"/>
      <c r="AY64" s="79"/>
      <c r="AZ64" s="79"/>
    </row>
    <row r="65" spans="1:52" ht="17.100000000000001" customHeight="1">
      <c r="A65" s="79"/>
      <c r="B65" s="79"/>
      <c r="C65" s="79"/>
      <c r="D65" s="79"/>
      <c r="E65" s="79"/>
      <c r="F65" s="79"/>
      <c r="G65" s="79"/>
      <c r="H65" s="79"/>
      <c r="I65" s="79"/>
      <c r="J65" s="79"/>
      <c r="K65" s="79"/>
      <c r="L65" s="79"/>
      <c r="M65" s="79"/>
      <c r="N65" s="79"/>
      <c r="O65" s="79"/>
      <c r="P65" s="79"/>
      <c r="Q65" s="79"/>
      <c r="R65" s="79"/>
      <c r="S65" s="79"/>
      <c r="T65" s="79"/>
      <c r="U65" s="79"/>
      <c r="V65" s="79"/>
      <c r="W65" s="79"/>
      <c r="X65" s="79"/>
      <c r="Y65" s="79"/>
      <c r="Z65" s="79"/>
      <c r="AA65" s="79"/>
      <c r="AB65" s="79"/>
      <c r="AC65" s="79"/>
      <c r="AD65" s="79"/>
      <c r="AE65" s="79"/>
      <c r="AF65" s="79"/>
      <c r="AG65" s="79"/>
      <c r="AH65" s="79"/>
      <c r="AI65" s="79"/>
      <c r="AJ65" s="79"/>
      <c r="AK65" s="79"/>
      <c r="AL65" s="79"/>
      <c r="AM65" s="79"/>
      <c r="AN65" s="79"/>
      <c r="AO65" s="79"/>
      <c r="AP65" s="79"/>
      <c r="AQ65" s="79"/>
      <c r="AR65" s="79"/>
      <c r="AS65" s="79"/>
      <c r="AT65" s="79"/>
      <c r="AU65" s="79"/>
      <c r="AV65" s="79"/>
      <c r="AW65" s="79"/>
      <c r="AX65" s="79"/>
      <c r="AY65" s="79"/>
      <c r="AZ65" s="79"/>
    </row>
    <row r="66" spans="1:52" ht="17.100000000000001" customHeight="1">
      <c r="A66" s="79"/>
      <c r="B66" s="79"/>
      <c r="C66" s="79"/>
      <c r="D66" s="79"/>
      <c r="E66" s="79"/>
      <c r="F66" s="79"/>
      <c r="G66" s="79"/>
      <c r="H66" s="79"/>
      <c r="I66" s="79"/>
      <c r="J66" s="79"/>
      <c r="K66" s="79"/>
      <c r="L66" s="79"/>
      <c r="M66" s="79"/>
      <c r="N66" s="79"/>
      <c r="O66" s="79"/>
      <c r="P66" s="79"/>
      <c r="Q66" s="79"/>
      <c r="R66" s="79"/>
      <c r="S66" s="79"/>
      <c r="T66" s="79"/>
      <c r="U66" s="79"/>
      <c r="V66" s="79"/>
      <c r="W66" s="79"/>
      <c r="X66" s="79"/>
      <c r="Y66" s="79"/>
      <c r="Z66" s="79"/>
      <c r="AA66" s="79"/>
      <c r="AB66" s="79"/>
      <c r="AC66" s="79"/>
      <c r="AD66" s="79"/>
      <c r="AE66" s="79"/>
      <c r="AF66" s="79"/>
      <c r="AG66" s="79"/>
      <c r="AH66" s="79"/>
      <c r="AI66" s="79"/>
      <c r="AJ66" s="79"/>
      <c r="AK66" s="79"/>
      <c r="AL66" s="79"/>
      <c r="AM66" s="79"/>
      <c r="AN66" s="79"/>
      <c r="AO66" s="79"/>
      <c r="AP66" s="79"/>
      <c r="AQ66" s="79"/>
      <c r="AR66" s="79"/>
      <c r="AS66" s="79"/>
      <c r="AT66" s="79"/>
      <c r="AU66" s="79"/>
      <c r="AV66" s="79"/>
      <c r="AW66" s="79"/>
      <c r="AX66" s="79"/>
      <c r="AY66" s="79"/>
      <c r="AZ66" s="79"/>
    </row>
    <row r="67" spans="1:52" ht="17.100000000000001" customHeight="1">
      <c r="A67" s="79"/>
      <c r="B67" s="79"/>
      <c r="C67" s="79"/>
      <c r="D67" s="79"/>
      <c r="E67" s="79"/>
      <c r="F67" s="79"/>
      <c r="G67" s="79"/>
      <c r="H67" s="79"/>
      <c r="I67" s="79"/>
      <c r="J67" s="79"/>
      <c r="K67" s="79"/>
      <c r="L67" s="79"/>
      <c r="M67" s="79"/>
      <c r="N67" s="79"/>
      <c r="O67" s="79"/>
      <c r="P67" s="79"/>
      <c r="Q67" s="79"/>
      <c r="R67" s="79"/>
      <c r="S67" s="79"/>
      <c r="T67" s="79"/>
      <c r="U67" s="79"/>
      <c r="V67" s="79"/>
      <c r="W67" s="79"/>
      <c r="X67" s="79"/>
      <c r="Y67" s="79"/>
      <c r="Z67" s="79"/>
      <c r="AA67" s="79"/>
      <c r="AB67" s="79"/>
      <c r="AC67" s="79"/>
      <c r="AD67" s="79"/>
      <c r="AE67" s="79"/>
      <c r="AF67" s="79"/>
      <c r="AG67" s="79"/>
      <c r="AH67" s="79"/>
      <c r="AI67" s="79"/>
      <c r="AJ67" s="79"/>
      <c r="AK67" s="79"/>
      <c r="AL67" s="79"/>
      <c r="AM67" s="79"/>
      <c r="AN67" s="79"/>
      <c r="AO67" s="79"/>
      <c r="AP67" s="79"/>
      <c r="AQ67" s="79"/>
      <c r="AR67" s="79"/>
      <c r="AS67" s="79"/>
      <c r="AT67" s="79"/>
      <c r="AU67" s="79"/>
      <c r="AV67" s="79"/>
      <c r="AW67" s="79"/>
      <c r="AX67" s="79"/>
      <c r="AY67" s="79"/>
      <c r="AZ67" s="79"/>
    </row>
    <row r="68" spans="1:52" ht="17.100000000000001" customHeight="1">
      <c r="A68" s="79"/>
      <c r="B68" s="79"/>
      <c r="C68" s="79"/>
      <c r="D68" s="79"/>
      <c r="E68" s="79"/>
      <c r="F68" s="79"/>
      <c r="G68" s="79"/>
      <c r="H68" s="79"/>
      <c r="I68" s="79"/>
      <c r="J68" s="79"/>
      <c r="K68" s="79"/>
      <c r="L68" s="79"/>
      <c r="M68" s="79"/>
      <c r="N68" s="79"/>
      <c r="O68" s="79"/>
      <c r="P68" s="79"/>
      <c r="Q68" s="79"/>
      <c r="R68" s="79"/>
      <c r="S68" s="79"/>
      <c r="T68" s="79"/>
      <c r="U68" s="79"/>
      <c r="V68" s="79"/>
      <c r="W68" s="79"/>
      <c r="X68" s="79"/>
      <c r="Y68" s="79"/>
      <c r="Z68" s="79"/>
      <c r="AA68" s="79"/>
      <c r="AB68" s="79"/>
      <c r="AC68" s="79"/>
      <c r="AD68" s="79"/>
      <c r="AE68" s="79"/>
      <c r="AF68" s="79"/>
      <c r="AG68" s="79"/>
      <c r="AH68" s="79"/>
      <c r="AI68" s="79"/>
      <c r="AJ68" s="79"/>
      <c r="AK68" s="79"/>
      <c r="AL68" s="79"/>
      <c r="AM68" s="79"/>
      <c r="AN68" s="79"/>
      <c r="AO68" s="79"/>
      <c r="AP68" s="79"/>
      <c r="AQ68" s="79"/>
      <c r="AR68" s="79"/>
      <c r="AS68" s="79"/>
      <c r="AT68" s="79"/>
      <c r="AU68" s="79"/>
      <c r="AV68" s="79"/>
      <c r="AW68" s="79"/>
      <c r="AX68" s="79"/>
      <c r="AY68" s="79"/>
      <c r="AZ68" s="79"/>
    </row>
    <row r="69" spans="1:52" ht="17.100000000000001" customHeight="1">
      <c r="A69" s="79"/>
      <c r="B69" s="79"/>
      <c r="C69" s="79"/>
      <c r="D69" s="79"/>
      <c r="E69" s="79"/>
      <c r="F69" s="79"/>
      <c r="G69" s="79"/>
      <c r="H69" s="79"/>
      <c r="I69" s="79"/>
      <c r="J69" s="79"/>
      <c r="K69" s="79"/>
      <c r="L69" s="79"/>
      <c r="M69" s="79"/>
      <c r="N69" s="79"/>
      <c r="O69" s="79"/>
      <c r="P69" s="79"/>
      <c r="Q69" s="79"/>
      <c r="R69" s="79"/>
      <c r="S69" s="79"/>
      <c r="T69" s="79"/>
      <c r="U69" s="79"/>
      <c r="V69" s="79"/>
      <c r="W69" s="79"/>
      <c r="X69" s="79"/>
      <c r="Y69" s="79"/>
      <c r="Z69" s="79"/>
      <c r="AA69" s="79"/>
      <c r="AB69" s="79"/>
      <c r="AC69" s="79"/>
      <c r="AD69" s="79"/>
      <c r="AE69" s="79"/>
      <c r="AF69" s="79"/>
      <c r="AG69" s="79"/>
      <c r="AH69" s="79"/>
      <c r="AI69" s="79"/>
      <c r="AJ69" s="79"/>
      <c r="AK69" s="79"/>
      <c r="AL69" s="79"/>
      <c r="AM69" s="79"/>
      <c r="AN69" s="79"/>
      <c r="AO69" s="79"/>
      <c r="AP69" s="79"/>
      <c r="AQ69" s="79"/>
      <c r="AR69" s="79"/>
      <c r="AS69" s="79"/>
      <c r="AT69" s="79"/>
      <c r="AU69" s="79"/>
      <c r="AV69" s="79"/>
      <c r="AW69" s="79"/>
      <c r="AX69" s="79"/>
      <c r="AY69" s="79"/>
      <c r="AZ69" s="79"/>
    </row>
    <row r="70" spans="1:52" ht="17.100000000000001" customHeight="1">
      <c r="A70" s="79"/>
      <c r="B70" s="79"/>
      <c r="C70" s="79"/>
      <c r="D70" s="79"/>
      <c r="E70" s="79"/>
      <c r="F70" s="79"/>
      <c r="G70" s="79"/>
      <c r="H70" s="79"/>
      <c r="I70" s="79"/>
      <c r="J70" s="79"/>
      <c r="K70" s="79"/>
      <c r="L70" s="79"/>
      <c r="M70" s="79"/>
      <c r="N70" s="79"/>
      <c r="O70" s="79"/>
      <c r="P70" s="79"/>
      <c r="Q70" s="79"/>
      <c r="R70" s="79"/>
      <c r="S70" s="79"/>
      <c r="T70" s="79"/>
      <c r="U70" s="79"/>
      <c r="V70" s="79"/>
      <c r="W70" s="79"/>
      <c r="X70" s="79"/>
      <c r="Y70" s="79"/>
      <c r="Z70" s="79"/>
      <c r="AA70" s="79"/>
      <c r="AB70" s="79"/>
      <c r="AC70" s="79"/>
      <c r="AD70" s="79"/>
      <c r="AE70" s="79"/>
      <c r="AF70" s="79"/>
      <c r="AG70" s="79"/>
      <c r="AH70" s="79"/>
      <c r="AI70" s="79"/>
      <c r="AJ70" s="79"/>
      <c r="AK70" s="79"/>
      <c r="AL70" s="79"/>
      <c r="AM70" s="79"/>
      <c r="AN70" s="79"/>
      <c r="AO70" s="79"/>
      <c r="AP70" s="79"/>
      <c r="AQ70" s="79"/>
      <c r="AR70" s="79"/>
      <c r="AS70" s="79"/>
      <c r="AT70" s="79"/>
      <c r="AU70" s="79"/>
      <c r="AV70" s="79"/>
      <c r="AW70" s="79"/>
      <c r="AX70" s="79"/>
      <c r="AY70" s="79"/>
      <c r="AZ70" s="79"/>
    </row>
    <row r="71" spans="1:52" ht="17.100000000000001" customHeight="1">
      <c r="A71" s="79"/>
      <c r="B71" s="79"/>
      <c r="C71" s="79"/>
      <c r="D71" s="79"/>
      <c r="E71" s="79"/>
      <c r="F71" s="79"/>
      <c r="G71" s="79"/>
      <c r="H71" s="79"/>
      <c r="I71" s="79"/>
      <c r="J71" s="79"/>
      <c r="K71" s="79"/>
      <c r="L71" s="79"/>
      <c r="M71" s="79"/>
      <c r="N71" s="79"/>
      <c r="O71" s="79"/>
      <c r="P71" s="79"/>
      <c r="Q71" s="79"/>
      <c r="R71" s="79"/>
      <c r="S71" s="79"/>
      <c r="T71" s="79"/>
      <c r="U71" s="79"/>
      <c r="V71" s="79"/>
      <c r="W71" s="79"/>
      <c r="X71" s="79"/>
      <c r="Y71" s="79"/>
      <c r="Z71" s="79"/>
      <c r="AA71" s="79"/>
      <c r="AB71" s="79"/>
      <c r="AC71" s="79"/>
      <c r="AD71" s="79"/>
      <c r="AE71" s="79"/>
      <c r="AF71" s="79"/>
      <c r="AG71" s="79"/>
      <c r="AH71" s="79"/>
      <c r="AI71" s="79"/>
      <c r="AJ71" s="79"/>
      <c r="AK71" s="79"/>
      <c r="AL71" s="79"/>
      <c r="AM71" s="79"/>
      <c r="AN71" s="79"/>
      <c r="AO71" s="79"/>
      <c r="AP71" s="79"/>
      <c r="AQ71" s="79"/>
      <c r="AR71" s="79"/>
      <c r="AS71" s="79"/>
      <c r="AT71" s="79"/>
      <c r="AU71" s="79"/>
      <c r="AV71" s="79"/>
      <c r="AW71" s="79"/>
      <c r="AX71" s="79"/>
      <c r="AY71" s="79"/>
      <c r="AZ71" s="79"/>
    </row>
    <row r="72" spans="1:52" ht="17.100000000000001" customHeight="1">
      <c r="A72" s="79"/>
      <c r="B72" s="79"/>
      <c r="C72" s="79"/>
      <c r="D72" s="79"/>
      <c r="E72" s="79"/>
      <c r="F72" s="79"/>
      <c r="G72" s="79"/>
      <c r="H72" s="79"/>
      <c r="I72" s="79"/>
      <c r="J72" s="79"/>
      <c r="K72" s="79"/>
      <c r="L72" s="79"/>
      <c r="M72" s="79"/>
      <c r="N72" s="79"/>
      <c r="O72" s="79"/>
      <c r="P72" s="79"/>
      <c r="Q72" s="79"/>
      <c r="R72" s="79"/>
      <c r="S72" s="79"/>
      <c r="T72" s="79"/>
      <c r="U72" s="79"/>
      <c r="V72" s="79"/>
      <c r="W72" s="79"/>
      <c r="X72" s="79"/>
      <c r="Y72" s="79"/>
      <c r="Z72" s="79"/>
      <c r="AA72" s="79"/>
      <c r="AB72" s="79"/>
      <c r="AC72" s="79"/>
      <c r="AD72" s="79"/>
      <c r="AE72" s="79"/>
      <c r="AF72" s="79"/>
      <c r="AG72" s="79"/>
      <c r="AH72" s="79"/>
      <c r="AI72" s="79"/>
      <c r="AJ72" s="79"/>
      <c r="AK72" s="79"/>
      <c r="AL72" s="79"/>
      <c r="AM72" s="79"/>
      <c r="AN72" s="79"/>
      <c r="AO72" s="79"/>
      <c r="AP72" s="79"/>
      <c r="AQ72" s="79"/>
      <c r="AR72" s="79"/>
      <c r="AS72" s="79"/>
      <c r="AT72" s="79"/>
      <c r="AU72" s="79"/>
      <c r="AV72" s="79"/>
      <c r="AW72" s="79"/>
      <c r="AX72" s="79"/>
      <c r="AY72" s="79"/>
      <c r="AZ72" s="79"/>
    </row>
    <row r="73" spans="1:52" ht="17.100000000000001" customHeight="1">
      <c r="A73" s="79"/>
      <c r="B73" s="79"/>
      <c r="C73" s="79"/>
      <c r="D73" s="79"/>
      <c r="E73" s="79"/>
      <c r="F73" s="79"/>
      <c r="G73" s="79"/>
      <c r="H73" s="79"/>
      <c r="I73" s="79"/>
      <c r="J73" s="79"/>
      <c r="K73" s="79"/>
      <c r="L73" s="79"/>
      <c r="M73" s="79"/>
      <c r="N73" s="79"/>
      <c r="O73" s="79"/>
      <c r="P73" s="79"/>
      <c r="Q73" s="79"/>
      <c r="R73" s="79"/>
      <c r="S73" s="79"/>
      <c r="T73" s="79"/>
      <c r="U73" s="79"/>
      <c r="V73" s="79"/>
      <c r="W73" s="79"/>
      <c r="X73" s="79"/>
      <c r="Y73" s="79"/>
      <c r="Z73" s="79"/>
      <c r="AA73" s="79"/>
      <c r="AB73" s="79"/>
      <c r="AC73" s="79"/>
      <c r="AD73" s="79"/>
      <c r="AE73" s="79"/>
      <c r="AF73" s="79"/>
      <c r="AG73" s="79"/>
      <c r="AH73" s="79"/>
      <c r="AI73" s="79"/>
      <c r="AJ73" s="79"/>
      <c r="AK73" s="79"/>
      <c r="AL73" s="79"/>
      <c r="AM73" s="79"/>
      <c r="AN73" s="79"/>
      <c r="AO73" s="79"/>
      <c r="AP73" s="79"/>
      <c r="AQ73" s="79"/>
      <c r="AR73" s="79"/>
      <c r="AS73" s="79"/>
      <c r="AT73" s="79"/>
      <c r="AU73" s="79"/>
      <c r="AV73" s="79"/>
      <c r="AW73" s="79"/>
      <c r="AX73" s="79"/>
      <c r="AY73" s="79"/>
      <c r="AZ73" s="79"/>
    </row>
    <row r="74" spans="1:52" ht="17.100000000000001" customHeight="1">
      <c r="A74" s="79"/>
      <c r="B74" s="79"/>
      <c r="C74" s="79"/>
      <c r="D74" s="79"/>
      <c r="E74" s="79"/>
      <c r="F74" s="79"/>
      <c r="G74" s="79"/>
      <c r="H74" s="79"/>
      <c r="I74" s="79"/>
      <c r="J74" s="79"/>
      <c r="K74" s="79"/>
      <c r="L74" s="79"/>
      <c r="M74" s="79"/>
      <c r="N74" s="79"/>
      <c r="O74" s="79"/>
      <c r="P74" s="79"/>
      <c r="Q74" s="79"/>
      <c r="R74" s="79"/>
      <c r="S74" s="79"/>
      <c r="T74" s="79"/>
      <c r="U74" s="79"/>
      <c r="V74" s="79"/>
      <c r="W74" s="79"/>
      <c r="X74" s="79"/>
      <c r="Y74" s="79"/>
      <c r="Z74" s="79"/>
      <c r="AA74" s="79"/>
      <c r="AB74" s="79"/>
      <c r="AC74" s="79"/>
      <c r="AD74" s="79"/>
      <c r="AE74" s="79"/>
      <c r="AF74" s="79"/>
      <c r="AG74" s="79"/>
      <c r="AH74" s="79"/>
      <c r="AI74" s="79"/>
      <c r="AJ74" s="79"/>
      <c r="AK74" s="79"/>
      <c r="AL74" s="79"/>
      <c r="AM74" s="79"/>
      <c r="AN74" s="79"/>
      <c r="AO74" s="79"/>
      <c r="AP74" s="79"/>
      <c r="AQ74" s="79"/>
      <c r="AR74" s="79"/>
      <c r="AS74" s="79"/>
      <c r="AT74" s="79"/>
      <c r="AU74" s="79"/>
      <c r="AV74" s="79"/>
      <c r="AW74" s="79"/>
      <c r="AX74" s="79"/>
      <c r="AY74" s="79"/>
      <c r="AZ74" s="79"/>
    </row>
    <row r="75" spans="1:52" ht="17.100000000000001" customHeight="1">
      <c r="A75" s="79"/>
      <c r="B75" s="79"/>
      <c r="C75" s="79"/>
      <c r="D75" s="79"/>
      <c r="E75" s="79"/>
      <c r="F75" s="79"/>
      <c r="G75" s="79"/>
      <c r="H75" s="79"/>
      <c r="I75" s="79"/>
      <c r="J75" s="79"/>
      <c r="K75" s="79"/>
      <c r="L75" s="79"/>
      <c r="M75" s="79"/>
      <c r="N75" s="79"/>
      <c r="O75" s="79"/>
      <c r="P75" s="79"/>
      <c r="Q75" s="79"/>
      <c r="R75" s="79"/>
      <c r="S75" s="79"/>
      <c r="T75" s="79"/>
      <c r="U75" s="79"/>
      <c r="V75" s="79"/>
      <c r="W75" s="79"/>
      <c r="X75" s="79"/>
      <c r="Y75" s="79"/>
      <c r="Z75" s="79"/>
      <c r="AA75" s="79"/>
      <c r="AB75" s="79"/>
      <c r="AC75" s="79"/>
      <c r="AD75" s="79"/>
      <c r="AE75" s="79"/>
      <c r="AF75" s="79"/>
      <c r="AG75" s="79"/>
      <c r="AH75" s="79"/>
      <c r="AI75" s="79"/>
      <c r="AJ75" s="79"/>
      <c r="AK75" s="79"/>
      <c r="AL75" s="79"/>
      <c r="AM75" s="79"/>
      <c r="AN75" s="79"/>
      <c r="AO75" s="79"/>
      <c r="AP75" s="79"/>
      <c r="AQ75" s="79"/>
      <c r="AR75" s="79"/>
      <c r="AS75" s="79"/>
      <c r="AT75" s="79"/>
      <c r="AU75" s="79"/>
      <c r="AV75" s="79"/>
      <c r="AW75" s="79"/>
      <c r="AX75" s="79"/>
      <c r="AY75" s="79"/>
      <c r="AZ75" s="79"/>
    </row>
    <row r="76" spans="1:52" ht="17.100000000000001" customHeight="1">
      <c r="A76" s="79"/>
      <c r="B76" s="79"/>
      <c r="C76" s="79"/>
      <c r="D76" s="79"/>
      <c r="E76" s="79"/>
      <c r="F76" s="79"/>
      <c r="G76" s="79"/>
      <c r="H76" s="79"/>
      <c r="I76" s="79"/>
      <c r="J76" s="79"/>
      <c r="K76" s="79"/>
      <c r="L76" s="79"/>
      <c r="M76" s="79"/>
      <c r="N76" s="79"/>
      <c r="O76" s="79"/>
      <c r="P76" s="79"/>
      <c r="Q76" s="79"/>
      <c r="R76" s="79"/>
      <c r="S76" s="79"/>
      <c r="T76" s="79"/>
      <c r="U76" s="79"/>
      <c r="V76" s="79"/>
      <c r="W76" s="79"/>
      <c r="X76" s="79"/>
      <c r="Y76" s="79"/>
      <c r="Z76" s="79"/>
      <c r="AA76" s="79"/>
      <c r="AB76" s="79"/>
      <c r="AC76" s="79"/>
      <c r="AD76" s="79"/>
      <c r="AE76" s="79"/>
      <c r="AF76" s="79"/>
      <c r="AG76" s="79"/>
      <c r="AH76" s="79"/>
      <c r="AI76" s="79"/>
      <c r="AJ76" s="79"/>
      <c r="AK76" s="79"/>
      <c r="AL76" s="79"/>
      <c r="AM76" s="79"/>
      <c r="AN76" s="79"/>
      <c r="AO76" s="79"/>
      <c r="AP76" s="79"/>
      <c r="AQ76" s="79"/>
      <c r="AR76" s="79"/>
      <c r="AS76" s="79"/>
      <c r="AT76" s="79"/>
      <c r="AU76" s="79"/>
      <c r="AV76" s="79"/>
      <c r="AW76" s="79"/>
      <c r="AX76" s="79"/>
      <c r="AY76" s="79"/>
      <c r="AZ76" s="79"/>
    </row>
    <row r="77" spans="1:52" ht="17.100000000000001" customHeight="1">
      <c r="A77" s="79"/>
      <c r="B77" s="79"/>
      <c r="C77" s="79"/>
      <c r="D77" s="79"/>
      <c r="E77" s="79"/>
      <c r="F77" s="79"/>
      <c r="G77" s="79"/>
      <c r="H77" s="79"/>
      <c r="I77" s="79"/>
      <c r="J77" s="79"/>
      <c r="K77" s="79"/>
      <c r="L77" s="79"/>
      <c r="M77" s="79"/>
      <c r="N77" s="79"/>
      <c r="O77" s="79"/>
      <c r="P77" s="79"/>
      <c r="Q77" s="79"/>
      <c r="R77" s="79"/>
      <c r="S77" s="79"/>
      <c r="T77" s="79"/>
      <c r="U77" s="79"/>
      <c r="V77" s="79"/>
      <c r="W77" s="79"/>
      <c r="X77" s="79"/>
      <c r="Y77" s="79"/>
      <c r="Z77" s="79"/>
      <c r="AA77" s="79"/>
      <c r="AB77" s="79"/>
      <c r="AC77" s="79"/>
      <c r="AD77" s="79"/>
      <c r="AE77" s="79"/>
      <c r="AF77" s="79"/>
      <c r="AG77" s="79"/>
      <c r="AH77" s="79"/>
      <c r="AI77" s="79"/>
      <c r="AJ77" s="79"/>
      <c r="AK77" s="79"/>
      <c r="AL77" s="79"/>
      <c r="AM77" s="79"/>
      <c r="AN77" s="79"/>
      <c r="AO77" s="79"/>
      <c r="AP77" s="79"/>
      <c r="AQ77" s="79"/>
      <c r="AR77" s="79"/>
      <c r="AS77" s="79"/>
      <c r="AT77" s="79"/>
      <c r="AU77" s="79"/>
      <c r="AV77" s="79"/>
      <c r="AW77" s="79"/>
      <c r="AX77" s="79"/>
      <c r="AY77" s="79"/>
      <c r="AZ77" s="79"/>
    </row>
    <row r="78" spans="1:52" ht="17.100000000000001" customHeight="1">
      <c r="A78" s="79"/>
      <c r="B78" s="79"/>
      <c r="C78" s="79"/>
      <c r="D78" s="79"/>
      <c r="E78" s="79"/>
      <c r="F78" s="79"/>
      <c r="G78" s="79"/>
      <c r="H78" s="79"/>
      <c r="I78" s="79"/>
      <c r="J78" s="79"/>
      <c r="K78" s="79"/>
      <c r="L78" s="79"/>
      <c r="M78" s="79"/>
      <c r="N78" s="79"/>
      <c r="O78" s="79"/>
      <c r="P78" s="79"/>
      <c r="Q78" s="79"/>
      <c r="R78" s="79"/>
      <c r="S78" s="79"/>
      <c r="T78" s="79"/>
      <c r="U78" s="79"/>
      <c r="V78" s="79"/>
      <c r="W78" s="79"/>
      <c r="X78" s="79"/>
      <c r="Y78" s="79"/>
      <c r="Z78" s="79"/>
      <c r="AA78" s="79"/>
      <c r="AB78" s="79"/>
      <c r="AC78" s="79"/>
      <c r="AD78" s="79"/>
      <c r="AE78" s="79"/>
      <c r="AF78" s="79"/>
      <c r="AG78" s="79"/>
      <c r="AH78" s="79"/>
      <c r="AI78" s="79"/>
      <c r="AJ78" s="79"/>
      <c r="AK78" s="79"/>
      <c r="AL78" s="79"/>
      <c r="AM78" s="79"/>
      <c r="AN78" s="79"/>
      <c r="AO78" s="79"/>
      <c r="AP78" s="79"/>
      <c r="AQ78" s="79"/>
      <c r="AR78" s="79"/>
      <c r="AS78" s="79"/>
      <c r="AT78" s="79"/>
      <c r="AU78" s="79"/>
      <c r="AV78" s="79"/>
      <c r="AW78" s="79"/>
      <c r="AX78" s="79"/>
      <c r="AY78" s="79"/>
      <c r="AZ78" s="79"/>
    </row>
    <row r="79" spans="1:52" ht="17.100000000000001" customHeight="1">
      <c r="A79" s="79"/>
      <c r="B79" s="79"/>
      <c r="C79" s="79"/>
      <c r="D79" s="79"/>
      <c r="E79" s="79"/>
      <c r="F79" s="79"/>
      <c r="G79" s="79"/>
      <c r="H79" s="79"/>
      <c r="I79" s="79"/>
      <c r="J79" s="79"/>
      <c r="K79" s="79"/>
      <c r="L79" s="79"/>
      <c r="M79" s="79"/>
      <c r="N79" s="79"/>
      <c r="O79" s="79"/>
      <c r="P79" s="79"/>
      <c r="Q79" s="79"/>
      <c r="R79" s="79"/>
      <c r="S79" s="79"/>
      <c r="T79" s="79"/>
      <c r="U79" s="79"/>
      <c r="V79" s="79"/>
      <c r="W79" s="79"/>
      <c r="X79" s="79"/>
      <c r="Y79" s="79"/>
      <c r="Z79" s="79"/>
      <c r="AA79" s="79"/>
      <c r="AB79" s="79"/>
      <c r="AC79" s="79"/>
      <c r="AD79" s="79"/>
      <c r="AE79" s="79"/>
      <c r="AF79" s="79"/>
      <c r="AG79" s="79"/>
      <c r="AH79" s="79"/>
      <c r="AI79" s="79"/>
      <c r="AJ79" s="79"/>
      <c r="AK79" s="79"/>
      <c r="AL79" s="79"/>
      <c r="AM79" s="79"/>
      <c r="AN79" s="79"/>
      <c r="AO79" s="79"/>
      <c r="AP79" s="79"/>
      <c r="AQ79" s="79"/>
      <c r="AR79" s="79"/>
      <c r="AS79" s="79"/>
      <c r="AT79" s="79"/>
      <c r="AU79" s="79"/>
      <c r="AV79" s="79"/>
      <c r="AW79" s="79"/>
      <c r="AX79" s="79"/>
      <c r="AY79" s="79"/>
      <c r="AZ79" s="79"/>
    </row>
    <row r="80" spans="1:52" ht="17.100000000000001" customHeight="1">
      <c r="A80" s="79"/>
      <c r="B80" s="79"/>
      <c r="C80" s="79"/>
      <c r="D80" s="79"/>
      <c r="E80" s="79"/>
      <c r="F80" s="79"/>
      <c r="G80" s="79"/>
      <c r="H80" s="79"/>
      <c r="I80" s="79"/>
      <c r="J80" s="79"/>
      <c r="K80" s="79"/>
      <c r="L80" s="79"/>
      <c r="M80" s="79"/>
      <c r="N80" s="79"/>
      <c r="O80" s="79"/>
      <c r="P80" s="79"/>
      <c r="Q80" s="79"/>
      <c r="R80" s="79"/>
      <c r="S80" s="79"/>
      <c r="T80" s="79"/>
      <c r="U80" s="79"/>
      <c r="V80" s="79"/>
      <c r="W80" s="79"/>
      <c r="X80" s="79"/>
      <c r="Y80" s="79"/>
      <c r="Z80" s="79"/>
      <c r="AA80" s="79"/>
      <c r="AB80" s="79"/>
      <c r="AC80" s="79"/>
      <c r="AD80" s="79"/>
      <c r="AE80" s="79"/>
      <c r="AF80" s="79"/>
      <c r="AG80" s="79"/>
      <c r="AH80" s="79"/>
      <c r="AI80" s="79"/>
      <c r="AJ80" s="79"/>
      <c r="AK80" s="79"/>
      <c r="AL80" s="79"/>
      <c r="AM80" s="79"/>
      <c r="AN80" s="79"/>
      <c r="AO80" s="79"/>
      <c r="AP80" s="79"/>
      <c r="AQ80" s="79"/>
      <c r="AR80" s="79"/>
      <c r="AS80" s="79"/>
      <c r="AT80" s="79"/>
      <c r="AU80" s="79"/>
      <c r="AV80" s="79"/>
      <c r="AW80" s="79"/>
      <c r="AX80" s="79"/>
      <c r="AY80" s="79"/>
      <c r="AZ80" s="79"/>
    </row>
    <row r="81" spans="1:52" ht="17.100000000000001" customHeight="1">
      <c r="A81" s="79"/>
      <c r="B81" s="79"/>
      <c r="C81" s="79"/>
      <c r="D81" s="79"/>
      <c r="E81" s="79"/>
      <c r="F81" s="79"/>
      <c r="G81" s="79"/>
      <c r="H81" s="79"/>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c r="AO81" s="79"/>
      <c r="AP81" s="79"/>
      <c r="AQ81" s="79"/>
      <c r="AR81" s="79"/>
      <c r="AS81" s="79"/>
      <c r="AT81" s="79"/>
      <c r="AU81" s="79"/>
      <c r="AV81" s="79"/>
      <c r="AW81" s="79"/>
      <c r="AX81" s="79"/>
      <c r="AY81" s="79"/>
      <c r="AZ81" s="79"/>
    </row>
    <row r="82" spans="1:52" ht="17.100000000000001" customHeight="1">
      <c r="A82" s="79"/>
      <c r="B82" s="79"/>
      <c r="C82" s="79"/>
      <c r="D82" s="79"/>
      <c r="E82" s="79"/>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79"/>
      <c r="AI82" s="79"/>
      <c r="AJ82" s="79"/>
      <c r="AK82" s="79"/>
      <c r="AL82" s="79"/>
      <c r="AM82" s="79"/>
      <c r="AN82" s="79"/>
      <c r="AO82" s="79"/>
      <c r="AP82" s="79"/>
      <c r="AQ82" s="79"/>
      <c r="AR82" s="79"/>
      <c r="AS82" s="79"/>
      <c r="AT82" s="79"/>
      <c r="AU82" s="79"/>
      <c r="AV82" s="79"/>
      <c r="AW82" s="79"/>
      <c r="AX82" s="79"/>
      <c r="AY82" s="79"/>
      <c r="AZ82" s="79"/>
    </row>
    <row r="83" spans="1:52" ht="17.100000000000001" customHeight="1">
      <c r="A83" s="79"/>
      <c r="B83" s="95"/>
      <c r="C83" s="94">
        <f>C20</f>
        <v>2015</v>
      </c>
      <c r="D83" s="94">
        <f t="shared" ref="D83:J83" si="2">D20</f>
        <v>2016</v>
      </c>
      <c r="E83" s="94">
        <f t="shared" si="2"/>
        <v>2017</v>
      </c>
      <c r="F83" s="94">
        <f t="shared" si="2"/>
        <v>2018</v>
      </c>
      <c r="G83" s="94">
        <f t="shared" si="2"/>
        <v>2019</v>
      </c>
      <c r="H83" s="94" t="str">
        <f t="shared" si="2"/>
        <v>2020E</v>
      </c>
      <c r="I83" s="94" t="str">
        <f t="shared" si="2"/>
        <v>2021E</v>
      </c>
      <c r="J83" s="94" t="str">
        <f t="shared" si="2"/>
        <v>2022E</v>
      </c>
      <c r="K83" s="79"/>
      <c r="L83" s="79"/>
      <c r="M83" s="79"/>
      <c r="N83" s="79"/>
      <c r="O83" s="79"/>
      <c r="P83" s="79"/>
      <c r="Q83" s="79"/>
      <c r="R83" s="79"/>
      <c r="S83" s="79"/>
      <c r="T83" s="79"/>
      <c r="U83" s="79"/>
      <c r="V83" s="79"/>
      <c r="W83" s="79"/>
      <c r="X83" s="79"/>
      <c r="Y83" s="79"/>
      <c r="Z83" s="79"/>
      <c r="AA83" s="79"/>
      <c r="AB83" s="79"/>
      <c r="AC83" s="79"/>
      <c r="AD83" s="79"/>
      <c r="AE83" s="79"/>
      <c r="AF83" s="79"/>
      <c r="AG83" s="79"/>
      <c r="AH83" s="79"/>
      <c r="AI83" s="79"/>
      <c r="AJ83" s="79"/>
      <c r="AK83" s="79"/>
      <c r="AL83" s="79"/>
      <c r="AM83" s="79"/>
      <c r="AN83" s="79"/>
      <c r="AO83" s="79"/>
      <c r="AP83" s="79"/>
      <c r="AQ83" s="79"/>
      <c r="AR83" s="79"/>
      <c r="AS83" s="79"/>
      <c r="AT83" s="79"/>
      <c r="AU83" s="79"/>
      <c r="AV83" s="79"/>
      <c r="AW83" s="79"/>
      <c r="AX83" s="79"/>
      <c r="AY83" s="79"/>
      <c r="AZ83" s="79"/>
    </row>
    <row r="84" spans="1:52" ht="17.100000000000001" customHeight="1">
      <c r="A84" s="79"/>
      <c r="B84" s="105" t="s">
        <v>162</v>
      </c>
      <c r="C84" s="88">
        <f>财务分析!C58</f>
        <v>0.11715584841784456</v>
      </c>
      <c r="D84" s="88">
        <f>财务分析!D58</f>
        <v>0.1191783245315494</v>
      </c>
      <c r="E84" s="88">
        <f>财务分析!E58</f>
        <v>0.11826779685764155</v>
      </c>
      <c r="F84" s="88">
        <f>财务分析!F58</f>
        <v>0.13943688879460628</v>
      </c>
      <c r="G84" s="88">
        <f>财务分析!G58</f>
        <v>0.21382788296565858</v>
      </c>
      <c r="H84" s="127">
        <f ca="1">财务分析!H58</f>
        <v>0.30444336832627567</v>
      </c>
      <c r="I84" s="127">
        <f ca="1">财务分析!I58</f>
        <v>0.57970296979575875</v>
      </c>
      <c r="J84" s="127">
        <f ca="1">财务分析!J58</f>
        <v>0.80334377612644048</v>
      </c>
      <c r="K84" s="79"/>
      <c r="L84" s="79"/>
      <c r="M84" s="79"/>
      <c r="N84" s="79"/>
      <c r="O84" s="79"/>
      <c r="P84" s="79"/>
      <c r="Q84" s="79"/>
      <c r="R84" s="79"/>
      <c r="S84" s="79"/>
      <c r="T84" s="79"/>
      <c r="U84" s="79"/>
      <c r="V84" s="79"/>
      <c r="W84" s="79"/>
      <c r="X84" s="79"/>
      <c r="Y84" s="79"/>
      <c r="Z84" s="79"/>
      <c r="AA84" s="79"/>
      <c r="AB84" s="79"/>
      <c r="AC84" s="79"/>
      <c r="AD84" s="79"/>
      <c r="AE84" s="79"/>
      <c r="AF84" s="79"/>
      <c r="AG84" s="79"/>
      <c r="AH84" s="79"/>
      <c r="AI84" s="79"/>
      <c r="AJ84" s="79"/>
      <c r="AK84" s="79"/>
      <c r="AL84" s="79"/>
      <c r="AM84" s="79"/>
      <c r="AN84" s="79"/>
      <c r="AO84" s="79"/>
      <c r="AP84" s="79"/>
      <c r="AQ84" s="79"/>
      <c r="AR84" s="79"/>
      <c r="AS84" s="79"/>
      <c r="AT84" s="79"/>
      <c r="AU84" s="79"/>
      <c r="AV84" s="79"/>
      <c r="AW84" s="79"/>
      <c r="AX84" s="79"/>
      <c r="AY84" s="79"/>
      <c r="AZ84" s="79"/>
    </row>
    <row r="85" spans="1:52" ht="17.100000000000001" customHeight="1">
      <c r="A85" s="79"/>
      <c r="B85" s="95"/>
      <c r="C85" s="98"/>
      <c r="D85" s="98"/>
      <c r="E85" s="98"/>
      <c r="F85" s="98"/>
      <c r="G85" s="98"/>
      <c r="H85" s="100"/>
      <c r="I85" s="100"/>
      <c r="J85" s="100"/>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c r="AT85" s="79"/>
      <c r="AU85" s="79"/>
      <c r="AV85" s="79"/>
      <c r="AW85" s="79"/>
      <c r="AX85" s="79"/>
      <c r="AY85" s="79"/>
      <c r="AZ85" s="79"/>
    </row>
    <row r="86" spans="1:52" ht="17.100000000000001" customHeight="1">
      <c r="A86" s="79"/>
      <c r="B86" s="105" t="s">
        <v>705</v>
      </c>
      <c r="C86" s="97">
        <f>公司说明!$E$6</f>
        <v>22827.168000000001</v>
      </c>
      <c r="D86" s="97">
        <f>公司说明!$E$6</f>
        <v>22827.168000000001</v>
      </c>
      <c r="E86" s="97">
        <f>公司说明!$E$6</f>
        <v>22827.168000000001</v>
      </c>
      <c r="F86" s="97">
        <f>公司说明!$E$6</f>
        <v>22827.168000000001</v>
      </c>
      <c r="G86" s="97">
        <f>公司说明!$E$6</f>
        <v>22827.168000000001</v>
      </c>
      <c r="H86" s="128">
        <f>公司说明!$E$6</f>
        <v>22827.168000000001</v>
      </c>
      <c r="I86" s="128">
        <f>公司说明!$E$6</f>
        <v>22827.168000000001</v>
      </c>
      <c r="J86" s="128">
        <f>公司说明!$E$6</f>
        <v>22827.168000000001</v>
      </c>
      <c r="K86" s="79"/>
      <c r="L86" s="79"/>
      <c r="M86" s="79"/>
      <c r="N86" s="79"/>
      <c r="O86" s="79"/>
      <c r="P86" s="79"/>
      <c r="Q86" s="79"/>
      <c r="R86" s="79"/>
      <c r="S86" s="79"/>
      <c r="T86" s="79"/>
      <c r="U86" s="79"/>
      <c r="V86" s="79"/>
      <c r="W86" s="79"/>
      <c r="X86" s="79"/>
      <c r="Y86" s="79"/>
      <c r="Z86" s="79"/>
      <c r="AA86" s="79"/>
      <c r="AB86" s="79"/>
      <c r="AC86" s="79"/>
      <c r="AD86" s="79"/>
      <c r="AE86" s="79"/>
      <c r="AF86" s="79"/>
      <c r="AG86" s="79"/>
      <c r="AH86" s="79"/>
      <c r="AI86" s="79"/>
      <c r="AJ86" s="79"/>
      <c r="AK86" s="79"/>
      <c r="AL86" s="79"/>
      <c r="AM86" s="79"/>
      <c r="AN86" s="79"/>
      <c r="AO86" s="79"/>
      <c r="AP86" s="79"/>
      <c r="AQ86" s="79"/>
      <c r="AR86" s="79"/>
      <c r="AS86" s="79"/>
      <c r="AT86" s="79"/>
      <c r="AU86" s="79"/>
      <c r="AV86" s="79"/>
      <c r="AW86" s="79"/>
      <c r="AX86" s="79"/>
      <c r="AY86" s="79"/>
      <c r="AZ86" s="79"/>
    </row>
    <row r="87" spans="1:52" ht="17.100000000000001" customHeight="1">
      <c r="A87" s="79"/>
      <c r="B87" s="105" t="s">
        <v>794</v>
      </c>
      <c r="C87" s="97">
        <f>财务分析!C140</f>
        <v>19.085265039999999</v>
      </c>
      <c r="D87" s="97">
        <f>财务分析!D140</f>
        <v>16.740403010000001</v>
      </c>
      <c r="E87" s="97">
        <f>财务分析!E140</f>
        <v>14.39554098</v>
      </c>
      <c r="F87" s="97">
        <f>财务分析!F140</f>
        <v>30.458938170000003</v>
      </c>
      <c r="G87" s="97">
        <f>财务分析!G140</f>
        <v>934.23557115999995</v>
      </c>
      <c r="H87" s="128">
        <f ca="1">财务分析!H140</f>
        <v>1320.4022949746172</v>
      </c>
      <c r="I87" s="128">
        <f ca="1">财务分析!I140</f>
        <v>3706.4781803658402</v>
      </c>
      <c r="J87" s="128">
        <f ca="1">财务分析!J140</f>
        <v>5959.6485963835376</v>
      </c>
      <c r="K87" s="79"/>
      <c r="L87" s="79"/>
      <c r="M87" s="79"/>
      <c r="N87" s="79"/>
      <c r="O87" s="79"/>
      <c r="P87" s="79"/>
      <c r="Q87" s="79"/>
      <c r="R87" s="79"/>
      <c r="S87" s="79"/>
      <c r="T87" s="79"/>
      <c r="U87" s="79"/>
      <c r="V87" s="79"/>
      <c r="W87" s="79"/>
      <c r="X87" s="79"/>
      <c r="Y87" s="79"/>
      <c r="Z87" s="79"/>
      <c r="AA87" s="79"/>
      <c r="AB87" s="79"/>
      <c r="AC87" s="79"/>
      <c r="AD87" s="79"/>
      <c r="AE87" s="79"/>
      <c r="AF87" s="79"/>
      <c r="AG87" s="79"/>
      <c r="AH87" s="79"/>
      <c r="AI87" s="79"/>
      <c r="AJ87" s="79"/>
      <c r="AK87" s="79"/>
      <c r="AL87" s="79"/>
      <c r="AM87" s="79"/>
      <c r="AN87" s="79"/>
      <c r="AO87" s="79"/>
      <c r="AP87" s="79"/>
      <c r="AQ87" s="79"/>
      <c r="AR87" s="79"/>
      <c r="AS87" s="79"/>
      <c r="AT87" s="79"/>
      <c r="AU87" s="79"/>
      <c r="AV87" s="79"/>
      <c r="AW87" s="79"/>
      <c r="AX87" s="79"/>
      <c r="AY87" s="79"/>
      <c r="AZ87" s="79"/>
    </row>
    <row r="88" spans="1:52" ht="17.100000000000001" customHeight="1">
      <c r="A88" s="79"/>
      <c r="B88" s="105" t="s">
        <v>795</v>
      </c>
      <c r="C88" s="88">
        <f>C87/C86</f>
        <v>8.3607677658481322E-4</v>
      </c>
      <c r="D88" s="88">
        <f t="shared" ref="D88:J88" si="3">D87/D86</f>
        <v>7.3335435258548064E-4</v>
      </c>
      <c r="E88" s="88">
        <f t="shared" si="3"/>
        <v>6.3063192858614785E-4</v>
      </c>
      <c r="F88" s="88">
        <f t="shared" si="3"/>
        <v>1.3343283831792013E-3</v>
      </c>
      <c r="G88" s="88">
        <f t="shared" si="3"/>
        <v>4.0926477220476931E-2</v>
      </c>
      <c r="H88" s="127">
        <f t="shared" ca="1" si="3"/>
        <v>5.7843456313749354E-2</v>
      </c>
      <c r="I88" s="127">
        <f t="shared" ca="1" si="3"/>
        <v>0.16237135418488355</v>
      </c>
      <c r="J88" s="127">
        <f t="shared" ca="1" si="3"/>
        <v>0.26107700247282262</v>
      </c>
      <c r="K88" s="79"/>
      <c r="L88" s="79"/>
      <c r="M88" s="79"/>
      <c r="N88" s="79"/>
      <c r="O88" s="79"/>
      <c r="P88" s="79"/>
      <c r="Q88" s="79"/>
      <c r="R88" s="79"/>
      <c r="S88" s="79"/>
      <c r="T88" s="79"/>
      <c r="U88" s="79"/>
      <c r="V88" s="79"/>
      <c r="W88" s="79"/>
      <c r="X88" s="79"/>
      <c r="Y88" s="79"/>
      <c r="Z88" s="79"/>
      <c r="AA88" s="79"/>
      <c r="AB88" s="79"/>
      <c r="AC88" s="79"/>
      <c r="AD88" s="79"/>
      <c r="AE88" s="79"/>
      <c r="AF88" s="79"/>
      <c r="AG88" s="79"/>
      <c r="AH88" s="79"/>
      <c r="AI88" s="79"/>
      <c r="AJ88" s="79"/>
      <c r="AK88" s="79"/>
      <c r="AL88" s="79"/>
      <c r="AM88" s="79"/>
      <c r="AN88" s="79"/>
      <c r="AO88" s="79"/>
      <c r="AP88" s="79"/>
      <c r="AQ88" s="79"/>
      <c r="AR88" s="79"/>
      <c r="AS88" s="79"/>
      <c r="AT88" s="79"/>
      <c r="AU88" s="79"/>
      <c r="AV88" s="79"/>
      <c r="AW88" s="79"/>
      <c r="AX88" s="79"/>
      <c r="AY88" s="79"/>
      <c r="AZ88" s="79"/>
    </row>
    <row r="89" spans="1:52" ht="17.100000000000001" customHeight="1">
      <c r="A89" s="79"/>
      <c r="B89" s="95"/>
      <c r="C89" s="96"/>
      <c r="D89" s="96"/>
      <c r="E89" s="96"/>
      <c r="F89" s="96"/>
      <c r="G89" s="96"/>
      <c r="H89" s="96"/>
      <c r="I89" s="96"/>
      <c r="J89" s="96"/>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c r="AO89" s="79"/>
      <c r="AP89" s="79"/>
      <c r="AQ89" s="79"/>
      <c r="AR89" s="79"/>
      <c r="AS89" s="79"/>
      <c r="AT89" s="79"/>
      <c r="AU89" s="79"/>
      <c r="AV89" s="79"/>
      <c r="AW89" s="79"/>
      <c r="AX89" s="79"/>
      <c r="AY89" s="79"/>
      <c r="AZ89" s="79"/>
    </row>
    <row r="90" spans="1:52" ht="17.100000000000001" customHeight="1">
      <c r="A90" s="79"/>
      <c r="B90" s="105" t="s">
        <v>796</v>
      </c>
      <c r="C90" s="163">
        <f>利润表!I75</f>
        <v>0</v>
      </c>
      <c r="D90" s="163" t="e">
        <f>利润表!J75</f>
        <v>#DIV/0!</v>
      </c>
      <c r="E90" s="163" t="e">
        <f>利润表!K75</f>
        <v>#DIV/0!</v>
      </c>
      <c r="F90" s="163">
        <f>利润表!L75</f>
        <v>25.960103233517639</v>
      </c>
      <c r="G90" s="163">
        <f>利润表!M75</f>
        <v>3.0271644326059857</v>
      </c>
      <c r="H90" s="164">
        <f>利润表!N75</f>
        <v>3.0271644326059857</v>
      </c>
      <c r="I90" s="164">
        <f>利润表!O75</f>
        <v>3.0271644326059857</v>
      </c>
      <c r="J90" s="164">
        <f>利润表!P75</f>
        <v>3.0271644326059857</v>
      </c>
      <c r="K90" s="79"/>
      <c r="L90" s="79"/>
      <c r="M90" s="79"/>
      <c r="N90" s="79"/>
      <c r="O90" s="79"/>
      <c r="P90" s="79"/>
      <c r="Q90" s="79"/>
      <c r="R90" s="79"/>
      <c r="S90" s="79"/>
      <c r="T90" s="79"/>
      <c r="U90" s="79"/>
      <c r="V90" s="79"/>
      <c r="W90" s="79"/>
      <c r="X90" s="79"/>
      <c r="Y90" s="79"/>
      <c r="Z90" s="79"/>
      <c r="AA90" s="79"/>
      <c r="AB90" s="79"/>
      <c r="AC90" s="79"/>
      <c r="AD90" s="79"/>
      <c r="AE90" s="79"/>
      <c r="AF90" s="79"/>
      <c r="AG90" s="79"/>
      <c r="AH90" s="79"/>
      <c r="AI90" s="79"/>
      <c r="AJ90" s="79"/>
      <c r="AK90" s="79"/>
      <c r="AL90" s="79"/>
      <c r="AM90" s="79"/>
      <c r="AN90" s="79"/>
      <c r="AO90" s="79"/>
      <c r="AP90" s="79"/>
      <c r="AQ90" s="79"/>
      <c r="AR90" s="79"/>
      <c r="AS90" s="79"/>
      <c r="AT90" s="79"/>
      <c r="AU90" s="79"/>
      <c r="AV90" s="79"/>
      <c r="AW90" s="79"/>
      <c r="AX90" s="79"/>
      <c r="AY90" s="79"/>
      <c r="AZ90" s="79"/>
    </row>
    <row r="91" spans="1:52" ht="17.100000000000001" customHeight="1">
      <c r="A91" s="79"/>
      <c r="B91" s="105" t="s">
        <v>165</v>
      </c>
      <c r="C91" s="88">
        <f>利润表!I119</f>
        <v>0.15703650723921384</v>
      </c>
      <c r="D91" s="88">
        <f>利润表!J111</f>
        <v>0.24533843190602894</v>
      </c>
      <c r="E91" s="88">
        <f>利润表!K111</f>
        <v>0.14764383586000268</v>
      </c>
      <c r="F91" s="88">
        <f>利润表!L111</f>
        <v>0.17846507505098161</v>
      </c>
      <c r="G91" s="88">
        <f>利润表!M111</f>
        <v>0.1715641672087854</v>
      </c>
      <c r="H91" s="21">
        <f ca="1">利润表!N111</f>
        <v>-0.21671523383946084</v>
      </c>
      <c r="I91" s="21">
        <f ca="1">利润表!O111</f>
        <v>-0.25745388905108463</v>
      </c>
      <c r="J91" s="21">
        <f ca="1">利润表!P111</f>
        <v>-0.25595837519617298</v>
      </c>
      <c r="K91" s="79"/>
      <c r="L91" s="79"/>
      <c r="M91" s="79"/>
      <c r="N91" s="79"/>
      <c r="O91" s="79"/>
      <c r="P91" s="79"/>
      <c r="Q91" s="79"/>
      <c r="R91" s="79"/>
      <c r="S91" s="79"/>
      <c r="T91" s="79"/>
      <c r="U91" s="79"/>
      <c r="V91" s="79"/>
      <c r="W91" s="79"/>
      <c r="X91" s="79"/>
      <c r="Y91" s="79"/>
      <c r="Z91" s="79"/>
      <c r="AA91" s="79"/>
      <c r="AB91" s="79"/>
      <c r="AC91" s="79"/>
      <c r="AD91" s="79"/>
      <c r="AE91" s="79"/>
      <c r="AF91" s="79"/>
      <c r="AG91" s="79"/>
      <c r="AH91" s="79"/>
      <c r="AI91" s="79"/>
      <c r="AJ91" s="79"/>
      <c r="AK91" s="79"/>
      <c r="AL91" s="79"/>
      <c r="AM91" s="79"/>
      <c r="AN91" s="79"/>
      <c r="AO91" s="79"/>
      <c r="AP91" s="79"/>
      <c r="AQ91" s="79"/>
      <c r="AR91" s="79"/>
      <c r="AS91" s="79"/>
      <c r="AT91" s="79"/>
      <c r="AU91" s="79"/>
      <c r="AV91" s="79"/>
      <c r="AW91" s="79"/>
      <c r="AX91" s="79"/>
      <c r="AY91" s="79"/>
      <c r="AZ91" s="79"/>
    </row>
    <row r="92" spans="1:52" ht="17.100000000000001" customHeight="1">
      <c r="A92" s="79"/>
      <c r="B92" s="95"/>
      <c r="C92" s="96"/>
      <c r="D92" s="96"/>
      <c r="E92" s="96"/>
      <c r="F92" s="96"/>
      <c r="G92" s="96"/>
      <c r="H92" s="96"/>
      <c r="I92" s="96"/>
      <c r="J92" s="96"/>
      <c r="K92" s="79"/>
      <c r="L92" s="79"/>
      <c r="M92" s="79"/>
      <c r="N92" s="79"/>
      <c r="O92" s="79"/>
      <c r="P92" s="79"/>
      <c r="Q92" s="79"/>
      <c r="R92" s="79"/>
      <c r="S92" s="79"/>
      <c r="T92" s="79"/>
      <c r="U92" s="79"/>
      <c r="V92" s="79"/>
      <c r="W92" s="79"/>
      <c r="X92" s="79"/>
      <c r="Y92" s="79"/>
      <c r="Z92" s="79"/>
      <c r="AA92" s="79"/>
      <c r="AB92" s="79"/>
      <c r="AC92" s="79"/>
      <c r="AD92" s="79"/>
      <c r="AE92" s="79"/>
      <c r="AF92" s="79"/>
      <c r="AG92" s="79"/>
      <c r="AH92" s="79"/>
      <c r="AI92" s="79"/>
      <c r="AJ92" s="79"/>
      <c r="AK92" s="79"/>
      <c r="AL92" s="79"/>
      <c r="AM92" s="79"/>
      <c r="AN92" s="79"/>
      <c r="AO92" s="79"/>
      <c r="AP92" s="79"/>
      <c r="AQ92" s="79"/>
      <c r="AR92" s="79"/>
      <c r="AS92" s="79"/>
      <c r="AT92" s="79"/>
      <c r="AU92" s="79"/>
      <c r="AV92" s="79"/>
      <c r="AW92" s="79"/>
      <c r="AX92" s="79"/>
      <c r="AY92" s="79"/>
      <c r="AZ92" s="79"/>
    </row>
    <row r="93" spans="1:52" ht="17.100000000000001" customHeight="1">
      <c r="A93" s="79"/>
      <c r="B93" s="105" t="s">
        <v>716</v>
      </c>
      <c r="C93" s="129">
        <f>财务分析!C140+财务分析!C146</f>
        <v>4287.6252770600004</v>
      </c>
      <c r="D93" s="129">
        <f>财务分析!D140+财务分析!D146</f>
        <v>4858.1913671299999</v>
      </c>
      <c r="E93" s="129">
        <f>财务分析!E140+财务分析!E146</f>
        <v>5043.2360580099994</v>
      </c>
      <c r="F93" s="129">
        <f>财务分析!F140+财务分析!F146</f>
        <v>5586.1836429499999</v>
      </c>
      <c r="G93" s="129">
        <f>财务分析!G140+财务分析!G146</f>
        <v>7463.4790776499995</v>
      </c>
      <c r="H93" s="130">
        <f ca="1">财务分析!H140+财务分析!H146</f>
        <v>6259.9561542029405</v>
      </c>
      <c r="I93" s="130">
        <f ca="1">财务分析!I140+财务分析!I146</f>
        <v>7003.9521680561102</v>
      </c>
      <c r="J93" s="128">
        <f ca="1">财务分析!J140+财务分析!J146</f>
        <v>7624.5813262572565</v>
      </c>
      <c r="K93" s="79"/>
      <c r="L93" s="79"/>
      <c r="M93" s="79"/>
      <c r="N93" s="79"/>
      <c r="O93" s="79"/>
      <c r="P93" s="79"/>
      <c r="Q93" s="79"/>
      <c r="R93" s="79"/>
      <c r="S93" s="79"/>
      <c r="T93" s="79"/>
      <c r="U93" s="79"/>
      <c r="V93" s="79"/>
      <c r="W93" s="79"/>
      <c r="X93" s="79"/>
      <c r="Y93" s="79"/>
      <c r="Z93" s="79"/>
      <c r="AA93" s="79"/>
      <c r="AB93" s="79"/>
      <c r="AC93" s="79"/>
      <c r="AD93" s="79"/>
      <c r="AE93" s="79"/>
      <c r="AF93" s="79"/>
      <c r="AG93" s="79"/>
      <c r="AH93" s="79"/>
      <c r="AI93" s="79"/>
      <c r="AJ93" s="79"/>
      <c r="AK93" s="79"/>
      <c r="AL93" s="79"/>
      <c r="AM93" s="79"/>
      <c r="AN93" s="79"/>
      <c r="AO93" s="79"/>
      <c r="AP93" s="79"/>
      <c r="AQ93" s="79"/>
      <c r="AR93" s="79"/>
      <c r="AS93" s="79"/>
      <c r="AT93" s="79"/>
      <c r="AU93" s="79"/>
      <c r="AV93" s="79"/>
      <c r="AW93" s="79"/>
      <c r="AX93" s="79"/>
      <c r="AY93" s="79"/>
      <c r="AZ93" s="79"/>
    </row>
    <row r="94" spans="1:52" ht="17.100000000000001" customHeight="1">
      <c r="A94" s="79"/>
      <c r="B94" s="105" t="s">
        <v>794</v>
      </c>
      <c r="C94" s="129">
        <f>财务分析!C140</f>
        <v>19.085265039999999</v>
      </c>
      <c r="D94" s="129">
        <f>财务分析!D140</f>
        <v>16.740403010000001</v>
      </c>
      <c r="E94" s="129">
        <f>财务分析!E140</f>
        <v>14.39554098</v>
      </c>
      <c r="F94" s="129">
        <f>财务分析!F140</f>
        <v>30.458938170000003</v>
      </c>
      <c r="G94" s="129">
        <f>财务分析!G140</f>
        <v>934.23557115999995</v>
      </c>
      <c r="H94" s="130">
        <f ca="1">财务分析!H140</f>
        <v>1320.4022949746172</v>
      </c>
      <c r="I94" s="130">
        <f ca="1">财务分析!I140</f>
        <v>3706.4781803658402</v>
      </c>
      <c r="J94" s="128">
        <f ca="1">财务分析!J140</f>
        <v>5959.6485963835376</v>
      </c>
      <c r="K94" s="79"/>
      <c r="L94" s="79"/>
      <c r="M94" s="79"/>
      <c r="N94" s="79"/>
      <c r="O94" s="79"/>
      <c r="P94" s="79"/>
      <c r="Q94" s="79"/>
      <c r="R94" s="79"/>
      <c r="S94" s="79"/>
      <c r="T94" s="79"/>
      <c r="U94" s="79"/>
      <c r="V94" s="79"/>
      <c r="W94" s="79"/>
      <c r="X94" s="79"/>
      <c r="Y94" s="79"/>
      <c r="Z94" s="79"/>
      <c r="AA94" s="79"/>
      <c r="AB94" s="79"/>
      <c r="AC94" s="79"/>
      <c r="AD94" s="79"/>
      <c r="AE94" s="79"/>
      <c r="AF94" s="79"/>
      <c r="AG94" s="79"/>
      <c r="AH94" s="79"/>
      <c r="AI94" s="79"/>
      <c r="AJ94" s="79"/>
      <c r="AK94" s="79"/>
      <c r="AL94" s="79"/>
      <c r="AM94" s="79"/>
      <c r="AN94" s="79"/>
      <c r="AO94" s="79"/>
      <c r="AP94" s="79"/>
      <c r="AQ94" s="79"/>
      <c r="AR94" s="79"/>
      <c r="AS94" s="79"/>
      <c r="AT94" s="79"/>
      <c r="AU94" s="79"/>
      <c r="AV94" s="79"/>
      <c r="AW94" s="79"/>
      <c r="AX94" s="79"/>
      <c r="AY94" s="79"/>
      <c r="AZ94" s="79"/>
    </row>
    <row r="95" spans="1:52" ht="17.100000000000001" customHeight="1">
      <c r="A95" s="79"/>
      <c r="B95" s="105" t="s">
        <v>797</v>
      </c>
      <c r="C95" s="131">
        <f>C94/C93</f>
        <v>4.4512437087521452E-3</v>
      </c>
      <c r="D95" s="131">
        <f t="shared" ref="D95:J95" si="4">D94/D93</f>
        <v>3.4458097149617792E-3</v>
      </c>
      <c r="E95" s="131">
        <f t="shared" si="4"/>
        <v>2.8544253757735679E-3</v>
      </c>
      <c r="F95" s="131">
        <f t="shared" si="4"/>
        <v>5.4525486659287459E-3</v>
      </c>
      <c r="G95" s="131">
        <f t="shared" si="4"/>
        <v>0.12517427347758567</v>
      </c>
      <c r="H95" s="132">
        <f t="shared" ca="1" si="4"/>
        <v>0.21092836154900188</v>
      </c>
      <c r="I95" s="132">
        <f t="shared" ca="1" si="4"/>
        <v>0.52919810007705159</v>
      </c>
      <c r="J95" s="127">
        <f t="shared" ca="1" si="4"/>
        <v>0.78163617664617413</v>
      </c>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c r="AM95" s="79"/>
      <c r="AN95" s="79"/>
      <c r="AO95" s="79"/>
      <c r="AP95" s="79"/>
      <c r="AQ95" s="79"/>
      <c r="AR95" s="79"/>
      <c r="AS95" s="79"/>
      <c r="AT95" s="79"/>
      <c r="AU95" s="79"/>
      <c r="AV95" s="79"/>
      <c r="AW95" s="79"/>
      <c r="AX95" s="79"/>
      <c r="AY95" s="79"/>
      <c r="AZ95" s="79"/>
    </row>
    <row r="96" spans="1:52" ht="17.100000000000001" customHeight="1">
      <c r="A96" s="79"/>
      <c r="B96" s="105" t="s">
        <v>798</v>
      </c>
      <c r="C96" s="131">
        <f>C94/(C93-C94)</f>
        <v>4.4711458686709799E-3</v>
      </c>
      <c r="D96" s="131">
        <f t="shared" ref="D96:J96" si="5">D94/(D93-D94)</f>
        <v>3.4577243752055222E-3</v>
      </c>
      <c r="E96" s="131">
        <f t="shared" si="5"/>
        <v>2.8625964437030732E-3</v>
      </c>
      <c r="F96" s="131">
        <f t="shared" si="5"/>
        <v>5.4824419474553748E-3</v>
      </c>
      <c r="G96" s="131">
        <f t="shared" si="5"/>
        <v>0.14308481070301324</v>
      </c>
      <c r="H96" s="132">
        <f t="shared" ca="1" si="5"/>
        <v>0.26731205542131609</v>
      </c>
      <c r="I96" s="132">
        <f t="shared" ca="1" si="5"/>
        <v>1.1240356085301704</v>
      </c>
      <c r="J96" s="127">
        <f t="shared" ca="1" si="5"/>
        <v>3.5795131475585578</v>
      </c>
      <c r="K96" s="79"/>
      <c r="L96" s="79"/>
      <c r="M96" s="79"/>
      <c r="N96" s="79"/>
      <c r="O96" s="79"/>
      <c r="P96" s="79"/>
      <c r="Q96" s="79"/>
      <c r="R96" s="79"/>
      <c r="S96" s="79"/>
      <c r="T96" s="79"/>
      <c r="U96" s="79"/>
      <c r="V96" s="79"/>
      <c r="W96" s="79"/>
      <c r="X96" s="79"/>
      <c r="Y96" s="79"/>
      <c r="Z96" s="79"/>
      <c r="AA96" s="79"/>
      <c r="AB96" s="79"/>
      <c r="AC96" s="79"/>
      <c r="AD96" s="79"/>
      <c r="AE96" s="79"/>
      <c r="AF96" s="79"/>
      <c r="AG96" s="79"/>
      <c r="AH96" s="79"/>
      <c r="AI96" s="79"/>
      <c r="AJ96" s="79"/>
      <c r="AK96" s="79"/>
      <c r="AL96" s="79"/>
      <c r="AM96" s="79"/>
      <c r="AN96" s="79"/>
      <c r="AO96" s="79"/>
      <c r="AP96" s="79"/>
      <c r="AQ96" s="79"/>
      <c r="AR96" s="79"/>
      <c r="AS96" s="79"/>
      <c r="AT96" s="79"/>
      <c r="AU96" s="79"/>
      <c r="AV96" s="79"/>
      <c r="AW96" s="79"/>
      <c r="AX96" s="79"/>
      <c r="AY96" s="79"/>
      <c r="AZ96" s="79"/>
    </row>
    <row r="97" spans="1:52" ht="17.100000000000001" customHeight="1">
      <c r="A97" s="79"/>
      <c r="B97" s="95"/>
      <c r="C97" s="95"/>
      <c r="D97" s="95"/>
      <c r="E97" s="95"/>
      <c r="F97" s="95"/>
      <c r="G97" s="95"/>
      <c r="H97" s="95"/>
      <c r="I97" s="95"/>
      <c r="J97" s="95"/>
      <c r="K97" s="79"/>
      <c r="L97" s="79"/>
      <c r="M97" s="79"/>
      <c r="N97" s="79"/>
      <c r="O97" s="79"/>
      <c r="P97" s="79"/>
      <c r="Q97" s="79"/>
      <c r="R97" s="79"/>
      <c r="S97" s="79"/>
      <c r="T97" s="79"/>
      <c r="U97" s="79"/>
      <c r="V97" s="79"/>
      <c r="W97" s="79"/>
      <c r="X97" s="79"/>
      <c r="Y97" s="79"/>
      <c r="Z97" s="79"/>
      <c r="AA97" s="79"/>
      <c r="AB97" s="79"/>
      <c r="AC97" s="79"/>
      <c r="AD97" s="79"/>
      <c r="AE97" s="79"/>
      <c r="AF97" s="79"/>
      <c r="AG97" s="79"/>
      <c r="AH97" s="79"/>
      <c r="AI97" s="79"/>
      <c r="AJ97" s="79"/>
      <c r="AK97" s="79"/>
      <c r="AL97" s="79"/>
      <c r="AM97" s="79"/>
      <c r="AN97" s="79"/>
      <c r="AO97" s="79"/>
      <c r="AP97" s="79"/>
      <c r="AQ97" s="79"/>
      <c r="AR97" s="79"/>
      <c r="AS97" s="79"/>
      <c r="AT97" s="79"/>
      <c r="AU97" s="79"/>
      <c r="AV97" s="79"/>
      <c r="AW97" s="79"/>
      <c r="AX97" s="79"/>
      <c r="AY97" s="79"/>
      <c r="AZ97" s="79"/>
    </row>
    <row r="98" spans="1:52" ht="17.100000000000001" customHeight="1">
      <c r="A98" s="79"/>
      <c r="B98" s="79"/>
      <c r="C98" s="79"/>
      <c r="D98" s="79"/>
      <c r="E98" s="79"/>
      <c r="F98" s="79"/>
      <c r="G98" s="79"/>
      <c r="H98" s="79"/>
      <c r="I98" s="79"/>
      <c r="J98" s="79"/>
      <c r="K98" s="79"/>
      <c r="L98" s="79"/>
      <c r="M98" s="79"/>
      <c r="N98" s="79"/>
      <c r="O98" s="79"/>
      <c r="P98" s="79"/>
      <c r="Q98" s="79"/>
      <c r="R98" s="79"/>
      <c r="S98" s="79"/>
      <c r="T98" s="79"/>
      <c r="U98" s="79"/>
      <c r="V98" s="79"/>
      <c r="W98" s="79"/>
      <c r="X98" s="79"/>
      <c r="Y98" s="79"/>
      <c r="Z98" s="79"/>
      <c r="AA98" s="79"/>
      <c r="AB98" s="79"/>
      <c r="AC98" s="79"/>
      <c r="AD98" s="79"/>
      <c r="AE98" s="79"/>
      <c r="AF98" s="79"/>
      <c r="AG98" s="79"/>
      <c r="AH98" s="79"/>
      <c r="AI98" s="79"/>
      <c r="AJ98" s="79"/>
      <c r="AK98" s="79"/>
      <c r="AL98" s="79"/>
      <c r="AM98" s="79"/>
      <c r="AN98" s="79"/>
      <c r="AO98" s="79"/>
      <c r="AP98" s="79"/>
      <c r="AQ98" s="79"/>
      <c r="AR98" s="79"/>
      <c r="AS98" s="79"/>
      <c r="AT98" s="79"/>
      <c r="AU98" s="79"/>
      <c r="AV98" s="79"/>
      <c r="AW98" s="79"/>
      <c r="AX98" s="79"/>
      <c r="AY98" s="79"/>
      <c r="AZ98" s="79"/>
    </row>
    <row r="99" spans="1:52" ht="17.100000000000001" customHeight="1">
      <c r="A99" s="79"/>
      <c r="B99" s="79"/>
      <c r="C99" s="79"/>
      <c r="D99" s="79"/>
      <c r="E99" s="79"/>
      <c r="F99" s="79"/>
      <c r="G99" s="79"/>
      <c r="H99" s="79"/>
      <c r="I99" s="79"/>
      <c r="J99" s="79"/>
      <c r="K99" s="79"/>
      <c r="L99" s="79"/>
      <c r="M99" s="79"/>
      <c r="N99" s="79"/>
      <c r="O99" s="79"/>
      <c r="P99" s="79"/>
      <c r="Q99" s="79"/>
      <c r="R99" s="79"/>
      <c r="S99" s="79"/>
      <c r="T99" s="79"/>
      <c r="U99" s="79"/>
      <c r="V99" s="79"/>
      <c r="W99" s="79"/>
      <c r="X99" s="79"/>
      <c r="Y99" s="79"/>
      <c r="Z99" s="79"/>
      <c r="AA99" s="79"/>
      <c r="AB99" s="79"/>
      <c r="AC99" s="79"/>
      <c r="AD99" s="79"/>
      <c r="AE99" s="79"/>
      <c r="AF99" s="79"/>
      <c r="AG99" s="79"/>
      <c r="AH99" s="79"/>
      <c r="AI99" s="79"/>
      <c r="AJ99" s="79"/>
      <c r="AK99" s="79"/>
      <c r="AL99" s="79"/>
      <c r="AM99" s="79"/>
      <c r="AN99" s="79"/>
      <c r="AO99" s="79"/>
      <c r="AP99" s="79"/>
      <c r="AQ99" s="79"/>
      <c r="AR99" s="79"/>
      <c r="AS99" s="79"/>
      <c r="AT99" s="79"/>
      <c r="AU99" s="79"/>
      <c r="AV99" s="79"/>
      <c r="AW99" s="79"/>
      <c r="AX99" s="79"/>
      <c r="AY99" s="79"/>
      <c r="AZ99" s="79"/>
    </row>
    <row r="100" spans="1:52" ht="17.100000000000001" customHeight="1">
      <c r="A100" s="79"/>
      <c r="B100" s="79"/>
      <c r="C100" s="79"/>
      <c r="D100" s="79"/>
      <c r="E100" s="79"/>
      <c r="F100" s="79"/>
      <c r="G100" s="79"/>
      <c r="H100" s="79"/>
      <c r="I100" s="79"/>
      <c r="J100" s="79"/>
      <c r="K100" s="79"/>
      <c r="L100" s="79"/>
      <c r="M100" s="79"/>
      <c r="N100" s="79"/>
      <c r="O100" s="79"/>
      <c r="P100" s="79"/>
      <c r="Q100" s="79"/>
      <c r="R100" s="79"/>
      <c r="S100" s="79"/>
      <c r="T100" s="79"/>
      <c r="U100" s="79"/>
      <c r="V100" s="79"/>
      <c r="W100" s="79"/>
      <c r="X100" s="79"/>
      <c r="Y100" s="79"/>
      <c r="Z100" s="79"/>
      <c r="AA100" s="79"/>
      <c r="AB100" s="79"/>
      <c r="AC100" s="79"/>
      <c r="AD100" s="79"/>
      <c r="AE100" s="79"/>
      <c r="AF100" s="79"/>
      <c r="AG100" s="79"/>
      <c r="AH100" s="79"/>
      <c r="AI100" s="79"/>
      <c r="AJ100" s="79"/>
      <c r="AK100" s="79"/>
      <c r="AL100" s="79"/>
      <c r="AM100" s="79"/>
      <c r="AN100" s="79"/>
      <c r="AO100" s="79"/>
      <c r="AP100" s="79"/>
      <c r="AQ100" s="79"/>
      <c r="AR100" s="79"/>
      <c r="AS100" s="79"/>
      <c r="AT100" s="79"/>
      <c r="AU100" s="79"/>
      <c r="AV100" s="79"/>
      <c r="AW100" s="79"/>
      <c r="AX100" s="79"/>
      <c r="AY100" s="79"/>
      <c r="AZ100" s="79"/>
    </row>
    <row r="101" spans="1:52" ht="17.100000000000001" customHeight="1">
      <c r="A101" s="79"/>
      <c r="B101" s="79"/>
      <c r="C101" s="79"/>
      <c r="D101" s="79"/>
      <c r="E101" s="79"/>
      <c r="F101" s="79"/>
      <c r="G101" s="79"/>
      <c r="H101" s="79"/>
      <c r="I101" s="79"/>
      <c r="J101" s="79"/>
      <c r="K101" s="79"/>
      <c r="L101" s="79"/>
      <c r="M101" s="79"/>
      <c r="N101" s="79"/>
      <c r="O101" s="79"/>
      <c r="P101" s="79"/>
      <c r="Q101" s="79"/>
      <c r="R101" s="79"/>
      <c r="S101" s="79"/>
      <c r="T101" s="79"/>
      <c r="U101" s="79"/>
      <c r="V101" s="79"/>
      <c r="W101" s="79"/>
      <c r="X101" s="79"/>
      <c r="Y101" s="79"/>
      <c r="Z101" s="79"/>
      <c r="AA101" s="79"/>
      <c r="AB101" s="79"/>
      <c r="AC101" s="79"/>
      <c r="AD101" s="79"/>
      <c r="AE101" s="79"/>
      <c r="AF101" s="79"/>
      <c r="AG101" s="79"/>
      <c r="AH101" s="79"/>
      <c r="AI101" s="79"/>
      <c r="AJ101" s="79"/>
      <c r="AK101" s="79"/>
      <c r="AL101" s="79"/>
      <c r="AM101" s="79"/>
      <c r="AN101" s="79"/>
      <c r="AO101" s="79"/>
      <c r="AP101" s="79"/>
      <c r="AQ101" s="79"/>
      <c r="AR101" s="79"/>
      <c r="AS101" s="79"/>
      <c r="AT101" s="79"/>
      <c r="AU101" s="79"/>
      <c r="AV101" s="79"/>
      <c r="AW101" s="79"/>
      <c r="AX101" s="79"/>
      <c r="AY101" s="79"/>
      <c r="AZ101" s="79"/>
    </row>
    <row r="102" spans="1:52" ht="17.100000000000001" customHeight="1">
      <c r="A102" s="79"/>
      <c r="B102" s="79"/>
      <c r="C102" s="79"/>
      <c r="D102" s="79"/>
      <c r="E102" s="79"/>
      <c r="F102" s="79"/>
      <c r="G102" s="79"/>
      <c r="H102" s="79"/>
      <c r="I102" s="79"/>
      <c r="J102" s="79"/>
      <c r="K102" s="79"/>
      <c r="L102" s="79"/>
      <c r="M102" s="79"/>
      <c r="N102" s="79"/>
      <c r="O102" s="79"/>
      <c r="P102" s="79"/>
      <c r="Q102" s="79"/>
      <c r="R102" s="79"/>
      <c r="S102" s="79"/>
      <c r="T102" s="79"/>
      <c r="U102" s="79"/>
      <c r="V102" s="79"/>
      <c r="W102" s="79"/>
      <c r="X102" s="79"/>
      <c r="Y102" s="79"/>
      <c r="Z102" s="79"/>
      <c r="AA102" s="79"/>
      <c r="AB102" s="79"/>
      <c r="AC102" s="79"/>
      <c r="AD102" s="79"/>
      <c r="AE102" s="79"/>
      <c r="AF102" s="79"/>
      <c r="AG102" s="79"/>
      <c r="AH102" s="79"/>
      <c r="AI102" s="79"/>
      <c r="AJ102" s="79"/>
      <c r="AK102" s="79"/>
      <c r="AL102" s="79"/>
      <c r="AM102" s="79"/>
      <c r="AN102" s="79"/>
      <c r="AO102" s="79"/>
      <c r="AP102" s="79"/>
      <c r="AQ102" s="79"/>
      <c r="AR102" s="79"/>
      <c r="AS102" s="79"/>
      <c r="AT102" s="79"/>
      <c r="AU102" s="79"/>
      <c r="AV102" s="79"/>
      <c r="AW102" s="79"/>
      <c r="AX102" s="79"/>
      <c r="AY102" s="79"/>
      <c r="AZ102" s="79"/>
    </row>
    <row r="103" spans="1:52" ht="17.100000000000001" customHeight="1">
      <c r="A103" s="79"/>
      <c r="B103" s="79"/>
      <c r="C103" s="79"/>
      <c r="D103" s="79"/>
      <c r="E103" s="79"/>
      <c r="F103" s="79"/>
      <c r="G103" s="79"/>
      <c r="H103" s="79"/>
      <c r="I103" s="79"/>
      <c r="J103" s="79"/>
      <c r="K103" s="79"/>
      <c r="L103" s="79"/>
      <c r="M103" s="79"/>
      <c r="N103" s="79"/>
      <c r="O103" s="79"/>
      <c r="P103" s="79"/>
      <c r="Q103" s="79"/>
      <c r="R103" s="79"/>
      <c r="S103" s="79"/>
      <c r="T103" s="79"/>
      <c r="U103" s="79"/>
      <c r="V103" s="79"/>
      <c r="W103" s="79"/>
      <c r="X103" s="79"/>
      <c r="Y103" s="79"/>
      <c r="Z103" s="79"/>
      <c r="AA103" s="79"/>
      <c r="AB103" s="79"/>
      <c r="AC103" s="79"/>
      <c r="AD103" s="79"/>
      <c r="AE103" s="79"/>
      <c r="AF103" s="79"/>
      <c r="AG103" s="79"/>
      <c r="AH103" s="79"/>
      <c r="AI103" s="79"/>
      <c r="AJ103" s="79"/>
      <c r="AK103" s="79"/>
      <c r="AL103" s="79"/>
      <c r="AM103" s="79"/>
      <c r="AN103" s="79"/>
      <c r="AO103" s="79"/>
      <c r="AP103" s="79"/>
      <c r="AQ103" s="79"/>
      <c r="AR103" s="79"/>
      <c r="AS103" s="79"/>
      <c r="AT103" s="79"/>
      <c r="AU103" s="79"/>
      <c r="AV103" s="79"/>
      <c r="AW103" s="79"/>
      <c r="AX103" s="79"/>
      <c r="AY103" s="79"/>
      <c r="AZ103" s="79"/>
    </row>
    <row r="104" spans="1:52" ht="17.100000000000001" customHeight="1">
      <c r="A104" s="79"/>
      <c r="B104" s="79"/>
      <c r="C104" s="79"/>
      <c r="D104" s="79"/>
      <c r="E104" s="79"/>
      <c r="F104" s="79"/>
      <c r="G104" s="79"/>
      <c r="H104" s="79"/>
      <c r="I104" s="79"/>
      <c r="J104" s="79"/>
      <c r="K104" s="79"/>
      <c r="L104" s="79"/>
      <c r="M104" s="79"/>
      <c r="N104" s="79"/>
      <c r="O104" s="79"/>
      <c r="P104" s="79"/>
      <c r="Q104" s="79"/>
      <c r="R104" s="79"/>
      <c r="S104" s="79"/>
      <c r="T104" s="79"/>
      <c r="U104" s="79"/>
      <c r="V104" s="79"/>
      <c r="W104" s="79"/>
      <c r="X104" s="79"/>
      <c r="Y104" s="79"/>
      <c r="Z104" s="79"/>
      <c r="AA104" s="79"/>
      <c r="AB104" s="79"/>
      <c r="AC104" s="79"/>
      <c r="AD104" s="79"/>
      <c r="AE104" s="79"/>
      <c r="AF104" s="79"/>
      <c r="AG104" s="79"/>
      <c r="AH104" s="79"/>
      <c r="AI104" s="79"/>
      <c r="AJ104" s="79"/>
      <c r="AK104" s="79"/>
      <c r="AL104" s="79"/>
      <c r="AM104" s="79"/>
      <c r="AN104" s="79"/>
      <c r="AO104" s="79"/>
      <c r="AP104" s="79"/>
      <c r="AQ104" s="79"/>
      <c r="AR104" s="79"/>
      <c r="AS104" s="79"/>
      <c r="AT104" s="79"/>
      <c r="AU104" s="79"/>
      <c r="AV104" s="79"/>
      <c r="AW104" s="79"/>
      <c r="AX104" s="79"/>
      <c r="AY104" s="79"/>
      <c r="AZ104" s="79"/>
    </row>
    <row r="105" spans="1:52" ht="17.100000000000001" customHeight="1">
      <c r="A105" s="79"/>
      <c r="B105" s="79"/>
      <c r="C105" s="79"/>
      <c r="D105" s="79"/>
      <c r="E105" s="79"/>
      <c r="F105" s="79"/>
      <c r="G105" s="79"/>
      <c r="H105" s="79"/>
      <c r="I105" s="79"/>
      <c r="J105" s="79"/>
      <c r="K105" s="79"/>
      <c r="L105" s="79"/>
      <c r="M105" s="79"/>
      <c r="N105" s="79"/>
      <c r="O105" s="79"/>
      <c r="P105" s="79"/>
      <c r="Q105" s="79"/>
      <c r="R105" s="79"/>
      <c r="S105" s="79"/>
      <c r="T105" s="79"/>
      <c r="U105" s="79"/>
      <c r="V105" s="79"/>
      <c r="W105" s="79"/>
      <c r="X105" s="79"/>
      <c r="Y105" s="79"/>
      <c r="Z105" s="79"/>
      <c r="AA105" s="79"/>
      <c r="AB105" s="79"/>
      <c r="AC105" s="79"/>
      <c r="AD105" s="79"/>
      <c r="AE105" s="79"/>
      <c r="AF105" s="79"/>
      <c r="AG105" s="79"/>
      <c r="AH105" s="79"/>
      <c r="AI105" s="79"/>
      <c r="AJ105" s="79"/>
      <c r="AK105" s="79"/>
      <c r="AL105" s="79"/>
      <c r="AM105" s="79"/>
      <c r="AN105" s="79"/>
      <c r="AO105" s="79"/>
      <c r="AP105" s="79"/>
      <c r="AQ105" s="79"/>
      <c r="AR105" s="79"/>
      <c r="AS105" s="79"/>
      <c r="AT105" s="79"/>
      <c r="AU105" s="79"/>
      <c r="AV105" s="79"/>
      <c r="AW105" s="79"/>
      <c r="AX105" s="79"/>
      <c r="AY105" s="79"/>
      <c r="AZ105" s="79"/>
    </row>
    <row r="106" spans="1:52" ht="17.100000000000001" customHeight="1">
      <c r="A106" s="79"/>
      <c r="B106" s="79"/>
      <c r="C106" s="79"/>
      <c r="D106" s="79"/>
      <c r="E106" s="79"/>
      <c r="F106" s="79"/>
      <c r="G106" s="79"/>
      <c r="H106" s="79"/>
      <c r="I106" s="79"/>
      <c r="J106" s="79"/>
      <c r="K106" s="79"/>
      <c r="L106" s="79"/>
      <c r="M106" s="79"/>
      <c r="N106" s="79"/>
      <c r="O106" s="79"/>
      <c r="P106" s="79"/>
      <c r="Q106" s="79"/>
      <c r="R106" s="79"/>
      <c r="S106" s="79"/>
      <c r="T106" s="79"/>
      <c r="U106" s="79"/>
      <c r="V106" s="79"/>
      <c r="W106" s="79"/>
      <c r="X106" s="79"/>
      <c r="Y106" s="79"/>
      <c r="Z106" s="79"/>
      <c r="AA106" s="79"/>
      <c r="AB106" s="79"/>
      <c r="AC106" s="79"/>
      <c r="AD106" s="79"/>
      <c r="AE106" s="79"/>
      <c r="AF106" s="79"/>
      <c r="AG106" s="79"/>
      <c r="AH106" s="79"/>
      <c r="AI106" s="79"/>
      <c r="AJ106" s="79"/>
      <c r="AK106" s="79"/>
      <c r="AL106" s="79"/>
      <c r="AM106" s="79"/>
      <c r="AN106" s="79"/>
      <c r="AO106" s="79"/>
      <c r="AP106" s="79"/>
      <c r="AQ106" s="79"/>
      <c r="AR106" s="79"/>
      <c r="AS106" s="79"/>
      <c r="AT106" s="79"/>
      <c r="AU106" s="79"/>
      <c r="AV106" s="79"/>
      <c r="AW106" s="79"/>
      <c r="AX106" s="79"/>
      <c r="AY106" s="79"/>
      <c r="AZ106" s="79"/>
    </row>
    <row r="107" spans="1:52" ht="17.100000000000001" customHeight="1">
      <c r="A107" s="79"/>
      <c r="B107" s="79"/>
      <c r="C107" s="79"/>
      <c r="D107" s="79"/>
      <c r="E107" s="79"/>
      <c r="F107" s="79"/>
      <c r="G107" s="79"/>
      <c r="H107" s="79"/>
      <c r="I107" s="79"/>
      <c r="J107" s="79"/>
      <c r="K107" s="79"/>
      <c r="L107" s="79"/>
      <c r="M107" s="79"/>
      <c r="N107" s="79"/>
      <c r="O107" s="79"/>
      <c r="P107" s="79"/>
      <c r="Q107" s="79"/>
      <c r="R107" s="79"/>
      <c r="S107" s="79"/>
      <c r="T107" s="79"/>
      <c r="U107" s="79"/>
      <c r="V107" s="79"/>
      <c r="W107" s="79"/>
      <c r="X107" s="79"/>
      <c r="Y107" s="79"/>
      <c r="Z107" s="79"/>
      <c r="AA107" s="79"/>
      <c r="AB107" s="79"/>
      <c r="AC107" s="79"/>
      <c r="AD107" s="79"/>
      <c r="AE107" s="79"/>
      <c r="AF107" s="79"/>
      <c r="AG107" s="79"/>
      <c r="AH107" s="79"/>
      <c r="AI107" s="79"/>
      <c r="AJ107" s="79"/>
      <c r="AK107" s="79"/>
      <c r="AL107" s="79"/>
      <c r="AM107" s="79"/>
      <c r="AN107" s="79"/>
      <c r="AO107" s="79"/>
      <c r="AP107" s="79"/>
      <c r="AQ107" s="79"/>
      <c r="AR107" s="79"/>
      <c r="AS107" s="79"/>
      <c r="AT107" s="79"/>
      <c r="AU107" s="79"/>
      <c r="AV107" s="79"/>
      <c r="AW107" s="79"/>
      <c r="AX107" s="79"/>
      <c r="AY107" s="79"/>
      <c r="AZ107" s="79"/>
    </row>
    <row r="108" spans="1:52" ht="17.100000000000001" customHeight="1">
      <c r="A108" s="79"/>
      <c r="B108" s="79"/>
      <c r="C108" s="79"/>
      <c r="D108" s="79"/>
      <c r="E108" s="79"/>
      <c r="F108" s="79"/>
      <c r="G108" s="79"/>
      <c r="H108" s="79"/>
      <c r="I108" s="79"/>
      <c r="J108" s="79"/>
      <c r="K108" s="79"/>
      <c r="L108" s="79"/>
      <c r="M108" s="79"/>
      <c r="N108" s="79"/>
      <c r="O108" s="79"/>
      <c r="P108" s="79"/>
      <c r="Q108" s="79"/>
      <c r="R108" s="79"/>
      <c r="S108" s="79"/>
      <c r="T108" s="79"/>
      <c r="U108" s="79"/>
      <c r="V108" s="79"/>
      <c r="W108" s="79"/>
      <c r="X108" s="79"/>
      <c r="Y108" s="79"/>
      <c r="Z108" s="79"/>
      <c r="AA108" s="79"/>
      <c r="AB108" s="79"/>
      <c r="AC108" s="79"/>
      <c r="AD108" s="79"/>
      <c r="AE108" s="79"/>
      <c r="AF108" s="79"/>
      <c r="AG108" s="79"/>
      <c r="AH108" s="79"/>
      <c r="AI108" s="79"/>
      <c r="AJ108" s="79"/>
      <c r="AK108" s="79"/>
      <c r="AL108" s="79"/>
      <c r="AM108" s="79"/>
      <c r="AN108" s="79"/>
      <c r="AO108" s="79"/>
      <c r="AP108" s="79"/>
      <c r="AQ108" s="79"/>
      <c r="AR108" s="79"/>
      <c r="AS108" s="79"/>
      <c r="AT108" s="79"/>
      <c r="AU108" s="79"/>
      <c r="AV108" s="79"/>
      <c r="AW108" s="79"/>
      <c r="AX108" s="79"/>
      <c r="AY108" s="79"/>
      <c r="AZ108" s="79"/>
    </row>
    <row r="109" spans="1:52" ht="17.100000000000001" customHeight="1">
      <c r="A109" s="79"/>
      <c r="B109" s="79"/>
      <c r="C109" s="79"/>
      <c r="D109" s="79"/>
      <c r="E109" s="79"/>
      <c r="F109" s="79"/>
      <c r="G109" s="79"/>
      <c r="H109" s="79"/>
      <c r="I109" s="79"/>
      <c r="J109" s="79"/>
      <c r="K109" s="79"/>
      <c r="L109" s="79"/>
      <c r="M109" s="79"/>
      <c r="N109" s="79"/>
      <c r="O109" s="79"/>
      <c r="P109" s="79"/>
      <c r="Q109" s="79"/>
      <c r="R109" s="79"/>
      <c r="S109" s="79"/>
      <c r="T109" s="79"/>
      <c r="U109" s="79"/>
      <c r="V109" s="79"/>
      <c r="W109" s="79"/>
      <c r="X109" s="79"/>
      <c r="Y109" s="79"/>
      <c r="Z109" s="79"/>
      <c r="AA109" s="79"/>
      <c r="AB109" s="79"/>
      <c r="AC109" s="79"/>
      <c r="AD109" s="79"/>
      <c r="AE109" s="79"/>
      <c r="AF109" s="79"/>
      <c r="AG109" s="79"/>
      <c r="AH109" s="79"/>
      <c r="AI109" s="79"/>
      <c r="AJ109" s="79"/>
      <c r="AK109" s="79"/>
      <c r="AL109" s="79"/>
      <c r="AM109" s="79"/>
      <c r="AN109" s="79"/>
      <c r="AO109" s="79"/>
      <c r="AP109" s="79"/>
      <c r="AQ109" s="79"/>
      <c r="AR109" s="79"/>
      <c r="AS109" s="79"/>
      <c r="AT109" s="79"/>
      <c r="AU109" s="79"/>
      <c r="AV109" s="79"/>
      <c r="AW109" s="79"/>
      <c r="AX109" s="79"/>
      <c r="AY109" s="79"/>
      <c r="AZ109" s="79"/>
    </row>
    <row r="110" spans="1:52" ht="17.100000000000001" customHeight="1">
      <c r="A110" s="79"/>
      <c r="B110" s="79"/>
      <c r="C110" s="79"/>
      <c r="D110" s="79"/>
      <c r="E110" s="79"/>
      <c r="F110" s="79"/>
      <c r="G110" s="79"/>
      <c r="H110" s="79"/>
      <c r="I110" s="79"/>
      <c r="J110" s="79"/>
      <c r="K110" s="79"/>
      <c r="L110" s="79"/>
      <c r="M110" s="79"/>
      <c r="N110" s="79"/>
      <c r="O110" s="79"/>
      <c r="P110" s="79"/>
      <c r="Q110" s="79"/>
      <c r="R110" s="79"/>
      <c r="S110" s="79"/>
      <c r="T110" s="79"/>
      <c r="U110" s="79"/>
      <c r="V110" s="79"/>
      <c r="W110" s="79"/>
      <c r="X110" s="79"/>
      <c r="Y110" s="79"/>
      <c r="Z110" s="79"/>
      <c r="AA110" s="79"/>
      <c r="AB110" s="79"/>
      <c r="AC110" s="79"/>
      <c r="AD110" s="79"/>
      <c r="AE110" s="79"/>
      <c r="AF110" s="79"/>
      <c r="AG110" s="79"/>
      <c r="AH110" s="79"/>
      <c r="AI110" s="79"/>
      <c r="AJ110" s="79"/>
      <c r="AK110" s="79"/>
      <c r="AL110" s="79"/>
      <c r="AM110" s="79"/>
      <c r="AN110" s="79"/>
      <c r="AO110" s="79"/>
      <c r="AP110" s="79"/>
      <c r="AQ110" s="79"/>
      <c r="AR110" s="79"/>
      <c r="AS110" s="79"/>
      <c r="AT110" s="79"/>
      <c r="AU110" s="79"/>
      <c r="AV110" s="79"/>
      <c r="AW110" s="79"/>
      <c r="AX110" s="79"/>
      <c r="AY110" s="79"/>
      <c r="AZ110" s="79"/>
    </row>
    <row r="111" spans="1:52" ht="17.100000000000001" customHeight="1">
      <c r="A111" s="79"/>
      <c r="B111" s="79"/>
      <c r="C111" s="79"/>
      <c r="D111" s="79"/>
      <c r="E111" s="79"/>
      <c r="F111" s="79"/>
      <c r="G111" s="79"/>
      <c r="H111" s="79"/>
      <c r="I111" s="79"/>
      <c r="J111" s="79"/>
      <c r="K111" s="79"/>
      <c r="L111" s="79"/>
      <c r="M111" s="79"/>
      <c r="N111" s="79"/>
      <c r="O111" s="79"/>
      <c r="P111" s="79"/>
      <c r="Q111" s="79"/>
      <c r="R111" s="79"/>
      <c r="S111" s="79"/>
      <c r="T111" s="79"/>
      <c r="U111" s="79"/>
      <c r="V111" s="79"/>
      <c r="W111" s="79"/>
      <c r="X111" s="79"/>
      <c r="Y111" s="79"/>
      <c r="Z111" s="79"/>
      <c r="AA111" s="79"/>
      <c r="AB111" s="79"/>
      <c r="AC111" s="79"/>
      <c r="AD111" s="79"/>
      <c r="AE111" s="79"/>
      <c r="AF111" s="79"/>
      <c r="AG111" s="79"/>
      <c r="AH111" s="79"/>
      <c r="AI111" s="79"/>
      <c r="AJ111" s="79"/>
      <c r="AK111" s="79"/>
      <c r="AL111" s="79"/>
      <c r="AM111" s="79"/>
      <c r="AN111" s="79"/>
      <c r="AO111" s="79"/>
      <c r="AP111" s="79"/>
      <c r="AQ111" s="79"/>
      <c r="AR111" s="79"/>
      <c r="AS111" s="79"/>
      <c r="AT111" s="79"/>
      <c r="AU111" s="79"/>
      <c r="AV111" s="79"/>
      <c r="AW111" s="79"/>
      <c r="AX111" s="79"/>
      <c r="AY111" s="79"/>
      <c r="AZ111" s="79"/>
    </row>
    <row r="112" spans="1:52" ht="17.100000000000001" customHeight="1">
      <c r="A112" s="79"/>
      <c r="B112" s="79"/>
      <c r="C112" s="79"/>
      <c r="D112" s="79"/>
      <c r="E112" s="79"/>
      <c r="F112" s="79"/>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79"/>
      <c r="AG112" s="79"/>
      <c r="AH112" s="79"/>
      <c r="AI112" s="79"/>
      <c r="AJ112" s="79"/>
      <c r="AK112" s="79"/>
      <c r="AL112" s="79"/>
      <c r="AM112" s="79"/>
      <c r="AN112" s="79"/>
      <c r="AO112" s="79"/>
      <c r="AP112" s="79"/>
      <c r="AQ112" s="79"/>
      <c r="AR112" s="79"/>
      <c r="AS112" s="79"/>
      <c r="AT112" s="79"/>
      <c r="AU112" s="79"/>
      <c r="AV112" s="79"/>
      <c r="AW112" s="79"/>
      <c r="AX112" s="79"/>
      <c r="AY112" s="79"/>
      <c r="AZ112" s="79"/>
    </row>
    <row r="113" spans="1:52" ht="17.100000000000001" customHeight="1">
      <c r="A113" s="79"/>
      <c r="B113" s="79"/>
      <c r="C113" s="79"/>
      <c r="D113" s="79"/>
      <c r="E113" s="79"/>
      <c r="F113" s="79"/>
      <c r="G113" s="79"/>
      <c r="H113" s="79"/>
      <c r="I113" s="79"/>
      <c r="J113" s="79"/>
      <c r="K113" s="79"/>
      <c r="L113" s="79"/>
      <c r="M113" s="79"/>
      <c r="N113" s="79"/>
      <c r="O113" s="79"/>
      <c r="P113" s="79"/>
      <c r="Q113" s="79"/>
      <c r="R113" s="79"/>
      <c r="S113" s="79"/>
      <c r="T113" s="79"/>
      <c r="U113" s="79"/>
      <c r="V113" s="79"/>
      <c r="W113" s="79"/>
      <c r="X113" s="79"/>
      <c r="Y113" s="79"/>
      <c r="Z113" s="79"/>
      <c r="AA113" s="79"/>
      <c r="AB113" s="79"/>
      <c r="AC113" s="79"/>
      <c r="AD113" s="79"/>
      <c r="AE113" s="79"/>
      <c r="AF113" s="79"/>
      <c r="AG113" s="79"/>
      <c r="AH113" s="79"/>
      <c r="AI113" s="79"/>
      <c r="AJ113" s="79"/>
      <c r="AK113" s="79"/>
      <c r="AL113" s="79"/>
      <c r="AM113" s="79"/>
      <c r="AN113" s="79"/>
      <c r="AO113" s="79"/>
      <c r="AP113" s="79"/>
      <c r="AQ113" s="79"/>
      <c r="AR113" s="79"/>
      <c r="AS113" s="79"/>
      <c r="AT113" s="79"/>
      <c r="AU113" s="79"/>
      <c r="AV113" s="79"/>
      <c r="AW113" s="79"/>
      <c r="AX113" s="79"/>
      <c r="AY113" s="79"/>
      <c r="AZ113" s="79"/>
    </row>
    <row r="114" spans="1:52" ht="17.100000000000001" customHeight="1">
      <c r="A114" s="79"/>
      <c r="B114" s="79"/>
      <c r="C114" s="79"/>
      <c r="D114" s="79"/>
      <c r="E114" s="79"/>
      <c r="F114" s="79"/>
      <c r="G114" s="79"/>
      <c r="H114" s="79"/>
      <c r="I114" s="79"/>
      <c r="J114" s="79"/>
      <c r="K114" s="79"/>
      <c r="L114" s="79"/>
      <c r="M114" s="79"/>
      <c r="N114" s="79"/>
      <c r="O114" s="79"/>
      <c r="P114" s="79"/>
      <c r="Q114" s="79"/>
      <c r="R114" s="79"/>
      <c r="S114" s="79"/>
      <c r="T114" s="79"/>
      <c r="U114" s="79"/>
      <c r="V114" s="79"/>
      <c r="W114" s="79"/>
      <c r="X114" s="79"/>
      <c r="Y114" s="79"/>
      <c r="Z114" s="79"/>
      <c r="AA114" s="79"/>
      <c r="AB114" s="79"/>
      <c r="AC114" s="79"/>
      <c r="AD114" s="79"/>
      <c r="AE114" s="79"/>
      <c r="AF114" s="79"/>
      <c r="AG114" s="79"/>
      <c r="AH114" s="79"/>
      <c r="AI114" s="79"/>
      <c r="AJ114" s="79"/>
      <c r="AK114" s="79"/>
      <c r="AL114" s="79"/>
      <c r="AM114" s="79"/>
      <c r="AN114" s="79"/>
      <c r="AO114" s="79"/>
      <c r="AP114" s="79"/>
      <c r="AQ114" s="79"/>
      <c r="AR114" s="79"/>
      <c r="AS114" s="79"/>
      <c r="AT114" s="79"/>
      <c r="AU114" s="79"/>
      <c r="AV114" s="79"/>
      <c r="AW114" s="79"/>
      <c r="AX114" s="79"/>
      <c r="AY114" s="79"/>
      <c r="AZ114" s="79"/>
    </row>
    <row r="115" spans="1:52" ht="17.100000000000001" customHeight="1">
      <c r="A115" s="79"/>
      <c r="B115" s="79"/>
      <c r="C115" s="79"/>
      <c r="D115" s="79"/>
      <c r="E115" s="79"/>
      <c r="F115" s="79"/>
      <c r="G115" s="79"/>
      <c r="H115" s="79"/>
      <c r="I115" s="79"/>
      <c r="J115" s="79"/>
      <c r="K115" s="79"/>
      <c r="L115" s="79"/>
      <c r="M115" s="79"/>
      <c r="N115" s="79"/>
      <c r="O115" s="79"/>
      <c r="P115" s="79"/>
      <c r="Q115" s="79"/>
      <c r="R115" s="79"/>
      <c r="S115" s="79"/>
      <c r="T115" s="79"/>
      <c r="U115" s="79"/>
      <c r="V115" s="79"/>
      <c r="W115" s="79"/>
      <c r="X115" s="79"/>
      <c r="Y115" s="79"/>
      <c r="Z115" s="79"/>
      <c r="AA115" s="79"/>
      <c r="AB115" s="79"/>
      <c r="AC115" s="79"/>
      <c r="AD115" s="79"/>
      <c r="AE115" s="79"/>
      <c r="AF115" s="79"/>
      <c r="AG115" s="79"/>
      <c r="AH115" s="79"/>
      <c r="AI115" s="79"/>
      <c r="AJ115" s="79"/>
      <c r="AK115" s="79"/>
      <c r="AL115" s="79"/>
      <c r="AM115" s="79"/>
      <c r="AN115" s="79"/>
      <c r="AO115" s="79"/>
      <c r="AP115" s="79"/>
      <c r="AQ115" s="79"/>
      <c r="AR115" s="79"/>
      <c r="AS115" s="79"/>
      <c r="AT115" s="79"/>
      <c r="AU115" s="79"/>
      <c r="AV115" s="79"/>
      <c r="AW115" s="79"/>
      <c r="AX115" s="79"/>
      <c r="AY115" s="79"/>
      <c r="AZ115" s="79"/>
    </row>
    <row r="116" spans="1:52" ht="17.100000000000001" customHeight="1">
      <c r="A116" s="79"/>
      <c r="B116" s="79"/>
      <c r="C116" s="79"/>
      <c r="D116" s="79"/>
      <c r="E116" s="79"/>
      <c r="F116" s="79"/>
      <c r="G116" s="79"/>
      <c r="H116" s="79"/>
      <c r="I116" s="79"/>
      <c r="J116" s="79"/>
      <c r="K116" s="79"/>
      <c r="L116" s="79"/>
      <c r="M116" s="79"/>
      <c r="N116" s="79"/>
      <c r="O116" s="79"/>
      <c r="P116" s="79"/>
      <c r="Q116" s="79"/>
      <c r="R116" s="79"/>
      <c r="S116" s="79"/>
      <c r="T116" s="79"/>
      <c r="U116" s="79"/>
      <c r="V116" s="79"/>
      <c r="W116" s="79"/>
      <c r="X116" s="79"/>
      <c r="Y116" s="79"/>
      <c r="Z116" s="79"/>
      <c r="AA116" s="79"/>
      <c r="AB116" s="79"/>
      <c r="AC116" s="79"/>
      <c r="AD116" s="79"/>
      <c r="AE116" s="79"/>
      <c r="AF116" s="79"/>
      <c r="AG116" s="79"/>
      <c r="AH116" s="79"/>
      <c r="AI116" s="79"/>
      <c r="AJ116" s="79"/>
      <c r="AK116" s="79"/>
      <c r="AL116" s="79"/>
      <c r="AM116" s="79"/>
      <c r="AN116" s="79"/>
      <c r="AO116" s="79"/>
      <c r="AP116" s="79"/>
      <c r="AQ116" s="79"/>
      <c r="AR116" s="79"/>
      <c r="AS116" s="79"/>
      <c r="AT116" s="79"/>
      <c r="AU116" s="79"/>
      <c r="AV116" s="79"/>
      <c r="AW116" s="79"/>
      <c r="AX116" s="79"/>
      <c r="AY116" s="79"/>
      <c r="AZ116" s="79"/>
    </row>
    <row r="117" spans="1:52" ht="17.100000000000001" customHeight="1">
      <c r="A117" s="79"/>
      <c r="B117" s="79"/>
      <c r="C117" s="79"/>
      <c r="D117" s="79"/>
      <c r="E117" s="79"/>
      <c r="F117" s="79"/>
      <c r="G117" s="79"/>
      <c r="H117" s="79"/>
      <c r="I117" s="79"/>
      <c r="J117" s="79"/>
      <c r="K117" s="79"/>
      <c r="L117" s="79"/>
      <c r="M117" s="79"/>
      <c r="N117" s="79"/>
      <c r="O117" s="79"/>
      <c r="P117" s="79"/>
      <c r="Q117" s="79"/>
      <c r="R117" s="79"/>
      <c r="S117" s="79"/>
      <c r="T117" s="79"/>
      <c r="U117" s="79"/>
      <c r="V117" s="79"/>
      <c r="W117" s="79"/>
      <c r="X117" s="79"/>
      <c r="Y117" s="79"/>
      <c r="Z117" s="79"/>
      <c r="AA117" s="79"/>
      <c r="AB117" s="79"/>
      <c r="AC117" s="79"/>
      <c r="AD117" s="79"/>
      <c r="AE117" s="79"/>
      <c r="AF117" s="79"/>
      <c r="AG117" s="79"/>
      <c r="AH117" s="79"/>
      <c r="AI117" s="79"/>
      <c r="AJ117" s="79"/>
      <c r="AK117" s="79"/>
      <c r="AL117" s="79"/>
      <c r="AM117" s="79"/>
      <c r="AN117" s="79"/>
      <c r="AO117" s="79"/>
      <c r="AP117" s="79"/>
      <c r="AQ117" s="79"/>
      <c r="AR117" s="79"/>
      <c r="AS117" s="79"/>
      <c r="AT117" s="79"/>
      <c r="AU117" s="79"/>
      <c r="AV117" s="79"/>
      <c r="AW117" s="79"/>
      <c r="AX117" s="79"/>
      <c r="AY117" s="79"/>
      <c r="AZ117" s="79"/>
    </row>
    <row r="118" spans="1:52" ht="17.100000000000001" customHeight="1">
      <c r="A118" s="79"/>
      <c r="B118" s="79"/>
      <c r="C118" s="79"/>
      <c r="D118" s="79"/>
      <c r="E118" s="79"/>
      <c r="F118" s="79"/>
      <c r="G118" s="79"/>
      <c r="H118" s="79"/>
      <c r="I118" s="79"/>
      <c r="J118" s="79"/>
      <c r="K118" s="79"/>
      <c r="L118" s="79"/>
      <c r="M118" s="79"/>
      <c r="N118" s="79"/>
      <c r="O118" s="79"/>
      <c r="P118" s="79"/>
      <c r="Q118" s="79"/>
      <c r="R118" s="79"/>
      <c r="S118" s="79"/>
      <c r="T118" s="79"/>
      <c r="U118" s="79"/>
      <c r="V118" s="79"/>
      <c r="W118" s="79"/>
      <c r="X118" s="79"/>
      <c r="Y118" s="79"/>
      <c r="Z118" s="79"/>
      <c r="AA118" s="79"/>
      <c r="AB118" s="79"/>
      <c r="AC118" s="79"/>
      <c r="AD118" s="79"/>
      <c r="AE118" s="79"/>
      <c r="AF118" s="79"/>
      <c r="AG118" s="79"/>
      <c r="AH118" s="79"/>
      <c r="AI118" s="79"/>
      <c r="AJ118" s="79"/>
      <c r="AK118" s="79"/>
      <c r="AL118" s="79"/>
      <c r="AM118" s="79"/>
      <c r="AN118" s="79"/>
      <c r="AO118" s="79"/>
      <c r="AP118" s="79"/>
      <c r="AQ118" s="79"/>
      <c r="AR118" s="79"/>
      <c r="AS118" s="79"/>
      <c r="AT118" s="79"/>
      <c r="AU118" s="79"/>
      <c r="AV118" s="79"/>
      <c r="AW118" s="79"/>
      <c r="AX118" s="79"/>
      <c r="AY118" s="79"/>
      <c r="AZ118" s="79"/>
    </row>
    <row r="119" spans="1:52" ht="17.100000000000001" customHeight="1">
      <c r="A119" s="79"/>
      <c r="B119" s="79"/>
      <c r="C119" s="79"/>
      <c r="D119" s="79"/>
      <c r="E119" s="79"/>
      <c r="F119" s="79"/>
      <c r="G119" s="79"/>
      <c r="H119" s="79"/>
      <c r="I119" s="79"/>
      <c r="J119" s="79"/>
      <c r="K119" s="79"/>
      <c r="L119" s="79"/>
      <c r="M119" s="79"/>
      <c r="N119" s="79"/>
      <c r="O119" s="79"/>
      <c r="P119" s="79"/>
      <c r="Q119" s="79"/>
      <c r="R119" s="79"/>
      <c r="S119" s="79"/>
      <c r="T119" s="79"/>
      <c r="U119" s="79"/>
      <c r="V119" s="79"/>
      <c r="W119" s="79"/>
      <c r="X119" s="79"/>
      <c r="Y119" s="79"/>
      <c r="Z119" s="79"/>
      <c r="AA119" s="79"/>
      <c r="AB119" s="79"/>
      <c r="AC119" s="79"/>
      <c r="AD119" s="79"/>
      <c r="AE119" s="79"/>
      <c r="AF119" s="79"/>
      <c r="AG119" s="79"/>
      <c r="AH119" s="79"/>
      <c r="AI119" s="79"/>
      <c r="AJ119" s="79"/>
      <c r="AK119" s="79"/>
      <c r="AL119" s="79"/>
      <c r="AM119" s="79"/>
      <c r="AN119" s="79"/>
      <c r="AO119" s="79"/>
      <c r="AP119" s="79"/>
      <c r="AQ119" s="79"/>
      <c r="AR119" s="79"/>
      <c r="AS119" s="79"/>
      <c r="AT119" s="79"/>
      <c r="AU119" s="79"/>
      <c r="AV119" s="79"/>
      <c r="AW119" s="79"/>
      <c r="AX119" s="79"/>
      <c r="AY119" s="79"/>
      <c r="AZ119" s="79"/>
    </row>
    <row r="120" spans="1:52" ht="17.100000000000001" customHeight="1">
      <c r="A120" s="79"/>
      <c r="B120" s="79"/>
      <c r="C120" s="79"/>
      <c r="D120" s="79"/>
      <c r="E120" s="79"/>
      <c r="F120" s="79"/>
      <c r="G120" s="79"/>
      <c r="H120" s="79"/>
      <c r="I120" s="79"/>
      <c r="J120" s="79"/>
      <c r="K120" s="79"/>
      <c r="L120" s="79"/>
      <c r="M120" s="79"/>
      <c r="N120" s="79"/>
      <c r="O120" s="79"/>
      <c r="P120" s="79"/>
      <c r="Q120" s="79"/>
      <c r="R120" s="79"/>
      <c r="S120" s="79"/>
      <c r="T120" s="79"/>
      <c r="U120" s="79"/>
      <c r="V120" s="79"/>
      <c r="W120" s="79"/>
      <c r="X120" s="79"/>
      <c r="Y120" s="79"/>
      <c r="Z120" s="79"/>
      <c r="AA120" s="79"/>
      <c r="AB120" s="79"/>
      <c r="AC120" s="79"/>
      <c r="AD120" s="79"/>
      <c r="AE120" s="79"/>
      <c r="AF120" s="79"/>
      <c r="AG120" s="79"/>
      <c r="AH120" s="79"/>
      <c r="AI120" s="79"/>
      <c r="AJ120" s="79"/>
      <c r="AK120" s="79"/>
      <c r="AL120" s="79"/>
      <c r="AM120" s="79"/>
      <c r="AN120" s="79"/>
      <c r="AO120" s="79"/>
      <c r="AP120" s="79"/>
      <c r="AQ120" s="79"/>
      <c r="AR120" s="79"/>
      <c r="AS120" s="79"/>
      <c r="AT120" s="79"/>
      <c r="AU120" s="79"/>
      <c r="AV120" s="79"/>
      <c r="AW120" s="79"/>
      <c r="AX120" s="79"/>
      <c r="AY120" s="79"/>
      <c r="AZ120" s="79"/>
    </row>
    <row r="121" spans="1:52" ht="17.100000000000001" customHeight="1">
      <c r="A121" s="79"/>
      <c r="B121" s="79"/>
      <c r="C121" s="79"/>
      <c r="D121" s="79"/>
      <c r="E121" s="79"/>
      <c r="F121" s="79"/>
      <c r="G121" s="79"/>
      <c r="H121" s="7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79"/>
      <c r="AF121" s="79"/>
      <c r="AG121" s="79"/>
      <c r="AH121" s="79"/>
      <c r="AI121" s="79"/>
      <c r="AJ121" s="79"/>
      <c r="AK121" s="79"/>
      <c r="AL121" s="79"/>
      <c r="AM121" s="79"/>
      <c r="AN121" s="79"/>
      <c r="AO121" s="79"/>
      <c r="AP121" s="79"/>
      <c r="AQ121" s="79"/>
      <c r="AR121" s="79"/>
      <c r="AS121" s="79"/>
      <c r="AT121" s="79"/>
      <c r="AU121" s="79"/>
      <c r="AV121" s="79"/>
      <c r="AW121" s="79"/>
      <c r="AX121" s="79"/>
      <c r="AY121" s="79"/>
      <c r="AZ121" s="79"/>
    </row>
    <row r="122" spans="1:52" ht="17.100000000000001" customHeight="1">
      <c r="A122" s="79"/>
      <c r="B122" s="79"/>
      <c r="C122" s="79"/>
      <c r="D122" s="79"/>
      <c r="E122" s="79"/>
      <c r="F122" s="79"/>
      <c r="G122" s="79"/>
      <c r="H122" s="79"/>
      <c r="I122" s="79"/>
      <c r="J122" s="79"/>
      <c r="K122" s="79"/>
      <c r="L122" s="79"/>
      <c r="M122" s="79"/>
      <c r="N122" s="79"/>
      <c r="O122" s="79"/>
      <c r="P122" s="79"/>
      <c r="Q122" s="79"/>
      <c r="R122" s="79"/>
      <c r="S122" s="79"/>
      <c r="T122" s="79"/>
      <c r="U122" s="79"/>
      <c r="V122" s="79"/>
      <c r="W122" s="79"/>
      <c r="X122" s="79"/>
      <c r="Y122" s="79"/>
      <c r="Z122" s="79"/>
      <c r="AA122" s="79"/>
      <c r="AB122" s="79"/>
      <c r="AC122" s="79"/>
      <c r="AD122" s="79"/>
      <c r="AE122" s="79"/>
      <c r="AF122" s="79"/>
      <c r="AG122" s="79"/>
      <c r="AH122" s="79"/>
      <c r="AI122" s="79"/>
      <c r="AJ122" s="79"/>
      <c r="AK122" s="79"/>
      <c r="AL122" s="79"/>
      <c r="AM122" s="79"/>
      <c r="AN122" s="79"/>
      <c r="AO122" s="79"/>
      <c r="AP122" s="79"/>
      <c r="AQ122" s="79"/>
      <c r="AR122" s="79"/>
      <c r="AS122" s="79"/>
      <c r="AT122" s="79"/>
      <c r="AU122" s="79"/>
      <c r="AV122" s="79"/>
      <c r="AW122" s="79"/>
      <c r="AX122" s="79"/>
      <c r="AY122" s="79"/>
      <c r="AZ122" s="79"/>
    </row>
    <row r="123" spans="1:52" ht="17.100000000000001" customHeight="1">
      <c r="A123" s="79"/>
      <c r="B123" s="79"/>
      <c r="C123" s="79"/>
      <c r="D123" s="79"/>
      <c r="E123" s="79"/>
      <c r="F123" s="79"/>
      <c r="G123" s="79"/>
      <c r="H123" s="79"/>
      <c r="I123" s="79"/>
      <c r="J123" s="79"/>
      <c r="K123" s="79"/>
      <c r="L123" s="79"/>
      <c r="M123" s="79"/>
      <c r="N123" s="79"/>
      <c r="O123" s="79"/>
      <c r="P123" s="79"/>
      <c r="Q123" s="79"/>
      <c r="R123" s="79"/>
      <c r="S123" s="79"/>
      <c r="T123" s="79"/>
      <c r="U123" s="79"/>
      <c r="V123" s="79"/>
      <c r="W123" s="79"/>
      <c r="X123" s="79"/>
      <c r="Y123" s="79"/>
      <c r="Z123" s="79"/>
      <c r="AA123" s="79"/>
      <c r="AB123" s="79"/>
      <c r="AC123" s="79"/>
      <c r="AD123" s="79"/>
      <c r="AE123" s="79"/>
      <c r="AF123" s="79"/>
      <c r="AG123" s="79"/>
      <c r="AH123" s="79"/>
      <c r="AI123" s="79"/>
      <c r="AJ123" s="79"/>
      <c r="AK123" s="79"/>
      <c r="AL123" s="79"/>
      <c r="AM123" s="79"/>
      <c r="AN123" s="79"/>
      <c r="AO123" s="79"/>
      <c r="AP123" s="79"/>
      <c r="AQ123" s="79"/>
      <c r="AR123" s="79"/>
      <c r="AS123" s="79"/>
      <c r="AT123" s="79"/>
      <c r="AU123" s="79"/>
      <c r="AV123" s="79"/>
      <c r="AW123" s="79"/>
      <c r="AX123" s="79"/>
      <c r="AY123" s="79"/>
      <c r="AZ123" s="79"/>
    </row>
    <row r="124" spans="1:52" ht="17.100000000000001" customHeight="1">
      <c r="A124" s="79"/>
      <c r="B124" s="79"/>
      <c r="C124" s="79"/>
      <c r="D124" s="79"/>
      <c r="E124" s="79"/>
      <c r="F124" s="79"/>
      <c r="G124" s="79"/>
      <c r="H124" s="79"/>
      <c r="I124" s="79"/>
      <c r="J124" s="79"/>
      <c r="K124" s="79"/>
      <c r="L124" s="79"/>
      <c r="M124" s="79"/>
      <c r="N124" s="79"/>
      <c r="O124" s="79"/>
      <c r="P124" s="79"/>
      <c r="Q124" s="79"/>
      <c r="R124" s="79"/>
      <c r="S124" s="79"/>
      <c r="T124" s="79"/>
      <c r="U124" s="79"/>
      <c r="V124" s="79"/>
      <c r="W124" s="79"/>
      <c r="X124" s="79"/>
      <c r="Y124" s="79"/>
      <c r="Z124" s="79"/>
      <c r="AA124" s="79"/>
      <c r="AB124" s="79"/>
      <c r="AC124" s="79"/>
      <c r="AD124" s="79"/>
      <c r="AE124" s="79"/>
      <c r="AF124" s="79"/>
      <c r="AG124" s="79"/>
      <c r="AH124" s="79"/>
      <c r="AI124" s="79"/>
      <c r="AJ124" s="79"/>
      <c r="AK124" s="79"/>
      <c r="AL124" s="79"/>
      <c r="AM124" s="79"/>
      <c r="AN124" s="79"/>
      <c r="AO124" s="79"/>
      <c r="AP124" s="79"/>
      <c r="AQ124" s="79"/>
      <c r="AR124" s="79"/>
      <c r="AS124" s="79"/>
      <c r="AT124" s="79"/>
      <c r="AU124" s="79"/>
      <c r="AV124" s="79"/>
      <c r="AW124" s="79"/>
      <c r="AX124" s="79"/>
      <c r="AY124" s="79"/>
      <c r="AZ124" s="79"/>
    </row>
    <row r="125" spans="1:52" ht="17.100000000000001" customHeight="1">
      <c r="A125" s="79"/>
      <c r="B125" s="79"/>
      <c r="C125" s="79"/>
      <c r="D125" s="79"/>
      <c r="E125" s="79"/>
      <c r="F125" s="79"/>
      <c r="G125" s="79"/>
      <c r="H125" s="79"/>
      <c r="I125" s="79"/>
      <c r="J125" s="79"/>
      <c r="K125" s="79"/>
      <c r="L125" s="79"/>
      <c r="M125" s="79"/>
      <c r="N125" s="79"/>
      <c r="O125" s="79"/>
      <c r="P125" s="79"/>
      <c r="Q125" s="79"/>
      <c r="R125" s="79"/>
      <c r="S125" s="79"/>
      <c r="T125" s="79"/>
      <c r="U125" s="79"/>
      <c r="V125" s="79"/>
      <c r="W125" s="79"/>
      <c r="X125" s="79"/>
      <c r="Y125" s="79"/>
      <c r="Z125" s="79"/>
      <c r="AA125" s="79"/>
      <c r="AB125" s="79"/>
      <c r="AC125" s="79"/>
      <c r="AD125" s="79"/>
      <c r="AE125" s="79"/>
      <c r="AF125" s="79"/>
      <c r="AG125" s="79"/>
      <c r="AH125" s="79"/>
      <c r="AI125" s="79"/>
      <c r="AJ125" s="79"/>
      <c r="AK125" s="79"/>
      <c r="AL125" s="79"/>
      <c r="AM125" s="79"/>
      <c r="AN125" s="79"/>
      <c r="AO125" s="79"/>
      <c r="AP125" s="79"/>
      <c r="AQ125" s="79"/>
      <c r="AR125" s="79"/>
      <c r="AS125" s="79"/>
      <c r="AT125" s="79"/>
      <c r="AU125" s="79"/>
      <c r="AV125" s="79"/>
      <c r="AW125" s="79"/>
      <c r="AX125" s="79"/>
      <c r="AY125" s="79"/>
      <c r="AZ125" s="79"/>
    </row>
    <row r="126" spans="1:52" ht="17.100000000000001" customHeight="1">
      <c r="A126" s="79"/>
      <c r="B126" s="79"/>
      <c r="C126" s="79"/>
      <c r="D126" s="79"/>
      <c r="E126" s="79"/>
      <c r="F126" s="79"/>
      <c r="G126" s="79"/>
      <c r="H126" s="79"/>
      <c r="I126" s="79"/>
      <c r="J126" s="79"/>
      <c r="K126" s="79"/>
      <c r="L126" s="79"/>
      <c r="M126" s="79"/>
      <c r="N126" s="79"/>
      <c r="O126" s="79"/>
      <c r="P126" s="79"/>
      <c r="Q126" s="79"/>
      <c r="R126" s="79"/>
      <c r="S126" s="79"/>
      <c r="T126" s="79"/>
      <c r="U126" s="79"/>
      <c r="V126" s="79"/>
      <c r="W126" s="79"/>
      <c r="X126" s="79"/>
      <c r="Y126" s="79"/>
      <c r="Z126" s="79"/>
      <c r="AA126" s="79"/>
      <c r="AB126" s="79"/>
      <c r="AC126" s="79"/>
      <c r="AD126" s="79"/>
      <c r="AE126" s="79"/>
      <c r="AF126" s="79"/>
      <c r="AG126" s="79"/>
      <c r="AH126" s="79"/>
      <c r="AI126" s="79"/>
      <c r="AJ126" s="79"/>
      <c r="AK126" s="79"/>
      <c r="AL126" s="79"/>
      <c r="AM126" s="79"/>
      <c r="AN126" s="79"/>
      <c r="AO126" s="79"/>
      <c r="AP126" s="79"/>
      <c r="AQ126" s="79"/>
      <c r="AR126" s="79"/>
      <c r="AS126" s="79"/>
      <c r="AT126" s="79"/>
      <c r="AU126" s="79"/>
      <c r="AV126" s="79"/>
      <c r="AW126" s="79"/>
      <c r="AX126" s="79"/>
      <c r="AY126" s="79"/>
      <c r="AZ126" s="79"/>
    </row>
    <row r="127" spans="1:52" ht="17.100000000000001" customHeight="1">
      <c r="A127" s="79"/>
      <c r="B127" s="79"/>
      <c r="C127" s="79"/>
      <c r="D127" s="79"/>
      <c r="E127" s="79"/>
      <c r="F127" s="79"/>
      <c r="G127" s="79"/>
      <c r="H127" s="79"/>
      <c r="I127" s="79"/>
      <c r="J127" s="79"/>
      <c r="K127" s="79"/>
      <c r="L127" s="79"/>
      <c r="M127" s="79"/>
      <c r="N127" s="79"/>
      <c r="O127" s="79"/>
      <c r="P127" s="79"/>
      <c r="Q127" s="79"/>
      <c r="R127" s="79"/>
      <c r="S127" s="79"/>
      <c r="T127" s="79"/>
      <c r="U127" s="79"/>
      <c r="V127" s="79"/>
      <c r="W127" s="79"/>
      <c r="X127" s="79"/>
      <c r="Y127" s="79"/>
      <c r="Z127" s="79"/>
      <c r="AA127" s="79"/>
      <c r="AB127" s="79"/>
      <c r="AC127" s="79"/>
      <c r="AD127" s="79"/>
      <c r="AE127" s="79"/>
      <c r="AF127" s="79"/>
      <c r="AG127" s="79"/>
      <c r="AH127" s="79"/>
      <c r="AI127" s="79"/>
      <c r="AJ127" s="79"/>
      <c r="AK127" s="79"/>
      <c r="AL127" s="79"/>
      <c r="AM127" s="79"/>
      <c r="AN127" s="79"/>
      <c r="AO127" s="79"/>
      <c r="AP127" s="79"/>
      <c r="AQ127" s="79"/>
      <c r="AR127" s="79"/>
      <c r="AS127" s="79"/>
      <c r="AT127" s="79"/>
      <c r="AU127" s="79"/>
      <c r="AV127" s="79"/>
      <c r="AW127" s="79"/>
      <c r="AX127" s="79"/>
      <c r="AY127" s="79"/>
      <c r="AZ127" s="79"/>
    </row>
    <row r="128" spans="1:52" ht="17.100000000000001" customHeight="1">
      <c r="A128" s="79"/>
      <c r="B128" s="79"/>
      <c r="C128" s="79"/>
      <c r="D128" s="79"/>
      <c r="E128" s="79"/>
      <c r="F128" s="79"/>
      <c r="G128" s="79"/>
      <c r="H128" s="79"/>
      <c r="I128" s="79"/>
      <c r="J128" s="79"/>
      <c r="K128" s="79"/>
      <c r="L128" s="79"/>
      <c r="M128" s="79"/>
      <c r="N128" s="79"/>
      <c r="O128" s="79"/>
      <c r="P128" s="79"/>
      <c r="Q128" s="79"/>
      <c r="R128" s="79"/>
      <c r="S128" s="79"/>
      <c r="T128" s="79"/>
      <c r="U128" s="79"/>
      <c r="V128" s="79"/>
      <c r="W128" s="79"/>
      <c r="X128" s="79"/>
      <c r="Y128" s="79"/>
      <c r="Z128" s="79"/>
      <c r="AA128" s="79"/>
      <c r="AB128" s="79"/>
      <c r="AC128" s="79"/>
      <c r="AD128" s="79"/>
      <c r="AE128" s="79"/>
      <c r="AF128" s="79"/>
      <c r="AG128" s="79"/>
      <c r="AH128" s="79"/>
      <c r="AI128" s="79"/>
      <c r="AJ128" s="79"/>
      <c r="AK128" s="79"/>
      <c r="AL128" s="79"/>
      <c r="AM128" s="79"/>
      <c r="AN128" s="79"/>
      <c r="AO128" s="79"/>
      <c r="AP128" s="79"/>
      <c r="AQ128" s="79"/>
      <c r="AR128" s="79"/>
      <c r="AS128" s="79"/>
      <c r="AT128" s="79"/>
      <c r="AU128" s="79"/>
      <c r="AV128" s="79"/>
      <c r="AW128" s="79"/>
      <c r="AX128" s="79"/>
      <c r="AY128" s="79"/>
      <c r="AZ128" s="79"/>
    </row>
    <row r="129" spans="1:52" ht="17.100000000000001" customHeight="1">
      <c r="A129" s="79"/>
      <c r="B129" s="79"/>
      <c r="C129" s="79"/>
      <c r="D129" s="79"/>
      <c r="E129" s="79"/>
      <c r="F129" s="79"/>
      <c r="G129" s="79"/>
      <c r="H129" s="79"/>
      <c r="I129" s="79"/>
      <c r="J129" s="79"/>
      <c r="K129" s="79"/>
      <c r="L129" s="79"/>
      <c r="M129" s="79"/>
      <c r="N129" s="79"/>
      <c r="O129" s="79"/>
      <c r="P129" s="79"/>
      <c r="Q129" s="79"/>
      <c r="R129" s="79"/>
      <c r="S129" s="79"/>
      <c r="T129" s="79"/>
      <c r="U129" s="79"/>
      <c r="V129" s="79"/>
      <c r="W129" s="79"/>
      <c r="X129" s="79"/>
      <c r="Y129" s="79"/>
      <c r="Z129" s="79"/>
      <c r="AA129" s="79"/>
      <c r="AB129" s="79"/>
      <c r="AC129" s="79"/>
      <c r="AD129" s="79"/>
      <c r="AE129" s="79"/>
      <c r="AF129" s="79"/>
      <c r="AG129" s="79"/>
      <c r="AH129" s="79"/>
      <c r="AI129" s="79"/>
      <c r="AJ129" s="79"/>
      <c r="AK129" s="79"/>
      <c r="AL129" s="79"/>
      <c r="AM129" s="79"/>
      <c r="AN129" s="79"/>
      <c r="AO129" s="79"/>
      <c r="AP129" s="79"/>
      <c r="AQ129" s="79"/>
      <c r="AR129" s="79"/>
      <c r="AS129" s="79"/>
      <c r="AT129" s="79"/>
      <c r="AU129" s="79"/>
      <c r="AV129" s="79"/>
      <c r="AW129" s="79"/>
      <c r="AX129" s="79"/>
      <c r="AY129" s="79"/>
      <c r="AZ129" s="79"/>
    </row>
    <row r="130" spans="1:52" ht="17.100000000000001" customHeight="1">
      <c r="A130" s="79"/>
      <c r="B130" s="79"/>
      <c r="C130" s="79"/>
      <c r="D130" s="79"/>
      <c r="E130" s="79"/>
      <c r="F130" s="79"/>
      <c r="G130" s="79"/>
      <c r="H130" s="79"/>
      <c r="I130" s="79"/>
      <c r="J130" s="79"/>
      <c r="K130" s="79"/>
      <c r="L130" s="79"/>
      <c r="M130" s="79"/>
      <c r="N130" s="79"/>
      <c r="O130" s="79"/>
      <c r="P130" s="79"/>
      <c r="Q130" s="79"/>
      <c r="R130" s="79"/>
      <c r="S130" s="79"/>
      <c r="T130" s="79"/>
      <c r="U130" s="79"/>
      <c r="V130" s="79"/>
      <c r="W130" s="79"/>
      <c r="X130" s="79"/>
      <c r="Y130" s="79"/>
      <c r="Z130" s="79"/>
      <c r="AA130" s="79"/>
      <c r="AB130" s="79"/>
      <c r="AC130" s="79"/>
      <c r="AD130" s="79"/>
      <c r="AE130" s="79"/>
      <c r="AF130" s="79"/>
      <c r="AG130" s="79"/>
      <c r="AH130" s="79"/>
      <c r="AI130" s="79"/>
      <c r="AJ130" s="79"/>
      <c r="AK130" s="79"/>
      <c r="AL130" s="79"/>
      <c r="AM130" s="79"/>
      <c r="AN130" s="79"/>
      <c r="AO130" s="79"/>
      <c r="AP130" s="79"/>
      <c r="AQ130" s="79"/>
      <c r="AR130" s="79"/>
      <c r="AS130" s="79"/>
      <c r="AT130" s="79"/>
      <c r="AU130" s="79"/>
      <c r="AV130" s="79"/>
      <c r="AW130" s="79"/>
      <c r="AX130" s="79"/>
      <c r="AY130" s="79"/>
      <c r="AZ130" s="79"/>
    </row>
    <row r="131" spans="1:52" ht="17.100000000000001" customHeight="1">
      <c r="A131" s="79"/>
      <c r="B131" s="79"/>
      <c r="C131" s="79"/>
      <c r="D131" s="79"/>
      <c r="E131" s="79"/>
      <c r="F131" s="79"/>
      <c r="G131" s="79"/>
      <c r="H131" s="79"/>
      <c r="I131" s="79"/>
      <c r="J131" s="79"/>
      <c r="K131" s="79"/>
      <c r="L131" s="79"/>
      <c r="M131" s="79"/>
      <c r="N131" s="79"/>
      <c r="O131" s="79"/>
      <c r="P131" s="79"/>
      <c r="Q131" s="79"/>
      <c r="R131" s="79"/>
      <c r="S131" s="79"/>
      <c r="T131" s="79"/>
      <c r="U131" s="79"/>
      <c r="V131" s="79"/>
      <c r="W131" s="79"/>
      <c r="X131" s="79"/>
      <c r="Y131" s="79"/>
      <c r="Z131" s="79"/>
      <c r="AA131" s="79"/>
      <c r="AB131" s="79"/>
      <c r="AC131" s="79"/>
      <c r="AD131" s="79"/>
      <c r="AE131" s="79"/>
      <c r="AF131" s="79"/>
      <c r="AG131" s="79"/>
      <c r="AH131" s="79"/>
      <c r="AI131" s="79"/>
      <c r="AJ131" s="79"/>
      <c r="AK131" s="79"/>
      <c r="AL131" s="79"/>
      <c r="AM131" s="79"/>
      <c r="AN131" s="79"/>
      <c r="AO131" s="79"/>
      <c r="AP131" s="79"/>
      <c r="AQ131" s="79"/>
      <c r="AR131" s="79"/>
      <c r="AS131" s="79"/>
      <c r="AT131" s="79"/>
      <c r="AU131" s="79"/>
      <c r="AV131" s="79"/>
      <c r="AW131" s="79"/>
      <c r="AX131" s="79"/>
      <c r="AY131" s="79"/>
      <c r="AZ131" s="79"/>
    </row>
    <row r="132" spans="1:52" ht="17.100000000000001" customHeight="1">
      <c r="A132" s="79"/>
      <c r="B132" s="79"/>
      <c r="C132" s="79"/>
      <c r="D132" s="79"/>
      <c r="E132" s="79"/>
      <c r="F132" s="79"/>
      <c r="G132" s="79"/>
      <c r="H132" s="79"/>
      <c r="I132" s="79"/>
      <c r="J132" s="79"/>
      <c r="K132" s="79"/>
      <c r="L132" s="79"/>
      <c r="M132" s="79"/>
      <c r="N132" s="79"/>
      <c r="O132" s="79"/>
      <c r="P132" s="79"/>
      <c r="Q132" s="79"/>
      <c r="R132" s="79"/>
      <c r="S132" s="79"/>
      <c r="T132" s="79"/>
      <c r="U132" s="79"/>
      <c r="V132" s="79"/>
      <c r="W132" s="79"/>
      <c r="X132" s="79"/>
      <c r="Y132" s="79"/>
      <c r="Z132" s="79"/>
      <c r="AA132" s="79"/>
      <c r="AB132" s="79"/>
      <c r="AC132" s="79"/>
      <c r="AD132" s="79"/>
      <c r="AE132" s="79"/>
      <c r="AF132" s="79"/>
      <c r="AG132" s="79"/>
      <c r="AH132" s="79"/>
      <c r="AI132" s="79"/>
      <c r="AJ132" s="79"/>
      <c r="AK132" s="79"/>
      <c r="AL132" s="79"/>
      <c r="AM132" s="79"/>
      <c r="AN132" s="79"/>
      <c r="AO132" s="79"/>
      <c r="AP132" s="79"/>
      <c r="AQ132" s="79"/>
      <c r="AR132" s="79"/>
      <c r="AS132" s="79"/>
      <c r="AT132" s="79"/>
      <c r="AU132" s="79"/>
      <c r="AV132" s="79"/>
      <c r="AW132" s="79"/>
      <c r="AX132" s="79"/>
      <c r="AY132" s="79"/>
      <c r="AZ132" s="79"/>
    </row>
    <row r="133" spans="1:52" ht="17.100000000000001" customHeight="1">
      <c r="A133" s="79"/>
      <c r="B133" s="79"/>
      <c r="C133" s="79"/>
      <c r="D133" s="79"/>
      <c r="E133" s="79"/>
      <c r="F133" s="79"/>
      <c r="G133" s="79"/>
      <c r="H133" s="79"/>
      <c r="I133" s="79"/>
      <c r="J133" s="79"/>
      <c r="K133" s="79"/>
      <c r="L133" s="79"/>
      <c r="M133" s="79"/>
      <c r="N133" s="79"/>
      <c r="O133" s="79"/>
      <c r="P133" s="79"/>
      <c r="Q133" s="79"/>
      <c r="R133" s="79"/>
      <c r="S133" s="79"/>
      <c r="T133" s="79"/>
      <c r="U133" s="79"/>
      <c r="V133" s="79"/>
      <c r="W133" s="79"/>
      <c r="X133" s="79"/>
      <c r="Y133" s="79"/>
      <c r="Z133" s="79"/>
      <c r="AA133" s="79"/>
      <c r="AB133" s="79"/>
      <c r="AC133" s="79"/>
      <c r="AD133" s="79"/>
      <c r="AE133" s="79"/>
      <c r="AF133" s="79"/>
      <c r="AG133" s="79"/>
      <c r="AH133" s="79"/>
      <c r="AI133" s="79"/>
      <c r="AJ133" s="79"/>
      <c r="AK133" s="79"/>
      <c r="AL133" s="79"/>
      <c r="AM133" s="79"/>
      <c r="AN133" s="79"/>
      <c r="AO133" s="79"/>
      <c r="AP133" s="79"/>
      <c r="AQ133" s="79"/>
      <c r="AR133" s="79"/>
      <c r="AS133" s="79"/>
      <c r="AT133" s="79"/>
      <c r="AU133" s="79"/>
      <c r="AV133" s="79"/>
      <c r="AW133" s="79"/>
      <c r="AX133" s="79"/>
      <c r="AY133" s="79"/>
      <c r="AZ133" s="79"/>
    </row>
    <row r="134" spans="1:52" ht="17.100000000000001" customHeight="1">
      <c r="A134" s="79"/>
      <c r="B134" s="79"/>
      <c r="C134" s="79"/>
      <c r="D134" s="79"/>
      <c r="E134" s="79"/>
      <c r="F134" s="79"/>
      <c r="G134" s="79"/>
      <c r="H134" s="79"/>
      <c r="I134" s="79"/>
      <c r="J134" s="79"/>
      <c r="K134" s="79"/>
      <c r="L134" s="79"/>
      <c r="M134" s="79"/>
      <c r="N134" s="79"/>
      <c r="O134" s="79"/>
      <c r="P134" s="79"/>
      <c r="Q134" s="79"/>
      <c r="R134" s="79"/>
      <c r="S134" s="79"/>
      <c r="T134" s="79"/>
      <c r="U134" s="79"/>
      <c r="V134" s="79"/>
      <c r="W134" s="79"/>
      <c r="X134" s="79"/>
      <c r="Y134" s="79"/>
      <c r="Z134" s="79"/>
      <c r="AA134" s="79"/>
      <c r="AB134" s="79"/>
      <c r="AC134" s="79"/>
      <c r="AD134" s="79"/>
      <c r="AE134" s="79"/>
      <c r="AF134" s="79"/>
      <c r="AG134" s="79"/>
      <c r="AH134" s="79"/>
      <c r="AI134" s="79"/>
      <c r="AJ134" s="79"/>
      <c r="AK134" s="79"/>
      <c r="AL134" s="79"/>
      <c r="AM134" s="79"/>
      <c r="AN134" s="79"/>
      <c r="AO134" s="79"/>
      <c r="AP134" s="79"/>
      <c r="AQ134" s="79"/>
      <c r="AR134" s="79"/>
      <c r="AS134" s="79"/>
      <c r="AT134" s="79"/>
      <c r="AU134" s="79"/>
      <c r="AV134" s="79"/>
      <c r="AW134" s="79"/>
      <c r="AX134" s="79"/>
      <c r="AY134" s="79"/>
      <c r="AZ134" s="79"/>
    </row>
    <row r="135" spans="1:52" ht="17.100000000000001" customHeight="1">
      <c r="A135" s="79"/>
      <c r="B135" s="79"/>
      <c r="C135" s="79"/>
      <c r="D135" s="79"/>
      <c r="E135" s="79"/>
      <c r="F135" s="79"/>
      <c r="G135" s="79"/>
      <c r="H135" s="79"/>
      <c r="I135" s="79"/>
      <c r="J135" s="79"/>
      <c r="K135" s="79"/>
      <c r="L135" s="79"/>
      <c r="M135" s="79"/>
      <c r="N135" s="79"/>
      <c r="O135" s="79"/>
      <c r="P135" s="79"/>
      <c r="Q135" s="79"/>
      <c r="R135" s="79"/>
      <c r="S135" s="79"/>
      <c r="T135" s="79"/>
      <c r="U135" s="79"/>
      <c r="V135" s="79"/>
      <c r="W135" s="79"/>
      <c r="X135" s="79"/>
      <c r="Y135" s="79"/>
      <c r="Z135" s="79"/>
      <c r="AA135" s="79"/>
      <c r="AB135" s="79"/>
      <c r="AC135" s="79"/>
      <c r="AD135" s="79"/>
      <c r="AE135" s="79"/>
      <c r="AF135" s="79"/>
      <c r="AG135" s="79"/>
      <c r="AH135" s="79"/>
      <c r="AI135" s="79"/>
      <c r="AJ135" s="79"/>
      <c r="AK135" s="79"/>
      <c r="AL135" s="79"/>
      <c r="AM135" s="79"/>
      <c r="AN135" s="79"/>
      <c r="AO135" s="79"/>
      <c r="AP135" s="79"/>
      <c r="AQ135" s="79"/>
      <c r="AR135" s="79"/>
      <c r="AS135" s="79"/>
      <c r="AT135" s="79"/>
      <c r="AU135" s="79"/>
      <c r="AV135" s="79"/>
      <c r="AW135" s="79"/>
      <c r="AX135" s="79"/>
      <c r="AY135" s="79"/>
      <c r="AZ135" s="79"/>
    </row>
    <row r="136" spans="1:52" ht="17.100000000000001" customHeight="1">
      <c r="A136" s="79"/>
      <c r="B136" s="79"/>
      <c r="C136" s="79"/>
      <c r="D136" s="79"/>
      <c r="E136" s="79"/>
      <c r="F136" s="79"/>
      <c r="G136" s="79"/>
      <c r="H136" s="79"/>
      <c r="I136" s="79"/>
      <c r="J136" s="79"/>
      <c r="K136" s="79"/>
      <c r="L136" s="79"/>
      <c r="M136" s="79"/>
      <c r="N136" s="79"/>
      <c r="O136" s="79"/>
      <c r="P136" s="79"/>
      <c r="Q136" s="79"/>
      <c r="R136" s="79"/>
      <c r="S136" s="79"/>
      <c r="T136" s="79"/>
      <c r="U136" s="79"/>
      <c r="V136" s="79"/>
      <c r="W136" s="79"/>
      <c r="X136" s="79"/>
      <c r="Y136" s="79"/>
      <c r="Z136" s="79"/>
      <c r="AA136" s="79"/>
      <c r="AB136" s="79"/>
      <c r="AC136" s="79"/>
      <c r="AD136" s="79"/>
      <c r="AE136" s="79"/>
      <c r="AF136" s="79"/>
      <c r="AG136" s="79"/>
      <c r="AH136" s="79"/>
      <c r="AI136" s="79"/>
      <c r="AJ136" s="79"/>
      <c r="AK136" s="79"/>
      <c r="AL136" s="79"/>
      <c r="AM136" s="79"/>
      <c r="AN136" s="79"/>
      <c r="AO136" s="79"/>
      <c r="AP136" s="79"/>
      <c r="AQ136" s="79"/>
      <c r="AR136" s="79"/>
      <c r="AS136" s="79"/>
      <c r="AT136" s="79"/>
      <c r="AU136" s="79"/>
      <c r="AV136" s="79"/>
      <c r="AW136" s="79"/>
      <c r="AX136" s="79"/>
      <c r="AY136" s="79"/>
      <c r="AZ136" s="79"/>
    </row>
    <row r="137" spans="1:52" ht="17.100000000000001" customHeight="1">
      <c r="A137" s="79"/>
      <c r="B137" s="79"/>
      <c r="C137" s="79"/>
      <c r="D137" s="79"/>
      <c r="E137" s="79"/>
      <c r="F137" s="79"/>
      <c r="G137" s="79"/>
      <c r="H137" s="79"/>
      <c r="I137" s="79"/>
      <c r="J137" s="79"/>
      <c r="K137" s="79"/>
      <c r="L137" s="79"/>
      <c r="M137" s="79"/>
      <c r="N137" s="79"/>
      <c r="O137" s="79"/>
      <c r="P137" s="79"/>
      <c r="Q137" s="79"/>
      <c r="R137" s="79"/>
      <c r="S137" s="79"/>
      <c r="T137" s="79"/>
      <c r="U137" s="79"/>
      <c r="V137" s="79"/>
      <c r="W137" s="79"/>
      <c r="X137" s="79"/>
      <c r="Y137" s="79"/>
      <c r="Z137" s="79"/>
      <c r="AA137" s="79"/>
      <c r="AB137" s="79"/>
      <c r="AC137" s="79"/>
      <c r="AD137" s="79"/>
      <c r="AE137" s="79"/>
      <c r="AF137" s="79"/>
      <c r="AG137" s="79"/>
      <c r="AH137" s="79"/>
      <c r="AI137" s="79"/>
      <c r="AJ137" s="79"/>
      <c r="AK137" s="79"/>
      <c r="AL137" s="79"/>
      <c r="AM137" s="79"/>
      <c r="AN137" s="79"/>
      <c r="AO137" s="79"/>
      <c r="AP137" s="79"/>
      <c r="AQ137" s="79"/>
      <c r="AR137" s="79"/>
      <c r="AS137" s="79"/>
      <c r="AT137" s="79"/>
      <c r="AU137" s="79"/>
      <c r="AV137" s="79"/>
      <c r="AW137" s="79"/>
      <c r="AX137" s="79"/>
      <c r="AY137" s="79"/>
      <c r="AZ137" s="79"/>
    </row>
    <row r="138" spans="1:52" ht="17.100000000000001" customHeight="1">
      <c r="A138" s="79"/>
      <c r="B138" s="79"/>
      <c r="C138" s="79"/>
      <c r="D138" s="79"/>
      <c r="E138" s="79"/>
      <c r="F138" s="79"/>
      <c r="G138" s="79"/>
      <c r="H138" s="79"/>
      <c r="I138" s="79"/>
      <c r="J138" s="79"/>
      <c r="K138" s="79"/>
      <c r="L138" s="79"/>
      <c r="M138" s="79"/>
      <c r="N138" s="79"/>
      <c r="O138" s="79"/>
      <c r="P138" s="79"/>
      <c r="Q138" s="79"/>
      <c r="R138" s="79"/>
      <c r="S138" s="79"/>
      <c r="T138" s="79"/>
      <c r="U138" s="79"/>
      <c r="V138" s="79"/>
      <c r="W138" s="79"/>
      <c r="X138" s="79"/>
      <c r="Y138" s="79"/>
      <c r="Z138" s="79"/>
      <c r="AA138" s="79"/>
      <c r="AB138" s="79"/>
      <c r="AC138" s="79"/>
      <c r="AD138" s="79"/>
      <c r="AE138" s="79"/>
      <c r="AF138" s="79"/>
      <c r="AG138" s="79"/>
      <c r="AH138" s="79"/>
      <c r="AI138" s="79"/>
      <c r="AJ138" s="79"/>
      <c r="AK138" s="79"/>
      <c r="AL138" s="79"/>
      <c r="AM138" s="79"/>
      <c r="AN138" s="79"/>
      <c r="AO138" s="79"/>
      <c r="AP138" s="79"/>
      <c r="AQ138" s="79"/>
      <c r="AR138" s="79"/>
      <c r="AS138" s="79"/>
      <c r="AT138" s="79"/>
      <c r="AU138" s="79"/>
      <c r="AV138" s="79"/>
      <c r="AW138" s="79"/>
      <c r="AX138" s="79"/>
      <c r="AY138" s="79"/>
      <c r="AZ138" s="79"/>
    </row>
    <row r="139" spans="1:52" ht="17.100000000000001" customHeight="1">
      <c r="A139" s="79"/>
      <c r="B139" s="79"/>
      <c r="C139" s="79"/>
      <c r="D139" s="79"/>
      <c r="E139" s="79"/>
      <c r="F139" s="79"/>
      <c r="G139" s="79"/>
      <c r="H139" s="79"/>
      <c r="I139" s="79"/>
      <c r="J139" s="79"/>
      <c r="K139" s="79"/>
      <c r="L139" s="79"/>
      <c r="M139" s="79"/>
      <c r="N139" s="79"/>
      <c r="O139" s="79"/>
      <c r="P139" s="79"/>
      <c r="Q139" s="79"/>
      <c r="R139" s="79"/>
      <c r="S139" s="79"/>
      <c r="T139" s="79"/>
      <c r="U139" s="79"/>
      <c r="V139" s="79"/>
      <c r="W139" s="79"/>
      <c r="X139" s="79"/>
      <c r="Y139" s="79"/>
      <c r="Z139" s="79"/>
      <c r="AA139" s="79"/>
      <c r="AB139" s="79"/>
      <c r="AC139" s="79"/>
      <c r="AD139" s="79"/>
      <c r="AE139" s="79"/>
      <c r="AF139" s="79"/>
      <c r="AG139" s="79"/>
      <c r="AH139" s="79"/>
      <c r="AI139" s="79"/>
      <c r="AJ139" s="79"/>
      <c r="AK139" s="79"/>
      <c r="AL139" s="79"/>
      <c r="AM139" s="79"/>
      <c r="AN139" s="79"/>
      <c r="AO139" s="79"/>
      <c r="AP139" s="79"/>
      <c r="AQ139" s="79"/>
      <c r="AR139" s="79"/>
      <c r="AS139" s="79"/>
      <c r="AT139" s="79"/>
      <c r="AU139" s="79"/>
      <c r="AV139" s="79"/>
      <c r="AW139" s="79"/>
      <c r="AX139" s="79"/>
      <c r="AY139" s="79"/>
      <c r="AZ139" s="79"/>
    </row>
    <row r="140" spans="1:52" ht="17.100000000000001" customHeight="1">
      <c r="A140" s="79"/>
      <c r="B140" s="79"/>
      <c r="C140" s="79"/>
      <c r="D140" s="79"/>
      <c r="E140" s="79"/>
      <c r="F140" s="79"/>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c r="AF140" s="79"/>
      <c r="AG140" s="79"/>
      <c r="AH140" s="79"/>
      <c r="AI140" s="79"/>
      <c r="AJ140" s="79"/>
      <c r="AK140" s="79"/>
      <c r="AL140" s="79"/>
      <c r="AM140" s="79"/>
      <c r="AN140" s="79"/>
      <c r="AO140" s="79"/>
      <c r="AP140" s="79"/>
      <c r="AQ140" s="79"/>
      <c r="AR140" s="79"/>
      <c r="AS140" s="79"/>
      <c r="AT140" s="79"/>
      <c r="AU140" s="79"/>
      <c r="AV140" s="79"/>
      <c r="AW140" s="79"/>
      <c r="AX140" s="79"/>
      <c r="AY140" s="79"/>
      <c r="AZ140" s="79"/>
    </row>
    <row r="141" spans="1:52" ht="17.100000000000001" customHeight="1">
      <c r="A141" s="79"/>
      <c r="B141" s="79"/>
      <c r="C141" s="79"/>
      <c r="D141" s="79"/>
      <c r="E141" s="79"/>
      <c r="F141" s="79"/>
      <c r="G141" s="79"/>
      <c r="H141" s="79"/>
      <c r="I141" s="79"/>
      <c r="J141" s="79"/>
      <c r="K141" s="79"/>
      <c r="L141" s="79"/>
      <c r="M141" s="79"/>
      <c r="N141" s="79"/>
      <c r="O141" s="79"/>
      <c r="P141" s="79"/>
      <c r="Q141" s="79"/>
      <c r="R141" s="79"/>
      <c r="S141" s="79"/>
      <c r="T141" s="79"/>
      <c r="U141" s="79"/>
      <c r="V141" s="79"/>
      <c r="W141" s="79"/>
      <c r="X141" s="79"/>
      <c r="Y141" s="79"/>
      <c r="Z141" s="79"/>
      <c r="AA141" s="79"/>
      <c r="AB141" s="79"/>
      <c r="AC141" s="79"/>
      <c r="AD141" s="79"/>
      <c r="AE141" s="79"/>
      <c r="AF141" s="79"/>
      <c r="AG141" s="79"/>
      <c r="AH141" s="79"/>
      <c r="AI141" s="79"/>
      <c r="AJ141" s="79"/>
      <c r="AK141" s="79"/>
      <c r="AL141" s="79"/>
      <c r="AM141" s="79"/>
      <c r="AN141" s="79"/>
      <c r="AO141" s="79"/>
      <c r="AP141" s="79"/>
      <c r="AQ141" s="79"/>
      <c r="AR141" s="79"/>
      <c r="AS141" s="79"/>
      <c r="AT141" s="79"/>
      <c r="AU141" s="79"/>
      <c r="AV141" s="79"/>
      <c r="AW141" s="79"/>
      <c r="AX141" s="79"/>
      <c r="AY141" s="79"/>
      <c r="AZ141" s="79"/>
    </row>
    <row r="142" spans="1:52" ht="17.100000000000001" customHeight="1">
      <c r="A142" s="79"/>
      <c r="B142" s="79"/>
      <c r="C142" s="79"/>
      <c r="D142" s="79"/>
      <c r="E142" s="79"/>
      <c r="F142" s="79"/>
      <c r="G142" s="79"/>
      <c r="H142" s="79"/>
      <c r="I142" s="79"/>
      <c r="J142" s="79"/>
      <c r="K142" s="79"/>
      <c r="L142" s="79"/>
      <c r="M142" s="79"/>
      <c r="N142" s="79"/>
      <c r="O142" s="79"/>
      <c r="P142" s="79"/>
      <c r="Q142" s="79"/>
      <c r="R142" s="79"/>
      <c r="S142" s="79"/>
      <c r="T142" s="79"/>
      <c r="U142" s="79"/>
      <c r="V142" s="79"/>
      <c r="W142" s="79"/>
      <c r="X142" s="79"/>
      <c r="Y142" s="79"/>
      <c r="Z142" s="79"/>
      <c r="AA142" s="79"/>
      <c r="AB142" s="79"/>
      <c r="AC142" s="79"/>
      <c r="AD142" s="79"/>
      <c r="AE142" s="79"/>
      <c r="AF142" s="79"/>
      <c r="AG142" s="79"/>
      <c r="AH142" s="79"/>
      <c r="AI142" s="79"/>
      <c r="AJ142" s="79"/>
      <c r="AK142" s="79"/>
      <c r="AL142" s="79"/>
      <c r="AM142" s="79"/>
      <c r="AN142" s="79"/>
      <c r="AO142" s="79"/>
      <c r="AP142" s="79"/>
      <c r="AQ142" s="79"/>
      <c r="AR142" s="79"/>
      <c r="AS142" s="79"/>
      <c r="AT142" s="79"/>
      <c r="AU142" s="79"/>
      <c r="AV142" s="79"/>
      <c r="AW142" s="79"/>
      <c r="AX142" s="79"/>
      <c r="AY142" s="79"/>
      <c r="AZ142" s="79"/>
    </row>
    <row r="143" spans="1:52" ht="17.100000000000001" customHeight="1">
      <c r="A143" s="79"/>
      <c r="B143" s="79"/>
      <c r="C143" s="79"/>
      <c r="D143" s="79"/>
      <c r="E143" s="79"/>
      <c r="F143" s="79"/>
      <c r="G143" s="79"/>
      <c r="H143" s="79"/>
      <c r="I143" s="79"/>
      <c r="J143" s="79"/>
      <c r="K143" s="79"/>
      <c r="L143" s="79"/>
      <c r="M143" s="79"/>
      <c r="N143" s="79"/>
      <c r="O143" s="79"/>
      <c r="P143" s="79"/>
      <c r="Q143" s="79"/>
      <c r="R143" s="79"/>
      <c r="S143" s="79"/>
      <c r="T143" s="79"/>
      <c r="U143" s="79"/>
      <c r="V143" s="79"/>
      <c r="W143" s="79"/>
      <c r="X143" s="79"/>
      <c r="Y143" s="79"/>
      <c r="Z143" s="79"/>
      <c r="AA143" s="79"/>
      <c r="AB143" s="79"/>
      <c r="AC143" s="79"/>
      <c r="AD143" s="79"/>
      <c r="AE143" s="79"/>
      <c r="AF143" s="79"/>
      <c r="AG143" s="79"/>
      <c r="AH143" s="79"/>
      <c r="AI143" s="79"/>
      <c r="AJ143" s="79"/>
      <c r="AK143" s="79"/>
      <c r="AL143" s="79"/>
      <c r="AM143" s="79"/>
      <c r="AN143" s="79"/>
      <c r="AO143" s="79"/>
      <c r="AP143" s="79"/>
      <c r="AQ143" s="79"/>
      <c r="AR143" s="79"/>
      <c r="AS143" s="79"/>
      <c r="AT143" s="79"/>
      <c r="AU143" s="79"/>
      <c r="AV143" s="79"/>
      <c r="AW143" s="79"/>
      <c r="AX143" s="79"/>
      <c r="AY143" s="79"/>
      <c r="AZ143" s="79"/>
    </row>
    <row r="144" spans="1:52" ht="17.100000000000001" customHeight="1">
      <c r="A144" s="79"/>
      <c r="B144" s="79"/>
      <c r="C144" s="79"/>
      <c r="D144" s="79"/>
      <c r="E144" s="79"/>
      <c r="F144" s="79"/>
      <c r="G144" s="79"/>
      <c r="H144" s="79"/>
      <c r="I144" s="79"/>
      <c r="J144" s="79"/>
      <c r="K144" s="79"/>
      <c r="L144" s="79"/>
      <c r="M144" s="79"/>
      <c r="N144" s="79"/>
      <c r="O144" s="79"/>
      <c r="P144" s="79"/>
      <c r="Q144" s="79"/>
      <c r="R144" s="79"/>
      <c r="S144" s="79"/>
      <c r="T144" s="79"/>
      <c r="U144" s="79"/>
      <c r="V144" s="79"/>
      <c r="W144" s="79"/>
      <c r="X144" s="79"/>
      <c r="Y144" s="79"/>
      <c r="Z144" s="79"/>
      <c r="AA144" s="79"/>
      <c r="AB144" s="79"/>
      <c r="AC144" s="79"/>
      <c r="AD144" s="79"/>
      <c r="AE144" s="79"/>
      <c r="AF144" s="79"/>
      <c r="AG144" s="79"/>
      <c r="AH144" s="79"/>
      <c r="AI144" s="79"/>
      <c r="AJ144" s="79"/>
      <c r="AK144" s="79"/>
      <c r="AL144" s="79"/>
      <c r="AM144" s="79"/>
      <c r="AN144" s="79"/>
      <c r="AO144" s="79"/>
      <c r="AP144" s="79"/>
      <c r="AQ144" s="79"/>
      <c r="AR144" s="79"/>
      <c r="AS144" s="79"/>
      <c r="AT144" s="79"/>
      <c r="AU144" s="79"/>
      <c r="AV144" s="79"/>
      <c r="AW144" s="79"/>
      <c r="AX144" s="79"/>
      <c r="AY144" s="79"/>
      <c r="AZ144" s="79"/>
    </row>
    <row r="145" spans="1:52" ht="17.100000000000001" customHeight="1">
      <c r="A145" s="79"/>
      <c r="B145" s="79"/>
      <c r="C145" s="79"/>
      <c r="D145" s="79"/>
      <c r="E145" s="79"/>
      <c r="F145" s="79"/>
      <c r="G145" s="79"/>
      <c r="H145" s="79"/>
      <c r="I145" s="79"/>
      <c r="J145" s="79"/>
      <c r="K145" s="79"/>
      <c r="L145" s="79"/>
      <c r="M145" s="79"/>
      <c r="N145" s="79"/>
      <c r="O145" s="79"/>
      <c r="P145" s="79"/>
      <c r="Q145" s="79"/>
      <c r="R145" s="79"/>
      <c r="S145" s="79"/>
      <c r="T145" s="79"/>
      <c r="U145" s="79"/>
      <c r="V145" s="79"/>
      <c r="W145" s="79"/>
      <c r="X145" s="79"/>
      <c r="Y145" s="79"/>
      <c r="Z145" s="79"/>
      <c r="AA145" s="79"/>
      <c r="AB145" s="79"/>
      <c r="AC145" s="79"/>
      <c r="AD145" s="79"/>
      <c r="AE145" s="79"/>
      <c r="AF145" s="79"/>
      <c r="AG145" s="79"/>
      <c r="AH145" s="79"/>
      <c r="AI145" s="79"/>
      <c r="AJ145" s="79"/>
      <c r="AK145" s="79"/>
      <c r="AL145" s="79"/>
      <c r="AM145" s="79"/>
      <c r="AN145" s="79"/>
      <c r="AO145" s="79"/>
      <c r="AP145" s="79"/>
      <c r="AQ145" s="79"/>
      <c r="AR145" s="79"/>
      <c r="AS145" s="79"/>
      <c r="AT145" s="79"/>
      <c r="AU145" s="79"/>
      <c r="AV145" s="79"/>
      <c r="AW145" s="79"/>
      <c r="AX145" s="79"/>
      <c r="AY145" s="79"/>
      <c r="AZ145" s="79"/>
    </row>
    <row r="146" spans="1:52" ht="17.100000000000001" customHeight="1">
      <c r="A146" s="79"/>
      <c r="B146" s="79"/>
      <c r="C146" s="79"/>
      <c r="D146" s="79"/>
      <c r="E146" s="79"/>
      <c r="F146" s="79"/>
      <c r="G146" s="79"/>
      <c r="H146" s="79"/>
      <c r="I146" s="79"/>
      <c r="J146" s="79"/>
      <c r="K146" s="79"/>
      <c r="L146" s="79"/>
      <c r="M146" s="79"/>
      <c r="N146" s="79"/>
      <c r="O146" s="79"/>
      <c r="P146" s="79"/>
      <c r="Q146" s="79"/>
      <c r="R146" s="79"/>
      <c r="S146" s="79"/>
      <c r="T146" s="79"/>
      <c r="U146" s="79"/>
      <c r="V146" s="79"/>
      <c r="W146" s="79"/>
      <c r="X146" s="79"/>
      <c r="Y146" s="79"/>
      <c r="Z146" s="79"/>
      <c r="AA146" s="79"/>
      <c r="AB146" s="79"/>
      <c r="AC146" s="79"/>
      <c r="AD146" s="79"/>
      <c r="AE146" s="79"/>
      <c r="AF146" s="79"/>
      <c r="AG146" s="79"/>
      <c r="AH146" s="79"/>
      <c r="AI146" s="79"/>
      <c r="AJ146" s="79"/>
      <c r="AK146" s="79"/>
      <c r="AL146" s="79"/>
      <c r="AM146" s="79"/>
      <c r="AN146" s="79"/>
      <c r="AO146" s="79"/>
      <c r="AP146" s="79"/>
      <c r="AQ146" s="79"/>
      <c r="AR146" s="79"/>
      <c r="AS146" s="79"/>
      <c r="AT146" s="79"/>
      <c r="AU146" s="79"/>
      <c r="AV146" s="79"/>
      <c r="AW146" s="79"/>
      <c r="AX146" s="79"/>
      <c r="AY146" s="79"/>
      <c r="AZ146" s="79"/>
    </row>
    <row r="147" spans="1:52" ht="17.100000000000001" customHeight="1">
      <c r="A147" s="79"/>
      <c r="B147" s="79"/>
      <c r="C147" s="79"/>
      <c r="D147" s="79"/>
      <c r="E147" s="79"/>
      <c r="F147" s="79"/>
      <c r="G147" s="79"/>
      <c r="H147" s="79"/>
      <c r="I147" s="79"/>
      <c r="J147" s="79"/>
      <c r="K147" s="79"/>
      <c r="L147" s="79"/>
      <c r="M147" s="79"/>
      <c r="N147" s="79"/>
      <c r="O147" s="79"/>
      <c r="P147" s="79"/>
      <c r="Q147" s="79"/>
      <c r="R147" s="79"/>
      <c r="S147" s="79"/>
      <c r="T147" s="79"/>
      <c r="U147" s="79"/>
      <c r="V147" s="79"/>
      <c r="W147" s="79"/>
      <c r="X147" s="79"/>
      <c r="Y147" s="79"/>
      <c r="Z147" s="79"/>
      <c r="AA147" s="79"/>
      <c r="AB147" s="79"/>
      <c r="AC147" s="79"/>
      <c r="AD147" s="79"/>
      <c r="AE147" s="79"/>
      <c r="AF147" s="79"/>
      <c r="AG147" s="79"/>
      <c r="AH147" s="79"/>
      <c r="AI147" s="79"/>
      <c r="AJ147" s="79"/>
      <c r="AK147" s="79"/>
      <c r="AL147" s="79"/>
      <c r="AM147" s="79"/>
      <c r="AN147" s="79"/>
      <c r="AO147" s="79"/>
      <c r="AP147" s="79"/>
      <c r="AQ147" s="79"/>
      <c r="AR147" s="79"/>
      <c r="AS147" s="79"/>
      <c r="AT147" s="79"/>
      <c r="AU147" s="79"/>
      <c r="AV147" s="79"/>
      <c r="AW147" s="79"/>
      <c r="AX147" s="79"/>
      <c r="AY147" s="79"/>
      <c r="AZ147" s="79"/>
    </row>
    <row r="148" spans="1:52" ht="17.100000000000001" customHeight="1">
      <c r="A148" s="79"/>
      <c r="B148" s="79"/>
      <c r="C148" s="79"/>
      <c r="D148" s="79"/>
      <c r="E148" s="79"/>
      <c r="F148" s="79"/>
      <c r="G148" s="79"/>
      <c r="H148" s="79"/>
      <c r="I148" s="79"/>
      <c r="J148" s="79"/>
      <c r="K148" s="79"/>
      <c r="L148" s="79"/>
      <c r="M148" s="79"/>
      <c r="N148" s="79"/>
      <c r="O148" s="79"/>
      <c r="P148" s="79"/>
      <c r="Q148" s="79"/>
      <c r="R148" s="79"/>
      <c r="S148" s="79"/>
      <c r="T148" s="79"/>
      <c r="U148" s="79"/>
      <c r="V148" s="79"/>
      <c r="W148" s="79"/>
      <c r="X148" s="79"/>
      <c r="Y148" s="79"/>
      <c r="Z148" s="79"/>
      <c r="AA148" s="79"/>
      <c r="AB148" s="79"/>
      <c r="AC148" s="79"/>
      <c r="AD148" s="79"/>
      <c r="AE148" s="79"/>
      <c r="AF148" s="79"/>
      <c r="AG148" s="79"/>
      <c r="AH148" s="79"/>
      <c r="AI148" s="79"/>
      <c r="AJ148" s="79"/>
      <c r="AK148" s="79"/>
      <c r="AL148" s="79"/>
      <c r="AM148" s="79"/>
      <c r="AN148" s="79"/>
      <c r="AO148" s="79"/>
      <c r="AP148" s="79"/>
      <c r="AQ148" s="79"/>
      <c r="AR148" s="79"/>
      <c r="AS148" s="79"/>
      <c r="AT148" s="79"/>
      <c r="AU148" s="79"/>
      <c r="AV148" s="79"/>
      <c r="AW148" s="79"/>
      <c r="AX148" s="79"/>
      <c r="AY148" s="79"/>
      <c r="AZ148" s="79"/>
    </row>
    <row r="149" spans="1:52" ht="17.100000000000001" customHeight="1">
      <c r="A149" s="79"/>
      <c r="B149" s="79"/>
      <c r="C149" s="79"/>
      <c r="D149" s="79"/>
      <c r="E149" s="79"/>
      <c r="F149" s="79"/>
      <c r="G149" s="79"/>
      <c r="H149" s="79"/>
      <c r="I149" s="79"/>
      <c r="J149" s="79"/>
      <c r="K149" s="79"/>
      <c r="L149" s="79"/>
      <c r="M149" s="79"/>
      <c r="N149" s="79"/>
      <c r="O149" s="79"/>
      <c r="P149" s="79"/>
      <c r="Q149" s="79"/>
      <c r="R149" s="79"/>
      <c r="S149" s="79"/>
      <c r="T149" s="79"/>
      <c r="U149" s="79"/>
      <c r="V149" s="79"/>
      <c r="W149" s="79"/>
      <c r="X149" s="79"/>
      <c r="Y149" s="79"/>
      <c r="Z149" s="79"/>
      <c r="AA149" s="79"/>
      <c r="AB149" s="79"/>
      <c r="AC149" s="79"/>
      <c r="AD149" s="79"/>
      <c r="AE149" s="79"/>
      <c r="AF149" s="79"/>
      <c r="AG149" s="79"/>
      <c r="AH149" s="79"/>
      <c r="AI149" s="79"/>
      <c r="AJ149" s="79"/>
      <c r="AK149" s="79"/>
      <c r="AL149" s="79"/>
      <c r="AM149" s="79"/>
      <c r="AN149" s="79"/>
      <c r="AO149" s="79"/>
      <c r="AP149" s="79"/>
      <c r="AQ149" s="79"/>
      <c r="AR149" s="79"/>
      <c r="AS149" s="79"/>
      <c r="AT149" s="79"/>
      <c r="AU149" s="79"/>
      <c r="AV149" s="79"/>
      <c r="AW149" s="79"/>
      <c r="AX149" s="79"/>
      <c r="AY149" s="79"/>
      <c r="AZ149" s="79"/>
    </row>
    <row r="150" spans="1:52" ht="17.100000000000001" customHeight="1">
      <c r="A150" s="79"/>
      <c r="B150" s="79"/>
      <c r="C150" s="79"/>
      <c r="D150" s="79"/>
      <c r="E150" s="79"/>
      <c r="F150" s="79"/>
      <c r="G150" s="79"/>
      <c r="H150" s="79"/>
      <c r="I150" s="79"/>
      <c r="J150" s="79"/>
      <c r="K150" s="79"/>
      <c r="L150" s="79"/>
      <c r="M150" s="79"/>
      <c r="N150" s="79"/>
      <c r="O150" s="79"/>
      <c r="P150" s="79"/>
      <c r="Q150" s="79"/>
      <c r="R150" s="79"/>
      <c r="S150" s="79"/>
      <c r="T150" s="79"/>
      <c r="U150" s="79"/>
      <c r="V150" s="79"/>
      <c r="W150" s="79"/>
      <c r="X150" s="79"/>
      <c r="Y150" s="79"/>
      <c r="Z150" s="79"/>
      <c r="AA150" s="79"/>
      <c r="AB150" s="79"/>
      <c r="AC150" s="79"/>
      <c r="AD150" s="79"/>
      <c r="AE150" s="79"/>
      <c r="AF150" s="79"/>
      <c r="AG150" s="79"/>
      <c r="AH150" s="79"/>
      <c r="AI150" s="79"/>
      <c r="AJ150" s="79"/>
      <c r="AK150" s="79"/>
      <c r="AL150" s="79"/>
      <c r="AM150" s="79"/>
      <c r="AN150" s="79"/>
      <c r="AO150" s="79"/>
      <c r="AP150" s="79"/>
      <c r="AQ150" s="79"/>
      <c r="AR150" s="79"/>
      <c r="AS150" s="79"/>
      <c r="AT150" s="79"/>
      <c r="AU150" s="79"/>
      <c r="AV150" s="79"/>
      <c r="AW150" s="79"/>
      <c r="AX150" s="79"/>
      <c r="AY150" s="79"/>
      <c r="AZ150" s="79"/>
    </row>
    <row r="151" spans="1:52" ht="17.100000000000001" customHeight="1">
      <c r="A151" s="79"/>
      <c r="B151" s="79"/>
      <c r="C151" s="79"/>
      <c r="D151" s="79"/>
      <c r="E151" s="79"/>
      <c r="F151" s="79"/>
      <c r="G151" s="79"/>
      <c r="H151" s="79"/>
      <c r="I151" s="79"/>
      <c r="J151" s="79"/>
      <c r="K151" s="79"/>
      <c r="L151" s="79"/>
      <c r="M151" s="79"/>
      <c r="N151" s="79"/>
      <c r="O151" s="79"/>
      <c r="P151" s="79"/>
      <c r="Q151" s="79"/>
      <c r="R151" s="79"/>
      <c r="S151" s="79"/>
      <c r="T151" s="79"/>
      <c r="U151" s="79"/>
      <c r="V151" s="79"/>
      <c r="W151" s="79"/>
      <c r="X151" s="79"/>
      <c r="Y151" s="79"/>
      <c r="Z151" s="79"/>
      <c r="AA151" s="79"/>
      <c r="AB151" s="79"/>
      <c r="AC151" s="79"/>
      <c r="AD151" s="79"/>
      <c r="AE151" s="79"/>
      <c r="AF151" s="79"/>
      <c r="AG151" s="79"/>
      <c r="AH151" s="79"/>
      <c r="AI151" s="79"/>
      <c r="AJ151" s="79"/>
      <c r="AK151" s="79"/>
      <c r="AL151" s="79"/>
      <c r="AM151" s="79"/>
      <c r="AN151" s="79"/>
      <c r="AO151" s="79"/>
      <c r="AP151" s="79"/>
      <c r="AQ151" s="79"/>
      <c r="AR151" s="79"/>
      <c r="AS151" s="79"/>
      <c r="AT151" s="79"/>
      <c r="AU151" s="79"/>
      <c r="AV151" s="79"/>
      <c r="AW151" s="79"/>
      <c r="AX151" s="79"/>
      <c r="AY151" s="79"/>
      <c r="AZ151" s="79"/>
    </row>
    <row r="152" spans="1:52" ht="17.100000000000001" customHeight="1">
      <c r="A152" s="79"/>
      <c r="B152" s="79"/>
      <c r="C152" s="79"/>
      <c r="D152" s="79"/>
      <c r="E152" s="79"/>
      <c r="F152" s="79"/>
      <c r="G152" s="79"/>
      <c r="H152" s="79"/>
      <c r="I152" s="79"/>
      <c r="J152" s="79"/>
      <c r="K152" s="79"/>
      <c r="L152" s="79"/>
      <c r="M152" s="79"/>
      <c r="N152" s="79"/>
      <c r="O152" s="79"/>
      <c r="P152" s="79"/>
      <c r="Q152" s="79"/>
      <c r="R152" s="79"/>
      <c r="S152" s="79"/>
      <c r="T152" s="79"/>
      <c r="U152" s="79"/>
      <c r="V152" s="79"/>
      <c r="W152" s="79"/>
      <c r="X152" s="79"/>
      <c r="Y152" s="79"/>
      <c r="Z152" s="79"/>
      <c r="AA152" s="79"/>
      <c r="AB152" s="79"/>
      <c r="AC152" s="79"/>
      <c r="AD152" s="79"/>
      <c r="AE152" s="79"/>
      <c r="AF152" s="79"/>
      <c r="AG152" s="79"/>
      <c r="AH152" s="79"/>
      <c r="AI152" s="79"/>
      <c r="AJ152" s="79"/>
      <c r="AK152" s="79"/>
      <c r="AL152" s="79"/>
      <c r="AM152" s="79"/>
      <c r="AN152" s="79"/>
      <c r="AO152" s="79"/>
      <c r="AP152" s="79"/>
      <c r="AQ152" s="79"/>
      <c r="AR152" s="79"/>
      <c r="AS152" s="79"/>
      <c r="AT152" s="79"/>
      <c r="AU152" s="79"/>
      <c r="AV152" s="79"/>
      <c r="AW152" s="79"/>
      <c r="AX152" s="79"/>
      <c r="AY152" s="79"/>
      <c r="AZ152" s="79"/>
    </row>
    <row r="153" spans="1:52" ht="17.100000000000001" customHeight="1">
      <c r="A153" s="79"/>
      <c r="B153" s="79"/>
      <c r="C153" s="79"/>
      <c r="D153" s="79"/>
      <c r="E153" s="79"/>
      <c r="F153" s="79"/>
      <c r="G153" s="79"/>
      <c r="H153" s="79"/>
      <c r="I153" s="79"/>
      <c r="J153" s="79"/>
      <c r="K153" s="79"/>
      <c r="L153" s="79"/>
      <c r="M153" s="79"/>
      <c r="N153" s="79"/>
      <c r="O153" s="79"/>
      <c r="P153" s="79"/>
      <c r="Q153" s="79"/>
      <c r="R153" s="79"/>
      <c r="S153" s="79"/>
      <c r="T153" s="79"/>
      <c r="U153" s="79"/>
      <c r="V153" s="79"/>
      <c r="W153" s="79"/>
      <c r="X153" s="79"/>
      <c r="Y153" s="79"/>
      <c r="Z153" s="79"/>
      <c r="AA153" s="79"/>
      <c r="AB153" s="79"/>
      <c r="AC153" s="79"/>
      <c r="AD153" s="79"/>
      <c r="AE153" s="79"/>
      <c r="AF153" s="79"/>
      <c r="AG153" s="79"/>
      <c r="AH153" s="79"/>
      <c r="AI153" s="79"/>
      <c r="AJ153" s="79"/>
      <c r="AK153" s="79"/>
      <c r="AL153" s="79"/>
      <c r="AM153" s="79"/>
      <c r="AN153" s="79"/>
      <c r="AO153" s="79"/>
      <c r="AP153" s="79"/>
      <c r="AQ153" s="79"/>
      <c r="AR153" s="79"/>
      <c r="AS153" s="79"/>
      <c r="AT153" s="79"/>
      <c r="AU153" s="79"/>
      <c r="AV153" s="79"/>
      <c r="AW153" s="79"/>
      <c r="AX153" s="79"/>
      <c r="AY153" s="79"/>
      <c r="AZ153" s="79"/>
    </row>
    <row r="154" spans="1:52" ht="17.100000000000001" customHeight="1">
      <c r="A154" s="79"/>
      <c r="B154" s="79"/>
      <c r="C154" s="79"/>
      <c r="D154" s="79"/>
      <c r="E154" s="79"/>
      <c r="F154" s="79"/>
      <c r="G154" s="79"/>
      <c r="H154" s="79"/>
      <c r="I154" s="79"/>
      <c r="J154" s="79"/>
      <c r="K154" s="79"/>
      <c r="L154" s="79"/>
      <c r="M154" s="79"/>
      <c r="N154" s="79"/>
      <c r="O154" s="79"/>
      <c r="P154" s="79"/>
      <c r="Q154" s="79"/>
      <c r="R154" s="79"/>
      <c r="S154" s="79"/>
      <c r="T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c r="AS154" s="79"/>
      <c r="AT154" s="79"/>
      <c r="AU154" s="79"/>
      <c r="AV154" s="79"/>
      <c r="AW154" s="79"/>
      <c r="AX154" s="79"/>
      <c r="AY154" s="79"/>
      <c r="AZ154" s="79"/>
    </row>
    <row r="155" spans="1:52" ht="17.100000000000001" customHeight="1">
      <c r="A155" s="79"/>
      <c r="B155" s="79"/>
      <c r="C155" s="79"/>
      <c r="D155" s="79"/>
      <c r="E155" s="79"/>
      <c r="F155" s="79"/>
      <c r="G155" s="79"/>
      <c r="H155" s="79"/>
      <c r="I155" s="79"/>
      <c r="J155" s="79"/>
      <c r="K155" s="79"/>
      <c r="L155" s="79"/>
      <c r="M155" s="79"/>
      <c r="N155" s="79"/>
      <c r="O155" s="79"/>
      <c r="P155" s="79"/>
      <c r="Q155" s="79"/>
      <c r="R155" s="79"/>
      <c r="S155" s="79"/>
      <c r="T155" s="79"/>
      <c r="U155" s="79"/>
      <c r="V155" s="79"/>
      <c r="W155" s="79"/>
      <c r="X155" s="79"/>
      <c r="Y155" s="79"/>
      <c r="Z155" s="79"/>
      <c r="AA155" s="79"/>
      <c r="AB155" s="79"/>
      <c r="AC155" s="79"/>
      <c r="AD155" s="79"/>
      <c r="AE155" s="79"/>
      <c r="AF155" s="79"/>
      <c r="AG155" s="79"/>
      <c r="AH155" s="79"/>
      <c r="AI155" s="79"/>
      <c r="AJ155" s="79"/>
      <c r="AK155" s="79"/>
      <c r="AL155" s="79"/>
      <c r="AM155" s="79"/>
      <c r="AN155" s="79"/>
      <c r="AO155" s="79"/>
      <c r="AP155" s="79"/>
      <c r="AQ155" s="79"/>
      <c r="AR155" s="79"/>
      <c r="AS155" s="79"/>
      <c r="AT155" s="79"/>
      <c r="AU155" s="79"/>
      <c r="AV155" s="79"/>
      <c r="AW155" s="79"/>
      <c r="AX155" s="79"/>
      <c r="AY155" s="79"/>
      <c r="AZ155" s="79"/>
    </row>
    <row r="156" spans="1:52" ht="17.100000000000001" customHeight="1">
      <c r="A156" s="79"/>
      <c r="B156" s="79"/>
      <c r="C156" s="79"/>
      <c r="D156" s="79"/>
      <c r="E156" s="79"/>
      <c r="F156" s="79"/>
      <c r="G156" s="79"/>
      <c r="H156" s="79"/>
      <c r="I156" s="79"/>
      <c r="J156" s="79"/>
      <c r="K156" s="79"/>
      <c r="L156" s="79"/>
      <c r="M156" s="79"/>
      <c r="N156" s="79"/>
      <c r="O156" s="79"/>
      <c r="P156" s="79"/>
      <c r="Q156" s="79"/>
      <c r="R156" s="79"/>
      <c r="S156" s="79"/>
      <c r="T156" s="79"/>
      <c r="U156" s="79"/>
      <c r="V156" s="79"/>
      <c r="W156" s="79"/>
      <c r="X156" s="79"/>
      <c r="Y156" s="79"/>
      <c r="Z156" s="79"/>
      <c r="AA156" s="79"/>
      <c r="AB156" s="79"/>
      <c r="AC156" s="79"/>
      <c r="AD156" s="79"/>
      <c r="AE156" s="79"/>
      <c r="AF156" s="79"/>
      <c r="AG156" s="79"/>
      <c r="AH156" s="79"/>
      <c r="AI156" s="79"/>
      <c r="AJ156" s="79"/>
      <c r="AK156" s="79"/>
      <c r="AL156" s="79"/>
      <c r="AM156" s="79"/>
      <c r="AN156" s="79"/>
      <c r="AO156" s="79"/>
      <c r="AP156" s="79"/>
      <c r="AQ156" s="79"/>
      <c r="AR156" s="79"/>
      <c r="AS156" s="79"/>
      <c r="AT156" s="79"/>
      <c r="AU156" s="79"/>
      <c r="AV156" s="79"/>
      <c r="AW156" s="79"/>
      <c r="AX156" s="79"/>
      <c r="AY156" s="79"/>
      <c r="AZ156" s="79"/>
    </row>
    <row r="157" spans="1:52" ht="17.100000000000001" customHeight="1">
      <c r="A157" s="79"/>
      <c r="B157" s="79"/>
      <c r="C157" s="79"/>
      <c r="D157" s="79"/>
      <c r="E157" s="79"/>
      <c r="F157" s="79"/>
      <c r="G157" s="79"/>
      <c r="H157" s="79"/>
      <c r="I157" s="79"/>
      <c r="J157" s="79"/>
      <c r="K157" s="79"/>
      <c r="L157" s="79"/>
      <c r="M157" s="79"/>
      <c r="N157" s="79"/>
      <c r="O157" s="79"/>
      <c r="P157" s="79"/>
      <c r="Q157" s="79"/>
      <c r="R157" s="79"/>
      <c r="S157" s="79"/>
      <c r="T157" s="79"/>
      <c r="U157" s="79"/>
      <c r="V157" s="79"/>
      <c r="W157" s="79"/>
      <c r="X157" s="79"/>
      <c r="Y157" s="79"/>
      <c r="Z157" s="79"/>
      <c r="AA157" s="79"/>
      <c r="AB157" s="79"/>
      <c r="AC157" s="79"/>
      <c r="AD157" s="79"/>
      <c r="AE157" s="79"/>
      <c r="AF157" s="79"/>
      <c r="AG157" s="79"/>
      <c r="AH157" s="79"/>
      <c r="AI157" s="79"/>
      <c r="AJ157" s="79"/>
      <c r="AK157" s="79"/>
      <c r="AL157" s="79"/>
      <c r="AM157" s="79"/>
      <c r="AN157" s="79"/>
      <c r="AO157" s="79"/>
      <c r="AP157" s="79"/>
      <c r="AQ157" s="79"/>
      <c r="AR157" s="79"/>
      <c r="AS157" s="79"/>
      <c r="AT157" s="79"/>
      <c r="AU157" s="79"/>
      <c r="AV157" s="79"/>
      <c r="AW157" s="79"/>
      <c r="AX157" s="79"/>
      <c r="AY157" s="79"/>
      <c r="AZ157" s="79"/>
    </row>
    <row r="158" spans="1:52" ht="17.100000000000001" customHeight="1">
      <c r="A158" s="79"/>
      <c r="B158" s="79"/>
      <c r="C158" s="79"/>
      <c r="D158" s="79"/>
      <c r="E158" s="79"/>
      <c r="F158" s="79"/>
      <c r="G158" s="79"/>
      <c r="H158" s="79"/>
      <c r="I158" s="79"/>
      <c r="J158" s="79"/>
      <c r="K158" s="79"/>
      <c r="L158" s="79"/>
      <c r="M158" s="79"/>
      <c r="N158" s="79"/>
      <c r="O158" s="79"/>
      <c r="P158" s="79"/>
      <c r="Q158" s="79"/>
      <c r="R158" s="79"/>
      <c r="S158" s="79"/>
      <c r="T158" s="79"/>
      <c r="U158" s="79"/>
      <c r="V158" s="79"/>
      <c r="W158" s="79"/>
      <c r="X158" s="79"/>
      <c r="Y158" s="79"/>
      <c r="Z158" s="79"/>
      <c r="AA158" s="79"/>
      <c r="AB158" s="79"/>
      <c r="AC158" s="79"/>
      <c r="AD158" s="79"/>
      <c r="AE158" s="79"/>
      <c r="AF158" s="79"/>
      <c r="AG158" s="79"/>
      <c r="AH158" s="79"/>
      <c r="AI158" s="79"/>
      <c r="AJ158" s="79"/>
      <c r="AK158" s="79"/>
      <c r="AL158" s="79"/>
      <c r="AM158" s="79"/>
      <c r="AN158" s="79"/>
      <c r="AO158" s="79"/>
      <c r="AP158" s="79"/>
      <c r="AQ158" s="79"/>
      <c r="AR158" s="79"/>
      <c r="AS158" s="79"/>
      <c r="AT158" s="79"/>
      <c r="AU158" s="79"/>
      <c r="AV158" s="79"/>
      <c r="AW158" s="79"/>
      <c r="AX158" s="79"/>
      <c r="AY158" s="79"/>
      <c r="AZ158" s="79"/>
    </row>
    <row r="159" spans="1:52" ht="17.100000000000001" customHeight="1">
      <c r="A159" s="79"/>
      <c r="B159" s="79"/>
      <c r="C159" s="79"/>
      <c r="D159" s="79"/>
      <c r="E159" s="79"/>
      <c r="F159" s="79"/>
      <c r="G159" s="79"/>
      <c r="H159" s="79"/>
      <c r="I159" s="79"/>
      <c r="J159" s="79"/>
      <c r="K159" s="79"/>
      <c r="L159" s="79"/>
      <c r="M159" s="79"/>
      <c r="N159" s="79"/>
      <c r="O159" s="79"/>
      <c r="P159" s="79"/>
      <c r="Q159" s="79"/>
      <c r="R159" s="79"/>
      <c r="S159" s="79"/>
      <c r="T159" s="79"/>
      <c r="U159" s="79"/>
      <c r="V159" s="79"/>
      <c r="W159" s="79"/>
      <c r="X159" s="79"/>
      <c r="Y159" s="79"/>
      <c r="Z159" s="79"/>
      <c r="AA159" s="79"/>
      <c r="AB159" s="79"/>
      <c r="AC159" s="79"/>
      <c r="AD159" s="79"/>
      <c r="AE159" s="79"/>
      <c r="AF159" s="79"/>
      <c r="AG159" s="79"/>
      <c r="AH159" s="79"/>
      <c r="AI159" s="79"/>
      <c r="AJ159" s="79"/>
      <c r="AK159" s="79"/>
      <c r="AL159" s="79"/>
      <c r="AM159" s="79"/>
      <c r="AN159" s="79"/>
      <c r="AO159" s="79"/>
      <c r="AP159" s="79"/>
      <c r="AQ159" s="79"/>
      <c r="AR159" s="79"/>
      <c r="AS159" s="79"/>
      <c r="AT159" s="79"/>
      <c r="AU159" s="79"/>
      <c r="AV159" s="79"/>
      <c r="AW159" s="79"/>
      <c r="AX159" s="79"/>
      <c r="AY159" s="79"/>
      <c r="AZ159" s="79"/>
    </row>
    <row r="160" spans="1:52" ht="17.100000000000001" customHeight="1">
      <c r="A160" s="79"/>
      <c r="B160" s="79"/>
      <c r="C160" s="79"/>
      <c r="D160" s="79"/>
      <c r="E160" s="79"/>
      <c r="F160" s="79"/>
      <c r="G160" s="79"/>
      <c r="H160" s="79"/>
      <c r="I160" s="79"/>
      <c r="J160" s="79"/>
      <c r="K160" s="79"/>
      <c r="L160" s="79"/>
      <c r="M160" s="79"/>
      <c r="N160" s="79"/>
      <c r="O160" s="79"/>
      <c r="P160" s="79"/>
      <c r="Q160" s="79"/>
      <c r="R160" s="79"/>
      <c r="S160" s="79"/>
      <c r="T160" s="79"/>
      <c r="U160" s="79"/>
      <c r="V160" s="79"/>
      <c r="W160" s="79"/>
      <c r="X160" s="79"/>
      <c r="Y160" s="79"/>
      <c r="Z160" s="79"/>
      <c r="AA160" s="79"/>
      <c r="AB160" s="79"/>
      <c r="AC160" s="79"/>
      <c r="AD160" s="79"/>
      <c r="AE160" s="79"/>
      <c r="AF160" s="79"/>
      <c r="AG160" s="79"/>
      <c r="AH160" s="79"/>
      <c r="AI160" s="79"/>
      <c r="AJ160" s="79"/>
      <c r="AK160" s="79"/>
      <c r="AL160" s="79"/>
      <c r="AM160" s="79"/>
      <c r="AN160" s="79"/>
      <c r="AO160" s="79"/>
      <c r="AP160" s="79"/>
      <c r="AQ160" s="79"/>
      <c r="AR160" s="79"/>
      <c r="AS160" s="79"/>
      <c r="AT160" s="79"/>
      <c r="AU160" s="79"/>
      <c r="AV160" s="79"/>
      <c r="AW160" s="79"/>
      <c r="AX160" s="79"/>
      <c r="AY160" s="79"/>
      <c r="AZ160" s="79"/>
    </row>
    <row r="161" spans="1:52" ht="17.100000000000001" customHeight="1">
      <c r="A161" s="79"/>
      <c r="B161" s="79"/>
      <c r="C161" s="79"/>
      <c r="D161" s="79"/>
      <c r="E161" s="79"/>
      <c r="F161" s="79"/>
      <c r="G161" s="79"/>
      <c r="H161" s="79"/>
      <c r="I161" s="79"/>
      <c r="J161" s="79"/>
      <c r="K161" s="79"/>
      <c r="L161" s="79"/>
      <c r="M161" s="79"/>
      <c r="N161" s="79"/>
      <c r="O161" s="79"/>
      <c r="P161" s="79"/>
      <c r="Q161" s="79"/>
      <c r="R161" s="79"/>
      <c r="S161" s="79"/>
      <c r="T161" s="79"/>
      <c r="U161" s="79"/>
      <c r="V161" s="79"/>
      <c r="W161" s="79"/>
      <c r="X161" s="79"/>
      <c r="Y161" s="79"/>
      <c r="Z161" s="79"/>
      <c r="AA161" s="79"/>
      <c r="AB161" s="79"/>
      <c r="AC161" s="79"/>
      <c r="AD161" s="79"/>
      <c r="AE161" s="79"/>
      <c r="AF161" s="79"/>
      <c r="AG161" s="79"/>
      <c r="AH161" s="79"/>
      <c r="AI161" s="79"/>
      <c r="AJ161" s="79"/>
      <c r="AK161" s="79"/>
      <c r="AL161" s="79"/>
      <c r="AM161" s="79"/>
      <c r="AN161" s="79"/>
      <c r="AO161" s="79"/>
      <c r="AP161" s="79"/>
      <c r="AQ161" s="79"/>
      <c r="AR161" s="79"/>
      <c r="AS161" s="79"/>
      <c r="AT161" s="79"/>
      <c r="AU161" s="79"/>
      <c r="AV161" s="79"/>
      <c r="AW161" s="79"/>
      <c r="AX161" s="79"/>
      <c r="AY161" s="79"/>
      <c r="AZ161" s="79"/>
    </row>
    <row r="162" spans="1:52" ht="17.100000000000001" customHeight="1">
      <c r="A162" s="79"/>
      <c r="B162" s="79"/>
      <c r="C162" s="79"/>
      <c r="D162" s="79"/>
      <c r="E162" s="79"/>
      <c r="F162" s="79"/>
      <c r="G162" s="79"/>
      <c r="H162" s="79"/>
      <c r="I162" s="79"/>
      <c r="J162" s="79"/>
      <c r="K162" s="79"/>
      <c r="L162" s="79"/>
      <c r="M162" s="79"/>
      <c r="N162" s="79"/>
      <c r="O162" s="79"/>
      <c r="P162" s="79"/>
      <c r="Q162" s="79"/>
      <c r="R162" s="79"/>
      <c r="S162" s="79"/>
      <c r="T162" s="79"/>
      <c r="U162" s="79"/>
      <c r="V162" s="79"/>
      <c r="W162" s="79"/>
      <c r="X162" s="79"/>
      <c r="Y162" s="79"/>
      <c r="Z162" s="79"/>
      <c r="AA162" s="79"/>
      <c r="AB162" s="79"/>
      <c r="AC162" s="79"/>
      <c r="AD162" s="79"/>
      <c r="AE162" s="79"/>
      <c r="AF162" s="79"/>
      <c r="AG162" s="79"/>
      <c r="AH162" s="79"/>
      <c r="AI162" s="79"/>
      <c r="AJ162" s="79"/>
      <c r="AK162" s="79"/>
      <c r="AL162" s="79"/>
      <c r="AM162" s="79"/>
      <c r="AN162" s="79"/>
      <c r="AO162" s="79"/>
      <c r="AP162" s="79"/>
      <c r="AQ162" s="79"/>
      <c r="AR162" s="79"/>
      <c r="AS162" s="79"/>
      <c r="AT162" s="79"/>
      <c r="AU162" s="79"/>
      <c r="AV162" s="79"/>
      <c r="AW162" s="79"/>
      <c r="AX162" s="79"/>
      <c r="AY162" s="79"/>
      <c r="AZ162" s="79"/>
    </row>
    <row r="163" spans="1:52" ht="17.100000000000001" customHeight="1">
      <c r="A163" s="79"/>
      <c r="B163" s="79"/>
      <c r="C163" s="79"/>
      <c r="D163" s="79"/>
      <c r="E163" s="79"/>
      <c r="F163" s="79"/>
      <c r="G163" s="79"/>
      <c r="H163" s="79"/>
      <c r="I163" s="79"/>
      <c r="J163" s="79"/>
      <c r="K163" s="79"/>
      <c r="L163" s="79"/>
      <c r="M163" s="79"/>
      <c r="N163" s="79"/>
      <c r="O163" s="79"/>
      <c r="P163" s="79"/>
      <c r="Q163" s="79"/>
      <c r="R163" s="79"/>
      <c r="S163" s="79"/>
      <c r="T163" s="79"/>
      <c r="U163" s="79"/>
      <c r="V163" s="79"/>
      <c r="W163" s="79"/>
      <c r="X163" s="79"/>
      <c r="Y163" s="79"/>
      <c r="Z163" s="79"/>
      <c r="AA163" s="79"/>
      <c r="AB163" s="79"/>
      <c r="AC163" s="79"/>
      <c r="AD163" s="79"/>
      <c r="AE163" s="79"/>
      <c r="AF163" s="79"/>
      <c r="AG163" s="79"/>
      <c r="AH163" s="79"/>
      <c r="AI163" s="79"/>
      <c r="AJ163" s="79"/>
      <c r="AK163" s="79"/>
      <c r="AL163" s="79"/>
      <c r="AM163" s="79"/>
      <c r="AN163" s="79"/>
      <c r="AO163" s="79"/>
      <c r="AP163" s="79"/>
      <c r="AQ163" s="79"/>
      <c r="AR163" s="79"/>
      <c r="AS163" s="79"/>
      <c r="AT163" s="79"/>
      <c r="AU163" s="79"/>
      <c r="AV163" s="79"/>
      <c r="AW163" s="79"/>
      <c r="AX163" s="79"/>
      <c r="AY163" s="79"/>
      <c r="AZ163" s="79"/>
    </row>
    <row r="164" spans="1:52" ht="17.100000000000001" customHeight="1">
      <c r="A164" s="79"/>
      <c r="B164" s="79"/>
      <c r="C164" s="79"/>
      <c r="D164" s="79"/>
      <c r="E164" s="79"/>
      <c r="F164" s="79"/>
      <c r="G164" s="79"/>
      <c r="H164" s="79"/>
      <c r="I164" s="79"/>
      <c r="J164" s="79"/>
      <c r="K164" s="79"/>
      <c r="L164" s="79"/>
      <c r="M164" s="79"/>
      <c r="N164" s="79"/>
      <c r="O164" s="79"/>
      <c r="P164" s="79"/>
      <c r="Q164" s="79"/>
      <c r="R164" s="79"/>
      <c r="S164" s="79"/>
      <c r="T164" s="79"/>
      <c r="U164" s="79"/>
      <c r="V164" s="79"/>
      <c r="W164" s="79"/>
      <c r="X164" s="79"/>
      <c r="Y164" s="79"/>
      <c r="Z164" s="79"/>
      <c r="AA164" s="79"/>
      <c r="AB164" s="79"/>
      <c r="AC164" s="79"/>
      <c r="AD164" s="79"/>
      <c r="AE164" s="79"/>
      <c r="AF164" s="79"/>
      <c r="AG164" s="79"/>
      <c r="AH164" s="79"/>
      <c r="AI164" s="79"/>
      <c r="AJ164" s="79"/>
      <c r="AK164" s="79"/>
      <c r="AL164" s="79"/>
      <c r="AM164" s="79"/>
      <c r="AN164" s="79"/>
      <c r="AO164" s="79"/>
      <c r="AP164" s="79"/>
      <c r="AQ164" s="79"/>
      <c r="AR164" s="79"/>
      <c r="AS164" s="79"/>
      <c r="AT164" s="79"/>
      <c r="AU164" s="79"/>
      <c r="AV164" s="79"/>
      <c r="AW164" s="79"/>
      <c r="AX164" s="79"/>
      <c r="AY164" s="79"/>
      <c r="AZ164" s="79"/>
    </row>
    <row r="165" spans="1:52" ht="17.100000000000001" customHeight="1">
      <c r="A165" s="79"/>
      <c r="B165" s="79"/>
      <c r="C165" s="79"/>
      <c r="D165" s="79"/>
      <c r="E165" s="79"/>
      <c r="F165" s="79"/>
      <c r="G165" s="79"/>
      <c r="H165" s="79"/>
      <c r="I165" s="79"/>
      <c r="J165" s="79"/>
      <c r="K165" s="79"/>
      <c r="L165" s="79"/>
      <c r="M165" s="79"/>
      <c r="N165" s="79"/>
      <c r="O165" s="79"/>
      <c r="P165" s="79"/>
      <c r="Q165" s="79"/>
      <c r="R165" s="79"/>
      <c r="S165" s="79"/>
      <c r="T165" s="79"/>
      <c r="U165" s="79"/>
      <c r="V165" s="79"/>
      <c r="W165" s="79"/>
      <c r="X165" s="79"/>
      <c r="Y165" s="79"/>
      <c r="Z165" s="79"/>
      <c r="AA165" s="79"/>
      <c r="AB165" s="79"/>
      <c r="AC165" s="79"/>
      <c r="AD165" s="79"/>
      <c r="AE165" s="79"/>
      <c r="AF165" s="79"/>
      <c r="AG165" s="79"/>
      <c r="AH165" s="79"/>
      <c r="AI165" s="79"/>
      <c r="AJ165" s="79"/>
      <c r="AK165" s="79"/>
      <c r="AL165" s="79"/>
      <c r="AM165" s="79"/>
      <c r="AN165" s="79"/>
      <c r="AO165" s="79"/>
      <c r="AP165" s="79"/>
      <c r="AQ165" s="79"/>
      <c r="AR165" s="79"/>
      <c r="AS165" s="79"/>
      <c r="AT165" s="79"/>
      <c r="AU165" s="79"/>
      <c r="AV165" s="79"/>
      <c r="AW165" s="79"/>
      <c r="AX165" s="79"/>
      <c r="AY165" s="79"/>
      <c r="AZ165" s="79"/>
    </row>
    <row r="166" spans="1:52" ht="17.100000000000001" customHeight="1">
      <c r="A166" s="79"/>
      <c r="B166" s="79"/>
      <c r="C166" s="79"/>
      <c r="D166" s="79"/>
      <c r="E166" s="79"/>
      <c r="F166" s="79"/>
      <c r="G166" s="79"/>
      <c r="H166" s="79"/>
      <c r="I166" s="79"/>
      <c r="J166" s="79"/>
      <c r="K166" s="79"/>
      <c r="L166" s="79"/>
      <c r="M166" s="79"/>
      <c r="N166" s="79"/>
      <c r="O166" s="79"/>
      <c r="P166" s="79"/>
      <c r="Q166" s="79"/>
      <c r="R166" s="79"/>
      <c r="S166" s="79"/>
      <c r="T166" s="79"/>
      <c r="U166" s="79"/>
      <c r="V166" s="79"/>
      <c r="W166" s="79"/>
      <c r="X166" s="79"/>
      <c r="Y166" s="79"/>
      <c r="Z166" s="79"/>
      <c r="AA166" s="79"/>
      <c r="AB166" s="79"/>
      <c r="AC166" s="79"/>
      <c r="AD166" s="79"/>
      <c r="AE166" s="79"/>
      <c r="AF166" s="79"/>
      <c r="AG166" s="79"/>
      <c r="AH166" s="79"/>
      <c r="AI166" s="79"/>
      <c r="AJ166" s="79"/>
      <c r="AK166" s="79"/>
      <c r="AL166" s="79"/>
      <c r="AM166" s="79"/>
      <c r="AN166" s="79"/>
      <c r="AO166" s="79"/>
      <c r="AP166" s="79"/>
      <c r="AQ166" s="79"/>
      <c r="AR166" s="79"/>
      <c r="AS166" s="79"/>
      <c r="AT166" s="79"/>
      <c r="AU166" s="79"/>
      <c r="AV166" s="79"/>
      <c r="AW166" s="79"/>
      <c r="AX166" s="79"/>
      <c r="AY166" s="79"/>
      <c r="AZ166" s="79"/>
    </row>
    <row r="167" spans="1:52" ht="17.100000000000001" customHeight="1">
      <c r="A167" s="79"/>
      <c r="B167" s="79"/>
      <c r="C167" s="79"/>
      <c r="D167" s="79"/>
      <c r="E167" s="79"/>
      <c r="F167" s="79"/>
      <c r="G167" s="79"/>
      <c r="H167" s="79"/>
      <c r="I167" s="79"/>
      <c r="J167" s="79"/>
      <c r="K167" s="79"/>
      <c r="L167" s="79"/>
      <c r="M167" s="79"/>
      <c r="N167" s="79"/>
      <c r="O167" s="79"/>
      <c r="P167" s="79"/>
      <c r="Q167" s="79"/>
      <c r="R167" s="79"/>
      <c r="S167" s="79"/>
      <c r="T167" s="79"/>
      <c r="U167" s="79"/>
      <c r="V167" s="79"/>
      <c r="W167" s="79"/>
      <c r="X167" s="79"/>
      <c r="Y167" s="79"/>
      <c r="Z167" s="79"/>
      <c r="AA167" s="79"/>
      <c r="AB167" s="79"/>
      <c r="AC167" s="79"/>
      <c r="AD167" s="79"/>
      <c r="AE167" s="79"/>
      <c r="AF167" s="79"/>
      <c r="AG167" s="79"/>
      <c r="AH167" s="79"/>
      <c r="AI167" s="79"/>
      <c r="AJ167" s="79"/>
      <c r="AK167" s="79"/>
      <c r="AL167" s="79"/>
      <c r="AM167" s="79"/>
      <c r="AN167" s="79"/>
      <c r="AO167" s="79"/>
      <c r="AP167" s="79"/>
      <c r="AQ167" s="79"/>
      <c r="AR167" s="79"/>
      <c r="AS167" s="79"/>
      <c r="AT167" s="79"/>
      <c r="AU167" s="79"/>
      <c r="AV167" s="79"/>
      <c r="AW167" s="79"/>
      <c r="AX167" s="79"/>
      <c r="AY167" s="79"/>
      <c r="AZ167" s="79"/>
    </row>
    <row r="168" spans="1:52" ht="17.100000000000001" customHeight="1">
      <c r="A168" s="79"/>
      <c r="B168" s="79"/>
      <c r="C168" s="79"/>
      <c r="D168" s="79"/>
      <c r="E168" s="79"/>
      <c r="F168" s="79"/>
      <c r="G168" s="79"/>
      <c r="H168" s="79"/>
      <c r="I168" s="79"/>
      <c r="J168" s="79"/>
      <c r="K168" s="79"/>
      <c r="L168" s="79"/>
      <c r="M168" s="79"/>
      <c r="N168" s="79"/>
      <c r="O168" s="79"/>
      <c r="P168" s="79"/>
      <c r="Q168" s="79"/>
      <c r="R168" s="79"/>
      <c r="S168" s="79"/>
      <c r="T168" s="79"/>
      <c r="U168" s="79"/>
      <c r="V168" s="79"/>
      <c r="W168" s="79"/>
      <c r="X168" s="79"/>
      <c r="Y168" s="79"/>
      <c r="Z168" s="79"/>
      <c r="AA168" s="79"/>
      <c r="AB168" s="79"/>
      <c r="AC168" s="79"/>
      <c r="AD168" s="79"/>
      <c r="AE168" s="79"/>
      <c r="AF168" s="79"/>
      <c r="AG168" s="79"/>
      <c r="AH168" s="79"/>
      <c r="AI168" s="79"/>
      <c r="AJ168" s="79"/>
      <c r="AK168" s="79"/>
      <c r="AL168" s="79"/>
      <c r="AM168" s="79"/>
      <c r="AN168" s="79"/>
      <c r="AO168" s="79"/>
      <c r="AP168" s="79"/>
      <c r="AQ168" s="79"/>
      <c r="AR168" s="79"/>
      <c r="AS168" s="79"/>
      <c r="AT168" s="79"/>
      <c r="AU168" s="79"/>
      <c r="AV168" s="79"/>
      <c r="AW168" s="79"/>
      <c r="AX168" s="79"/>
      <c r="AY168" s="79"/>
      <c r="AZ168" s="79"/>
    </row>
    <row r="169" spans="1:52" ht="17.100000000000001" customHeight="1">
      <c r="A169" s="79"/>
      <c r="B169" s="79"/>
      <c r="C169" s="79"/>
      <c r="D169" s="79"/>
      <c r="E169" s="79"/>
      <c r="F169" s="79"/>
      <c r="G169" s="79"/>
      <c r="H169" s="79"/>
      <c r="I169" s="79"/>
      <c r="J169" s="79"/>
      <c r="K169" s="79"/>
      <c r="L169" s="79"/>
      <c r="M169" s="79"/>
      <c r="N169" s="79"/>
      <c r="O169" s="79"/>
      <c r="P169" s="79"/>
      <c r="Q169" s="79"/>
      <c r="R169" s="79"/>
      <c r="S169" s="79"/>
      <c r="T169" s="79"/>
      <c r="U169" s="79"/>
      <c r="V169" s="79"/>
      <c r="W169" s="79"/>
      <c r="X169" s="79"/>
      <c r="Y169" s="79"/>
      <c r="Z169" s="79"/>
      <c r="AA169" s="79"/>
      <c r="AB169" s="79"/>
      <c r="AC169" s="79"/>
      <c r="AD169" s="79"/>
      <c r="AE169" s="79"/>
      <c r="AF169" s="79"/>
      <c r="AG169" s="79"/>
      <c r="AH169" s="79"/>
      <c r="AI169" s="79"/>
      <c r="AJ169" s="79"/>
      <c r="AK169" s="79"/>
      <c r="AL169" s="79"/>
      <c r="AM169" s="79"/>
      <c r="AN169" s="79"/>
      <c r="AO169" s="79"/>
      <c r="AP169" s="79"/>
      <c r="AQ169" s="79"/>
      <c r="AR169" s="79"/>
      <c r="AS169" s="79"/>
      <c r="AT169" s="79"/>
      <c r="AU169" s="79"/>
      <c r="AV169" s="79"/>
      <c r="AW169" s="79"/>
      <c r="AX169" s="79"/>
      <c r="AY169" s="79"/>
      <c r="AZ169" s="79"/>
    </row>
    <row r="170" spans="1:52" ht="17.100000000000001" customHeight="1">
      <c r="A170" s="79"/>
      <c r="B170" s="79"/>
      <c r="C170" s="79"/>
      <c r="D170" s="79"/>
      <c r="E170" s="79"/>
      <c r="F170" s="79"/>
      <c r="G170" s="79"/>
      <c r="H170" s="79"/>
      <c r="I170" s="79"/>
      <c r="J170" s="79"/>
      <c r="K170" s="79"/>
      <c r="L170" s="79"/>
      <c r="M170" s="79"/>
      <c r="N170" s="79"/>
      <c r="O170" s="79"/>
      <c r="P170" s="79"/>
      <c r="Q170" s="79"/>
      <c r="R170" s="79"/>
      <c r="S170" s="79"/>
      <c r="T170" s="79"/>
      <c r="U170" s="79"/>
      <c r="V170" s="79"/>
      <c r="W170" s="79"/>
      <c r="X170" s="79"/>
      <c r="Y170" s="79"/>
      <c r="Z170" s="79"/>
      <c r="AA170" s="79"/>
      <c r="AB170" s="79"/>
      <c r="AC170" s="79"/>
      <c r="AD170" s="79"/>
      <c r="AE170" s="79"/>
      <c r="AF170" s="79"/>
      <c r="AG170" s="79"/>
      <c r="AH170" s="79"/>
      <c r="AI170" s="79"/>
      <c r="AJ170" s="79"/>
      <c r="AK170" s="79"/>
      <c r="AL170" s="79"/>
      <c r="AM170" s="79"/>
      <c r="AN170" s="79"/>
      <c r="AO170" s="79"/>
      <c r="AP170" s="79"/>
      <c r="AQ170" s="79"/>
      <c r="AR170" s="79"/>
      <c r="AS170" s="79"/>
      <c r="AT170" s="79"/>
      <c r="AU170" s="79"/>
      <c r="AV170" s="79"/>
      <c r="AW170" s="79"/>
      <c r="AX170" s="79"/>
      <c r="AY170" s="79"/>
      <c r="AZ170" s="79"/>
    </row>
    <row r="171" spans="1:52" ht="17.100000000000001" customHeight="1">
      <c r="A171" s="79"/>
      <c r="B171" s="79"/>
      <c r="C171" s="79"/>
      <c r="D171" s="79"/>
      <c r="E171" s="79"/>
      <c r="F171" s="79"/>
      <c r="G171" s="79"/>
      <c r="H171" s="79"/>
      <c r="I171" s="79"/>
      <c r="J171" s="79"/>
      <c r="K171" s="79"/>
      <c r="L171" s="79"/>
      <c r="M171" s="79"/>
      <c r="N171" s="79"/>
      <c r="O171" s="79"/>
      <c r="P171" s="79"/>
      <c r="Q171" s="79"/>
      <c r="R171" s="79"/>
      <c r="S171" s="79"/>
      <c r="T171" s="79"/>
      <c r="U171" s="79"/>
      <c r="V171" s="79"/>
      <c r="W171" s="79"/>
      <c r="X171" s="79"/>
      <c r="Y171" s="79"/>
      <c r="Z171" s="79"/>
      <c r="AA171" s="79"/>
      <c r="AB171" s="79"/>
      <c r="AC171" s="79"/>
      <c r="AD171" s="79"/>
      <c r="AE171" s="79"/>
      <c r="AF171" s="79"/>
      <c r="AG171" s="79"/>
      <c r="AH171" s="79"/>
      <c r="AI171" s="79"/>
      <c r="AJ171" s="79"/>
      <c r="AK171" s="79"/>
      <c r="AL171" s="79"/>
      <c r="AM171" s="79"/>
      <c r="AN171" s="79"/>
      <c r="AO171" s="79"/>
      <c r="AP171" s="79"/>
      <c r="AQ171" s="79"/>
      <c r="AR171" s="79"/>
      <c r="AS171" s="79"/>
      <c r="AT171" s="79"/>
      <c r="AU171" s="79"/>
      <c r="AV171" s="79"/>
      <c r="AW171" s="79"/>
      <c r="AX171" s="79"/>
      <c r="AY171" s="79"/>
      <c r="AZ171" s="79"/>
    </row>
    <row r="172" spans="1:52" ht="17.100000000000001" customHeight="1">
      <c r="A172" s="79"/>
      <c r="B172" s="79"/>
      <c r="C172" s="79"/>
      <c r="D172" s="79"/>
      <c r="E172" s="79"/>
      <c r="F172" s="79"/>
      <c r="G172" s="79"/>
      <c r="H172" s="79"/>
      <c r="I172" s="79"/>
      <c r="J172" s="79"/>
      <c r="K172" s="79"/>
      <c r="L172" s="79"/>
      <c r="M172" s="79"/>
      <c r="N172" s="79"/>
      <c r="O172" s="79"/>
      <c r="P172" s="79"/>
      <c r="Q172" s="79"/>
      <c r="R172" s="79"/>
      <c r="S172" s="79"/>
      <c r="T172" s="79"/>
      <c r="U172" s="79"/>
      <c r="V172" s="79"/>
      <c r="W172" s="79"/>
      <c r="X172" s="79"/>
      <c r="Y172" s="79"/>
      <c r="Z172" s="79"/>
      <c r="AA172" s="79"/>
      <c r="AB172" s="79"/>
      <c r="AC172" s="79"/>
      <c r="AD172" s="79"/>
      <c r="AE172" s="79"/>
      <c r="AF172" s="79"/>
      <c r="AG172" s="79"/>
      <c r="AH172" s="79"/>
      <c r="AI172" s="79"/>
      <c r="AJ172" s="79"/>
      <c r="AK172" s="79"/>
      <c r="AL172" s="79"/>
      <c r="AM172" s="79"/>
      <c r="AN172" s="79"/>
      <c r="AO172" s="79"/>
      <c r="AP172" s="79"/>
      <c r="AQ172" s="79"/>
      <c r="AR172" s="79"/>
      <c r="AS172" s="79"/>
      <c r="AT172" s="79"/>
      <c r="AU172" s="79"/>
      <c r="AV172" s="79"/>
      <c r="AW172" s="79"/>
      <c r="AX172" s="79"/>
      <c r="AY172" s="79"/>
      <c r="AZ172" s="79"/>
    </row>
    <row r="173" spans="1:52" ht="17.100000000000001" customHeight="1">
      <c r="A173" s="79"/>
      <c r="B173" s="79"/>
      <c r="C173" s="79"/>
      <c r="D173" s="79"/>
      <c r="E173" s="79"/>
      <c r="F173" s="79"/>
      <c r="G173" s="79"/>
      <c r="H173" s="79"/>
      <c r="I173" s="79"/>
      <c r="J173" s="79"/>
      <c r="K173" s="79"/>
      <c r="L173" s="79"/>
      <c r="M173" s="79"/>
      <c r="N173" s="79"/>
      <c r="O173" s="79"/>
      <c r="P173" s="79"/>
      <c r="Q173" s="79"/>
      <c r="R173" s="79"/>
      <c r="S173" s="79"/>
      <c r="T173" s="79"/>
      <c r="U173" s="79"/>
      <c r="V173" s="79"/>
      <c r="W173" s="79"/>
      <c r="X173" s="79"/>
      <c r="Y173" s="79"/>
      <c r="Z173" s="79"/>
      <c r="AA173" s="79"/>
      <c r="AB173" s="79"/>
      <c r="AC173" s="79"/>
      <c r="AD173" s="79"/>
      <c r="AE173" s="79"/>
      <c r="AF173" s="79"/>
      <c r="AG173" s="79"/>
      <c r="AH173" s="79"/>
      <c r="AI173" s="79"/>
      <c r="AJ173" s="79"/>
      <c r="AK173" s="79"/>
      <c r="AL173" s="79"/>
      <c r="AM173" s="79"/>
      <c r="AN173" s="79"/>
      <c r="AO173" s="79"/>
      <c r="AP173" s="79"/>
      <c r="AQ173" s="79"/>
      <c r="AR173" s="79"/>
      <c r="AS173" s="79"/>
      <c r="AT173" s="79"/>
      <c r="AU173" s="79"/>
      <c r="AV173" s="79"/>
      <c r="AW173" s="79"/>
      <c r="AX173" s="79"/>
      <c r="AY173" s="79"/>
      <c r="AZ173" s="79"/>
    </row>
    <row r="174" spans="1:52" ht="17.100000000000001" customHeight="1">
      <c r="A174" s="79"/>
      <c r="B174" s="79"/>
      <c r="C174" s="79"/>
      <c r="D174" s="79"/>
      <c r="E174" s="79"/>
      <c r="F174" s="79"/>
      <c r="G174" s="79"/>
      <c r="H174" s="79"/>
      <c r="I174" s="79"/>
      <c r="J174" s="79"/>
      <c r="K174" s="79"/>
      <c r="L174" s="79"/>
      <c r="M174" s="79"/>
      <c r="N174" s="79"/>
      <c r="O174" s="79"/>
      <c r="P174" s="79"/>
      <c r="Q174" s="79"/>
      <c r="R174" s="79"/>
      <c r="S174" s="79"/>
      <c r="T174" s="79"/>
      <c r="U174" s="79"/>
      <c r="V174" s="79"/>
      <c r="W174" s="79"/>
      <c r="X174" s="79"/>
      <c r="Y174" s="79"/>
      <c r="Z174" s="79"/>
      <c r="AA174" s="79"/>
      <c r="AB174" s="79"/>
      <c r="AC174" s="79"/>
      <c r="AD174" s="79"/>
      <c r="AE174" s="79"/>
      <c r="AF174" s="79"/>
      <c r="AG174" s="79"/>
      <c r="AH174" s="79"/>
      <c r="AI174" s="79"/>
      <c r="AJ174" s="79"/>
      <c r="AK174" s="79"/>
      <c r="AL174" s="79"/>
      <c r="AM174" s="79"/>
      <c r="AN174" s="79"/>
      <c r="AO174" s="79"/>
      <c r="AP174" s="79"/>
      <c r="AQ174" s="79"/>
      <c r="AR174" s="79"/>
      <c r="AS174" s="79"/>
      <c r="AT174" s="79"/>
      <c r="AU174" s="79"/>
      <c r="AV174" s="79"/>
      <c r="AW174" s="79"/>
      <c r="AX174" s="79"/>
      <c r="AY174" s="79"/>
      <c r="AZ174" s="79"/>
    </row>
    <row r="175" spans="1:52" ht="17.100000000000001" customHeight="1">
      <c r="A175" s="79"/>
      <c r="B175" s="79"/>
      <c r="C175" s="79"/>
      <c r="D175" s="79"/>
      <c r="E175" s="79"/>
      <c r="F175" s="79"/>
      <c r="G175" s="79"/>
      <c r="H175" s="79"/>
      <c r="I175" s="79"/>
      <c r="J175" s="79"/>
      <c r="K175" s="79"/>
      <c r="L175" s="79"/>
      <c r="M175" s="79"/>
      <c r="N175" s="79"/>
      <c r="O175" s="79"/>
      <c r="P175" s="79"/>
      <c r="Q175" s="79"/>
      <c r="R175" s="79"/>
      <c r="S175" s="79"/>
      <c r="T175" s="79"/>
      <c r="U175" s="79"/>
      <c r="V175" s="79"/>
      <c r="W175" s="79"/>
      <c r="X175" s="79"/>
      <c r="Y175" s="79"/>
      <c r="Z175" s="79"/>
      <c r="AA175" s="79"/>
      <c r="AB175" s="79"/>
      <c r="AC175" s="79"/>
      <c r="AD175" s="79"/>
      <c r="AE175" s="79"/>
      <c r="AF175" s="79"/>
      <c r="AG175" s="79"/>
      <c r="AH175" s="79"/>
      <c r="AI175" s="79"/>
      <c r="AJ175" s="79"/>
      <c r="AK175" s="79"/>
      <c r="AL175" s="79"/>
      <c r="AM175" s="79"/>
      <c r="AN175" s="79"/>
      <c r="AO175" s="79"/>
      <c r="AP175" s="79"/>
      <c r="AQ175" s="79"/>
      <c r="AR175" s="79"/>
      <c r="AS175" s="79"/>
      <c r="AT175" s="79"/>
      <c r="AU175" s="79"/>
      <c r="AV175" s="79"/>
      <c r="AW175" s="79"/>
      <c r="AX175" s="79"/>
      <c r="AY175" s="79"/>
      <c r="AZ175" s="79"/>
    </row>
    <row r="176" spans="1:52" ht="17.100000000000001" customHeight="1">
      <c r="A176" s="79"/>
      <c r="B176" s="79"/>
      <c r="C176" s="79"/>
      <c r="D176" s="79"/>
      <c r="E176" s="79"/>
      <c r="F176" s="79"/>
      <c r="G176" s="79"/>
      <c r="H176" s="79"/>
      <c r="I176" s="79"/>
      <c r="J176" s="79"/>
      <c r="K176" s="79"/>
      <c r="L176" s="79"/>
      <c r="M176" s="79"/>
      <c r="N176" s="79"/>
      <c r="O176" s="79"/>
      <c r="P176" s="79"/>
      <c r="Q176" s="79"/>
      <c r="R176" s="79"/>
      <c r="S176" s="79"/>
      <c r="T176" s="79"/>
      <c r="U176" s="79"/>
      <c r="V176" s="79"/>
      <c r="W176" s="79"/>
      <c r="X176" s="79"/>
      <c r="Y176" s="79"/>
      <c r="Z176" s="79"/>
      <c r="AA176" s="79"/>
      <c r="AB176" s="79"/>
      <c r="AC176" s="79"/>
      <c r="AD176" s="79"/>
      <c r="AE176" s="79"/>
      <c r="AF176" s="79"/>
      <c r="AG176" s="79"/>
      <c r="AH176" s="79"/>
      <c r="AI176" s="79"/>
      <c r="AJ176" s="79"/>
      <c r="AK176" s="79"/>
      <c r="AL176" s="79"/>
      <c r="AM176" s="79"/>
      <c r="AN176" s="79"/>
      <c r="AO176" s="79"/>
      <c r="AP176" s="79"/>
      <c r="AQ176" s="79"/>
      <c r="AR176" s="79"/>
      <c r="AS176" s="79"/>
      <c r="AT176" s="79"/>
      <c r="AU176" s="79"/>
      <c r="AV176" s="79"/>
      <c r="AW176" s="79"/>
      <c r="AX176" s="79"/>
      <c r="AY176" s="79"/>
      <c r="AZ176" s="79"/>
    </row>
    <row r="177" spans="1:52" ht="17.100000000000001" customHeight="1">
      <c r="A177" s="79"/>
      <c r="B177" s="79"/>
      <c r="C177" s="79"/>
      <c r="D177" s="79"/>
      <c r="E177" s="79"/>
      <c r="F177" s="79"/>
      <c r="G177" s="79"/>
      <c r="H177" s="79"/>
      <c r="I177" s="79"/>
      <c r="J177" s="79"/>
      <c r="K177" s="79"/>
      <c r="L177" s="79"/>
      <c r="M177" s="79"/>
      <c r="N177" s="79"/>
      <c r="O177" s="79"/>
      <c r="P177" s="79"/>
      <c r="Q177" s="79"/>
      <c r="R177" s="79"/>
      <c r="S177" s="79"/>
      <c r="T177" s="79"/>
      <c r="U177" s="79"/>
      <c r="V177" s="79"/>
      <c r="W177" s="79"/>
      <c r="X177" s="79"/>
      <c r="Y177" s="79"/>
      <c r="Z177" s="79"/>
      <c r="AA177" s="79"/>
      <c r="AB177" s="79"/>
      <c r="AC177" s="79"/>
      <c r="AD177" s="79"/>
      <c r="AE177" s="79"/>
      <c r="AF177" s="79"/>
      <c r="AG177" s="79"/>
      <c r="AH177" s="79"/>
      <c r="AI177" s="79"/>
      <c r="AJ177" s="79"/>
      <c r="AK177" s="79"/>
      <c r="AL177" s="79"/>
      <c r="AM177" s="79"/>
      <c r="AN177" s="79"/>
      <c r="AO177" s="79"/>
      <c r="AP177" s="79"/>
      <c r="AQ177" s="79"/>
      <c r="AR177" s="79"/>
      <c r="AS177" s="79"/>
      <c r="AT177" s="79"/>
      <c r="AU177" s="79"/>
      <c r="AV177" s="79"/>
      <c r="AW177" s="79"/>
      <c r="AX177" s="79"/>
      <c r="AY177" s="79"/>
      <c r="AZ177" s="79"/>
    </row>
    <row r="178" spans="1:52" ht="17.100000000000001" customHeight="1">
      <c r="A178" s="79"/>
      <c r="B178" s="79"/>
      <c r="C178" s="79"/>
      <c r="D178" s="79"/>
      <c r="E178" s="79"/>
      <c r="F178" s="79"/>
      <c r="G178" s="79"/>
      <c r="H178" s="79"/>
      <c r="I178" s="79"/>
      <c r="J178" s="79"/>
      <c r="K178" s="79"/>
      <c r="L178" s="79"/>
      <c r="M178" s="79"/>
      <c r="N178" s="79"/>
      <c r="O178" s="79"/>
      <c r="P178" s="79"/>
      <c r="Q178" s="79"/>
      <c r="R178" s="79"/>
      <c r="S178" s="79"/>
      <c r="T178" s="79"/>
      <c r="U178" s="79"/>
      <c r="V178" s="79"/>
      <c r="W178" s="79"/>
      <c r="X178" s="79"/>
      <c r="Y178" s="79"/>
      <c r="Z178" s="79"/>
      <c r="AA178" s="79"/>
      <c r="AB178" s="79"/>
      <c r="AC178" s="79"/>
      <c r="AD178" s="79"/>
      <c r="AE178" s="79"/>
      <c r="AF178" s="79"/>
      <c r="AG178" s="79"/>
      <c r="AH178" s="79"/>
      <c r="AI178" s="79"/>
      <c r="AJ178" s="79"/>
      <c r="AK178" s="79"/>
      <c r="AL178" s="79"/>
      <c r="AM178" s="79"/>
      <c r="AN178" s="79"/>
      <c r="AO178" s="79"/>
      <c r="AP178" s="79"/>
      <c r="AQ178" s="79"/>
      <c r="AR178" s="79"/>
      <c r="AS178" s="79"/>
      <c r="AT178" s="79"/>
      <c r="AU178" s="79"/>
      <c r="AV178" s="79"/>
      <c r="AW178" s="79"/>
      <c r="AX178" s="79"/>
      <c r="AY178" s="79"/>
      <c r="AZ178" s="79"/>
    </row>
    <row r="179" spans="1:52" ht="17.100000000000001" customHeight="1">
      <c r="A179" s="79"/>
      <c r="B179" s="79"/>
      <c r="C179" s="79"/>
      <c r="D179" s="79"/>
      <c r="E179" s="79"/>
      <c r="F179" s="79"/>
      <c r="G179" s="79"/>
      <c r="H179" s="79"/>
      <c r="I179" s="79"/>
      <c r="J179" s="79"/>
      <c r="K179" s="79"/>
      <c r="L179" s="79"/>
      <c r="M179" s="79"/>
      <c r="N179" s="79"/>
      <c r="O179" s="79"/>
      <c r="P179" s="79"/>
      <c r="Q179" s="79"/>
      <c r="R179" s="79"/>
      <c r="S179" s="79"/>
      <c r="T179" s="79"/>
      <c r="U179" s="79"/>
      <c r="V179" s="79"/>
      <c r="W179" s="79"/>
      <c r="X179" s="79"/>
      <c r="Y179" s="79"/>
      <c r="Z179" s="79"/>
      <c r="AA179" s="79"/>
      <c r="AB179" s="79"/>
      <c r="AC179" s="79"/>
      <c r="AD179" s="79"/>
      <c r="AE179" s="79"/>
      <c r="AF179" s="79"/>
      <c r="AG179" s="79"/>
      <c r="AH179" s="79"/>
      <c r="AI179" s="79"/>
      <c r="AJ179" s="79"/>
      <c r="AK179" s="79"/>
      <c r="AL179" s="79"/>
      <c r="AM179" s="79"/>
      <c r="AN179" s="79"/>
      <c r="AO179" s="79"/>
      <c r="AP179" s="79"/>
      <c r="AQ179" s="79"/>
      <c r="AR179" s="79"/>
      <c r="AS179" s="79"/>
      <c r="AT179" s="79"/>
      <c r="AU179" s="79"/>
      <c r="AV179" s="79"/>
      <c r="AW179" s="79"/>
      <c r="AX179" s="79"/>
      <c r="AY179" s="79"/>
      <c r="AZ179" s="79"/>
    </row>
    <row r="180" spans="1:52" ht="17.100000000000001" customHeight="1">
      <c r="A180" s="79"/>
      <c r="B180" s="79"/>
      <c r="C180" s="79"/>
      <c r="D180" s="79"/>
      <c r="E180" s="79"/>
      <c r="F180" s="79"/>
      <c r="G180" s="79"/>
      <c r="H180" s="79"/>
      <c r="I180" s="79"/>
      <c r="J180" s="79"/>
      <c r="K180" s="79"/>
      <c r="L180" s="79"/>
      <c r="M180" s="79"/>
      <c r="N180" s="79"/>
      <c r="O180" s="79"/>
      <c r="P180" s="79"/>
      <c r="Q180" s="79"/>
      <c r="R180" s="79"/>
      <c r="S180" s="79"/>
      <c r="T180" s="79"/>
      <c r="U180" s="79"/>
      <c r="V180" s="79"/>
      <c r="W180" s="79"/>
      <c r="X180" s="79"/>
      <c r="Y180" s="79"/>
      <c r="Z180" s="79"/>
      <c r="AA180" s="79"/>
      <c r="AB180" s="79"/>
      <c r="AC180" s="79"/>
      <c r="AD180" s="79"/>
      <c r="AE180" s="79"/>
      <c r="AF180" s="79"/>
      <c r="AG180" s="79"/>
      <c r="AH180" s="79"/>
      <c r="AI180" s="79"/>
      <c r="AJ180" s="79"/>
      <c r="AK180" s="79"/>
      <c r="AL180" s="79"/>
      <c r="AM180" s="79"/>
      <c r="AN180" s="79"/>
      <c r="AO180" s="79"/>
      <c r="AP180" s="79"/>
      <c r="AQ180" s="79"/>
      <c r="AR180" s="79"/>
      <c r="AS180" s="79"/>
      <c r="AT180" s="79"/>
      <c r="AU180" s="79"/>
      <c r="AV180" s="79"/>
      <c r="AW180" s="79"/>
      <c r="AX180" s="79"/>
      <c r="AY180" s="79"/>
      <c r="AZ180" s="79"/>
    </row>
    <row r="181" spans="1:52" ht="17.100000000000001" customHeight="1">
      <c r="A181" s="79"/>
      <c r="B181" s="79"/>
      <c r="C181" s="79"/>
      <c r="D181" s="79"/>
      <c r="E181" s="79"/>
      <c r="F181" s="79"/>
      <c r="G181" s="79"/>
      <c r="H181" s="79"/>
      <c r="I181" s="79"/>
      <c r="J181" s="79"/>
      <c r="K181" s="79"/>
      <c r="L181" s="79"/>
      <c r="M181" s="79"/>
      <c r="N181" s="79"/>
      <c r="O181" s="79"/>
      <c r="P181" s="79"/>
      <c r="Q181" s="79"/>
      <c r="R181" s="79"/>
      <c r="S181" s="79"/>
      <c r="T181" s="79"/>
      <c r="U181" s="79"/>
      <c r="V181" s="79"/>
      <c r="W181" s="79"/>
      <c r="X181" s="79"/>
      <c r="Y181" s="79"/>
      <c r="Z181" s="79"/>
      <c r="AA181" s="79"/>
      <c r="AB181" s="79"/>
      <c r="AC181" s="79"/>
      <c r="AD181" s="79"/>
      <c r="AE181" s="79"/>
      <c r="AF181" s="79"/>
      <c r="AG181" s="79"/>
      <c r="AH181" s="79"/>
      <c r="AI181" s="79"/>
      <c r="AJ181" s="79"/>
      <c r="AK181" s="79"/>
      <c r="AL181" s="79"/>
      <c r="AM181" s="79"/>
      <c r="AN181" s="79"/>
      <c r="AO181" s="79"/>
      <c r="AP181" s="79"/>
      <c r="AQ181" s="79"/>
      <c r="AR181" s="79"/>
      <c r="AS181" s="79"/>
      <c r="AT181" s="79"/>
      <c r="AU181" s="79"/>
      <c r="AV181" s="79"/>
      <c r="AW181" s="79"/>
      <c r="AX181" s="79"/>
      <c r="AY181" s="79"/>
      <c r="AZ181" s="79"/>
    </row>
    <row r="182" spans="1:52" ht="17.100000000000001" customHeight="1">
      <c r="A182" s="79"/>
      <c r="B182" s="79"/>
      <c r="C182" s="79"/>
      <c r="D182" s="79"/>
      <c r="E182" s="79"/>
      <c r="F182" s="79"/>
      <c r="G182" s="79"/>
      <c r="H182" s="79"/>
      <c r="I182" s="79"/>
      <c r="J182" s="79"/>
      <c r="K182" s="79"/>
      <c r="L182" s="79"/>
      <c r="M182" s="79"/>
      <c r="N182" s="79"/>
      <c r="O182" s="79"/>
      <c r="P182" s="79"/>
      <c r="Q182" s="79"/>
      <c r="R182" s="79"/>
      <c r="S182" s="79"/>
      <c r="T182" s="79"/>
      <c r="U182" s="79"/>
      <c r="V182" s="79"/>
      <c r="W182" s="79"/>
      <c r="X182" s="79"/>
      <c r="Y182" s="79"/>
      <c r="Z182" s="79"/>
      <c r="AA182" s="79"/>
      <c r="AB182" s="79"/>
      <c r="AC182" s="79"/>
      <c r="AD182" s="79"/>
      <c r="AE182" s="79"/>
      <c r="AF182" s="79"/>
      <c r="AG182" s="79"/>
      <c r="AH182" s="79"/>
      <c r="AI182" s="79"/>
      <c r="AJ182" s="79"/>
      <c r="AK182" s="79"/>
      <c r="AL182" s="79"/>
      <c r="AM182" s="79"/>
      <c r="AN182" s="79"/>
      <c r="AO182" s="79"/>
      <c r="AP182" s="79"/>
      <c r="AQ182" s="79"/>
      <c r="AR182" s="79"/>
      <c r="AS182" s="79"/>
      <c r="AT182" s="79"/>
      <c r="AU182" s="79"/>
      <c r="AV182" s="79"/>
      <c r="AW182" s="79"/>
      <c r="AX182" s="79"/>
      <c r="AY182" s="79"/>
      <c r="AZ182" s="79"/>
    </row>
    <row r="183" spans="1:52" ht="17.100000000000001" customHeight="1">
      <c r="A183" s="79"/>
      <c r="B183" s="79"/>
      <c r="C183" s="79"/>
      <c r="D183" s="79"/>
      <c r="E183" s="79"/>
      <c r="F183" s="79"/>
      <c r="G183" s="79"/>
      <c r="H183" s="79"/>
      <c r="I183" s="79"/>
      <c r="J183" s="79"/>
      <c r="K183" s="79"/>
      <c r="L183" s="79"/>
      <c r="M183" s="79"/>
      <c r="N183" s="79"/>
      <c r="O183" s="79"/>
      <c r="P183" s="79"/>
      <c r="Q183" s="79"/>
      <c r="R183" s="79"/>
      <c r="S183" s="79"/>
      <c r="T183" s="79"/>
      <c r="U183" s="79"/>
      <c r="V183" s="79"/>
      <c r="W183" s="79"/>
      <c r="X183" s="79"/>
      <c r="Y183" s="79"/>
      <c r="Z183" s="79"/>
      <c r="AA183" s="79"/>
      <c r="AB183" s="79"/>
      <c r="AC183" s="79"/>
      <c r="AD183" s="79"/>
      <c r="AE183" s="79"/>
      <c r="AF183" s="79"/>
      <c r="AG183" s="79"/>
      <c r="AH183" s="79"/>
      <c r="AI183" s="79"/>
      <c r="AJ183" s="79"/>
      <c r="AK183" s="79"/>
      <c r="AL183" s="79"/>
      <c r="AM183" s="79"/>
      <c r="AN183" s="79"/>
      <c r="AO183" s="79"/>
      <c r="AP183" s="79"/>
      <c r="AQ183" s="79"/>
      <c r="AR183" s="79"/>
      <c r="AS183" s="79"/>
      <c r="AT183" s="79"/>
      <c r="AU183" s="79"/>
      <c r="AV183" s="79"/>
      <c r="AW183" s="79"/>
      <c r="AX183" s="79"/>
      <c r="AY183" s="79"/>
      <c r="AZ183" s="79"/>
    </row>
    <row r="184" spans="1:52" ht="17.100000000000001" customHeight="1">
      <c r="A184" s="79"/>
      <c r="B184" s="79"/>
      <c r="C184" s="79"/>
      <c r="D184" s="79"/>
      <c r="E184" s="79"/>
      <c r="F184" s="79"/>
      <c r="G184" s="79"/>
      <c r="H184" s="79"/>
      <c r="I184" s="79"/>
      <c r="J184" s="79"/>
      <c r="K184" s="79"/>
      <c r="L184" s="79"/>
      <c r="M184" s="79"/>
      <c r="N184" s="79"/>
      <c r="O184" s="79"/>
      <c r="P184" s="79"/>
      <c r="Q184" s="79"/>
      <c r="R184" s="79"/>
      <c r="S184" s="79"/>
      <c r="T184" s="79"/>
      <c r="U184" s="79"/>
      <c r="V184" s="79"/>
      <c r="W184" s="79"/>
      <c r="X184" s="79"/>
      <c r="Y184" s="79"/>
      <c r="Z184" s="79"/>
      <c r="AA184" s="79"/>
      <c r="AB184" s="79"/>
      <c r="AC184" s="79"/>
      <c r="AD184" s="79"/>
      <c r="AE184" s="79"/>
      <c r="AF184" s="79"/>
      <c r="AG184" s="79"/>
      <c r="AH184" s="79"/>
      <c r="AI184" s="79"/>
      <c r="AJ184" s="79"/>
      <c r="AK184" s="79"/>
      <c r="AL184" s="79"/>
      <c r="AM184" s="79"/>
      <c r="AN184" s="79"/>
      <c r="AO184" s="79"/>
      <c r="AP184" s="79"/>
      <c r="AQ184" s="79"/>
      <c r="AR184" s="79"/>
      <c r="AS184" s="79"/>
      <c r="AT184" s="79"/>
      <c r="AU184" s="79"/>
      <c r="AV184" s="79"/>
      <c r="AW184" s="79"/>
      <c r="AX184" s="79"/>
      <c r="AY184" s="79"/>
      <c r="AZ184" s="79"/>
    </row>
    <row r="185" spans="1:52" ht="17.100000000000001" customHeight="1">
      <c r="A185" s="79"/>
      <c r="B185" s="79"/>
      <c r="C185" s="79"/>
      <c r="D185" s="79"/>
      <c r="E185" s="79"/>
      <c r="F185" s="79"/>
      <c r="G185" s="79"/>
      <c r="H185" s="79"/>
      <c r="I185" s="79"/>
      <c r="J185" s="79"/>
      <c r="K185" s="79"/>
      <c r="L185" s="79"/>
      <c r="M185" s="79"/>
      <c r="N185" s="79"/>
      <c r="O185" s="79"/>
      <c r="P185" s="79"/>
      <c r="Q185" s="79"/>
      <c r="R185" s="79"/>
      <c r="S185" s="79"/>
      <c r="T185" s="79"/>
      <c r="U185" s="79"/>
      <c r="V185" s="79"/>
      <c r="W185" s="79"/>
      <c r="X185" s="79"/>
      <c r="Y185" s="79"/>
      <c r="Z185" s="79"/>
      <c r="AA185" s="79"/>
      <c r="AB185" s="79"/>
      <c r="AC185" s="79"/>
      <c r="AD185" s="79"/>
      <c r="AE185" s="79"/>
      <c r="AF185" s="79"/>
      <c r="AG185" s="79"/>
      <c r="AH185" s="79"/>
      <c r="AI185" s="79"/>
      <c r="AJ185" s="79"/>
      <c r="AK185" s="79"/>
      <c r="AL185" s="79"/>
      <c r="AM185" s="79"/>
      <c r="AN185" s="79"/>
      <c r="AO185" s="79"/>
      <c r="AP185" s="79"/>
      <c r="AQ185" s="79"/>
      <c r="AR185" s="79"/>
      <c r="AS185" s="79"/>
      <c r="AT185" s="79"/>
      <c r="AU185" s="79"/>
      <c r="AV185" s="79"/>
      <c r="AW185" s="79"/>
      <c r="AX185" s="79"/>
      <c r="AY185" s="79"/>
      <c r="AZ185" s="79"/>
    </row>
    <row r="186" spans="1:52" ht="17.100000000000001" customHeight="1">
      <c r="A186" s="79"/>
      <c r="B186" s="79"/>
      <c r="C186" s="79"/>
      <c r="D186" s="79"/>
      <c r="E186" s="79"/>
      <c r="F186" s="79"/>
      <c r="G186" s="79"/>
      <c r="H186" s="79"/>
      <c r="I186" s="79"/>
      <c r="J186" s="79"/>
      <c r="K186" s="79"/>
      <c r="L186" s="79"/>
      <c r="M186" s="79"/>
      <c r="N186" s="79"/>
      <c r="O186" s="79"/>
      <c r="P186" s="79"/>
      <c r="Q186" s="79"/>
      <c r="R186" s="79"/>
      <c r="S186" s="79"/>
      <c r="T186" s="79"/>
      <c r="U186" s="79"/>
      <c r="V186" s="79"/>
      <c r="W186" s="79"/>
      <c r="X186" s="79"/>
      <c r="Y186" s="79"/>
      <c r="Z186" s="79"/>
      <c r="AA186" s="79"/>
      <c r="AB186" s="79"/>
      <c r="AC186" s="79"/>
      <c r="AD186" s="79"/>
      <c r="AE186" s="79"/>
      <c r="AF186" s="79"/>
      <c r="AG186" s="79"/>
      <c r="AH186" s="79"/>
      <c r="AI186" s="79"/>
      <c r="AJ186" s="79"/>
      <c r="AK186" s="79"/>
      <c r="AL186" s="79"/>
      <c r="AM186" s="79"/>
      <c r="AN186" s="79"/>
      <c r="AO186" s="79"/>
      <c r="AP186" s="79"/>
      <c r="AQ186" s="79"/>
      <c r="AR186" s="79"/>
      <c r="AS186" s="79"/>
      <c r="AT186" s="79"/>
      <c r="AU186" s="79"/>
      <c r="AV186" s="79"/>
      <c r="AW186" s="79"/>
      <c r="AX186" s="79"/>
      <c r="AY186" s="79"/>
      <c r="AZ186" s="79"/>
    </row>
    <row r="187" spans="1:52" ht="17.100000000000001" customHeight="1">
      <c r="A187" s="79"/>
      <c r="B187" s="79"/>
      <c r="C187" s="79"/>
      <c r="D187" s="79"/>
      <c r="E187" s="79"/>
      <c r="F187" s="79"/>
      <c r="G187" s="79"/>
      <c r="H187" s="79"/>
      <c r="I187" s="79"/>
      <c r="J187" s="79"/>
      <c r="K187" s="79"/>
      <c r="L187" s="79"/>
      <c r="M187" s="79"/>
      <c r="N187" s="79"/>
      <c r="O187" s="79"/>
      <c r="P187" s="79"/>
      <c r="Q187" s="79"/>
      <c r="R187" s="79"/>
      <c r="S187" s="79"/>
      <c r="T187" s="79"/>
      <c r="U187" s="79"/>
      <c r="V187" s="79"/>
      <c r="W187" s="79"/>
      <c r="X187" s="79"/>
      <c r="Y187" s="79"/>
      <c r="Z187" s="79"/>
      <c r="AA187" s="79"/>
      <c r="AB187" s="79"/>
      <c r="AC187" s="79"/>
      <c r="AD187" s="79"/>
      <c r="AE187" s="79"/>
      <c r="AF187" s="79"/>
      <c r="AG187" s="79"/>
      <c r="AH187" s="79"/>
      <c r="AI187" s="79"/>
      <c r="AJ187" s="79"/>
      <c r="AK187" s="79"/>
      <c r="AL187" s="79"/>
      <c r="AM187" s="79"/>
      <c r="AN187" s="79"/>
      <c r="AO187" s="79"/>
      <c r="AP187" s="79"/>
      <c r="AQ187" s="79"/>
      <c r="AR187" s="79"/>
      <c r="AS187" s="79"/>
      <c r="AT187" s="79"/>
      <c r="AU187" s="79"/>
      <c r="AV187" s="79"/>
      <c r="AW187" s="79"/>
      <c r="AX187" s="79"/>
      <c r="AY187" s="79"/>
      <c r="AZ187" s="79"/>
    </row>
    <row r="188" spans="1:52" ht="17.100000000000001" customHeight="1">
      <c r="A188" s="79"/>
      <c r="B188" s="79"/>
      <c r="C188" s="79"/>
      <c r="D188" s="79"/>
      <c r="E188" s="79"/>
      <c r="F188" s="79"/>
      <c r="G188" s="79"/>
      <c r="H188" s="79"/>
      <c r="I188" s="79"/>
      <c r="J188" s="79"/>
      <c r="K188" s="79"/>
      <c r="L188" s="79"/>
      <c r="M188" s="79"/>
      <c r="N188" s="79"/>
      <c r="O188" s="79"/>
      <c r="P188" s="79"/>
      <c r="Q188" s="79"/>
      <c r="R188" s="79"/>
      <c r="S188" s="79"/>
      <c r="T188" s="79"/>
      <c r="U188" s="79"/>
      <c r="V188" s="79"/>
      <c r="W188" s="79"/>
      <c r="X188" s="79"/>
      <c r="Y188" s="79"/>
      <c r="Z188" s="79"/>
      <c r="AA188" s="79"/>
      <c r="AB188" s="79"/>
      <c r="AC188" s="79"/>
      <c r="AD188" s="79"/>
      <c r="AE188" s="79"/>
      <c r="AF188" s="79"/>
      <c r="AG188" s="79"/>
      <c r="AH188" s="79"/>
      <c r="AI188" s="79"/>
      <c r="AJ188" s="79"/>
      <c r="AK188" s="79"/>
      <c r="AL188" s="79"/>
      <c r="AM188" s="79"/>
      <c r="AN188" s="79"/>
      <c r="AO188" s="79"/>
      <c r="AP188" s="79"/>
      <c r="AQ188" s="79"/>
      <c r="AR188" s="79"/>
      <c r="AS188" s="79"/>
      <c r="AT188" s="79"/>
      <c r="AU188" s="79"/>
      <c r="AV188" s="79"/>
      <c r="AW188" s="79"/>
      <c r="AX188" s="79"/>
      <c r="AY188" s="79"/>
      <c r="AZ188" s="79"/>
    </row>
    <row r="189" spans="1:52" ht="17.100000000000001" customHeight="1">
      <c r="A189" s="79"/>
      <c r="B189" s="79"/>
      <c r="C189" s="79"/>
      <c r="D189" s="79"/>
      <c r="E189" s="79"/>
      <c r="F189" s="79"/>
      <c r="G189" s="79"/>
      <c r="H189" s="79"/>
      <c r="I189" s="79"/>
      <c r="J189" s="79"/>
      <c r="K189" s="79"/>
      <c r="L189" s="79"/>
      <c r="M189" s="79"/>
      <c r="N189" s="79"/>
      <c r="O189" s="79"/>
      <c r="P189" s="79"/>
      <c r="Q189" s="79"/>
      <c r="R189" s="79"/>
      <c r="S189" s="79"/>
      <c r="T189" s="79"/>
      <c r="U189" s="79"/>
      <c r="V189" s="79"/>
      <c r="W189" s="79"/>
      <c r="X189" s="79"/>
      <c r="Y189" s="79"/>
      <c r="Z189" s="79"/>
      <c r="AA189" s="79"/>
      <c r="AB189" s="79"/>
      <c r="AC189" s="79"/>
      <c r="AD189" s="79"/>
      <c r="AE189" s="79"/>
      <c r="AF189" s="79"/>
      <c r="AG189" s="79"/>
      <c r="AH189" s="79"/>
      <c r="AI189" s="79"/>
      <c r="AJ189" s="79"/>
      <c r="AK189" s="79"/>
      <c r="AL189" s="79"/>
      <c r="AM189" s="79"/>
      <c r="AN189" s="79"/>
      <c r="AO189" s="79"/>
      <c r="AP189" s="79"/>
      <c r="AQ189" s="79"/>
      <c r="AR189" s="79"/>
      <c r="AS189" s="79"/>
      <c r="AT189" s="79"/>
      <c r="AU189" s="79"/>
      <c r="AV189" s="79"/>
      <c r="AW189" s="79"/>
      <c r="AX189" s="79"/>
      <c r="AY189" s="79"/>
      <c r="AZ189" s="79"/>
    </row>
    <row r="190" spans="1:52" ht="17.100000000000001" customHeight="1">
      <c r="A190" s="79"/>
      <c r="B190" s="79"/>
      <c r="C190" s="79"/>
      <c r="D190" s="79"/>
      <c r="E190" s="79"/>
      <c r="F190" s="79"/>
      <c r="G190" s="79"/>
      <c r="H190" s="79"/>
      <c r="I190" s="79"/>
      <c r="J190" s="79"/>
      <c r="K190" s="79"/>
      <c r="L190" s="79"/>
      <c r="M190" s="79"/>
      <c r="N190" s="79"/>
      <c r="O190" s="79"/>
      <c r="P190" s="79"/>
      <c r="Q190" s="79"/>
      <c r="R190" s="79"/>
      <c r="S190" s="79"/>
      <c r="T190" s="79"/>
      <c r="U190" s="79"/>
      <c r="V190" s="79"/>
      <c r="W190" s="79"/>
      <c r="X190" s="79"/>
      <c r="Y190" s="79"/>
      <c r="Z190" s="79"/>
      <c r="AA190" s="79"/>
      <c r="AB190" s="79"/>
      <c r="AC190" s="79"/>
      <c r="AD190" s="79"/>
      <c r="AE190" s="79"/>
      <c r="AF190" s="79"/>
      <c r="AG190" s="79"/>
      <c r="AH190" s="79"/>
      <c r="AI190" s="79"/>
      <c r="AJ190" s="79"/>
      <c r="AK190" s="79"/>
      <c r="AL190" s="79"/>
      <c r="AM190" s="79"/>
      <c r="AN190" s="79"/>
      <c r="AO190" s="79"/>
      <c r="AP190" s="79"/>
      <c r="AQ190" s="79"/>
      <c r="AR190" s="79"/>
      <c r="AS190" s="79"/>
      <c r="AT190" s="79"/>
      <c r="AU190" s="79"/>
      <c r="AV190" s="79"/>
      <c r="AW190" s="79"/>
      <c r="AX190" s="79"/>
      <c r="AY190" s="79"/>
      <c r="AZ190" s="79"/>
    </row>
    <row r="191" spans="1:52" ht="17.100000000000001" customHeight="1">
      <c r="A191" s="79"/>
      <c r="B191" s="79"/>
      <c r="C191" s="79"/>
      <c r="D191" s="79"/>
      <c r="E191" s="79"/>
      <c r="F191" s="79"/>
      <c r="G191" s="79"/>
      <c r="H191" s="79"/>
      <c r="I191" s="79"/>
      <c r="J191" s="79"/>
      <c r="K191" s="79"/>
      <c r="L191" s="79"/>
      <c r="M191" s="79"/>
      <c r="N191" s="79"/>
      <c r="O191" s="79"/>
      <c r="P191" s="79"/>
      <c r="Q191" s="79"/>
      <c r="R191" s="79"/>
      <c r="S191" s="79"/>
      <c r="T191" s="79"/>
      <c r="U191" s="79"/>
      <c r="V191" s="79"/>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S191" s="79"/>
      <c r="AT191" s="79"/>
      <c r="AU191" s="79"/>
      <c r="AV191" s="79"/>
      <c r="AW191" s="79"/>
      <c r="AX191" s="79"/>
      <c r="AY191" s="79"/>
      <c r="AZ191" s="79"/>
    </row>
    <row r="192" spans="1:52" ht="17.100000000000001" customHeight="1">
      <c r="A192" s="79"/>
      <c r="B192" s="79"/>
      <c r="C192" s="79"/>
      <c r="D192" s="79"/>
      <c r="E192" s="79"/>
      <c r="F192" s="79"/>
      <c r="G192" s="79"/>
      <c r="H192" s="79"/>
      <c r="I192" s="79"/>
      <c r="J192" s="79"/>
      <c r="K192" s="79"/>
      <c r="L192" s="79"/>
      <c r="M192" s="79"/>
      <c r="N192" s="79"/>
      <c r="O192" s="79"/>
      <c r="P192" s="79"/>
      <c r="Q192" s="79"/>
      <c r="R192" s="79"/>
      <c r="S192" s="79"/>
      <c r="T192" s="79"/>
      <c r="U192" s="79"/>
      <c r="V192" s="79"/>
      <c r="W192" s="79"/>
      <c r="X192" s="79"/>
      <c r="Y192" s="79"/>
      <c r="Z192" s="79"/>
      <c r="AA192" s="79"/>
      <c r="AB192" s="79"/>
      <c r="AC192" s="79"/>
      <c r="AD192" s="79"/>
      <c r="AE192" s="79"/>
      <c r="AF192" s="79"/>
      <c r="AG192" s="79"/>
      <c r="AH192" s="79"/>
      <c r="AI192" s="79"/>
      <c r="AJ192" s="79"/>
      <c r="AK192" s="79"/>
      <c r="AL192" s="79"/>
      <c r="AM192" s="79"/>
      <c r="AN192" s="79"/>
      <c r="AO192" s="79"/>
      <c r="AP192" s="79"/>
      <c r="AQ192" s="79"/>
      <c r="AR192" s="79"/>
      <c r="AS192" s="79"/>
      <c r="AT192" s="79"/>
      <c r="AU192" s="79"/>
      <c r="AV192" s="79"/>
      <c r="AW192" s="79"/>
      <c r="AX192" s="79"/>
      <c r="AY192" s="79"/>
      <c r="AZ192" s="79"/>
    </row>
    <row r="193" spans="1:52" ht="17.100000000000001" customHeight="1">
      <c r="A193" s="79"/>
      <c r="B193" s="79"/>
      <c r="C193" s="79"/>
      <c r="D193" s="79"/>
      <c r="E193" s="79"/>
      <c r="F193" s="79"/>
      <c r="G193" s="79"/>
      <c r="H193" s="79"/>
      <c r="I193" s="79"/>
      <c r="J193" s="79"/>
      <c r="K193" s="79"/>
      <c r="L193" s="79"/>
      <c r="M193" s="79"/>
      <c r="N193" s="79"/>
      <c r="O193" s="79"/>
      <c r="P193" s="79"/>
      <c r="Q193" s="79"/>
      <c r="R193" s="79"/>
      <c r="S193" s="79"/>
      <c r="T193" s="79"/>
      <c r="U193" s="79"/>
      <c r="V193" s="79"/>
      <c r="W193" s="79"/>
      <c r="X193" s="79"/>
      <c r="Y193" s="79"/>
      <c r="Z193" s="79"/>
      <c r="AA193" s="79"/>
      <c r="AB193" s="79"/>
      <c r="AC193" s="79"/>
      <c r="AD193" s="79"/>
      <c r="AE193" s="79"/>
      <c r="AF193" s="79"/>
      <c r="AG193" s="79"/>
      <c r="AH193" s="79"/>
      <c r="AI193" s="79"/>
      <c r="AJ193" s="79"/>
      <c r="AK193" s="79"/>
      <c r="AL193" s="79"/>
      <c r="AM193" s="79"/>
      <c r="AN193" s="79"/>
      <c r="AO193" s="79"/>
      <c r="AP193" s="79"/>
      <c r="AQ193" s="79"/>
      <c r="AR193" s="79"/>
      <c r="AS193" s="79"/>
      <c r="AT193" s="79"/>
      <c r="AU193" s="79"/>
      <c r="AV193" s="79"/>
      <c r="AW193" s="79"/>
      <c r="AX193" s="79"/>
      <c r="AY193" s="79"/>
      <c r="AZ193" s="79"/>
    </row>
    <row r="194" spans="1:52" ht="17.100000000000001" customHeight="1">
      <c r="A194" s="79"/>
      <c r="B194" s="79"/>
      <c r="C194" s="79"/>
      <c r="D194" s="79"/>
      <c r="E194" s="79"/>
      <c r="F194" s="79"/>
      <c r="G194" s="79"/>
      <c r="H194" s="79"/>
      <c r="I194" s="79"/>
      <c r="J194" s="79"/>
      <c r="K194" s="79"/>
      <c r="L194" s="79"/>
      <c r="M194" s="79"/>
      <c r="N194" s="79"/>
      <c r="O194" s="79"/>
      <c r="P194" s="79"/>
      <c r="Q194" s="79"/>
      <c r="R194" s="79"/>
      <c r="S194" s="79"/>
      <c r="T194" s="79"/>
      <c r="U194" s="79"/>
      <c r="V194" s="79"/>
      <c r="W194" s="79"/>
      <c r="X194" s="79"/>
      <c r="Y194" s="79"/>
      <c r="Z194" s="79"/>
      <c r="AA194" s="79"/>
      <c r="AB194" s="79"/>
      <c r="AC194" s="79"/>
      <c r="AD194" s="79"/>
      <c r="AE194" s="79"/>
      <c r="AF194" s="79"/>
      <c r="AG194" s="79"/>
      <c r="AH194" s="79"/>
      <c r="AI194" s="79"/>
      <c r="AJ194" s="79"/>
      <c r="AK194" s="79"/>
      <c r="AL194" s="79"/>
      <c r="AM194" s="79"/>
      <c r="AN194" s="79"/>
      <c r="AO194" s="79"/>
      <c r="AP194" s="79"/>
      <c r="AQ194" s="79"/>
      <c r="AR194" s="79"/>
      <c r="AS194" s="79"/>
      <c r="AT194" s="79"/>
      <c r="AU194" s="79"/>
      <c r="AV194" s="79"/>
      <c r="AW194" s="79"/>
      <c r="AX194" s="79"/>
      <c r="AY194" s="79"/>
      <c r="AZ194" s="79"/>
    </row>
    <row r="195" spans="1:52" ht="17.100000000000001" customHeight="1">
      <c r="A195" s="79"/>
      <c r="B195" s="79"/>
      <c r="C195" s="79"/>
      <c r="D195" s="79"/>
      <c r="E195" s="79"/>
      <c r="F195" s="79"/>
      <c r="G195" s="79"/>
      <c r="H195" s="79"/>
      <c r="I195" s="79"/>
      <c r="J195" s="79"/>
      <c r="K195" s="79"/>
      <c r="L195" s="79"/>
      <c r="M195" s="79"/>
      <c r="N195" s="79"/>
      <c r="O195" s="79"/>
      <c r="P195" s="79"/>
      <c r="Q195" s="79"/>
      <c r="R195" s="79"/>
      <c r="S195" s="79"/>
      <c r="T195" s="79"/>
      <c r="U195" s="79"/>
      <c r="V195" s="79"/>
      <c r="W195" s="79"/>
      <c r="X195" s="79"/>
      <c r="Y195" s="79"/>
      <c r="Z195" s="79"/>
      <c r="AA195" s="79"/>
      <c r="AB195" s="79"/>
      <c r="AC195" s="79"/>
      <c r="AD195" s="79"/>
      <c r="AE195" s="79"/>
      <c r="AF195" s="79"/>
      <c r="AG195" s="79"/>
      <c r="AH195" s="79"/>
      <c r="AI195" s="79"/>
      <c r="AJ195" s="79"/>
      <c r="AK195" s="79"/>
      <c r="AL195" s="79"/>
      <c r="AM195" s="79"/>
      <c r="AN195" s="79"/>
      <c r="AO195" s="79"/>
      <c r="AP195" s="79"/>
      <c r="AQ195" s="79"/>
      <c r="AR195" s="79"/>
      <c r="AS195" s="79"/>
      <c r="AT195" s="79"/>
      <c r="AU195" s="79"/>
      <c r="AV195" s="79"/>
      <c r="AW195" s="79"/>
      <c r="AX195" s="79"/>
      <c r="AY195" s="79"/>
      <c r="AZ195" s="79"/>
    </row>
    <row r="196" spans="1:52" ht="17.100000000000001" customHeight="1">
      <c r="A196" s="79"/>
      <c r="B196" s="79"/>
      <c r="C196" s="79"/>
      <c r="D196" s="79"/>
      <c r="E196" s="79"/>
      <c r="F196" s="79"/>
      <c r="G196" s="79"/>
      <c r="H196" s="79"/>
      <c r="I196" s="79"/>
      <c r="J196" s="79"/>
      <c r="K196" s="79"/>
      <c r="L196" s="79"/>
      <c r="M196" s="79"/>
      <c r="N196" s="79"/>
      <c r="O196" s="79"/>
      <c r="P196" s="79"/>
      <c r="Q196" s="79"/>
      <c r="R196" s="79"/>
      <c r="S196" s="79"/>
      <c r="T196" s="79"/>
      <c r="U196" s="79"/>
      <c r="V196" s="79"/>
      <c r="W196" s="79"/>
      <c r="X196" s="79"/>
      <c r="Y196" s="79"/>
      <c r="Z196" s="79"/>
      <c r="AA196" s="79"/>
      <c r="AB196" s="79"/>
      <c r="AC196" s="79"/>
      <c r="AD196" s="79"/>
      <c r="AE196" s="79"/>
      <c r="AF196" s="79"/>
      <c r="AG196" s="79"/>
      <c r="AH196" s="79"/>
      <c r="AI196" s="79"/>
      <c r="AJ196" s="79"/>
      <c r="AK196" s="79"/>
      <c r="AL196" s="79"/>
      <c r="AM196" s="79"/>
      <c r="AN196" s="79"/>
      <c r="AO196" s="79"/>
      <c r="AP196" s="79"/>
      <c r="AQ196" s="79"/>
      <c r="AR196" s="79"/>
      <c r="AS196" s="79"/>
      <c r="AT196" s="79"/>
      <c r="AU196" s="79"/>
      <c r="AV196" s="79"/>
      <c r="AW196" s="79"/>
      <c r="AX196" s="79"/>
      <c r="AY196" s="79"/>
      <c r="AZ196" s="79"/>
    </row>
    <row r="197" spans="1:52" ht="17.100000000000001" customHeight="1">
      <c r="A197" s="79"/>
      <c r="B197" s="79"/>
      <c r="C197" s="79"/>
      <c r="D197" s="79"/>
      <c r="E197" s="79"/>
      <c r="F197" s="79"/>
      <c r="G197" s="79"/>
      <c r="H197" s="79"/>
      <c r="I197" s="79"/>
      <c r="J197" s="79"/>
      <c r="K197" s="79"/>
      <c r="L197" s="79"/>
      <c r="M197" s="79"/>
      <c r="N197" s="79"/>
      <c r="O197" s="79"/>
      <c r="P197" s="79"/>
      <c r="Q197" s="79"/>
      <c r="R197" s="79"/>
      <c r="S197" s="79"/>
      <c r="T197" s="79"/>
      <c r="U197" s="79"/>
      <c r="V197" s="79"/>
      <c r="W197" s="79"/>
      <c r="X197" s="79"/>
      <c r="Y197" s="79"/>
      <c r="Z197" s="79"/>
      <c r="AA197" s="79"/>
      <c r="AB197" s="79"/>
      <c r="AC197" s="79"/>
      <c r="AD197" s="79"/>
      <c r="AE197" s="79"/>
      <c r="AF197" s="79"/>
      <c r="AG197" s="79"/>
      <c r="AH197" s="79"/>
      <c r="AI197" s="79"/>
      <c r="AJ197" s="79"/>
      <c r="AK197" s="79"/>
      <c r="AL197" s="79"/>
      <c r="AM197" s="79"/>
      <c r="AN197" s="79"/>
      <c r="AO197" s="79"/>
      <c r="AP197" s="79"/>
      <c r="AQ197" s="79"/>
      <c r="AR197" s="79"/>
      <c r="AS197" s="79"/>
      <c r="AT197" s="79"/>
      <c r="AU197" s="79"/>
      <c r="AV197" s="79"/>
      <c r="AW197" s="79"/>
      <c r="AX197" s="79"/>
      <c r="AY197" s="79"/>
      <c r="AZ197" s="79"/>
    </row>
    <row r="198" spans="1:52" ht="17.100000000000001" customHeight="1">
      <c r="A198" s="79"/>
      <c r="B198" s="79"/>
      <c r="C198" s="79"/>
      <c r="D198" s="79"/>
      <c r="E198" s="79"/>
      <c r="F198" s="79"/>
      <c r="G198" s="79"/>
      <c r="H198" s="79"/>
      <c r="I198" s="79"/>
      <c r="J198" s="79"/>
      <c r="K198" s="79"/>
      <c r="L198" s="79"/>
      <c r="M198" s="79"/>
      <c r="N198" s="79"/>
      <c r="O198" s="79"/>
      <c r="P198" s="79"/>
      <c r="Q198" s="79"/>
      <c r="R198" s="79"/>
      <c r="S198" s="79"/>
      <c r="T198" s="79"/>
      <c r="U198" s="79"/>
      <c r="V198" s="79"/>
      <c r="W198" s="79"/>
      <c r="X198" s="79"/>
      <c r="Y198" s="79"/>
      <c r="Z198" s="79"/>
      <c r="AA198" s="79"/>
      <c r="AB198" s="79"/>
      <c r="AC198" s="79"/>
      <c r="AD198" s="79"/>
      <c r="AE198" s="79"/>
      <c r="AF198" s="79"/>
      <c r="AG198" s="79"/>
      <c r="AH198" s="79"/>
      <c r="AI198" s="79"/>
      <c r="AJ198" s="79"/>
      <c r="AK198" s="79"/>
      <c r="AL198" s="79"/>
      <c r="AM198" s="79"/>
      <c r="AN198" s="79"/>
      <c r="AO198" s="79"/>
      <c r="AP198" s="79"/>
      <c r="AQ198" s="79"/>
      <c r="AR198" s="79"/>
      <c r="AS198" s="79"/>
      <c r="AT198" s="79"/>
      <c r="AU198" s="79"/>
      <c r="AV198" s="79"/>
      <c r="AW198" s="79"/>
      <c r="AX198" s="79"/>
      <c r="AY198" s="79"/>
      <c r="AZ198" s="79"/>
    </row>
    <row r="199" spans="1:52" ht="17.100000000000001" customHeight="1">
      <c r="A199" s="79"/>
      <c r="B199" s="79"/>
      <c r="C199" s="79"/>
      <c r="D199" s="79"/>
      <c r="E199" s="79"/>
      <c r="F199" s="79"/>
      <c r="G199" s="79"/>
      <c r="H199" s="79"/>
      <c r="I199" s="79"/>
      <c r="J199" s="79"/>
      <c r="K199" s="79"/>
      <c r="L199" s="79"/>
      <c r="M199" s="79"/>
      <c r="N199" s="79"/>
      <c r="O199" s="79"/>
      <c r="P199" s="79"/>
      <c r="Q199" s="79"/>
      <c r="R199" s="79"/>
      <c r="S199" s="79"/>
      <c r="T199" s="79"/>
      <c r="U199" s="79"/>
      <c r="V199" s="79"/>
      <c r="W199" s="79"/>
      <c r="X199" s="79"/>
      <c r="Y199" s="79"/>
      <c r="Z199" s="79"/>
      <c r="AA199" s="79"/>
      <c r="AB199" s="79"/>
      <c r="AC199" s="79"/>
      <c r="AD199" s="79"/>
      <c r="AE199" s="79"/>
      <c r="AF199" s="79"/>
      <c r="AG199" s="79"/>
      <c r="AH199" s="79"/>
      <c r="AI199" s="79"/>
      <c r="AJ199" s="79"/>
      <c r="AK199" s="79"/>
      <c r="AL199" s="79"/>
      <c r="AM199" s="79"/>
      <c r="AN199" s="79"/>
      <c r="AO199" s="79"/>
      <c r="AP199" s="79"/>
      <c r="AQ199" s="79"/>
      <c r="AR199" s="79"/>
      <c r="AS199" s="79"/>
      <c r="AT199" s="79"/>
      <c r="AU199" s="79"/>
      <c r="AV199" s="79"/>
      <c r="AW199" s="79"/>
      <c r="AX199" s="79"/>
      <c r="AY199" s="79"/>
      <c r="AZ199" s="79"/>
    </row>
    <row r="200" spans="1:52" ht="17.100000000000001" customHeight="1">
      <c r="A200" s="79"/>
      <c r="B200" s="79"/>
      <c r="C200" s="79"/>
      <c r="D200" s="79"/>
      <c r="E200" s="79"/>
      <c r="F200" s="79"/>
      <c r="G200" s="79"/>
      <c r="H200" s="79"/>
      <c r="I200" s="79"/>
      <c r="J200" s="79"/>
      <c r="K200" s="79"/>
      <c r="L200" s="79"/>
      <c r="M200" s="79"/>
      <c r="N200" s="79"/>
      <c r="O200" s="79"/>
      <c r="P200" s="79"/>
      <c r="Q200" s="79"/>
      <c r="R200" s="79"/>
      <c r="S200" s="79"/>
      <c r="T200" s="79"/>
      <c r="U200" s="79"/>
      <c r="V200" s="79"/>
      <c r="W200" s="79"/>
      <c r="X200" s="79"/>
      <c r="Y200" s="79"/>
      <c r="Z200" s="79"/>
      <c r="AA200" s="79"/>
      <c r="AB200" s="79"/>
      <c r="AC200" s="79"/>
      <c r="AD200" s="79"/>
      <c r="AE200" s="79"/>
      <c r="AF200" s="79"/>
      <c r="AG200" s="79"/>
      <c r="AH200" s="79"/>
      <c r="AI200" s="79"/>
      <c r="AJ200" s="79"/>
      <c r="AK200" s="79"/>
      <c r="AL200" s="79"/>
      <c r="AM200" s="79"/>
      <c r="AN200" s="79"/>
      <c r="AO200" s="79"/>
      <c r="AP200" s="79"/>
      <c r="AQ200" s="79"/>
      <c r="AR200" s="79"/>
      <c r="AS200" s="79"/>
      <c r="AT200" s="79"/>
      <c r="AU200" s="79"/>
      <c r="AV200" s="79"/>
      <c r="AW200" s="79"/>
      <c r="AX200" s="79"/>
      <c r="AY200" s="79"/>
      <c r="AZ200" s="79"/>
    </row>
    <row r="201" spans="1:52" ht="17.100000000000001" customHeight="1">
      <c r="A201" s="79"/>
      <c r="B201" s="79"/>
      <c r="C201" s="79"/>
      <c r="D201" s="79"/>
      <c r="E201" s="79"/>
      <c r="F201" s="79"/>
      <c r="G201" s="79"/>
      <c r="H201" s="79"/>
      <c r="I201" s="79"/>
      <c r="J201" s="79"/>
      <c r="K201" s="79"/>
      <c r="L201" s="79"/>
      <c r="M201" s="79"/>
      <c r="N201" s="79"/>
      <c r="O201" s="79"/>
      <c r="P201" s="79"/>
      <c r="Q201" s="79"/>
      <c r="R201" s="79"/>
      <c r="S201" s="79"/>
      <c r="T201" s="79"/>
      <c r="U201" s="79"/>
      <c r="V201" s="79"/>
      <c r="W201" s="79"/>
      <c r="X201" s="79"/>
      <c r="Y201" s="79"/>
      <c r="Z201" s="79"/>
      <c r="AA201" s="79"/>
      <c r="AB201" s="79"/>
      <c r="AC201" s="79"/>
      <c r="AD201" s="79"/>
      <c r="AE201" s="79"/>
      <c r="AF201" s="79"/>
      <c r="AG201" s="79"/>
      <c r="AH201" s="79"/>
      <c r="AI201" s="79"/>
      <c r="AJ201" s="79"/>
      <c r="AK201" s="79"/>
      <c r="AL201" s="79"/>
      <c r="AM201" s="79"/>
      <c r="AN201" s="79"/>
      <c r="AO201" s="79"/>
      <c r="AP201" s="79"/>
      <c r="AQ201" s="79"/>
      <c r="AR201" s="79"/>
      <c r="AS201" s="79"/>
      <c r="AT201" s="79"/>
      <c r="AU201" s="79"/>
      <c r="AV201" s="79"/>
      <c r="AW201" s="79"/>
      <c r="AX201" s="79"/>
      <c r="AY201" s="79"/>
      <c r="AZ201" s="79"/>
    </row>
    <row r="202" spans="1:52" ht="17.100000000000001" customHeight="1">
      <c r="A202" s="79"/>
      <c r="B202" s="79"/>
      <c r="C202" s="79"/>
      <c r="D202" s="79"/>
      <c r="E202" s="79"/>
      <c r="F202" s="79"/>
      <c r="G202" s="79"/>
      <c r="H202" s="79"/>
      <c r="I202" s="79"/>
      <c r="J202" s="79"/>
      <c r="K202" s="79"/>
      <c r="L202" s="79"/>
      <c r="M202" s="79"/>
      <c r="N202" s="79"/>
      <c r="O202" s="79"/>
      <c r="P202" s="79"/>
      <c r="Q202" s="79"/>
      <c r="R202" s="79"/>
      <c r="S202" s="79"/>
      <c r="T202" s="79"/>
      <c r="U202" s="79"/>
      <c r="V202" s="79"/>
      <c r="W202" s="79"/>
      <c r="X202" s="79"/>
      <c r="Y202" s="79"/>
      <c r="Z202" s="79"/>
      <c r="AA202" s="79"/>
      <c r="AB202" s="79"/>
      <c r="AC202" s="79"/>
      <c r="AD202" s="79"/>
      <c r="AE202" s="79"/>
      <c r="AF202" s="79"/>
      <c r="AG202" s="79"/>
      <c r="AH202" s="79"/>
      <c r="AI202" s="79"/>
      <c r="AJ202" s="79"/>
      <c r="AK202" s="79"/>
      <c r="AL202" s="79"/>
      <c r="AM202" s="79"/>
      <c r="AN202" s="79"/>
      <c r="AO202" s="79"/>
      <c r="AP202" s="79"/>
      <c r="AQ202" s="79"/>
      <c r="AR202" s="79"/>
      <c r="AS202" s="79"/>
      <c r="AT202" s="79"/>
      <c r="AU202" s="79"/>
      <c r="AV202" s="79"/>
      <c r="AW202" s="79"/>
      <c r="AX202" s="79"/>
      <c r="AY202" s="79"/>
      <c r="AZ202" s="79"/>
    </row>
    <row r="203" spans="1:52" ht="17.100000000000001" customHeight="1">
      <c r="A203" s="79"/>
      <c r="B203" s="79"/>
      <c r="C203" s="79"/>
      <c r="D203" s="79"/>
      <c r="E203" s="79"/>
      <c r="F203" s="79"/>
      <c r="G203" s="79"/>
      <c r="H203" s="79"/>
      <c r="I203" s="79"/>
      <c r="J203" s="79"/>
      <c r="K203" s="79"/>
      <c r="L203" s="79"/>
      <c r="M203" s="79"/>
      <c r="N203" s="79"/>
      <c r="O203" s="79"/>
      <c r="P203" s="79"/>
      <c r="Q203" s="79"/>
      <c r="R203" s="79"/>
      <c r="S203" s="79"/>
      <c r="T203" s="79"/>
      <c r="U203" s="79"/>
      <c r="V203" s="79"/>
      <c r="W203" s="79"/>
      <c r="X203" s="79"/>
      <c r="Y203" s="79"/>
      <c r="Z203" s="79"/>
      <c r="AA203" s="79"/>
      <c r="AB203" s="79"/>
      <c r="AC203" s="79"/>
      <c r="AD203" s="79"/>
      <c r="AE203" s="79"/>
      <c r="AF203" s="79"/>
      <c r="AG203" s="79"/>
      <c r="AH203" s="79"/>
      <c r="AI203" s="79"/>
      <c r="AJ203" s="79"/>
      <c r="AK203" s="79"/>
      <c r="AL203" s="79"/>
      <c r="AM203" s="79"/>
      <c r="AN203" s="79"/>
      <c r="AO203" s="79"/>
      <c r="AP203" s="79"/>
      <c r="AQ203" s="79"/>
      <c r="AR203" s="79"/>
      <c r="AS203" s="79"/>
      <c r="AT203" s="79"/>
      <c r="AU203" s="79"/>
      <c r="AV203" s="79"/>
      <c r="AW203" s="79"/>
      <c r="AX203" s="79"/>
      <c r="AY203" s="79"/>
      <c r="AZ203" s="79"/>
    </row>
    <row r="204" spans="1:52" ht="17.100000000000001" customHeight="1">
      <c r="A204" s="79"/>
      <c r="B204" s="79"/>
      <c r="C204" s="79"/>
      <c r="D204" s="79"/>
      <c r="E204" s="79"/>
      <c r="F204" s="79"/>
      <c r="G204" s="79"/>
      <c r="H204" s="79"/>
      <c r="I204" s="79"/>
      <c r="J204" s="79"/>
      <c r="K204" s="79"/>
      <c r="L204" s="79"/>
      <c r="M204" s="79"/>
      <c r="N204" s="79"/>
      <c r="O204" s="79"/>
      <c r="P204" s="79"/>
      <c r="Q204" s="79"/>
      <c r="R204" s="79"/>
      <c r="S204" s="79"/>
      <c r="T204" s="79"/>
      <c r="U204" s="79"/>
      <c r="V204" s="79"/>
      <c r="W204" s="79"/>
      <c r="X204" s="79"/>
      <c r="Y204" s="79"/>
      <c r="Z204" s="79"/>
      <c r="AA204" s="79"/>
      <c r="AB204" s="79"/>
      <c r="AC204" s="79"/>
      <c r="AD204" s="79"/>
      <c r="AE204" s="79"/>
      <c r="AF204" s="79"/>
      <c r="AG204" s="79"/>
      <c r="AH204" s="79"/>
      <c r="AI204" s="79"/>
      <c r="AJ204" s="79"/>
      <c r="AK204" s="79"/>
      <c r="AL204" s="79"/>
      <c r="AM204" s="79"/>
      <c r="AN204" s="79"/>
      <c r="AO204" s="79"/>
      <c r="AP204" s="79"/>
      <c r="AQ204" s="79"/>
      <c r="AR204" s="79"/>
      <c r="AS204" s="79"/>
      <c r="AT204" s="79"/>
      <c r="AU204" s="79"/>
      <c r="AV204" s="79"/>
      <c r="AW204" s="79"/>
      <c r="AX204" s="79"/>
      <c r="AY204" s="79"/>
      <c r="AZ204" s="79"/>
    </row>
    <row r="205" spans="1:52" ht="17.100000000000001" customHeight="1">
      <c r="A205" s="79"/>
      <c r="B205" s="79"/>
      <c r="C205" s="79"/>
      <c r="D205" s="79"/>
      <c r="E205" s="79"/>
      <c r="F205" s="79"/>
      <c r="G205" s="79"/>
      <c r="H205" s="79"/>
      <c r="I205" s="79"/>
      <c r="J205" s="79"/>
      <c r="K205" s="79"/>
      <c r="L205" s="79"/>
      <c r="M205" s="79"/>
      <c r="N205" s="79"/>
      <c r="O205" s="79"/>
      <c r="P205" s="79"/>
      <c r="Q205" s="79"/>
      <c r="R205" s="79"/>
      <c r="S205" s="79"/>
      <c r="T205" s="79"/>
      <c r="U205" s="79"/>
      <c r="V205" s="79"/>
      <c r="W205" s="79"/>
      <c r="X205" s="79"/>
      <c r="Y205" s="79"/>
      <c r="Z205" s="79"/>
      <c r="AA205" s="79"/>
      <c r="AB205" s="79"/>
      <c r="AC205" s="79"/>
      <c r="AD205" s="79"/>
      <c r="AE205" s="79"/>
      <c r="AF205" s="79"/>
      <c r="AG205" s="79"/>
      <c r="AH205" s="79"/>
      <c r="AI205" s="79"/>
      <c r="AJ205" s="79"/>
      <c r="AK205" s="79"/>
      <c r="AL205" s="79"/>
      <c r="AM205" s="79"/>
      <c r="AN205" s="79"/>
      <c r="AO205" s="79"/>
      <c r="AP205" s="79"/>
      <c r="AQ205" s="79"/>
      <c r="AR205" s="79"/>
      <c r="AS205" s="79"/>
      <c r="AT205" s="79"/>
      <c r="AU205" s="79"/>
      <c r="AV205" s="79"/>
      <c r="AW205" s="79"/>
      <c r="AX205" s="79"/>
      <c r="AY205" s="79"/>
      <c r="AZ205" s="79"/>
    </row>
    <row r="206" spans="1:52" ht="17.100000000000001" customHeight="1">
      <c r="A206" s="79"/>
      <c r="B206" s="79"/>
      <c r="C206" s="79"/>
      <c r="D206" s="79"/>
      <c r="E206" s="79"/>
      <c r="F206" s="79"/>
      <c r="G206" s="79"/>
      <c r="H206" s="79"/>
      <c r="I206" s="79"/>
      <c r="J206" s="79"/>
      <c r="K206" s="79"/>
      <c r="L206" s="79"/>
      <c r="M206" s="79"/>
      <c r="N206" s="79"/>
      <c r="O206" s="79"/>
      <c r="P206" s="79"/>
      <c r="Q206" s="79"/>
      <c r="R206" s="79"/>
      <c r="S206" s="79"/>
      <c r="T206" s="79"/>
      <c r="U206" s="79"/>
      <c r="V206" s="79"/>
      <c r="W206" s="79"/>
      <c r="X206" s="79"/>
      <c r="Y206" s="79"/>
      <c r="Z206" s="79"/>
      <c r="AA206" s="79"/>
      <c r="AB206" s="79"/>
      <c r="AC206" s="79"/>
      <c r="AD206" s="79"/>
      <c r="AE206" s="79"/>
      <c r="AF206" s="79"/>
      <c r="AG206" s="79"/>
      <c r="AH206" s="79"/>
      <c r="AI206" s="79"/>
      <c r="AJ206" s="79"/>
      <c r="AK206" s="79"/>
      <c r="AL206" s="79"/>
      <c r="AM206" s="79"/>
      <c r="AN206" s="79"/>
      <c r="AO206" s="79"/>
      <c r="AP206" s="79"/>
      <c r="AQ206" s="79"/>
      <c r="AR206" s="79"/>
      <c r="AS206" s="79"/>
      <c r="AT206" s="79"/>
      <c r="AU206" s="79"/>
      <c r="AV206" s="79"/>
      <c r="AW206" s="79"/>
      <c r="AX206" s="79"/>
      <c r="AY206" s="79"/>
      <c r="AZ206" s="79"/>
    </row>
    <row r="207" spans="1:52" ht="17.100000000000001" customHeight="1">
      <c r="A207" s="79"/>
      <c r="B207" s="79"/>
      <c r="C207" s="79"/>
      <c r="D207" s="79"/>
      <c r="E207" s="79"/>
      <c r="F207" s="79"/>
      <c r="G207" s="79"/>
      <c r="H207" s="79"/>
      <c r="I207" s="79"/>
      <c r="J207" s="79"/>
      <c r="K207" s="79"/>
      <c r="L207" s="79"/>
      <c r="M207" s="79"/>
      <c r="N207" s="79"/>
      <c r="O207" s="79"/>
      <c r="P207" s="79"/>
      <c r="Q207" s="79"/>
      <c r="R207" s="79"/>
      <c r="S207" s="79"/>
      <c r="T207" s="79"/>
      <c r="U207" s="79"/>
      <c r="V207" s="79"/>
      <c r="W207" s="79"/>
      <c r="X207" s="79"/>
      <c r="Y207" s="79"/>
      <c r="Z207" s="79"/>
      <c r="AA207" s="79"/>
      <c r="AB207" s="79"/>
      <c r="AC207" s="79"/>
      <c r="AD207" s="79"/>
      <c r="AE207" s="79"/>
      <c r="AF207" s="79"/>
      <c r="AG207" s="79"/>
      <c r="AH207" s="79"/>
      <c r="AI207" s="79"/>
      <c r="AJ207" s="79"/>
      <c r="AK207" s="79"/>
      <c r="AL207" s="79"/>
      <c r="AM207" s="79"/>
      <c r="AN207" s="79"/>
      <c r="AO207" s="79"/>
      <c r="AP207" s="79"/>
      <c r="AQ207" s="79"/>
      <c r="AR207" s="79"/>
      <c r="AS207" s="79"/>
      <c r="AT207" s="79"/>
      <c r="AU207" s="79"/>
      <c r="AV207" s="79"/>
      <c r="AW207" s="79"/>
      <c r="AX207" s="79"/>
      <c r="AY207" s="79"/>
      <c r="AZ207" s="79"/>
    </row>
    <row r="208" spans="1:52" ht="17.100000000000001" customHeight="1">
      <c r="A208" s="79"/>
      <c r="B208" s="79"/>
      <c r="C208" s="79"/>
      <c r="D208" s="79"/>
      <c r="E208" s="79"/>
      <c r="F208" s="79"/>
      <c r="G208" s="79"/>
      <c r="H208" s="79"/>
      <c r="I208" s="79"/>
      <c r="J208" s="79"/>
      <c r="K208" s="79"/>
      <c r="L208" s="79"/>
      <c r="M208" s="79"/>
      <c r="N208" s="79"/>
      <c r="O208" s="79"/>
      <c r="P208" s="79"/>
      <c r="Q208" s="79"/>
      <c r="R208" s="79"/>
      <c r="S208" s="79"/>
      <c r="T208" s="79"/>
      <c r="U208" s="79"/>
      <c r="V208" s="79"/>
      <c r="W208" s="79"/>
      <c r="X208" s="79"/>
      <c r="Y208" s="79"/>
      <c r="Z208" s="79"/>
      <c r="AA208" s="79"/>
      <c r="AB208" s="79"/>
      <c r="AC208" s="79"/>
      <c r="AD208" s="79"/>
      <c r="AE208" s="79"/>
      <c r="AF208" s="79"/>
      <c r="AG208" s="79"/>
      <c r="AH208" s="79"/>
      <c r="AI208" s="79"/>
      <c r="AJ208" s="79"/>
      <c r="AK208" s="79"/>
      <c r="AL208" s="79"/>
      <c r="AM208" s="79"/>
      <c r="AN208" s="79"/>
      <c r="AO208" s="79"/>
      <c r="AP208" s="79"/>
      <c r="AQ208" s="79"/>
      <c r="AR208" s="79"/>
      <c r="AS208" s="79"/>
      <c r="AT208" s="79"/>
      <c r="AU208" s="79"/>
      <c r="AV208" s="79"/>
      <c r="AW208" s="79"/>
      <c r="AX208" s="79"/>
      <c r="AY208" s="79"/>
      <c r="AZ208" s="79"/>
    </row>
    <row r="209" spans="1:52" ht="17.100000000000001" customHeight="1">
      <c r="A209" s="79"/>
      <c r="B209" s="79"/>
      <c r="C209" s="79"/>
      <c r="D209" s="79"/>
      <c r="E209" s="79"/>
      <c r="F209" s="79"/>
      <c r="G209" s="79"/>
      <c r="H209" s="79"/>
      <c r="I209" s="79"/>
      <c r="J209" s="79"/>
      <c r="K209" s="79"/>
      <c r="L209" s="79"/>
      <c r="M209" s="79"/>
      <c r="N209" s="79"/>
      <c r="O209" s="79"/>
      <c r="P209" s="79"/>
      <c r="Q209" s="79"/>
      <c r="R209" s="79"/>
      <c r="S209" s="79"/>
      <c r="T209" s="79"/>
      <c r="U209" s="79"/>
      <c r="V209" s="79"/>
      <c r="W209" s="79"/>
      <c r="X209" s="79"/>
      <c r="Y209" s="79"/>
      <c r="Z209" s="79"/>
      <c r="AA209" s="79"/>
      <c r="AB209" s="79"/>
      <c r="AC209" s="79"/>
      <c r="AD209" s="79"/>
      <c r="AE209" s="79"/>
      <c r="AF209" s="79"/>
      <c r="AG209" s="79"/>
      <c r="AH209" s="79"/>
      <c r="AI209" s="79"/>
      <c r="AJ209" s="79"/>
      <c r="AK209" s="79"/>
      <c r="AL209" s="79"/>
      <c r="AM209" s="79"/>
      <c r="AN209" s="79"/>
      <c r="AO209" s="79"/>
      <c r="AP209" s="79"/>
      <c r="AQ209" s="79"/>
      <c r="AR209" s="79"/>
      <c r="AS209" s="79"/>
      <c r="AT209" s="79"/>
      <c r="AU209" s="79"/>
      <c r="AV209" s="79"/>
      <c r="AW209" s="79"/>
      <c r="AX209" s="79"/>
      <c r="AY209" s="79"/>
      <c r="AZ209" s="79"/>
    </row>
    <row r="210" spans="1:52" ht="17.100000000000001" customHeight="1">
      <c r="A210" s="79"/>
      <c r="B210" s="79"/>
      <c r="C210" s="79"/>
      <c r="D210" s="79"/>
      <c r="E210" s="79"/>
      <c r="F210" s="79"/>
      <c r="G210" s="79"/>
      <c r="H210" s="79"/>
      <c r="I210" s="79"/>
      <c r="J210" s="79"/>
      <c r="K210" s="79"/>
      <c r="L210" s="79"/>
      <c r="M210" s="79"/>
      <c r="N210" s="79"/>
      <c r="O210" s="79"/>
      <c r="P210" s="79"/>
      <c r="Q210" s="79"/>
      <c r="R210" s="79"/>
      <c r="S210" s="79"/>
      <c r="T210" s="79"/>
      <c r="U210" s="79"/>
      <c r="V210" s="79"/>
      <c r="W210" s="79"/>
      <c r="X210" s="79"/>
      <c r="Y210" s="79"/>
      <c r="Z210" s="79"/>
      <c r="AA210" s="79"/>
      <c r="AB210" s="79"/>
      <c r="AC210" s="79"/>
      <c r="AD210" s="79"/>
      <c r="AE210" s="79"/>
      <c r="AF210" s="79"/>
      <c r="AG210" s="79"/>
      <c r="AH210" s="79"/>
      <c r="AI210" s="79"/>
      <c r="AJ210" s="79"/>
      <c r="AK210" s="79"/>
      <c r="AL210" s="79"/>
      <c r="AM210" s="79"/>
      <c r="AN210" s="79"/>
      <c r="AO210" s="79"/>
      <c r="AP210" s="79"/>
      <c r="AQ210" s="79"/>
      <c r="AR210" s="79"/>
      <c r="AS210" s="79"/>
      <c r="AT210" s="79"/>
      <c r="AU210" s="79"/>
      <c r="AV210" s="79"/>
      <c r="AW210" s="79"/>
      <c r="AX210" s="79"/>
      <c r="AY210" s="79"/>
      <c r="AZ210" s="79"/>
    </row>
    <row r="211" spans="1:52" ht="17.100000000000001" customHeight="1">
      <c r="A211" s="79"/>
      <c r="B211" s="79"/>
      <c r="C211" s="79"/>
      <c r="D211" s="79"/>
      <c r="E211" s="79"/>
      <c r="F211" s="79"/>
      <c r="G211" s="79"/>
      <c r="H211" s="79"/>
      <c r="I211" s="79"/>
      <c r="J211" s="79"/>
      <c r="K211" s="79"/>
      <c r="L211" s="79"/>
      <c r="M211" s="79"/>
      <c r="N211" s="79"/>
      <c r="O211" s="79"/>
      <c r="P211" s="79"/>
      <c r="Q211" s="79"/>
      <c r="R211" s="79"/>
      <c r="S211" s="79"/>
      <c r="T211" s="79"/>
      <c r="U211" s="79"/>
      <c r="V211" s="79"/>
      <c r="W211" s="79"/>
      <c r="X211" s="79"/>
      <c r="Y211" s="79"/>
      <c r="Z211" s="79"/>
      <c r="AA211" s="79"/>
      <c r="AB211" s="79"/>
      <c r="AC211" s="79"/>
      <c r="AD211" s="79"/>
      <c r="AE211" s="79"/>
      <c r="AF211" s="79"/>
      <c r="AG211" s="79"/>
      <c r="AH211" s="79"/>
      <c r="AI211" s="79"/>
      <c r="AJ211" s="79"/>
      <c r="AK211" s="79"/>
      <c r="AL211" s="79"/>
      <c r="AM211" s="79"/>
      <c r="AN211" s="79"/>
      <c r="AO211" s="79"/>
      <c r="AP211" s="79"/>
      <c r="AQ211" s="79"/>
      <c r="AR211" s="79"/>
      <c r="AS211" s="79"/>
      <c r="AT211" s="79"/>
      <c r="AU211" s="79"/>
      <c r="AV211" s="79"/>
      <c r="AW211" s="79"/>
      <c r="AX211" s="79"/>
      <c r="AY211" s="79"/>
      <c r="AZ211" s="79"/>
    </row>
    <row r="212" spans="1:52" ht="17.100000000000001" customHeight="1">
      <c r="A212" s="79"/>
      <c r="B212" s="79"/>
      <c r="C212" s="79"/>
      <c r="D212" s="79"/>
      <c r="E212" s="79"/>
      <c r="F212" s="79"/>
      <c r="G212" s="79"/>
      <c r="H212" s="79"/>
      <c r="I212" s="79"/>
      <c r="J212" s="79"/>
      <c r="K212" s="79"/>
      <c r="L212" s="79"/>
      <c r="M212" s="79"/>
      <c r="N212" s="79"/>
      <c r="O212" s="79"/>
      <c r="P212" s="79"/>
      <c r="Q212" s="79"/>
      <c r="R212" s="79"/>
      <c r="S212" s="79"/>
      <c r="T212" s="79"/>
      <c r="U212" s="79"/>
      <c r="V212" s="79"/>
      <c r="W212" s="79"/>
      <c r="X212" s="79"/>
      <c r="Y212" s="79"/>
      <c r="Z212" s="79"/>
      <c r="AA212" s="79"/>
      <c r="AB212" s="79"/>
      <c r="AC212" s="79"/>
      <c r="AD212" s="79"/>
      <c r="AE212" s="79"/>
      <c r="AF212" s="79"/>
      <c r="AG212" s="79"/>
      <c r="AH212" s="79"/>
      <c r="AI212" s="79"/>
      <c r="AJ212" s="79"/>
      <c r="AK212" s="79"/>
      <c r="AL212" s="79"/>
      <c r="AM212" s="79"/>
      <c r="AN212" s="79"/>
      <c r="AO212" s="79"/>
      <c r="AP212" s="79"/>
      <c r="AQ212" s="79"/>
      <c r="AR212" s="79"/>
      <c r="AS212" s="79"/>
      <c r="AT212" s="79"/>
      <c r="AU212" s="79"/>
      <c r="AV212" s="79"/>
      <c r="AW212" s="79"/>
      <c r="AX212" s="79"/>
      <c r="AY212" s="79"/>
      <c r="AZ212" s="79"/>
    </row>
    <row r="213" spans="1:52" ht="17.100000000000001" customHeight="1">
      <c r="A213" s="79"/>
      <c r="B213" s="79"/>
      <c r="C213" s="79"/>
      <c r="D213" s="79"/>
      <c r="E213" s="79"/>
      <c r="F213" s="79"/>
      <c r="G213" s="79"/>
      <c r="H213" s="79"/>
      <c r="I213" s="79"/>
      <c r="J213" s="79"/>
      <c r="K213" s="79"/>
      <c r="L213" s="79"/>
      <c r="M213" s="79"/>
      <c r="N213" s="79"/>
      <c r="O213" s="79"/>
      <c r="P213" s="79"/>
      <c r="Q213" s="79"/>
      <c r="R213" s="79"/>
      <c r="S213" s="79"/>
      <c r="T213" s="79"/>
      <c r="U213" s="79"/>
      <c r="V213" s="79"/>
      <c r="W213" s="79"/>
      <c r="X213" s="79"/>
      <c r="Y213" s="79"/>
      <c r="Z213" s="79"/>
      <c r="AA213" s="79"/>
      <c r="AB213" s="79"/>
      <c r="AC213" s="79"/>
      <c r="AD213" s="79"/>
      <c r="AE213" s="79"/>
      <c r="AF213" s="79"/>
      <c r="AG213" s="79"/>
      <c r="AH213" s="79"/>
      <c r="AI213" s="79"/>
      <c r="AJ213" s="79"/>
      <c r="AK213" s="79"/>
      <c r="AL213" s="79"/>
      <c r="AM213" s="79"/>
      <c r="AN213" s="79"/>
      <c r="AO213" s="79"/>
      <c r="AP213" s="79"/>
      <c r="AQ213" s="79"/>
      <c r="AR213" s="79"/>
      <c r="AS213" s="79"/>
      <c r="AT213" s="79"/>
      <c r="AU213" s="79"/>
      <c r="AV213" s="79"/>
      <c r="AW213" s="79"/>
      <c r="AX213" s="79"/>
      <c r="AY213" s="79"/>
      <c r="AZ213" s="79"/>
    </row>
    <row r="214" spans="1:52" ht="17.100000000000001" customHeight="1">
      <c r="A214" s="79"/>
      <c r="B214" s="79"/>
      <c r="C214" s="79"/>
      <c r="D214" s="79"/>
      <c r="E214" s="79"/>
      <c r="F214" s="79"/>
      <c r="G214" s="79"/>
      <c r="H214" s="79"/>
      <c r="I214" s="79"/>
      <c r="J214" s="79"/>
      <c r="K214" s="79"/>
      <c r="L214" s="79"/>
      <c r="M214" s="79"/>
      <c r="N214" s="79"/>
      <c r="O214" s="79"/>
      <c r="P214" s="79"/>
      <c r="Q214" s="79"/>
      <c r="R214" s="79"/>
      <c r="S214" s="79"/>
      <c r="T214" s="79"/>
      <c r="U214" s="79"/>
      <c r="V214" s="79"/>
      <c r="W214" s="79"/>
      <c r="X214" s="79"/>
      <c r="Y214" s="79"/>
      <c r="Z214" s="79"/>
      <c r="AA214" s="79"/>
      <c r="AB214" s="79"/>
      <c r="AC214" s="79"/>
      <c r="AD214" s="79"/>
      <c r="AE214" s="79"/>
      <c r="AF214" s="79"/>
      <c r="AG214" s="79"/>
      <c r="AH214" s="79"/>
      <c r="AI214" s="79"/>
      <c r="AJ214" s="79"/>
      <c r="AK214" s="79"/>
      <c r="AL214" s="79"/>
      <c r="AM214" s="79"/>
      <c r="AN214" s="79"/>
      <c r="AO214" s="79"/>
      <c r="AP214" s="79"/>
      <c r="AQ214" s="79"/>
      <c r="AR214" s="79"/>
      <c r="AS214" s="79"/>
      <c r="AT214" s="79"/>
      <c r="AU214" s="79"/>
      <c r="AV214" s="79"/>
      <c r="AW214" s="79"/>
      <c r="AX214" s="79"/>
      <c r="AY214" s="79"/>
      <c r="AZ214" s="79"/>
    </row>
    <row r="215" spans="1:52" ht="17.100000000000001" customHeight="1">
      <c r="A215" s="79"/>
      <c r="B215" s="79"/>
      <c r="C215" s="79"/>
      <c r="D215" s="79"/>
      <c r="E215" s="79"/>
      <c r="F215" s="79"/>
      <c r="G215" s="79"/>
      <c r="H215" s="79"/>
      <c r="I215" s="79"/>
      <c r="J215" s="79"/>
      <c r="K215" s="79"/>
      <c r="L215" s="79"/>
      <c r="M215" s="79"/>
      <c r="N215" s="79"/>
      <c r="O215" s="79"/>
      <c r="P215" s="79"/>
      <c r="Q215" s="79"/>
      <c r="R215" s="79"/>
      <c r="S215" s="79"/>
      <c r="T215" s="79"/>
      <c r="U215" s="79"/>
      <c r="V215" s="79"/>
      <c r="W215" s="79"/>
      <c r="X215" s="79"/>
      <c r="Y215" s="79"/>
      <c r="Z215" s="79"/>
      <c r="AA215" s="79"/>
      <c r="AB215" s="79"/>
      <c r="AC215" s="79"/>
      <c r="AD215" s="79"/>
      <c r="AE215" s="79"/>
      <c r="AF215" s="79"/>
      <c r="AG215" s="79"/>
      <c r="AH215" s="79"/>
      <c r="AI215" s="79"/>
      <c r="AJ215" s="79"/>
      <c r="AK215" s="79"/>
      <c r="AL215" s="79"/>
      <c r="AM215" s="79"/>
      <c r="AN215" s="79"/>
      <c r="AO215" s="79"/>
      <c r="AP215" s="79"/>
      <c r="AQ215" s="79"/>
      <c r="AR215" s="79"/>
      <c r="AS215" s="79"/>
      <c r="AT215" s="79"/>
      <c r="AU215" s="79"/>
      <c r="AV215" s="79"/>
      <c r="AW215" s="79"/>
      <c r="AX215" s="79"/>
      <c r="AY215" s="79"/>
      <c r="AZ215" s="79"/>
    </row>
    <row r="216" spans="1:52" ht="17.100000000000001" customHeight="1">
      <c r="A216" s="79"/>
      <c r="B216" s="79"/>
      <c r="C216" s="79"/>
      <c r="D216" s="79"/>
      <c r="E216" s="79"/>
      <c r="F216" s="79"/>
      <c r="G216" s="79"/>
      <c r="H216" s="79"/>
      <c r="I216" s="79"/>
      <c r="J216" s="79"/>
      <c r="K216" s="79"/>
      <c r="L216" s="79"/>
      <c r="M216" s="79"/>
      <c r="N216" s="79"/>
      <c r="O216" s="79"/>
      <c r="P216" s="79"/>
      <c r="Q216" s="79"/>
      <c r="R216" s="79"/>
      <c r="S216" s="79"/>
      <c r="T216" s="79"/>
      <c r="U216" s="79"/>
      <c r="V216" s="79"/>
      <c r="W216" s="79"/>
      <c r="X216" s="79"/>
      <c r="Y216" s="79"/>
      <c r="Z216" s="79"/>
      <c r="AA216" s="79"/>
      <c r="AB216" s="79"/>
      <c r="AC216" s="79"/>
      <c r="AD216" s="79"/>
      <c r="AE216" s="79"/>
      <c r="AF216" s="79"/>
      <c r="AG216" s="79"/>
      <c r="AH216" s="79"/>
      <c r="AI216" s="79"/>
      <c r="AJ216" s="79"/>
      <c r="AK216" s="79"/>
      <c r="AL216" s="79"/>
      <c r="AM216" s="79"/>
      <c r="AN216" s="79"/>
      <c r="AO216" s="79"/>
      <c r="AP216" s="79"/>
      <c r="AQ216" s="79"/>
      <c r="AR216" s="79"/>
      <c r="AS216" s="79"/>
      <c r="AT216" s="79"/>
      <c r="AU216" s="79"/>
      <c r="AV216" s="79"/>
      <c r="AW216" s="79"/>
      <c r="AX216" s="79"/>
      <c r="AY216" s="79"/>
      <c r="AZ216" s="79"/>
    </row>
    <row r="217" spans="1:52" ht="17.100000000000001" customHeight="1">
      <c r="A217" s="79"/>
      <c r="B217" s="79"/>
      <c r="C217" s="79"/>
      <c r="D217" s="79"/>
      <c r="E217" s="79"/>
      <c r="F217" s="79"/>
      <c r="G217" s="79"/>
      <c r="H217" s="79"/>
      <c r="I217" s="79"/>
      <c r="J217" s="79"/>
      <c r="K217" s="79"/>
      <c r="L217" s="79"/>
      <c r="M217" s="79"/>
      <c r="N217" s="79"/>
      <c r="O217" s="79"/>
      <c r="P217" s="79"/>
      <c r="Q217" s="79"/>
      <c r="R217" s="79"/>
      <c r="S217" s="79"/>
      <c r="T217" s="79"/>
      <c r="U217" s="79"/>
      <c r="V217" s="79"/>
      <c r="W217" s="79"/>
      <c r="X217" s="79"/>
      <c r="Y217" s="79"/>
      <c r="Z217" s="79"/>
      <c r="AA217" s="79"/>
      <c r="AB217" s="79"/>
      <c r="AC217" s="79"/>
      <c r="AD217" s="79"/>
      <c r="AE217" s="79"/>
      <c r="AF217" s="79"/>
      <c r="AG217" s="79"/>
      <c r="AH217" s="79"/>
      <c r="AI217" s="79"/>
      <c r="AJ217" s="79"/>
      <c r="AK217" s="79"/>
      <c r="AL217" s="79"/>
      <c r="AM217" s="79"/>
      <c r="AN217" s="79"/>
      <c r="AO217" s="79"/>
      <c r="AP217" s="79"/>
      <c r="AQ217" s="79"/>
      <c r="AR217" s="79"/>
      <c r="AS217" s="79"/>
      <c r="AT217" s="79"/>
      <c r="AU217" s="79"/>
      <c r="AV217" s="79"/>
      <c r="AW217" s="79"/>
      <c r="AX217" s="79"/>
      <c r="AY217" s="79"/>
      <c r="AZ217" s="79"/>
    </row>
    <row r="218" spans="1:52" ht="17.100000000000001" customHeight="1">
      <c r="A218" s="79"/>
      <c r="B218" s="79"/>
      <c r="C218" s="79"/>
      <c r="D218" s="79"/>
      <c r="E218" s="79"/>
      <c r="F218" s="79"/>
      <c r="G218" s="79"/>
      <c r="H218" s="79"/>
      <c r="I218" s="79"/>
      <c r="J218" s="79"/>
      <c r="K218" s="79"/>
      <c r="L218" s="79"/>
      <c r="M218" s="79"/>
      <c r="N218" s="79"/>
      <c r="O218" s="79"/>
      <c r="P218" s="79"/>
      <c r="Q218" s="79"/>
      <c r="R218" s="79"/>
      <c r="S218" s="79"/>
      <c r="T218" s="79"/>
      <c r="U218" s="79"/>
      <c r="V218" s="79"/>
      <c r="W218" s="79"/>
      <c r="X218" s="79"/>
      <c r="Y218" s="79"/>
      <c r="Z218" s="79"/>
      <c r="AA218" s="79"/>
      <c r="AB218" s="79"/>
      <c r="AC218" s="79"/>
      <c r="AD218" s="79"/>
      <c r="AE218" s="79"/>
      <c r="AF218" s="79"/>
      <c r="AG218" s="79"/>
      <c r="AH218" s="79"/>
      <c r="AI218" s="79"/>
      <c r="AJ218" s="79"/>
      <c r="AK218" s="79"/>
      <c r="AL218" s="79"/>
      <c r="AM218" s="79"/>
      <c r="AN218" s="79"/>
      <c r="AO218" s="79"/>
      <c r="AP218" s="79"/>
      <c r="AQ218" s="79"/>
      <c r="AR218" s="79"/>
      <c r="AS218" s="79"/>
      <c r="AT218" s="79"/>
      <c r="AU218" s="79"/>
      <c r="AV218" s="79"/>
      <c r="AW218" s="79"/>
      <c r="AX218" s="79"/>
      <c r="AY218" s="79"/>
      <c r="AZ218" s="79"/>
    </row>
    <row r="219" spans="1:52" ht="17.100000000000001" customHeight="1">
      <c r="A219" s="79"/>
      <c r="B219" s="79"/>
      <c r="C219" s="79"/>
      <c r="D219" s="79"/>
      <c r="E219" s="79"/>
      <c r="F219" s="79"/>
      <c r="G219" s="79"/>
      <c r="H219" s="79"/>
      <c r="I219" s="79"/>
      <c r="J219" s="79"/>
      <c r="K219" s="79"/>
      <c r="L219" s="79"/>
      <c r="M219" s="79"/>
      <c r="N219" s="79"/>
      <c r="O219" s="79"/>
      <c r="P219" s="79"/>
      <c r="Q219" s="79"/>
      <c r="R219" s="79"/>
      <c r="S219" s="79"/>
      <c r="T219" s="79"/>
      <c r="U219" s="79"/>
      <c r="V219" s="79"/>
      <c r="W219" s="79"/>
      <c r="X219" s="79"/>
      <c r="Y219" s="79"/>
      <c r="Z219" s="79"/>
      <c r="AA219" s="79"/>
      <c r="AB219" s="79"/>
      <c r="AC219" s="79"/>
      <c r="AD219" s="79"/>
      <c r="AE219" s="79"/>
      <c r="AF219" s="79"/>
      <c r="AG219" s="79"/>
      <c r="AH219" s="79"/>
      <c r="AI219" s="79"/>
      <c r="AJ219" s="79"/>
      <c r="AK219" s="79"/>
      <c r="AL219" s="79"/>
      <c r="AM219" s="79"/>
      <c r="AN219" s="79"/>
      <c r="AO219" s="79"/>
      <c r="AP219" s="79"/>
      <c r="AQ219" s="79"/>
      <c r="AR219" s="79"/>
      <c r="AS219" s="79"/>
      <c r="AT219" s="79"/>
      <c r="AU219" s="79"/>
      <c r="AV219" s="79"/>
      <c r="AW219" s="79"/>
      <c r="AX219" s="79"/>
      <c r="AY219" s="79"/>
      <c r="AZ219" s="79"/>
    </row>
    <row r="220" spans="1:52" ht="17.100000000000001" customHeight="1">
      <c r="A220" s="79"/>
      <c r="B220" s="79"/>
      <c r="C220" s="79"/>
      <c r="D220" s="79"/>
      <c r="E220" s="79"/>
      <c r="F220" s="79"/>
      <c r="G220" s="79"/>
      <c r="H220" s="79"/>
      <c r="I220" s="79"/>
      <c r="J220" s="79"/>
      <c r="K220" s="79"/>
      <c r="L220" s="79"/>
      <c r="M220" s="79"/>
      <c r="N220" s="79"/>
      <c r="O220" s="79"/>
      <c r="P220" s="79"/>
      <c r="Q220" s="79"/>
      <c r="R220" s="79"/>
      <c r="S220" s="79"/>
      <c r="T220" s="79"/>
      <c r="U220" s="79"/>
      <c r="V220" s="79"/>
      <c r="W220" s="79"/>
      <c r="X220" s="79"/>
      <c r="Y220" s="79"/>
      <c r="Z220" s="79"/>
      <c r="AA220" s="79"/>
      <c r="AB220" s="79"/>
      <c r="AC220" s="79"/>
      <c r="AD220" s="79"/>
      <c r="AE220" s="79"/>
      <c r="AF220" s="79"/>
      <c r="AG220" s="79"/>
      <c r="AH220" s="79"/>
      <c r="AI220" s="79"/>
      <c r="AJ220" s="79"/>
      <c r="AK220" s="79"/>
      <c r="AL220" s="79"/>
      <c r="AM220" s="79"/>
      <c r="AN220" s="79"/>
      <c r="AO220" s="79"/>
      <c r="AP220" s="79"/>
      <c r="AQ220" s="79"/>
      <c r="AR220" s="79"/>
      <c r="AS220" s="79"/>
      <c r="AT220" s="79"/>
      <c r="AU220" s="79"/>
      <c r="AV220" s="79"/>
      <c r="AW220" s="79"/>
      <c r="AX220" s="79"/>
      <c r="AY220" s="79"/>
      <c r="AZ220" s="79"/>
    </row>
    <row r="221" spans="1:52" ht="17.100000000000001" customHeight="1">
      <c r="A221" s="79"/>
      <c r="B221" s="79"/>
      <c r="C221" s="79"/>
      <c r="D221" s="79"/>
      <c r="E221" s="79"/>
      <c r="F221" s="79"/>
      <c r="G221" s="79"/>
      <c r="H221" s="79"/>
      <c r="I221" s="79"/>
      <c r="J221" s="79"/>
      <c r="K221" s="79"/>
      <c r="L221" s="79"/>
      <c r="M221" s="79"/>
      <c r="N221" s="79"/>
      <c r="O221" s="79"/>
      <c r="P221" s="79"/>
      <c r="Q221" s="79"/>
      <c r="R221" s="79"/>
      <c r="S221" s="79"/>
      <c r="T221" s="79"/>
      <c r="U221" s="79"/>
      <c r="V221" s="79"/>
      <c r="W221" s="79"/>
      <c r="X221" s="79"/>
      <c r="Y221" s="79"/>
      <c r="Z221" s="79"/>
      <c r="AA221" s="79"/>
      <c r="AB221" s="79"/>
      <c r="AC221" s="79"/>
      <c r="AD221" s="79"/>
      <c r="AE221" s="79"/>
      <c r="AF221" s="79"/>
      <c r="AG221" s="79"/>
      <c r="AH221" s="79"/>
      <c r="AI221" s="79"/>
      <c r="AJ221" s="79"/>
      <c r="AK221" s="79"/>
      <c r="AL221" s="79"/>
      <c r="AM221" s="79"/>
      <c r="AN221" s="79"/>
      <c r="AO221" s="79"/>
      <c r="AP221" s="79"/>
      <c r="AQ221" s="79"/>
      <c r="AR221" s="79"/>
      <c r="AS221" s="79"/>
      <c r="AT221" s="79"/>
      <c r="AU221" s="79"/>
      <c r="AV221" s="79"/>
      <c r="AW221" s="79"/>
      <c r="AX221" s="79"/>
      <c r="AY221" s="79"/>
      <c r="AZ221" s="79"/>
    </row>
    <row r="222" spans="1:52" ht="17.100000000000001" customHeight="1">
      <c r="A222" s="79"/>
      <c r="B222" s="79"/>
      <c r="C222" s="79"/>
      <c r="D222" s="79"/>
      <c r="E222" s="79"/>
      <c r="F222" s="79"/>
      <c r="G222" s="79"/>
      <c r="H222" s="79"/>
      <c r="I222" s="79"/>
      <c r="J222" s="79"/>
      <c r="K222" s="79"/>
      <c r="L222" s="79"/>
      <c r="M222" s="79"/>
      <c r="N222" s="79"/>
      <c r="O222" s="79"/>
      <c r="P222" s="79"/>
      <c r="Q222" s="79"/>
      <c r="R222" s="79"/>
      <c r="S222" s="79"/>
      <c r="T222" s="79"/>
      <c r="U222" s="79"/>
      <c r="V222" s="79"/>
      <c r="W222" s="79"/>
      <c r="X222" s="79"/>
      <c r="Y222" s="79"/>
      <c r="Z222" s="79"/>
      <c r="AA222" s="79"/>
      <c r="AB222" s="79"/>
      <c r="AC222" s="79"/>
      <c r="AD222" s="79"/>
      <c r="AE222" s="79"/>
      <c r="AF222" s="79"/>
      <c r="AG222" s="79"/>
      <c r="AH222" s="79"/>
      <c r="AI222" s="79"/>
      <c r="AJ222" s="79"/>
      <c r="AK222" s="79"/>
      <c r="AL222" s="79"/>
      <c r="AM222" s="79"/>
      <c r="AN222" s="79"/>
      <c r="AO222" s="79"/>
      <c r="AP222" s="79"/>
      <c r="AQ222" s="79"/>
      <c r="AR222" s="79"/>
      <c r="AS222" s="79"/>
      <c r="AT222" s="79"/>
      <c r="AU222" s="79"/>
      <c r="AV222" s="79"/>
      <c r="AW222" s="79"/>
      <c r="AX222" s="79"/>
      <c r="AY222" s="79"/>
      <c r="AZ222" s="79"/>
    </row>
    <row r="223" spans="1:52" ht="17.100000000000001" customHeight="1">
      <c r="A223" s="79"/>
      <c r="B223" s="79"/>
      <c r="C223" s="79"/>
      <c r="D223" s="79"/>
      <c r="E223" s="79"/>
      <c r="F223" s="79"/>
      <c r="G223" s="79"/>
      <c r="H223" s="79"/>
      <c r="I223" s="79"/>
      <c r="J223" s="79"/>
      <c r="K223" s="79"/>
      <c r="L223" s="79"/>
      <c r="M223" s="79"/>
      <c r="N223" s="79"/>
      <c r="O223" s="79"/>
      <c r="P223" s="79"/>
      <c r="Q223" s="79"/>
      <c r="R223" s="79"/>
      <c r="S223" s="79"/>
      <c r="T223" s="79"/>
      <c r="U223" s="79"/>
      <c r="V223" s="79"/>
      <c r="W223" s="79"/>
      <c r="X223" s="79"/>
      <c r="Y223" s="79"/>
      <c r="Z223" s="79"/>
      <c r="AA223" s="79"/>
      <c r="AB223" s="79"/>
      <c r="AC223" s="79"/>
      <c r="AD223" s="79"/>
      <c r="AE223" s="79"/>
      <c r="AF223" s="79"/>
      <c r="AG223" s="79"/>
      <c r="AH223" s="79"/>
      <c r="AI223" s="79"/>
      <c r="AJ223" s="79"/>
      <c r="AK223" s="79"/>
      <c r="AL223" s="79"/>
      <c r="AM223" s="79"/>
      <c r="AN223" s="79"/>
      <c r="AO223" s="79"/>
      <c r="AP223" s="79"/>
      <c r="AQ223" s="79"/>
      <c r="AR223" s="79"/>
      <c r="AS223" s="79"/>
      <c r="AT223" s="79"/>
      <c r="AU223" s="79"/>
      <c r="AV223" s="79"/>
      <c r="AW223" s="79"/>
      <c r="AX223" s="79"/>
      <c r="AY223" s="79"/>
      <c r="AZ223" s="79"/>
    </row>
    <row r="224" spans="1:52" ht="17.100000000000001" customHeight="1">
      <c r="A224" s="79"/>
      <c r="B224" s="79"/>
      <c r="C224" s="79"/>
      <c r="D224" s="79"/>
      <c r="E224" s="79"/>
      <c r="F224" s="79"/>
      <c r="G224" s="79"/>
      <c r="H224" s="79"/>
      <c r="I224" s="79"/>
      <c r="J224" s="79"/>
      <c r="K224" s="79"/>
      <c r="L224" s="79"/>
      <c r="M224" s="79"/>
      <c r="N224" s="79"/>
      <c r="O224" s="79"/>
      <c r="P224" s="79"/>
      <c r="Q224" s="79"/>
      <c r="R224" s="79"/>
      <c r="S224" s="79"/>
      <c r="T224" s="79"/>
      <c r="U224" s="79"/>
      <c r="V224" s="79"/>
      <c r="W224" s="79"/>
      <c r="X224" s="79"/>
      <c r="Y224" s="79"/>
      <c r="Z224" s="79"/>
      <c r="AA224" s="79"/>
      <c r="AB224" s="79"/>
      <c r="AC224" s="79"/>
      <c r="AD224" s="79"/>
      <c r="AE224" s="79"/>
      <c r="AF224" s="79"/>
      <c r="AG224" s="79"/>
      <c r="AH224" s="79"/>
      <c r="AI224" s="79"/>
      <c r="AJ224" s="79"/>
      <c r="AK224" s="79"/>
      <c r="AL224" s="79"/>
      <c r="AM224" s="79"/>
      <c r="AN224" s="79"/>
      <c r="AO224" s="79"/>
      <c r="AP224" s="79"/>
      <c r="AQ224" s="79"/>
      <c r="AR224" s="79"/>
      <c r="AS224" s="79"/>
      <c r="AT224" s="79"/>
      <c r="AU224" s="79"/>
      <c r="AV224" s="79"/>
      <c r="AW224" s="79"/>
      <c r="AX224" s="79"/>
      <c r="AY224" s="79"/>
      <c r="AZ224" s="79"/>
    </row>
    <row r="225" spans="1:52" ht="17.100000000000001" customHeight="1">
      <c r="A225" s="79"/>
      <c r="B225" s="79"/>
      <c r="C225" s="79"/>
      <c r="D225" s="79"/>
      <c r="E225" s="79"/>
      <c r="F225" s="79"/>
      <c r="G225" s="79"/>
      <c r="H225" s="79"/>
      <c r="I225" s="79"/>
      <c r="J225" s="79"/>
      <c r="K225" s="79"/>
      <c r="L225" s="79"/>
      <c r="M225" s="79"/>
      <c r="N225" s="79"/>
      <c r="O225" s="79"/>
      <c r="P225" s="79"/>
      <c r="Q225" s="79"/>
      <c r="R225" s="79"/>
      <c r="S225" s="79"/>
      <c r="T225" s="79"/>
      <c r="U225" s="79"/>
      <c r="V225" s="79"/>
      <c r="W225" s="79"/>
      <c r="X225" s="79"/>
      <c r="Y225" s="79"/>
      <c r="Z225" s="79"/>
      <c r="AA225" s="79"/>
      <c r="AB225" s="79"/>
      <c r="AC225" s="79"/>
      <c r="AD225" s="79"/>
      <c r="AE225" s="79"/>
      <c r="AF225" s="79"/>
      <c r="AG225" s="79"/>
      <c r="AH225" s="79"/>
      <c r="AI225" s="79"/>
      <c r="AJ225" s="79"/>
      <c r="AK225" s="79"/>
      <c r="AL225" s="79"/>
      <c r="AM225" s="79"/>
      <c r="AN225" s="79"/>
      <c r="AO225" s="79"/>
      <c r="AP225" s="79"/>
      <c r="AQ225" s="79"/>
      <c r="AR225" s="79"/>
      <c r="AS225" s="79"/>
      <c r="AT225" s="79"/>
      <c r="AU225" s="79"/>
      <c r="AV225" s="79"/>
      <c r="AW225" s="79"/>
      <c r="AX225" s="79"/>
      <c r="AY225" s="79"/>
      <c r="AZ225" s="79"/>
    </row>
    <row r="226" spans="1:52" ht="17.100000000000001" customHeight="1">
      <c r="A226" s="79"/>
      <c r="B226" s="79"/>
      <c r="C226" s="79"/>
      <c r="D226" s="79"/>
      <c r="E226" s="79"/>
      <c r="F226" s="79"/>
      <c r="G226" s="79"/>
      <c r="H226" s="79"/>
      <c r="I226" s="79"/>
      <c r="J226" s="79"/>
      <c r="K226" s="79"/>
      <c r="L226" s="79"/>
      <c r="M226" s="79"/>
      <c r="N226" s="79"/>
      <c r="O226" s="79"/>
      <c r="P226" s="79"/>
      <c r="Q226" s="79"/>
      <c r="R226" s="79"/>
      <c r="S226" s="79"/>
      <c r="T226" s="79"/>
      <c r="U226" s="79"/>
      <c r="V226" s="79"/>
      <c r="W226" s="79"/>
      <c r="X226" s="79"/>
      <c r="Y226" s="79"/>
      <c r="Z226" s="79"/>
      <c r="AA226" s="79"/>
      <c r="AB226" s="79"/>
      <c r="AC226" s="79"/>
      <c r="AD226" s="79"/>
      <c r="AE226" s="79"/>
      <c r="AF226" s="79"/>
      <c r="AG226" s="79"/>
      <c r="AH226" s="79"/>
      <c r="AI226" s="79"/>
      <c r="AJ226" s="79"/>
      <c r="AK226" s="79"/>
      <c r="AL226" s="79"/>
      <c r="AM226" s="79"/>
      <c r="AN226" s="79"/>
      <c r="AO226" s="79"/>
      <c r="AP226" s="79"/>
      <c r="AQ226" s="79"/>
      <c r="AR226" s="79"/>
      <c r="AS226" s="79"/>
      <c r="AT226" s="79"/>
      <c r="AU226" s="79"/>
      <c r="AV226" s="79"/>
      <c r="AW226" s="79"/>
      <c r="AX226" s="79"/>
      <c r="AY226" s="79"/>
      <c r="AZ226" s="79"/>
    </row>
    <row r="227" spans="1:52" ht="17.100000000000001" customHeight="1">
      <c r="A227" s="79"/>
      <c r="B227" s="79"/>
      <c r="C227" s="79"/>
      <c r="D227" s="79"/>
      <c r="E227" s="79"/>
      <c r="F227" s="79"/>
      <c r="G227" s="79"/>
      <c r="H227" s="79"/>
      <c r="I227" s="79"/>
      <c r="J227" s="79"/>
      <c r="K227" s="79"/>
      <c r="L227" s="79"/>
      <c r="M227" s="79"/>
      <c r="N227" s="79"/>
      <c r="O227" s="79"/>
      <c r="P227" s="79"/>
      <c r="Q227" s="79"/>
      <c r="R227" s="79"/>
      <c r="S227" s="79"/>
      <c r="T227" s="79"/>
      <c r="U227" s="79"/>
      <c r="V227" s="79"/>
      <c r="W227" s="79"/>
      <c r="X227" s="79"/>
      <c r="Y227" s="79"/>
      <c r="Z227" s="79"/>
      <c r="AA227" s="79"/>
      <c r="AB227" s="79"/>
      <c r="AC227" s="79"/>
      <c r="AD227" s="79"/>
      <c r="AE227" s="79"/>
      <c r="AF227" s="79"/>
      <c r="AG227" s="79"/>
      <c r="AH227" s="79"/>
      <c r="AI227" s="79"/>
      <c r="AJ227" s="79"/>
      <c r="AK227" s="79"/>
      <c r="AL227" s="79"/>
      <c r="AM227" s="79"/>
      <c r="AN227" s="79"/>
      <c r="AO227" s="79"/>
      <c r="AP227" s="79"/>
      <c r="AQ227" s="79"/>
      <c r="AR227" s="79"/>
      <c r="AS227" s="79"/>
      <c r="AT227" s="79"/>
      <c r="AU227" s="79"/>
      <c r="AV227" s="79"/>
      <c r="AW227" s="79"/>
      <c r="AX227" s="79"/>
      <c r="AY227" s="79"/>
      <c r="AZ227" s="79"/>
    </row>
    <row r="228" spans="1:52" ht="17.100000000000001" customHeight="1">
      <c r="A228" s="79"/>
      <c r="B228" s="79"/>
      <c r="C228" s="79"/>
      <c r="D228" s="79"/>
      <c r="E228" s="79"/>
      <c r="F228" s="79"/>
      <c r="G228" s="79"/>
      <c r="H228" s="79"/>
      <c r="I228" s="79"/>
      <c r="J228" s="79"/>
      <c r="K228" s="79"/>
      <c r="L228" s="79"/>
      <c r="M228" s="79"/>
      <c r="N228" s="79"/>
      <c r="O228" s="79"/>
      <c r="P228" s="79"/>
      <c r="Q228" s="79"/>
      <c r="R228" s="79"/>
      <c r="S228" s="79"/>
      <c r="T228" s="79"/>
      <c r="U228" s="79"/>
      <c r="V228" s="79"/>
      <c r="W228" s="79"/>
      <c r="X228" s="79"/>
      <c r="Y228" s="79"/>
      <c r="Z228" s="79"/>
      <c r="AA228" s="79"/>
      <c r="AB228" s="79"/>
      <c r="AC228" s="79"/>
      <c r="AD228" s="79"/>
      <c r="AE228" s="79"/>
      <c r="AF228" s="79"/>
      <c r="AG228" s="79"/>
      <c r="AH228" s="79"/>
      <c r="AI228" s="79"/>
      <c r="AJ228" s="79"/>
      <c r="AK228" s="79"/>
      <c r="AL228" s="79"/>
      <c r="AM228" s="79"/>
      <c r="AN228" s="79"/>
      <c r="AO228" s="79"/>
      <c r="AP228" s="79"/>
      <c r="AQ228" s="79"/>
      <c r="AR228" s="79"/>
      <c r="AS228" s="79"/>
      <c r="AT228" s="79"/>
      <c r="AU228" s="79"/>
      <c r="AV228" s="79"/>
      <c r="AW228" s="79"/>
      <c r="AX228" s="79"/>
      <c r="AY228" s="79"/>
      <c r="AZ228" s="79"/>
    </row>
    <row r="229" spans="1:52" ht="17.100000000000001" customHeight="1">
      <c r="A229" s="79"/>
      <c r="B229" s="79"/>
      <c r="C229" s="79"/>
      <c r="D229" s="79"/>
      <c r="E229" s="79"/>
      <c r="F229" s="79"/>
      <c r="G229" s="79"/>
      <c r="H229" s="79"/>
      <c r="I229" s="79"/>
      <c r="J229" s="79"/>
      <c r="K229" s="79"/>
      <c r="L229" s="79"/>
      <c r="M229" s="79"/>
      <c r="N229" s="79"/>
      <c r="O229" s="79"/>
      <c r="P229" s="79"/>
      <c r="Q229" s="79"/>
      <c r="R229" s="79"/>
      <c r="S229" s="79"/>
      <c r="T229" s="79"/>
      <c r="U229" s="79"/>
      <c r="V229" s="79"/>
      <c r="W229" s="79"/>
      <c r="X229" s="79"/>
      <c r="Y229" s="79"/>
      <c r="Z229" s="79"/>
      <c r="AA229" s="79"/>
      <c r="AB229" s="79"/>
      <c r="AC229" s="79"/>
      <c r="AD229" s="79"/>
      <c r="AE229" s="79"/>
      <c r="AF229" s="79"/>
      <c r="AG229" s="79"/>
      <c r="AH229" s="79"/>
      <c r="AI229" s="79"/>
      <c r="AJ229" s="79"/>
      <c r="AK229" s="79"/>
      <c r="AL229" s="79"/>
      <c r="AM229" s="79"/>
      <c r="AN229" s="79"/>
      <c r="AO229" s="79"/>
      <c r="AP229" s="79"/>
      <c r="AQ229" s="79"/>
      <c r="AR229" s="79"/>
      <c r="AS229" s="79"/>
      <c r="AT229" s="79"/>
      <c r="AU229" s="79"/>
      <c r="AV229" s="79"/>
      <c r="AW229" s="79"/>
      <c r="AX229" s="79"/>
      <c r="AY229" s="79"/>
      <c r="AZ229" s="79"/>
    </row>
    <row r="230" spans="1:52" ht="17.100000000000001" customHeight="1">
      <c r="A230" s="79"/>
      <c r="B230" s="79"/>
      <c r="C230" s="79"/>
      <c r="D230" s="79"/>
      <c r="E230" s="79"/>
      <c r="F230" s="79"/>
      <c r="G230" s="79"/>
      <c r="H230" s="79"/>
      <c r="I230" s="79"/>
      <c r="J230" s="79"/>
      <c r="K230" s="79"/>
      <c r="L230" s="79"/>
      <c r="M230" s="79"/>
      <c r="N230" s="79"/>
      <c r="O230" s="79"/>
      <c r="P230" s="79"/>
      <c r="Q230" s="79"/>
      <c r="R230" s="79"/>
      <c r="S230" s="79"/>
      <c r="T230" s="79"/>
      <c r="U230" s="79"/>
      <c r="V230" s="79"/>
      <c r="W230" s="79"/>
      <c r="X230" s="79"/>
      <c r="Y230" s="79"/>
      <c r="Z230" s="79"/>
      <c r="AA230" s="79"/>
      <c r="AB230" s="79"/>
      <c r="AC230" s="79"/>
      <c r="AD230" s="79"/>
      <c r="AE230" s="79"/>
      <c r="AF230" s="79"/>
      <c r="AG230" s="79"/>
      <c r="AH230" s="79"/>
      <c r="AI230" s="79"/>
      <c r="AJ230" s="79"/>
      <c r="AK230" s="79"/>
      <c r="AL230" s="79"/>
      <c r="AM230" s="79"/>
      <c r="AN230" s="79"/>
      <c r="AO230" s="79"/>
      <c r="AP230" s="79"/>
      <c r="AQ230" s="79"/>
      <c r="AR230" s="79"/>
      <c r="AS230" s="79"/>
      <c r="AT230" s="79"/>
      <c r="AU230" s="79"/>
      <c r="AV230" s="79"/>
      <c r="AW230" s="79"/>
      <c r="AX230" s="79"/>
      <c r="AY230" s="79"/>
      <c r="AZ230" s="79"/>
    </row>
    <row r="231" spans="1:52" ht="17.100000000000001" customHeight="1">
      <c r="A231" s="79"/>
      <c r="B231" s="79"/>
      <c r="C231" s="79"/>
      <c r="D231" s="79"/>
      <c r="E231" s="79"/>
      <c r="F231" s="79"/>
      <c r="G231" s="79"/>
      <c r="H231" s="79"/>
      <c r="I231" s="79"/>
      <c r="J231" s="79"/>
      <c r="K231" s="79"/>
      <c r="L231" s="79"/>
      <c r="M231" s="79"/>
      <c r="N231" s="79"/>
      <c r="O231" s="79"/>
      <c r="P231" s="79"/>
      <c r="Q231" s="79"/>
      <c r="R231" s="79"/>
      <c r="S231" s="79"/>
      <c r="T231" s="79"/>
      <c r="U231" s="79"/>
      <c r="V231" s="79"/>
      <c r="W231" s="79"/>
      <c r="X231" s="79"/>
      <c r="Y231" s="79"/>
      <c r="Z231" s="79"/>
      <c r="AA231" s="79"/>
      <c r="AB231" s="79"/>
      <c r="AC231" s="79"/>
      <c r="AD231" s="79"/>
      <c r="AE231" s="79"/>
      <c r="AF231" s="79"/>
      <c r="AG231" s="79"/>
      <c r="AH231" s="79"/>
      <c r="AI231" s="79"/>
      <c r="AJ231" s="79"/>
      <c r="AK231" s="79"/>
      <c r="AL231" s="79"/>
      <c r="AM231" s="79"/>
      <c r="AN231" s="79"/>
      <c r="AO231" s="79"/>
      <c r="AP231" s="79"/>
      <c r="AQ231" s="79"/>
      <c r="AR231" s="79"/>
      <c r="AS231" s="79"/>
      <c r="AT231" s="79"/>
      <c r="AU231" s="79"/>
      <c r="AV231" s="79"/>
      <c r="AW231" s="79"/>
      <c r="AX231" s="79"/>
      <c r="AY231" s="79"/>
      <c r="AZ231" s="79"/>
    </row>
    <row r="232" spans="1:52" ht="17.100000000000001" customHeight="1">
      <c r="A232" s="79"/>
      <c r="B232" s="79"/>
      <c r="C232" s="79"/>
      <c r="D232" s="79"/>
      <c r="E232" s="79"/>
      <c r="F232" s="79"/>
      <c r="G232" s="79"/>
      <c r="H232" s="79"/>
      <c r="I232" s="79"/>
      <c r="J232" s="79"/>
      <c r="K232" s="79"/>
      <c r="L232" s="79"/>
      <c r="M232" s="79"/>
      <c r="N232" s="79"/>
      <c r="O232" s="79"/>
      <c r="P232" s="79"/>
      <c r="Q232" s="79"/>
      <c r="R232" s="79"/>
      <c r="S232" s="79"/>
      <c r="T232" s="79"/>
      <c r="U232" s="79"/>
      <c r="V232" s="79"/>
      <c r="W232" s="79"/>
      <c r="X232" s="79"/>
      <c r="Y232" s="79"/>
      <c r="Z232" s="79"/>
      <c r="AA232" s="79"/>
      <c r="AB232" s="79"/>
      <c r="AC232" s="79"/>
      <c r="AD232" s="79"/>
      <c r="AE232" s="79"/>
      <c r="AF232" s="79"/>
      <c r="AG232" s="79"/>
      <c r="AH232" s="79"/>
      <c r="AI232" s="79"/>
      <c r="AJ232" s="79"/>
      <c r="AK232" s="79"/>
      <c r="AL232" s="79"/>
      <c r="AM232" s="79"/>
      <c r="AN232" s="79"/>
      <c r="AO232" s="79"/>
      <c r="AP232" s="79"/>
      <c r="AQ232" s="79"/>
      <c r="AR232" s="79"/>
      <c r="AS232" s="79"/>
      <c r="AT232" s="79"/>
      <c r="AU232" s="79"/>
      <c r="AV232" s="79"/>
      <c r="AW232" s="79"/>
      <c r="AX232" s="79"/>
      <c r="AY232" s="79"/>
      <c r="AZ232" s="79"/>
    </row>
    <row r="233" spans="1:52" ht="17.100000000000001" customHeight="1">
      <c r="A233" s="79"/>
      <c r="B233" s="79"/>
      <c r="C233" s="79"/>
      <c r="D233" s="79"/>
      <c r="E233" s="79"/>
      <c r="F233" s="79"/>
      <c r="G233" s="79"/>
      <c r="H233" s="79"/>
      <c r="I233" s="79"/>
      <c r="J233" s="79"/>
      <c r="K233" s="79"/>
      <c r="L233" s="79"/>
      <c r="M233" s="79"/>
      <c r="N233" s="79"/>
      <c r="O233" s="79"/>
      <c r="P233" s="79"/>
      <c r="Q233" s="79"/>
      <c r="R233" s="79"/>
      <c r="S233" s="79"/>
      <c r="T233" s="79"/>
      <c r="U233" s="79"/>
      <c r="V233" s="79"/>
      <c r="W233" s="79"/>
      <c r="X233" s="79"/>
      <c r="Y233" s="79"/>
      <c r="Z233" s="79"/>
      <c r="AA233" s="79"/>
      <c r="AB233" s="79"/>
      <c r="AC233" s="79"/>
      <c r="AD233" s="79"/>
      <c r="AE233" s="79"/>
      <c r="AF233" s="79"/>
      <c r="AG233" s="79"/>
      <c r="AH233" s="79"/>
      <c r="AI233" s="79"/>
      <c r="AJ233" s="79"/>
      <c r="AK233" s="79"/>
      <c r="AL233" s="79"/>
      <c r="AM233" s="79"/>
      <c r="AN233" s="79"/>
      <c r="AO233" s="79"/>
      <c r="AP233" s="79"/>
      <c r="AQ233" s="79"/>
      <c r="AR233" s="79"/>
      <c r="AS233" s="79"/>
      <c r="AT233" s="79"/>
      <c r="AU233" s="79"/>
      <c r="AV233" s="79"/>
      <c r="AW233" s="79"/>
      <c r="AX233" s="79"/>
      <c r="AY233" s="79"/>
      <c r="AZ233" s="79"/>
    </row>
    <row r="234" spans="1:52" ht="17.100000000000001" customHeight="1">
      <c r="A234" s="79"/>
      <c r="B234" s="79"/>
      <c r="C234" s="79"/>
      <c r="D234" s="79"/>
      <c r="E234" s="79"/>
      <c r="F234" s="79"/>
      <c r="G234" s="79"/>
      <c r="H234" s="79"/>
      <c r="I234" s="79"/>
      <c r="J234" s="79"/>
      <c r="K234" s="79"/>
      <c r="L234" s="79"/>
      <c r="M234" s="79"/>
      <c r="N234" s="79"/>
      <c r="O234" s="79"/>
      <c r="P234" s="79"/>
      <c r="Q234" s="79"/>
      <c r="R234" s="79"/>
      <c r="S234" s="79"/>
      <c r="T234" s="79"/>
      <c r="U234" s="79"/>
      <c r="V234" s="79"/>
      <c r="W234" s="79"/>
      <c r="X234" s="79"/>
      <c r="Y234" s="79"/>
      <c r="Z234" s="79"/>
      <c r="AA234" s="79"/>
      <c r="AB234" s="79"/>
      <c r="AC234" s="79"/>
      <c r="AD234" s="79"/>
      <c r="AE234" s="79"/>
      <c r="AF234" s="79"/>
      <c r="AG234" s="79"/>
      <c r="AH234" s="79"/>
      <c r="AI234" s="79"/>
      <c r="AJ234" s="79"/>
      <c r="AK234" s="79"/>
      <c r="AL234" s="79"/>
      <c r="AM234" s="79"/>
      <c r="AN234" s="79"/>
      <c r="AO234" s="79"/>
      <c r="AP234" s="79"/>
      <c r="AQ234" s="79"/>
      <c r="AR234" s="79"/>
      <c r="AS234" s="79"/>
      <c r="AT234" s="79"/>
      <c r="AU234" s="79"/>
      <c r="AV234" s="79"/>
      <c r="AW234" s="79"/>
      <c r="AX234" s="79"/>
      <c r="AY234" s="79"/>
      <c r="AZ234" s="79"/>
    </row>
    <row r="235" spans="1:52" ht="17.100000000000001" customHeight="1">
      <c r="A235" s="79"/>
      <c r="B235" s="79"/>
      <c r="C235" s="79"/>
      <c r="D235" s="79"/>
      <c r="E235" s="79"/>
      <c r="F235" s="79"/>
      <c r="G235" s="79"/>
      <c r="H235" s="79"/>
      <c r="I235" s="79"/>
      <c r="J235" s="79"/>
      <c r="K235" s="79"/>
      <c r="L235" s="79"/>
      <c r="M235" s="79"/>
      <c r="N235" s="79"/>
      <c r="O235" s="79"/>
      <c r="P235" s="79"/>
      <c r="Q235" s="79"/>
      <c r="R235" s="79"/>
      <c r="S235" s="79"/>
      <c r="T235" s="79"/>
      <c r="U235" s="79"/>
      <c r="V235" s="79"/>
      <c r="W235" s="79"/>
      <c r="X235" s="79"/>
      <c r="Y235" s="79"/>
      <c r="Z235" s="79"/>
      <c r="AA235" s="79"/>
      <c r="AB235" s="79"/>
      <c r="AC235" s="79"/>
      <c r="AD235" s="79"/>
      <c r="AE235" s="79"/>
      <c r="AF235" s="79"/>
      <c r="AG235" s="79"/>
      <c r="AH235" s="79"/>
      <c r="AI235" s="79"/>
      <c r="AJ235" s="79"/>
      <c r="AK235" s="79"/>
      <c r="AL235" s="79"/>
      <c r="AM235" s="79"/>
      <c r="AN235" s="79"/>
      <c r="AO235" s="79"/>
      <c r="AP235" s="79"/>
      <c r="AQ235" s="79"/>
      <c r="AR235" s="79"/>
      <c r="AS235" s="79"/>
      <c r="AT235" s="79"/>
      <c r="AU235" s="79"/>
      <c r="AV235" s="79"/>
      <c r="AW235" s="79"/>
      <c r="AX235" s="79"/>
      <c r="AY235" s="79"/>
      <c r="AZ235" s="79"/>
    </row>
    <row r="236" spans="1:52" ht="17.100000000000001" customHeight="1">
      <c r="A236" s="79"/>
      <c r="B236" s="79"/>
      <c r="C236" s="79"/>
      <c r="D236" s="79"/>
      <c r="E236" s="79"/>
      <c r="F236" s="79"/>
      <c r="G236" s="79"/>
      <c r="H236" s="79"/>
      <c r="I236" s="79"/>
      <c r="J236" s="79"/>
      <c r="K236" s="79"/>
      <c r="L236" s="79"/>
      <c r="M236" s="79"/>
      <c r="N236" s="79"/>
      <c r="O236" s="79"/>
      <c r="P236" s="79"/>
      <c r="Q236" s="79"/>
      <c r="R236" s="79"/>
      <c r="S236" s="79"/>
      <c r="T236" s="79"/>
      <c r="U236" s="79"/>
      <c r="V236" s="79"/>
      <c r="W236" s="79"/>
      <c r="X236" s="79"/>
      <c r="Y236" s="79"/>
      <c r="Z236" s="79"/>
      <c r="AA236" s="79"/>
      <c r="AB236" s="79"/>
      <c r="AC236" s="79"/>
      <c r="AD236" s="79"/>
      <c r="AE236" s="79"/>
      <c r="AF236" s="79"/>
      <c r="AG236" s="79"/>
      <c r="AH236" s="79"/>
      <c r="AI236" s="79"/>
      <c r="AJ236" s="79"/>
      <c r="AK236" s="79"/>
      <c r="AL236" s="79"/>
      <c r="AM236" s="79"/>
      <c r="AN236" s="79"/>
      <c r="AO236" s="79"/>
      <c r="AP236" s="79"/>
      <c r="AQ236" s="79"/>
      <c r="AR236" s="79"/>
      <c r="AS236" s="79"/>
      <c r="AT236" s="79"/>
      <c r="AU236" s="79"/>
      <c r="AV236" s="79"/>
      <c r="AW236" s="79"/>
      <c r="AX236" s="79"/>
      <c r="AY236" s="79"/>
      <c r="AZ236" s="79"/>
    </row>
    <row r="237" spans="1:52" ht="17.100000000000001" customHeight="1">
      <c r="A237" s="79"/>
      <c r="B237" s="79"/>
      <c r="C237" s="79"/>
      <c r="D237" s="79"/>
      <c r="E237" s="79"/>
      <c r="F237" s="79"/>
      <c r="G237" s="79"/>
      <c r="H237" s="79"/>
      <c r="I237" s="79"/>
      <c r="J237" s="79"/>
      <c r="K237" s="79"/>
      <c r="L237" s="79"/>
      <c r="M237" s="79"/>
      <c r="N237" s="79"/>
      <c r="O237" s="79"/>
      <c r="P237" s="79"/>
      <c r="Q237" s="79"/>
      <c r="R237" s="79"/>
      <c r="S237" s="79"/>
      <c r="T237" s="79"/>
      <c r="U237" s="79"/>
      <c r="V237" s="79"/>
      <c r="W237" s="79"/>
      <c r="X237" s="79"/>
      <c r="Y237" s="79"/>
      <c r="Z237" s="79"/>
      <c r="AA237" s="79"/>
      <c r="AB237" s="79"/>
      <c r="AC237" s="79"/>
      <c r="AD237" s="79"/>
      <c r="AE237" s="79"/>
      <c r="AF237" s="79"/>
      <c r="AG237" s="79"/>
      <c r="AH237" s="79"/>
      <c r="AI237" s="79"/>
      <c r="AJ237" s="79"/>
      <c r="AK237" s="79"/>
      <c r="AL237" s="79"/>
      <c r="AM237" s="79"/>
      <c r="AN237" s="79"/>
      <c r="AO237" s="79"/>
      <c r="AP237" s="79"/>
      <c r="AQ237" s="79"/>
      <c r="AR237" s="79"/>
      <c r="AS237" s="79"/>
      <c r="AT237" s="79"/>
      <c r="AU237" s="79"/>
      <c r="AV237" s="79"/>
      <c r="AW237" s="79"/>
      <c r="AX237" s="79"/>
      <c r="AY237" s="79"/>
      <c r="AZ237" s="79"/>
    </row>
    <row r="238" spans="1:52" ht="17.100000000000001" customHeight="1">
      <c r="A238" s="79"/>
      <c r="B238" s="79"/>
      <c r="C238" s="79"/>
      <c r="D238" s="79"/>
      <c r="E238" s="79"/>
      <c r="F238" s="79"/>
      <c r="G238" s="79"/>
      <c r="H238" s="79"/>
      <c r="I238" s="79"/>
      <c r="J238" s="79"/>
      <c r="K238" s="79"/>
      <c r="L238" s="79"/>
      <c r="M238" s="79"/>
      <c r="N238" s="79"/>
      <c r="O238" s="79"/>
      <c r="P238" s="79"/>
      <c r="Q238" s="79"/>
      <c r="R238" s="79"/>
      <c r="S238" s="79"/>
      <c r="T238" s="79"/>
      <c r="U238" s="79"/>
      <c r="V238" s="79"/>
      <c r="W238" s="79"/>
      <c r="X238" s="79"/>
      <c r="Y238" s="79"/>
      <c r="Z238" s="79"/>
      <c r="AA238" s="79"/>
      <c r="AB238" s="79"/>
      <c r="AC238" s="79"/>
      <c r="AD238" s="79"/>
      <c r="AE238" s="79"/>
      <c r="AF238" s="79"/>
      <c r="AG238" s="79"/>
      <c r="AH238" s="79"/>
      <c r="AI238" s="79"/>
      <c r="AJ238" s="79"/>
      <c r="AK238" s="79"/>
      <c r="AL238" s="79"/>
      <c r="AM238" s="79"/>
      <c r="AN238" s="79"/>
      <c r="AO238" s="79"/>
      <c r="AP238" s="79"/>
      <c r="AQ238" s="79"/>
      <c r="AR238" s="79"/>
      <c r="AS238" s="79"/>
      <c r="AT238" s="79"/>
      <c r="AU238" s="79"/>
      <c r="AV238" s="79"/>
      <c r="AW238" s="79"/>
      <c r="AX238" s="79"/>
      <c r="AY238" s="79"/>
      <c r="AZ238" s="79"/>
    </row>
    <row r="239" spans="1:52" ht="17.100000000000001" customHeight="1">
      <c r="A239" s="79"/>
      <c r="B239" s="79"/>
      <c r="C239" s="79"/>
      <c r="D239" s="79"/>
      <c r="E239" s="79"/>
      <c r="F239" s="79"/>
      <c r="G239" s="79"/>
      <c r="H239" s="79"/>
      <c r="I239" s="79"/>
      <c r="J239" s="79"/>
      <c r="K239" s="79"/>
      <c r="L239" s="79"/>
      <c r="M239" s="79"/>
      <c r="N239" s="79"/>
      <c r="O239" s="79"/>
      <c r="P239" s="79"/>
      <c r="Q239" s="79"/>
      <c r="R239" s="79"/>
      <c r="S239" s="79"/>
      <c r="T239" s="79"/>
      <c r="U239" s="79"/>
      <c r="V239" s="79"/>
      <c r="W239" s="79"/>
      <c r="X239" s="79"/>
      <c r="Y239" s="79"/>
      <c r="Z239" s="79"/>
      <c r="AA239" s="79"/>
      <c r="AB239" s="79"/>
      <c r="AC239" s="79"/>
      <c r="AD239" s="79"/>
      <c r="AE239" s="79"/>
      <c r="AF239" s="79"/>
      <c r="AG239" s="79"/>
      <c r="AH239" s="79"/>
      <c r="AI239" s="79"/>
      <c r="AJ239" s="79"/>
      <c r="AK239" s="79"/>
      <c r="AL239" s="79"/>
      <c r="AM239" s="79"/>
      <c r="AN239" s="79"/>
      <c r="AO239" s="79"/>
      <c r="AP239" s="79"/>
      <c r="AQ239" s="79"/>
      <c r="AR239" s="79"/>
      <c r="AS239" s="79"/>
      <c r="AT239" s="79"/>
      <c r="AU239" s="79"/>
      <c r="AV239" s="79"/>
      <c r="AW239" s="79"/>
      <c r="AX239" s="79"/>
      <c r="AY239" s="79"/>
      <c r="AZ239" s="79"/>
    </row>
    <row r="240" spans="1:52" ht="17.100000000000001" customHeight="1">
      <c r="A240" s="79"/>
      <c r="B240" s="79"/>
      <c r="C240" s="79"/>
      <c r="D240" s="79"/>
      <c r="E240" s="79"/>
      <c r="F240" s="79"/>
      <c r="G240" s="79"/>
      <c r="H240" s="79"/>
      <c r="I240" s="79"/>
      <c r="J240" s="79"/>
      <c r="K240" s="79"/>
      <c r="L240" s="79"/>
      <c r="M240" s="79"/>
      <c r="N240" s="79"/>
      <c r="O240" s="79"/>
      <c r="P240" s="79"/>
      <c r="Q240" s="79"/>
      <c r="R240" s="79"/>
      <c r="S240" s="79"/>
      <c r="T240" s="79"/>
      <c r="U240" s="79"/>
      <c r="V240" s="79"/>
      <c r="W240" s="79"/>
      <c r="X240" s="79"/>
      <c r="Y240" s="79"/>
      <c r="Z240" s="79"/>
      <c r="AA240" s="79"/>
      <c r="AB240" s="79"/>
      <c r="AC240" s="79"/>
      <c r="AD240" s="79"/>
      <c r="AE240" s="79"/>
      <c r="AF240" s="79"/>
      <c r="AG240" s="79"/>
      <c r="AH240" s="79"/>
      <c r="AI240" s="79"/>
      <c r="AJ240" s="79"/>
      <c r="AK240" s="79"/>
      <c r="AL240" s="79"/>
      <c r="AM240" s="79"/>
      <c r="AN240" s="79"/>
      <c r="AO240" s="79"/>
      <c r="AP240" s="79"/>
      <c r="AQ240" s="79"/>
      <c r="AR240" s="79"/>
      <c r="AS240" s="79"/>
      <c r="AT240" s="79"/>
      <c r="AU240" s="79"/>
      <c r="AV240" s="79"/>
      <c r="AW240" s="79"/>
      <c r="AX240" s="79"/>
      <c r="AY240" s="79"/>
      <c r="AZ240" s="79"/>
    </row>
    <row r="241" spans="1:52" ht="17.100000000000001" customHeight="1">
      <c r="A241" s="79"/>
      <c r="B241" s="79"/>
      <c r="C241" s="79"/>
      <c r="D241" s="79"/>
      <c r="E241" s="79"/>
      <c r="F241" s="79"/>
      <c r="G241" s="79"/>
      <c r="H241" s="79"/>
      <c r="I241" s="79"/>
      <c r="J241" s="79"/>
      <c r="K241" s="79"/>
      <c r="L241" s="79"/>
      <c r="M241" s="79"/>
      <c r="N241" s="79"/>
      <c r="O241" s="79"/>
      <c r="P241" s="79"/>
      <c r="Q241" s="79"/>
      <c r="R241" s="79"/>
      <c r="S241" s="79"/>
      <c r="T241" s="79"/>
      <c r="U241" s="79"/>
      <c r="V241" s="79"/>
      <c r="W241" s="79"/>
      <c r="X241" s="79"/>
      <c r="Y241" s="79"/>
      <c r="Z241" s="79"/>
      <c r="AA241" s="79"/>
      <c r="AB241" s="79"/>
      <c r="AC241" s="79"/>
      <c r="AD241" s="79"/>
      <c r="AE241" s="79"/>
      <c r="AF241" s="79"/>
      <c r="AG241" s="79"/>
      <c r="AH241" s="79"/>
      <c r="AI241" s="79"/>
      <c r="AJ241" s="79"/>
      <c r="AK241" s="79"/>
      <c r="AL241" s="79"/>
      <c r="AM241" s="79"/>
      <c r="AN241" s="79"/>
      <c r="AO241" s="79"/>
      <c r="AP241" s="79"/>
      <c r="AQ241" s="79"/>
      <c r="AR241" s="79"/>
      <c r="AS241" s="79"/>
      <c r="AT241" s="79"/>
      <c r="AU241" s="79"/>
      <c r="AV241" s="79"/>
      <c r="AW241" s="79"/>
      <c r="AX241" s="79"/>
      <c r="AY241" s="79"/>
      <c r="AZ241" s="79"/>
    </row>
    <row r="242" spans="1:52" ht="17.100000000000001" customHeight="1">
      <c r="A242" s="79"/>
      <c r="B242" s="79"/>
      <c r="C242" s="79"/>
      <c r="D242" s="79"/>
      <c r="E242" s="79"/>
      <c r="F242" s="79"/>
      <c r="G242" s="79"/>
      <c r="H242" s="79"/>
      <c r="I242" s="79"/>
      <c r="J242" s="79"/>
      <c r="K242" s="79"/>
      <c r="L242" s="79"/>
      <c r="M242" s="79"/>
      <c r="N242" s="79"/>
      <c r="O242" s="79"/>
      <c r="P242" s="79"/>
      <c r="Q242" s="79"/>
      <c r="R242" s="79"/>
      <c r="S242" s="79"/>
      <c r="T242" s="79"/>
      <c r="U242" s="79"/>
      <c r="V242" s="79"/>
      <c r="W242" s="79"/>
      <c r="X242" s="79"/>
      <c r="Y242" s="79"/>
      <c r="Z242" s="79"/>
      <c r="AA242" s="79"/>
      <c r="AB242" s="79"/>
      <c r="AC242" s="79"/>
      <c r="AD242" s="79"/>
      <c r="AE242" s="79"/>
      <c r="AF242" s="79"/>
      <c r="AG242" s="79"/>
      <c r="AH242" s="79"/>
      <c r="AI242" s="79"/>
      <c r="AJ242" s="79"/>
      <c r="AK242" s="79"/>
      <c r="AL242" s="79"/>
      <c r="AM242" s="79"/>
      <c r="AN242" s="79"/>
      <c r="AO242" s="79"/>
      <c r="AP242" s="79"/>
      <c r="AQ242" s="79"/>
      <c r="AR242" s="79"/>
      <c r="AS242" s="79"/>
      <c r="AT242" s="79"/>
      <c r="AU242" s="79"/>
      <c r="AV242" s="79"/>
      <c r="AW242" s="79"/>
      <c r="AX242" s="79"/>
      <c r="AY242" s="79"/>
      <c r="AZ242" s="79"/>
    </row>
    <row r="243" spans="1:52" ht="17.100000000000001" customHeight="1">
      <c r="A243" s="79"/>
      <c r="B243" s="79"/>
      <c r="C243" s="79"/>
      <c r="D243" s="79"/>
      <c r="E243" s="79"/>
      <c r="F243" s="79"/>
      <c r="G243" s="79"/>
      <c r="H243" s="79"/>
      <c r="I243" s="79"/>
      <c r="J243" s="79"/>
      <c r="K243" s="79"/>
      <c r="L243" s="79"/>
      <c r="M243" s="79"/>
      <c r="N243" s="79"/>
      <c r="O243" s="79"/>
      <c r="P243" s="79"/>
      <c r="Q243" s="79"/>
      <c r="R243" s="79"/>
      <c r="S243" s="79"/>
      <c r="T243" s="79"/>
      <c r="U243" s="79"/>
      <c r="V243" s="79"/>
      <c r="W243" s="79"/>
      <c r="X243" s="79"/>
      <c r="Y243" s="79"/>
      <c r="Z243" s="79"/>
      <c r="AA243" s="79"/>
      <c r="AB243" s="79"/>
      <c r="AC243" s="79"/>
      <c r="AD243" s="79"/>
      <c r="AE243" s="79"/>
      <c r="AF243" s="79"/>
      <c r="AG243" s="79"/>
      <c r="AH243" s="79"/>
      <c r="AI243" s="79"/>
      <c r="AJ243" s="79"/>
      <c r="AK243" s="79"/>
      <c r="AL243" s="79"/>
      <c r="AM243" s="79"/>
      <c r="AN243" s="79"/>
      <c r="AO243" s="79"/>
      <c r="AP243" s="79"/>
      <c r="AQ243" s="79"/>
      <c r="AR243" s="79"/>
      <c r="AS243" s="79"/>
      <c r="AT243" s="79"/>
      <c r="AU243" s="79"/>
      <c r="AV243" s="79"/>
      <c r="AW243" s="79"/>
      <c r="AX243" s="79"/>
      <c r="AY243" s="79"/>
      <c r="AZ243" s="79"/>
    </row>
    <row r="244" spans="1:52" ht="17.100000000000001" customHeight="1">
      <c r="A244" s="79"/>
      <c r="B244" s="79"/>
      <c r="C244" s="79"/>
      <c r="D244" s="79"/>
      <c r="E244" s="79"/>
      <c r="F244" s="79"/>
      <c r="G244" s="79"/>
      <c r="H244" s="79"/>
      <c r="I244" s="79"/>
      <c r="J244" s="79"/>
      <c r="K244" s="79"/>
      <c r="L244" s="79"/>
      <c r="M244" s="79"/>
      <c r="N244" s="79"/>
      <c r="O244" s="79"/>
      <c r="P244" s="79"/>
      <c r="Q244" s="79"/>
      <c r="R244" s="79"/>
      <c r="S244" s="79"/>
      <c r="T244" s="79"/>
      <c r="U244" s="79"/>
      <c r="V244" s="79"/>
      <c r="W244" s="79"/>
      <c r="X244" s="79"/>
      <c r="Y244" s="79"/>
      <c r="Z244" s="79"/>
      <c r="AA244" s="79"/>
      <c r="AB244" s="79"/>
      <c r="AC244" s="79"/>
      <c r="AD244" s="79"/>
      <c r="AE244" s="79"/>
      <c r="AF244" s="79"/>
      <c r="AG244" s="79"/>
      <c r="AH244" s="79"/>
      <c r="AI244" s="79"/>
      <c r="AJ244" s="79"/>
      <c r="AK244" s="79"/>
      <c r="AL244" s="79"/>
      <c r="AM244" s="79"/>
      <c r="AN244" s="79"/>
      <c r="AO244" s="79"/>
      <c r="AP244" s="79"/>
      <c r="AQ244" s="79"/>
      <c r="AR244" s="79"/>
      <c r="AS244" s="79"/>
      <c r="AT244" s="79"/>
      <c r="AU244" s="79"/>
      <c r="AV244" s="79"/>
      <c r="AW244" s="79"/>
      <c r="AX244" s="79"/>
      <c r="AY244" s="79"/>
      <c r="AZ244" s="79"/>
    </row>
    <row r="245" spans="1:52" ht="17.100000000000001" customHeight="1">
      <c r="A245" s="79"/>
      <c r="B245" s="79"/>
      <c r="C245" s="79"/>
      <c r="D245" s="79"/>
      <c r="E245" s="79"/>
      <c r="F245" s="79"/>
      <c r="G245" s="79"/>
      <c r="H245" s="79"/>
      <c r="I245" s="79"/>
      <c r="J245" s="79"/>
      <c r="K245" s="79"/>
      <c r="L245" s="79"/>
      <c r="M245" s="79"/>
      <c r="N245" s="79"/>
      <c r="O245" s="79"/>
      <c r="P245" s="79"/>
      <c r="Q245" s="79"/>
      <c r="R245" s="79"/>
      <c r="S245" s="79"/>
      <c r="T245" s="79"/>
      <c r="U245" s="79"/>
      <c r="V245" s="79"/>
      <c r="W245" s="79"/>
      <c r="X245" s="79"/>
      <c r="Y245" s="79"/>
      <c r="Z245" s="79"/>
      <c r="AA245" s="79"/>
      <c r="AB245" s="79"/>
      <c r="AC245" s="79"/>
      <c r="AD245" s="79"/>
      <c r="AE245" s="79"/>
      <c r="AF245" s="79"/>
      <c r="AG245" s="79"/>
      <c r="AH245" s="79"/>
      <c r="AI245" s="79"/>
      <c r="AJ245" s="79"/>
      <c r="AK245" s="79"/>
      <c r="AL245" s="79"/>
      <c r="AM245" s="79"/>
      <c r="AN245" s="79"/>
      <c r="AO245" s="79"/>
      <c r="AP245" s="79"/>
      <c r="AQ245" s="79"/>
      <c r="AR245" s="79"/>
      <c r="AS245" s="79"/>
      <c r="AT245" s="79"/>
      <c r="AU245" s="79"/>
      <c r="AV245" s="79"/>
      <c r="AW245" s="79"/>
      <c r="AX245" s="79"/>
      <c r="AY245" s="79"/>
      <c r="AZ245" s="79"/>
    </row>
    <row r="246" spans="1:52" ht="17.100000000000001" customHeight="1">
      <c r="A246" s="79"/>
      <c r="B246" s="79"/>
      <c r="C246" s="79"/>
      <c r="D246" s="79"/>
      <c r="E246" s="79"/>
      <c r="F246" s="79"/>
      <c r="G246" s="79"/>
      <c r="H246" s="79"/>
      <c r="I246" s="79"/>
      <c r="J246" s="79"/>
      <c r="K246" s="79"/>
      <c r="L246" s="79"/>
      <c r="M246" s="79"/>
      <c r="N246" s="79"/>
      <c r="O246" s="79"/>
      <c r="P246" s="79"/>
      <c r="Q246" s="79"/>
      <c r="R246" s="79"/>
      <c r="S246" s="79"/>
      <c r="T246" s="79"/>
      <c r="U246" s="79"/>
      <c r="V246" s="79"/>
      <c r="W246" s="79"/>
      <c r="X246" s="79"/>
      <c r="Y246" s="79"/>
      <c r="Z246" s="79"/>
      <c r="AA246" s="79"/>
      <c r="AB246" s="79"/>
      <c r="AC246" s="79"/>
      <c r="AD246" s="79"/>
      <c r="AE246" s="79"/>
      <c r="AF246" s="79"/>
      <c r="AG246" s="79"/>
      <c r="AH246" s="79"/>
      <c r="AI246" s="79"/>
      <c r="AJ246" s="79"/>
      <c r="AK246" s="79"/>
      <c r="AL246" s="79"/>
      <c r="AM246" s="79"/>
      <c r="AN246" s="79"/>
      <c r="AO246" s="79"/>
      <c r="AP246" s="79"/>
      <c r="AQ246" s="79"/>
      <c r="AR246" s="79"/>
      <c r="AS246" s="79"/>
      <c r="AT246" s="79"/>
      <c r="AU246" s="79"/>
      <c r="AV246" s="79"/>
      <c r="AW246" s="79"/>
      <c r="AX246" s="79"/>
      <c r="AY246" s="79"/>
      <c r="AZ246" s="79"/>
    </row>
    <row r="247" spans="1:52" ht="17.100000000000001" customHeight="1">
      <c r="A247" s="79"/>
      <c r="B247" s="79"/>
      <c r="C247" s="79"/>
      <c r="D247" s="79"/>
      <c r="E247" s="79"/>
      <c r="F247" s="79"/>
      <c r="G247" s="79"/>
      <c r="H247" s="79"/>
      <c r="I247" s="79"/>
      <c r="J247" s="79"/>
      <c r="K247" s="79"/>
      <c r="L247" s="79"/>
      <c r="M247" s="79"/>
      <c r="N247" s="79"/>
      <c r="O247" s="79"/>
      <c r="P247" s="79"/>
      <c r="Q247" s="79"/>
      <c r="R247" s="79"/>
      <c r="S247" s="79"/>
      <c r="T247" s="79"/>
      <c r="U247" s="79"/>
      <c r="V247" s="79"/>
      <c r="W247" s="79"/>
      <c r="X247" s="79"/>
      <c r="Y247" s="79"/>
      <c r="Z247" s="79"/>
      <c r="AA247" s="79"/>
      <c r="AB247" s="79"/>
      <c r="AC247" s="79"/>
      <c r="AD247" s="79"/>
      <c r="AE247" s="79"/>
      <c r="AF247" s="79"/>
      <c r="AG247" s="79"/>
      <c r="AH247" s="79"/>
      <c r="AI247" s="79"/>
      <c r="AJ247" s="79"/>
      <c r="AK247" s="79"/>
      <c r="AL247" s="79"/>
      <c r="AM247" s="79"/>
      <c r="AN247" s="79"/>
      <c r="AO247" s="79"/>
      <c r="AP247" s="79"/>
      <c r="AQ247" s="79"/>
      <c r="AR247" s="79"/>
      <c r="AS247" s="79"/>
      <c r="AT247" s="79"/>
      <c r="AU247" s="79"/>
      <c r="AV247" s="79"/>
      <c r="AW247" s="79"/>
      <c r="AX247" s="79"/>
      <c r="AY247" s="79"/>
      <c r="AZ247" s="79"/>
    </row>
    <row r="248" spans="1:52" ht="17.100000000000001" customHeight="1">
      <c r="A248" s="79"/>
      <c r="B248" s="79"/>
      <c r="C248" s="79"/>
      <c r="D248" s="79"/>
      <c r="E248" s="79"/>
      <c r="F248" s="79"/>
      <c r="G248" s="79"/>
      <c r="H248" s="79"/>
      <c r="I248" s="79"/>
      <c r="J248" s="79"/>
      <c r="K248" s="79"/>
      <c r="L248" s="79"/>
      <c r="M248" s="79"/>
      <c r="N248" s="79"/>
      <c r="O248" s="79"/>
      <c r="P248" s="79"/>
      <c r="Q248" s="79"/>
      <c r="R248" s="79"/>
      <c r="S248" s="79"/>
      <c r="T248" s="79"/>
      <c r="U248" s="79"/>
      <c r="V248" s="79"/>
      <c r="W248" s="79"/>
      <c r="X248" s="79"/>
      <c r="Y248" s="79"/>
      <c r="Z248" s="79"/>
      <c r="AA248" s="79"/>
      <c r="AB248" s="79"/>
      <c r="AC248" s="79"/>
      <c r="AD248" s="79"/>
      <c r="AE248" s="79"/>
      <c r="AF248" s="79"/>
      <c r="AG248" s="79"/>
      <c r="AH248" s="79"/>
      <c r="AI248" s="79"/>
      <c r="AJ248" s="79"/>
      <c r="AK248" s="79"/>
      <c r="AL248" s="79"/>
      <c r="AM248" s="79"/>
      <c r="AN248" s="79"/>
      <c r="AO248" s="79"/>
      <c r="AP248" s="79"/>
      <c r="AQ248" s="79"/>
      <c r="AR248" s="79"/>
      <c r="AS248" s="79"/>
      <c r="AT248" s="79"/>
      <c r="AU248" s="79"/>
      <c r="AV248" s="79"/>
      <c r="AW248" s="79"/>
      <c r="AX248" s="79"/>
      <c r="AY248" s="79"/>
      <c r="AZ248" s="79"/>
    </row>
    <row r="249" spans="1:52" ht="17.100000000000001" customHeight="1">
      <c r="A249" s="79"/>
      <c r="B249" s="79"/>
      <c r="C249" s="79"/>
      <c r="D249" s="79"/>
      <c r="E249" s="79"/>
      <c r="F249" s="79"/>
      <c r="G249" s="79"/>
      <c r="H249" s="79"/>
      <c r="I249" s="79"/>
      <c r="J249" s="79"/>
      <c r="K249" s="79"/>
      <c r="L249" s="79"/>
      <c r="M249" s="79"/>
      <c r="N249" s="79"/>
      <c r="O249" s="79"/>
      <c r="P249" s="79"/>
      <c r="Q249" s="79"/>
      <c r="R249" s="79"/>
      <c r="S249" s="79"/>
      <c r="T249" s="79"/>
      <c r="U249" s="79"/>
      <c r="V249" s="79"/>
      <c r="W249" s="79"/>
      <c r="X249" s="79"/>
      <c r="Y249" s="79"/>
      <c r="Z249" s="79"/>
      <c r="AA249" s="79"/>
      <c r="AB249" s="79"/>
      <c r="AC249" s="79"/>
      <c r="AD249" s="79"/>
      <c r="AE249" s="79"/>
      <c r="AF249" s="79"/>
      <c r="AG249" s="79"/>
      <c r="AH249" s="79"/>
      <c r="AI249" s="79"/>
      <c r="AJ249" s="79"/>
      <c r="AK249" s="79"/>
      <c r="AL249" s="79"/>
      <c r="AM249" s="79"/>
      <c r="AN249" s="79"/>
      <c r="AO249" s="79"/>
      <c r="AP249" s="79"/>
      <c r="AQ249" s="79"/>
      <c r="AR249" s="79"/>
      <c r="AS249" s="79"/>
      <c r="AT249" s="79"/>
      <c r="AU249" s="79"/>
      <c r="AV249" s="79"/>
      <c r="AW249" s="79"/>
      <c r="AX249" s="79"/>
      <c r="AY249" s="79"/>
      <c r="AZ249" s="79"/>
    </row>
    <row r="250" spans="1:52" ht="17.100000000000001" customHeight="1">
      <c r="A250" s="79"/>
      <c r="B250" s="79"/>
      <c r="C250" s="79"/>
      <c r="D250" s="79"/>
      <c r="E250" s="79"/>
      <c r="F250" s="79"/>
      <c r="G250" s="79"/>
      <c r="H250" s="79"/>
      <c r="I250" s="79"/>
      <c r="J250" s="79"/>
      <c r="K250" s="79"/>
      <c r="L250" s="79"/>
      <c r="M250" s="79"/>
      <c r="N250" s="79"/>
      <c r="O250" s="79"/>
      <c r="P250" s="79"/>
      <c r="Q250" s="79"/>
      <c r="R250" s="79"/>
      <c r="S250" s="79"/>
      <c r="T250" s="79"/>
      <c r="U250" s="79"/>
      <c r="V250" s="79"/>
      <c r="W250" s="79"/>
      <c r="X250" s="79"/>
      <c r="Y250" s="79"/>
      <c r="Z250" s="79"/>
      <c r="AA250" s="79"/>
      <c r="AB250" s="79"/>
      <c r="AC250" s="79"/>
      <c r="AD250" s="79"/>
      <c r="AE250" s="79"/>
      <c r="AF250" s="79"/>
      <c r="AG250" s="79"/>
      <c r="AH250" s="79"/>
      <c r="AI250" s="79"/>
      <c r="AJ250" s="79"/>
      <c r="AK250" s="79"/>
      <c r="AL250" s="79"/>
      <c r="AM250" s="79"/>
      <c r="AN250" s="79"/>
      <c r="AO250" s="79"/>
      <c r="AP250" s="79"/>
      <c r="AQ250" s="79"/>
      <c r="AR250" s="79"/>
      <c r="AS250" s="79"/>
      <c r="AT250" s="79"/>
      <c r="AU250" s="79"/>
      <c r="AV250" s="79"/>
      <c r="AW250" s="79"/>
      <c r="AX250" s="79"/>
      <c r="AY250" s="79"/>
      <c r="AZ250" s="79"/>
    </row>
    <row r="251" spans="1:52" ht="17.100000000000001" customHeight="1">
      <c r="A251" s="79"/>
      <c r="B251" s="79"/>
      <c r="C251" s="79"/>
      <c r="D251" s="79"/>
      <c r="E251" s="79"/>
      <c r="F251" s="79"/>
      <c r="G251" s="79"/>
      <c r="H251" s="79"/>
      <c r="I251" s="79"/>
      <c r="J251" s="79"/>
      <c r="K251" s="79"/>
      <c r="L251" s="79"/>
      <c r="M251" s="79"/>
      <c r="N251" s="79"/>
      <c r="O251" s="79"/>
      <c r="P251" s="79"/>
      <c r="Q251" s="79"/>
      <c r="R251" s="79"/>
      <c r="S251" s="79"/>
      <c r="T251" s="79"/>
      <c r="U251" s="79"/>
      <c r="V251" s="79"/>
      <c r="W251" s="79"/>
      <c r="X251" s="79"/>
      <c r="Y251" s="79"/>
      <c r="Z251" s="79"/>
      <c r="AA251" s="79"/>
      <c r="AB251" s="79"/>
      <c r="AC251" s="79"/>
      <c r="AD251" s="79"/>
      <c r="AE251" s="79"/>
      <c r="AF251" s="79"/>
      <c r="AG251" s="79"/>
      <c r="AH251" s="79"/>
      <c r="AI251" s="79"/>
      <c r="AJ251" s="79"/>
      <c r="AK251" s="79"/>
      <c r="AL251" s="79"/>
      <c r="AM251" s="79"/>
      <c r="AN251" s="79"/>
      <c r="AO251" s="79"/>
      <c r="AP251" s="79"/>
      <c r="AQ251" s="79"/>
      <c r="AR251" s="79"/>
      <c r="AS251" s="79"/>
      <c r="AT251" s="79"/>
      <c r="AU251" s="79"/>
      <c r="AV251" s="79"/>
      <c r="AW251" s="79"/>
      <c r="AX251" s="79"/>
      <c r="AY251" s="79"/>
      <c r="AZ251" s="79"/>
    </row>
    <row r="252" spans="1:52" ht="17.100000000000001" customHeight="1">
      <c r="A252" s="79"/>
      <c r="B252" s="79"/>
      <c r="C252" s="79"/>
      <c r="D252" s="79"/>
      <c r="E252" s="79"/>
      <c r="F252" s="79"/>
      <c r="G252" s="79"/>
      <c r="H252" s="79"/>
      <c r="I252" s="79"/>
      <c r="J252" s="79"/>
      <c r="K252" s="79"/>
      <c r="L252" s="79"/>
      <c r="M252" s="79"/>
      <c r="N252" s="79"/>
      <c r="O252" s="79"/>
      <c r="P252" s="79"/>
      <c r="Q252" s="79"/>
      <c r="R252" s="79"/>
      <c r="S252" s="79"/>
      <c r="T252" s="79"/>
      <c r="U252" s="79"/>
      <c r="V252" s="79"/>
      <c r="W252" s="79"/>
      <c r="X252" s="79"/>
      <c r="Y252" s="79"/>
      <c r="Z252" s="79"/>
      <c r="AA252" s="79"/>
      <c r="AB252" s="79"/>
      <c r="AC252" s="79"/>
      <c r="AD252" s="79"/>
      <c r="AE252" s="79"/>
      <c r="AF252" s="79"/>
      <c r="AG252" s="79"/>
      <c r="AH252" s="79"/>
      <c r="AI252" s="79"/>
      <c r="AJ252" s="79"/>
      <c r="AK252" s="79"/>
      <c r="AL252" s="79"/>
      <c r="AM252" s="79"/>
      <c r="AN252" s="79"/>
      <c r="AO252" s="79"/>
      <c r="AP252" s="79"/>
      <c r="AQ252" s="79"/>
      <c r="AR252" s="79"/>
      <c r="AS252" s="79"/>
      <c r="AT252" s="79"/>
      <c r="AU252" s="79"/>
      <c r="AV252" s="79"/>
      <c r="AW252" s="79"/>
      <c r="AX252" s="79"/>
      <c r="AY252" s="79"/>
      <c r="AZ252" s="79"/>
    </row>
    <row r="253" spans="1:52" ht="17.100000000000001" customHeight="1">
      <c r="A253" s="79"/>
      <c r="B253" s="79"/>
      <c r="C253" s="79"/>
      <c r="D253" s="79"/>
      <c r="E253" s="79"/>
      <c r="F253" s="79"/>
      <c r="G253" s="79"/>
      <c r="H253" s="79"/>
      <c r="I253" s="79"/>
      <c r="J253" s="79"/>
      <c r="K253" s="79"/>
      <c r="L253" s="79"/>
      <c r="M253" s="79"/>
      <c r="N253" s="79"/>
      <c r="O253" s="79"/>
      <c r="P253" s="79"/>
      <c r="Q253" s="79"/>
      <c r="R253" s="79"/>
      <c r="S253" s="79"/>
      <c r="T253" s="79"/>
      <c r="U253" s="79"/>
      <c r="V253" s="79"/>
      <c r="W253" s="79"/>
      <c r="X253" s="79"/>
      <c r="Y253" s="79"/>
      <c r="Z253" s="79"/>
      <c r="AA253" s="79"/>
      <c r="AB253" s="79"/>
      <c r="AC253" s="79"/>
      <c r="AD253" s="79"/>
      <c r="AE253" s="79"/>
      <c r="AF253" s="79"/>
      <c r="AG253" s="79"/>
      <c r="AH253" s="79"/>
      <c r="AI253" s="79"/>
      <c r="AJ253" s="79"/>
      <c r="AK253" s="79"/>
      <c r="AL253" s="79"/>
      <c r="AM253" s="79"/>
      <c r="AN253" s="79"/>
      <c r="AO253" s="79"/>
      <c r="AP253" s="79"/>
      <c r="AQ253" s="79"/>
      <c r="AR253" s="79"/>
      <c r="AS253" s="79"/>
      <c r="AT253" s="79"/>
      <c r="AU253" s="79"/>
      <c r="AV253" s="79"/>
      <c r="AW253" s="79"/>
      <c r="AX253" s="79"/>
      <c r="AY253" s="79"/>
      <c r="AZ253" s="79"/>
    </row>
    <row r="254" spans="1:52" ht="17.100000000000001" customHeight="1">
      <c r="A254" s="79"/>
      <c r="B254" s="79"/>
      <c r="C254" s="79"/>
      <c r="D254" s="79"/>
      <c r="E254" s="79"/>
      <c r="F254" s="79"/>
      <c r="G254" s="79"/>
      <c r="H254" s="79"/>
      <c r="I254" s="79"/>
      <c r="J254" s="79"/>
      <c r="K254" s="79"/>
      <c r="L254" s="79"/>
      <c r="M254" s="79"/>
      <c r="N254" s="79"/>
      <c r="O254" s="79"/>
      <c r="P254" s="79"/>
      <c r="Q254" s="79"/>
      <c r="R254" s="79"/>
      <c r="S254" s="79"/>
      <c r="T254" s="79"/>
      <c r="U254" s="79"/>
      <c r="V254" s="79"/>
      <c r="W254" s="79"/>
      <c r="X254" s="79"/>
      <c r="Y254" s="79"/>
      <c r="Z254" s="79"/>
      <c r="AA254" s="79"/>
      <c r="AB254" s="79"/>
      <c r="AC254" s="79"/>
      <c r="AD254" s="79"/>
      <c r="AE254" s="79"/>
      <c r="AF254" s="79"/>
      <c r="AG254" s="79"/>
      <c r="AH254" s="79"/>
      <c r="AI254" s="79"/>
      <c r="AJ254" s="79"/>
      <c r="AK254" s="79"/>
      <c r="AL254" s="79"/>
      <c r="AM254" s="79"/>
      <c r="AN254" s="79"/>
      <c r="AO254" s="79"/>
      <c r="AP254" s="79"/>
      <c r="AQ254" s="79"/>
      <c r="AR254" s="79"/>
      <c r="AS254" s="79"/>
      <c r="AT254" s="79"/>
      <c r="AU254" s="79"/>
      <c r="AV254" s="79"/>
      <c r="AW254" s="79"/>
      <c r="AX254" s="79"/>
      <c r="AY254" s="79"/>
      <c r="AZ254" s="79"/>
    </row>
    <row r="255" spans="1:52" ht="17.100000000000001" customHeight="1">
      <c r="A255" s="79"/>
      <c r="B255" s="79"/>
      <c r="C255" s="79"/>
      <c r="D255" s="79"/>
      <c r="E255" s="79"/>
      <c r="F255" s="79"/>
      <c r="G255" s="79"/>
      <c r="H255" s="79"/>
      <c r="I255" s="79"/>
      <c r="J255" s="79"/>
      <c r="K255" s="79"/>
      <c r="L255" s="79"/>
      <c r="M255" s="79"/>
      <c r="N255" s="79"/>
      <c r="O255" s="79"/>
      <c r="P255" s="79"/>
      <c r="Q255" s="79"/>
      <c r="R255" s="79"/>
      <c r="S255" s="79"/>
      <c r="T255" s="79"/>
      <c r="U255" s="79"/>
      <c r="V255" s="79"/>
      <c r="W255" s="79"/>
      <c r="X255" s="79"/>
      <c r="Y255" s="79"/>
      <c r="Z255" s="79"/>
      <c r="AA255" s="79"/>
      <c r="AB255" s="79"/>
      <c r="AC255" s="79"/>
      <c r="AD255" s="79"/>
      <c r="AE255" s="79"/>
      <c r="AF255" s="79"/>
      <c r="AG255" s="79"/>
      <c r="AH255" s="79"/>
      <c r="AI255" s="79"/>
      <c r="AJ255" s="79"/>
      <c r="AK255" s="79"/>
      <c r="AL255" s="79"/>
      <c r="AM255" s="79"/>
      <c r="AN255" s="79"/>
      <c r="AO255" s="79"/>
      <c r="AP255" s="79"/>
      <c r="AQ255" s="79"/>
      <c r="AR255" s="79"/>
      <c r="AS255" s="79"/>
      <c r="AT255" s="79"/>
      <c r="AU255" s="79"/>
      <c r="AV255" s="79"/>
      <c r="AW255" s="79"/>
      <c r="AX255" s="79"/>
      <c r="AY255" s="79"/>
      <c r="AZ255" s="79"/>
    </row>
    <row r="256" spans="1:52" ht="17.100000000000001" customHeight="1">
      <c r="A256" s="79"/>
      <c r="B256" s="79"/>
      <c r="C256" s="79"/>
      <c r="D256" s="79"/>
      <c r="E256" s="79"/>
      <c r="F256" s="79"/>
      <c r="G256" s="79"/>
      <c r="H256" s="79"/>
      <c r="I256" s="79"/>
      <c r="J256" s="79"/>
      <c r="K256" s="79"/>
      <c r="L256" s="79"/>
      <c r="M256" s="79"/>
      <c r="N256" s="79"/>
      <c r="O256" s="79"/>
      <c r="P256" s="79"/>
      <c r="Q256" s="79"/>
      <c r="R256" s="79"/>
      <c r="S256" s="79"/>
      <c r="T256" s="79"/>
      <c r="U256" s="79"/>
      <c r="V256" s="79"/>
      <c r="W256" s="79"/>
      <c r="X256" s="79"/>
      <c r="Y256" s="79"/>
      <c r="Z256" s="79"/>
      <c r="AA256" s="79"/>
      <c r="AB256" s="79"/>
      <c r="AC256" s="79"/>
      <c r="AD256" s="79"/>
      <c r="AE256" s="79"/>
      <c r="AF256" s="79"/>
      <c r="AG256" s="79"/>
      <c r="AH256" s="79"/>
      <c r="AI256" s="79"/>
      <c r="AJ256" s="79"/>
      <c r="AK256" s="79"/>
      <c r="AL256" s="79"/>
      <c r="AM256" s="79"/>
      <c r="AN256" s="79"/>
      <c r="AO256" s="79"/>
      <c r="AP256" s="79"/>
      <c r="AQ256" s="79"/>
      <c r="AR256" s="79"/>
      <c r="AS256" s="79"/>
      <c r="AT256" s="79"/>
      <c r="AU256" s="79"/>
      <c r="AV256" s="79"/>
      <c r="AW256" s="79"/>
      <c r="AX256" s="79"/>
      <c r="AY256" s="79"/>
      <c r="AZ256" s="79"/>
    </row>
    <row r="257" spans="1:52" ht="17.100000000000001" customHeight="1">
      <c r="A257" s="79"/>
      <c r="B257" s="79"/>
      <c r="C257" s="79"/>
      <c r="D257" s="79"/>
      <c r="E257" s="79"/>
      <c r="F257" s="79"/>
      <c r="G257" s="79"/>
      <c r="H257" s="79"/>
      <c r="I257" s="79"/>
      <c r="J257" s="79"/>
      <c r="K257" s="79"/>
      <c r="L257" s="79"/>
      <c r="M257" s="79"/>
      <c r="N257" s="79"/>
      <c r="O257" s="79"/>
      <c r="P257" s="79"/>
      <c r="Q257" s="79"/>
      <c r="R257" s="79"/>
      <c r="S257" s="79"/>
      <c r="T257" s="79"/>
      <c r="U257" s="79"/>
      <c r="V257" s="79"/>
      <c r="W257" s="79"/>
      <c r="X257" s="79"/>
      <c r="Y257" s="79"/>
      <c r="Z257" s="79"/>
      <c r="AA257" s="79"/>
      <c r="AB257" s="79"/>
      <c r="AC257" s="79"/>
      <c r="AD257" s="79"/>
      <c r="AE257" s="79"/>
      <c r="AF257" s="79"/>
      <c r="AG257" s="79"/>
      <c r="AH257" s="79"/>
      <c r="AI257" s="79"/>
      <c r="AJ257" s="79"/>
      <c r="AK257" s="79"/>
      <c r="AL257" s="79"/>
      <c r="AM257" s="79"/>
      <c r="AN257" s="79"/>
      <c r="AO257" s="79"/>
      <c r="AP257" s="79"/>
      <c r="AQ257" s="79"/>
      <c r="AR257" s="79"/>
      <c r="AS257" s="79"/>
      <c r="AT257" s="79"/>
      <c r="AU257" s="79"/>
      <c r="AV257" s="79"/>
      <c r="AW257" s="79"/>
      <c r="AX257" s="79"/>
      <c r="AY257" s="79"/>
      <c r="AZ257" s="79"/>
    </row>
    <row r="258" spans="1:52" ht="17.100000000000001" customHeight="1">
      <c r="A258" s="79"/>
      <c r="B258" s="79"/>
      <c r="C258" s="79"/>
      <c r="D258" s="79"/>
      <c r="E258" s="79"/>
      <c r="F258" s="79"/>
      <c r="G258" s="79"/>
      <c r="H258" s="79"/>
      <c r="I258" s="79"/>
      <c r="J258" s="79"/>
      <c r="K258" s="79"/>
      <c r="L258" s="79"/>
      <c r="M258" s="79"/>
      <c r="N258" s="79"/>
      <c r="O258" s="79"/>
      <c r="P258" s="79"/>
      <c r="Q258" s="79"/>
      <c r="R258" s="79"/>
      <c r="S258" s="79"/>
      <c r="T258" s="79"/>
      <c r="U258" s="79"/>
      <c r="V258" s="79"/>
      <c r="W258" s="79"/>
      <c r="X258" s="79"/>
      <c r="Y258" s="79"/>
      <c r="Z258" s="79"/>
      <c r="AA258" s="79"/>
      <c r="AB258" s="79"/>
      <c r="AC258" s="79"/>
      <c r="AD258" s="79"/>
      <c r="AE258" s="79"/>
      <c r="AF258" s="79"/>
      <c r="AG258" s="79"/>
      <c r="AH258" s="79"/>
      <c r="AI258" s="79"/>
      <c r="AJ258" s="79"/>
      <c r="AK258" s="79"/>
      <c r="AL258" s="79"/>
      <c r="AM258" s="79"/>
      <c r="AN258" s="79"/>
      <c r="AO258" s="79"/>
      <c r="AP258" s="79"/>
      <c r="AQ258" s="79"/>
      <c r="AR258" s="79"/>
      <c r="AS258" s="79"/>
      <c r="AT258" s="79"/>
      <c r="AU258" s="79"/>
      <c r="AV258" s="79"/>
      <c r="AW258" s="79"/>
      <c r="AX258" s="79"/>
      <c r="AY258" s="79"/>
      <c r="AZ258" s="79"/>
    </row>
    <row r="259" spans="1:52" ht="17.100000000000001" customHeight="1">
      <c r="A259" s="79"/>
      <c r="B259" s="79"/>
      <c r="C259" s="79"/>
      <c r="D259" s="79"/>
      <c r="E259" s="79"/>
      <c r="F259" s="79"/>
      <c r="G259" s="79"/>
      <c r="H259" s="79"/>
      <c r="I259" s="79"/>
      <c r="J259" s="79"/>
      <c r="K259" s="79"/>
      <c r="L259" s="79"/>
      <c r="M259" s="79"/>
      <c r="N259" s="79"/>
      <c r="O259" s="79"/>
      <c r="P259" s="79"/>
      <c r="Q259" s="79"/>
      <c r="R259" s="79"/>
      <c r="S259" s="79"/>
      <c r="T259" s="79"/>
      <c r="U259" s="79"/>
      <c r="V259" s="79"/>
      <c r="W259" s="79"/>
      <c r="X259" s="79"/>
      <c r="Y259" s="79"/>
      <c r="Z259" s="79"/>
      <c r="AA259" s="79"/>
      <c r="AB259" s="79"/>
      <c r="AC259" s="79"/>
      <c r="AD259" s="79"/>
      <c r="AE259" s="79"/>
      <c r="AF259" s="79"/>
      <c r="AG259" s="79"/>
      <c r="AH259" s="79"/>
      <c r="AI259" s="79"/>
      <c r="AJ259" s="79"/>
      <c r="AK259" s="79"/>
      <c r="AL259" s="79"/>
      <c r="AM259" s="79"/>
      <c r="AN259" s="79"/>
      <c r="AO259" s="79"/>
      <c r="AP259" s="79"/>
      <c r="AQ259" s="79"/>
      <c r="AR259" s="79"/>
      <c r="AS259" s="79"/>
      <c r="AT259" s="79"/>
      <c r="AU259" s="79"/>
      <c r="AV259" s="79"/>
      <c r="AW259" s="79"/>
      <c r="AX259" s="79"/>
      <c r="AY259" s="79"/>
      <c r="AZ259" s="79"/>
    </row>
    <row r="260" spans="1:52" ht="17.100000000000001" customHeight="1">
      <c r="A260" s="79"/>
      <c r="B260" s="79"/>
      <c r="C260" s="79"/>
      <c r="D260" s="79"/>
      <c r="E260" s="79"/>
      <c r="F260" s="79"/>
      <c r="G260" s="79"/>
      <c r="H260" s="79"/>
      <c r="I260" s="79"/>
      <c r="J260" s="79"/>
      <c r="K260" s="79"/>
      <c r="L260" s="79"/>
      <c r="M260" s="79"/>
      <c r="N260" s="79"/>
      <c r="O260" s="79"/>
      <c r="P260" s="79"/>
      <c r="Q260" s="79"/>
      <c r="R260" s="79"/>
      <c r="S260" s="79"/>
      <c r="T260" s="79"/>
      <c r="U260" s="79"/>
      <c r="V260" s="79"/>
      <c r="W260" s="79"/>
      <c r="X260" s="79"/>
      <c r="Y260" s="79"/>
      <c r="Z260" s="79"/>
      <c r="AA260" s="79"/>
      <c r="AB260" s="79"/>
      <c r="AC260" s="79"/>
      <c r="AD260" s="79"/>
      <c r="AE260" s="79"/>
      <c r="AF260" s="79"/>
      <c r="AG260" s="79"/>
      <c r="AH260" s="79"/>
      <c r="AI260" s="79"/>
      <c r="AJ260" s="79"/>
      <c r="AK260" s="79"/>
      <c r="AL260" s="79"/>
      <c r="AM260" s="79"/>
      <c r="AN260" s="79"/>
      <c r="AO260" s="79"/>
      <c r="AP260" s="79"/>
      <c r="AQ260" s="79"/>
      <c r="AR260" s="79"/>
      <c r="AS260" s="79"/>
      <c r="AT260" s="79"/>
      <c r="AU260" s="79"/>
      <c r="AV260" s="79"/>
      <c r="AW260" s="79"/>
      <c r="AX260" s="79"/>
      <c r="AY260" s="79"/>
      <c r="AZ260" s="79"/>
    </row>
    <row r="261" spans="1:52" ht="17.100000000000001" customHeight="1">
      <c r="A261" s="79"/>
      <c r="B261" s="79"/>
      <c r="C261" s="79"/>
      <c r="D261" s="79"/>
      <c r="E261" s="79"/>
      <c r="F261" s="79"/>
      <c r="G261" s="79"/>
      <c r="H261" s="79"/>
      <c r="I261" s="79"/>
      <c r="J261" s="79"/>
      <c r="K261" s="79"/>
      <c r="L261" s="79"/>
      <c r="M261" s="79"/>
      <c r="N261" s="79"/>
      <c r="O261" s="79"/>
      <c r="P261" s="79"/>
      <c r="Q261" s="79"/>
      <c r="R261" s="79"/>
      <c r="S261" s="79"/>
      <c r="T261" s="79"/>
      <c r="U261" s="79"/>
      <c r="V261" s="79"/>
      <c r="W261" s="79"/>
      <c r="X261" s="79"/>
      <c r="Y261" s="79"/>
      <c r="Z261" s="79"/>
      <c r="AA261" s="79"/>
      <c r="AB261" s="79"/>
      <c r="AC261" s="79"/>
      <c r="AD261" s="79"/>
      <c r="AE261" s="79"/>
      <c r="AF261" s="79"/>
      <c r="AG261" s="79"/>
      <c r="AH261" s="79"/>
      <c r="AI261" s="79"/>
      <c r="AJ261" s="79"/>
      <c r="AK261" s="79"/>
      <c r="AL261" s="79"/>
      <c r="AM261" s="79"/>
      <c r="AN261" s="79"/>
      <c r="AO261" s="79"/>
      <c r="AP261" s="79"/>
      <c r="AQ261" s="79"/>
      <c r="AR261" s="79"/>
      <c r="AS261" s="79"/>
      <c r="AT261" s="79"/>
      <c r="AU261" s="79"/>
      <c r="AV261" s="79"/>
      <c r="AW261" s="79"/>
      <c r="AX261" s="79"/>
      <c r="AY261" s="79"/>
      <c r="AZ261" s="79"/>
    </row>
    <row r="262" spans="1:52" ht="17.100000000000001" customHeight="1">
      <c r="A262" s="79"/>
      <c r="B262" s="79"/>
      <c r="C262" s="79"/>
      <c r="D262" s="79"/>
      <c r="E262" s="79"/>
      <c r="F262" s="79"/>
      <c r="G262" s="79"/>
      <c r="H262" s="79"/>
      <c r="I262" s="79"/>
      <c r="J262" s="79"/>
      <c r="K262" s="79"/>
      <c r="L262" s="79"/>
      <c r="M262" s="79"/>
      <c r="N262" s="79"/>
      <c r="O262" s="79"/>
      <c r="P262" s="79"/>
      <c r="Q262" s="79"/>
      <c r="R262" s="79"/>
      <c r="S262" s="79"/>
      <c r="T262" s="79"/>
      <c r="U262" s="79"/>
      <c r="V262" s="79"/>
      <c r="W262" s="79"/>
      <c r="X262" s="79"/>
      <c r="Y262" s="79"/>
      <c r="Z262" s="79"/>
      <c r="AA262" s="79"/>
      <c r="AB262" s="79"/>
      <c r="AC262" s="79"/>
      <c r="AD262" s="79"/>
      <c r="AE262" s="79"/>
      <c r="AF262" s="79"/>
      <c r="AG262" s="79"/>
      <c r="AH262" s="79"/>
      <c r="AI262" s="79"/>
      <c r="AJ262" s="79"/>
      <c r="AK262" s="79"/>
      <c r="AL262" s="79"/>
      <c r="AM262" s="79"/>
      <c r="AN262" s="79"/>
      <c r="AO262" s="79"/>
      <c r="AP262" s="79"/>
      <c r="AQ262" s="79"/>
      <c r="AR262" s="79"/>
      <c r="AS262" s="79"/>
      <c r="AT262" s="79"/>
      <c r="AU262" s="79"/>
      <c r="AV262" s="79"/>
      <c r="AW262" s="79"/>
      <c r="AX262" s="79"/>
      <c r="AY262" s="79"/>
      <c r="AZ262" s="79"/>
    </row>
    <row r="263" spans="1:52" ht="17.100000000000001" customHeight="1">
      <c r="A263" s="79"/>
      <c r="B263" s="79"/>
      <c r="C263" s="79"/>
      <c r="D263" s="79"/>
      <c r="E263" s="79"/>
      <c r="F263" s="79"/>
      <c r="G263" s="79"/>
      <c r="H263" s="79"/>
      <c r="I263" s="79"/>
      <c r="J263" s="79"/>
      <c r="K263" s="79"/>
      <c r="L263" s="79"/>
      <c r="M263" s="79"/>
      <c r="N263" s="79"/>
      <c r="O263" s="79"/>
      <c r="P263" s="79"/>
      <c r="Q263" s="79"/>
      <c r="R263" s="79"/>
      <c r="S263" s="79"/>
      <c r="T263" s="79"/>
      <c r="U263" s="79"/>
      <c r="V263" s="79"/>
      <c r="W263" s="79"/>
      <c r="X263" s="79"/>
      <c r="Y263" s="79"/>
      <c r="Z263" s="79"/>
      <c r="AA263" s="79"/>
      <c r="AB263" s="79"/>
      <c r="AC263" s="79"/>
      <c r="AD263" s="79"/>
      <c r="AE263" s="79"/>
      <c r="AF263" s="79"/>
      <c r="AG263" s="79"/>
      <c r="AH263" s="79"/>
      <c r="AI263" s="79"/>
      <c r="AJ263" s="79"/>
      <c r="AK263" s="79"/>
      <c r="AL263" s="79"/>
      <c r="AM263" s="79"/>
      <c r="AN263" s="79"/>
      <c r="AO263" s="79"/>
      <c r="AP263" s="79"/>
      <c r="AQ263" s="79"/>
      <c r="AR263" s="79"/>
      <c r="AS263" s="79"/>
      <c r="AT263" s="79"/>
      <c r="AU263" s="79"/>
      <c r="AV263" s="79"/>
      <c r="AW263" s="79"/>
      <c r="AX263" s="79"/>
      <c r="AY263" s="79"/>
      <c r="AZ263" s="79"/>
    </row>
    <row r="264" spans="1:52" ht="17.100000000000001" customHeight="1">
      <c r="A264" s="79"/>
      <c r="B264" s="79"/>
      <c r="C264" s="79"/>
      <c r="D264" s="79"/>
      <c r="E264" s="79"/>
      <c r="F264" s="79"/>
      <c r="G264" s="79"/>
      <c r="H264" s="79"/>
      <c r="I264" s="79"/>
      <c r="J264" s="79"/>
      <c r="K264" s="79"/>
      <c r="L264" s="79"/>
      <c r="M264" s="79"/>
      <c r="N264" s="79"/>
      <c r="O264" s="79"/>
      <c r="P264" s="79"/>
      <c r="Q264" s="79"/>
      <c r="R264" s="79"/>
      <c r="S264" s="79"/>
      <c r="T264" s="79"/>
      <c r="U264" s="79"/>
      <c r="V264" s="79"/>
      <c r="W264" s="79"/>
      <c r="X264" s="79"/>
      <c r="Y264" s="79"/>
      <c r="Z264" s="79"/>
      <c r="AA264" s="79"/>
      <c r="AB264" s="79"/>
      <c r="AC264" s="79"/>
      <c r="AD264" s="79"/>
      <c r="AE264" s="79"/>
      <c r="AF264" s="79"/>
      <c r="AG264" s="79"/>
      <c r="AH264" s="79"/>
      <c r="AI264" s="79"/>
      <c r="AJ264" s="79"/>
      <c r="AK264" s="79"/>
      <c r="AL264" s="79"/>
      <c r="AM264" s="79"/>
      <c r="AN264" s="79"/>
      <c r="AO264" s="79"/>
      <c r="AP264" s="79"/>
      <c r="AQ264" s="79"/>
      <c r="AR264" s="79"/>
      <c r="AS264" s="79"/>
      <c r="AT264" s="79"/>
      <c r="AU264" s="79"/>
      <c r="AV264" s="79"/>
      <c r="AW264" s="79"/>
      <c r="AX264" s="79"/>
      <c r="AY264" s="79"/>
      <c r="AZ264" s="79"/>
    </row>
    <row r="265" spans="1:52" ht="17.100000000000001" customHeight="1">
      <c r="A265" s="79"/>
      <c r="B265" s="79"/>
      <c r="C265" s="79"/>
      <c r="D265" s="79"/>
      <c r="E265" s="79"/>
      <c r="F265" s="79"/>
      <c r="G265" s="79"/>
      <c r="H265" s="79"/>
      <c r="I265" s="79"/>
      <c r="J265" s="79"/>
      <c r="K265" s="79"/>
      <c r="L265" s="79"/>
      <c r="M265" s="79"/>
      <c r="N265" s="79"/>
      <c r="O265" s="79"/>
      <c r="P265" s="79"/>
      <c r="Q265" s="79"/>
      <c r="R265" s="79"/>
      <c r="S265" s="79"/>
      <c r="T265" s="79"/>
      <c r="U265" s="79"/>
      <c r="V265" s="79"/>
      <c r="W265" s="79"/>
      <c r="X265" s="79"/>
      <c r="Y265" s="79"/>
      <c r="Z265" s="79"/>
      <c r="AA265" s="79"/>
      <c r="AB265" s="79"/>
      <c r="AC265" s="79"/>
      <c r="AD265" s="79"/>
      <c r="AE265" s="79"/>
      <c r="AF265" s="79"/>
      <c r="AG265" s="79"/>
      <c r="AH265" s="79"/>
      <c r="AI265" s="79"/>
      <c r="AJ265" s="79"/>
      <c r="AK265" s="79"/>
      <c r="AL265" s="79"/>
      <c r="AM265" s="79"/>
      <c r="AN265" s="79"/>
      <c r="AO265" s="79"/>
      <c r="AP265" s="79"/>
      <c r="AQ265" s="79"/>
      <c r="AR265" s="79"/>
      <c r="AS265" s="79"/>
      <c r="AT265" s="79"/>
      <c r="AU265" s="79"/>
      <c r="AV265" s="79"/>
      <c r="AW265" s="79"/>
      <c r="AX265" s="79"/>
      <c r="AY265" s="79"/>
      <c r="AZ265" s="79"/>
    </row>
    <row r="266" spans="1:52" ht="17.100000000000001" customHeight="1">
      <c r="A266" s="79"/>
      <c r="B266" s="79"/>
      <c r="C266" s="79"/>
      <c r="D266" s="79"/>
      <c r="E266" s="79"/>
      <c r="F266" s="79"/>
      <c r="G266" s="79"/>
      <c r="H266" s="79"/>
      <c r="I266" s="79"/>
      <c r="J266" s="79"/>
      <c r="K266" s="79"/>
      <c r="L266" s="79"/>
      <c r="M266" s="79"/>
      <c r="N266" s="79"/>
      <c r="O266" s="79"/>
      <c r="P266" s="79"/>
      <c r="Q266" s="79"/>
      <c r="R266" s="79"/>
      <c r="S266" s="79"/>
      <c r="T266" s="79"/>
      <c r="U266" s="79"/>
      <c r="V266" s="79"/>
      <c r="W266" s="79"/>
      <c r="X266" s="79"/>
      <c r="Y266" s="79"/>
      <c r="Z266" s="79"/>
      <c r="AA266" s="79"/>
      <c r="AB266" s="79"/>
      <c r="AC266" s="79"/>
      <c r="AD266" s="79"/>
      <c r="AE266" s="79"/>
      <c r="AF266" s="79"/>
      <c r="AG266" s="79"/>
      <c r="AH266" s="79"/>
      <c r="AI266" s="79"/>
      <c r="AJ266" s="79"/>
      <c r="AK266" s="79"/>
      <c r="AL266" s="79"/>
      <c r="AM266" s="79"/>
      <c r="AN266" s="79"/>
      <c r="AO266" s="79"/>
      <c r="AP266" s="79"/>
      <c r="AQ266" s="79"/>
      <c r="AR266" s="79"/>
      <c r="AS266" s="79"/>
      <c r="AT266" s="79"/>
      <c r="AU266" s="79"/>
      <c r="AV266" s="79"/>
      <c r="AW266" s="79"/>
      <c r="AX266" s="79"/>
      <c r="AY266" s="79"/>
      <c r="AZ266" s="79"/>
    </row>
    <row r="267" spans="1:52" ht="17.100000000000001" customHeight="1">
      <c r="A267" s="79"/>
      <c r="B267" s="79"/>
      <c r="C267" s="79"/>
      <c r="D267" s="79"/>
      <c r="E267" s="79"/>
      <c r="F267" s="79"/>
      <c r="G267" s="79"/>
      <c r="H267" s="79"/>
      <c r="I267" s="79"/>
      <c r="J267" s="79"/>
      <c r="K267" s="79"/>
      <c r="L267" s="79"/>
      <c r="M267" s="79"/>
      <c r="N267" s="79"/>
      <c r="O267" s="79"/>
      <c r="P267" s="79"/>
      <c r="Q267" s="79"/>
      <c r="R267" s="79"/>
      <c r="S267" s="79"/>
      <c r="T267" s="79"/>
      <c r="U267" s="79"/>
      <c r="V267" s="79"/>
      <c r="W267" s="79"/>
      <c r="X267" s="79"/>
      <c r="Y267" s="79"/>
      <c r="Z267" s="79"/>
      <c r="AA267" s="79"/>
      <c r="AB267" s="79"/>
      <c r="AC267" s="79"/>
      <c r="AD267" s="79"/>
      <c r="AE267" s="79"/>
      <c r="AF267" s="79"/>
      <c r="AG267" s="79"/>
      <c r="AH267" s="79"/>
      <c r="AI267" s="79"/>
      <c r="AJ267" s="79"/>
      <c r="AK267" s="79"/>
      <c r="AL267" s="79"/>
      <c r="AM267" s="79"/>
      <c r="AN267" s="79"/>
      <c r="AO267" s="79"/>
      <c r="AP267" s="79"/>
      <c r="AQ267" s="79"/>
      <c r="AR267" s="79"/>
      <c r="AS267" s="79"/>
      <c r="AT267" s="79"/>
      <c r="AU267" s="79"/>
      <c r="AV267" s="79"/>
      <c r="AW267" s="79"/>
      <c r="AX267" s="79"/>
      <c r="AY267" s="79"/>
      <c r="AZ267" s="79"/>
    </row>
    <row r="268" spans="1:52" ht="17.100000000000001" customHeight="1">
      <c r="A268" s="79"/>
      <c r="B268" s="79"/>
      <c r="C268" s="79"/>
      <c r="D268" s="79"/>
      <c r="E268" s="79"/>
      <c r="F268" s="79"/>
      <c r="G268" s="79"/>
      <c r="H268" s="79"/>
      <c r="I268" s="79"/>
      <c r="J268" s="79"/>
      <c r="K268" s="79"/>
      <c r="L268" s="79"/>
      <c r="M268" s="79"/>
      <c r="N268" s="79"/>
      <c r="O268" s="79"/>
      <c r="P268" s="79"/>
      <c r="Q268" s="79"/>
      <c r="R268" s="79"/>
      <c r="S268" s="79"/>
      <c r="T268" s="79"/>
      <c r="U268" s="79"/>
      <c r="V268" s="79"/>
      <c r="W268" s="79"/>
      <c r="X268" s="79"/>
      <c r="Y268" s="79"/>
      <c r="Z268" s="79"/>
      <c r="AA268" s="79"/>
      <c r="AB268" s="79"/>
      <c r="AC268" s="79"/>
      <c r="AD268" s="79"/>
      <c r="AE268" s="79"/>
      <c r="AF268" s="79"/>
      <c r="AG268" s="79"/>
      <c r="AH268" s="79"/>
      <c r="AI268" s="79"/>
      <c r="AJ268" s="79"/>
      <c r="AK268" s="79"/>
      <c r="AL268" s="79"/>
      <c r="AM268" s="79"/>
      <c r="AN268" s="79"/>
      <c r="AO268" s="79"/>
      <c r="AP268" s="79"/>
      <c r="AQ268" s="79"/>
      <c r="AR268" s="79"/>
      <c r="AS268" s="79"/>
      <c r="AT268" s="79"/>
      <c r="AU268" s="79"/>
      <c r="AV268" s="79"/>
      <c r="AW268" s="79"/>
      <c r="AX268" s="79"/>
      <c r="AY268" s="79"/>
      <c r="AZ268" s="79"/>
    </row>
    <row r="269" spans="1:52" ht="17.100000000000001" customHeight="1">
      <c r="A269" s="79"/>
      <c r="B269" s="79"/>
      <c r="C269" s="79"/>
      <c r="D269" s="79"/>
      <c r="E269" s="79"/>
      <c r="F269" s="79"/>
      <c r="G269" s="79"/>
      <c r="H269" s="79"/>
      <c r="I269" s="79"/>
      <c r="J269" s="79"/>
      <c r="K269" s="79"/>
      <c r="L269" s="79"/>
      <c r="M269" s="79"/>
      <c r="N269" s="79"/>
      <c r="O269" s="79"/>
      <c r="P269" s="79"/>
      <c r="Q269" s="79"/>
      <c r="R269" s="79"/>
      <c r="S269" s="79"/>
      <c r="T269" s="79"/>
      <c r="U269" s="79"/>
      <c r="V269" s="79"/>
      <c r="W269" s="79"/>
      <c r="X269" s="79"/>
      <c r="Y269" s="79"/>
      <c r="Z269" s="79"/>
      <c r="AA269" s="79"/>
      <c r="AB269" s="79"/>
      <c r="AC269" s="79"/>
      <c r="AD269" s="79"/>
      <c r="AE269" s="79"/>
      <c r="AF269" s="79"/>
      <c r="AG269" s="79"/>
      <c r="AH269" s="79"/>
      <c r="AI269" s="79"/>
      <c r="AJ269" s="79"/>
      <c r="AK269" s="79"/>
      <c r="AL269" s="79"/>
      <c r="AM269" s="79"/>
      <c r="AN269" s="79"/>
      <c r="AO269" s="79"/>
      <c r="AP269" s="79"/>
      <c r="AQ269" s="79"/>
      <c r="AR269" s="79"/>
      <c r="AS269" s="79"/>
      <c r="AT269" s="79"/>
      <c r="AU269" s="79"/>
      <c r="AV269" s="79"/>
      <c r="AW269" s="79"/>
      <c r="AX269" s="79"/>
      <c r="AY269" s="79"/>
      <c r="AZ269" s="79"/>
    </row>
    <row r="270" spans="1:52" ht="17.100000000000001" customHeight="1">
      <c r="A270" s="79"/>
      <c r="B270" s="79"/>
      <c r="C270" s="79"/>
      <c r="D270" s="79"/>
      <c r="E270" s="79"/>
      <c r="F270" s="79"/>
      <c r="G270" s="79"/>
      <c r="H270" s="79"/>
      <c r="I270" s="79"/>
      <c r="J270" s="79"/>
      <c r="K270" s="79"/>
      <c r="L270" s="79"/>
      <c r="M270" s="79"/>
      <c r="N270" s="79"/>
      <c r="O270" s="79"/>
      <c r="P270" s="79"/>
      <c r="Q270" s="79"/>
      <c r="R270" s="79"/>
      <c r="S270" s="79"/>
      <c r="T270" s="79"/>
      <c r="U270" s="79"/>
      <c r="V270" s="79"/>
      <c r="W270" s="79"/>
      <c r="X270" s="79"/>
      <c r="Y270" s="79"/>
      <c r="Z270" s="79"/>
      <c r="AA270" s="79"/>
      <c r="AB270" s="79"/>
      <c r="AC270" s="79"/>
      <c r="AD270" s="79"/>
      <c r="AE270" s="79"/>
      <c r="AF270" s="79"/>
      <c r="AG270" s="79"/>
      <c r="AH270" s="79"/>
      <c r="AI270" s="79"/>
      <c r="AJ270" s="79"/>
      <c r="AK270" s="79"/>
      <c r="AL270" s="79"/>
      <c r="AM270" s="79"/>
      <c r="AN270" s="79"/>
      <c r="AO270" s="79"/>
      <c r="AP270" s="79"/>
      <c r="AQ270" s="79"/>
      <c r="AR270" s="79"/>
      <c r="AS270" s="79"/>
      <c r="AT270" s="79"/>
      <c r="AU270" s="79"/>
      <c r="AV270" s="79"/>
      <c r="AW270" s="79"/>
      <c r="AX270" s="79"/>
      <c r="AY270" s="79"/>
      <c r="AZ270" s="79"/>
    </row>
    <row r="271" spans="1:52" ht="17.100000000000001" customHeight="1">
      <c r="A271" s="79"/>
      <c r="B271" s="79"/>
      <c r="C271" s="79"/>
      <c r="D271" s="79"/>
      <c r="E271" s="79"/>
      <c r="F271" s="79"/>
      <c r="G271" s="79"/>
      <c r="H271" s="79"/>
      <c r="I271" s="79"/>
      <c r="J271" s="79"/>
      <c r="K271" s="79"/>
      <c r="L271" s="79"/>
      <c r="M271" s="79"/>
      <c r="N271" s="79"/>
      <c r="O271" s="79"/>
      <c r="P271" s="79"/>
      <c r="Q271" s="79"/>
      <c r="R271" s="79"/>
      <c r="S271" s="79"/>
      <c r="T271" s="79"/>
      <c r="U271" s="79"/>
      <c r="V271" s="79"/>
      <c r="W271" s="79"/>
      <c r="X271" s="79"/>
      <c r="Y271" s="79"/>
      <c r="Z271" s="79"/>
      <c r="AA271" s="79"/>
      <c r="AB271" s="79"/>
      <c r="AC271" s="79"/>
      <c r="AD271" s="79"/>
      <c r="AE271" s="79"/>
      <c r="AF271" s="79"/>
      <c r="AG271" s="79"/>
      <c r="AH271" s="79"/>
      <c r="AI271" s="79"/>
      <c r="AJ271" s="79"/>
      <c r="AK271" s="79"/>
      <c r="AL271" s="79"/>
      <c r="AM271" s="79"/>
      <c r="AN271" s="79"/>
      <c r="AO271" s="79"/>
      <c r="AP271" s="79"/>
      <c r="AQ271" s="79"/>
      <c r="AR271" s="79"/>
      <c r="AS271" s="79"/>
      <c r="AT271" s="79"/>
      <c r="AU271" s="79"/>
      <c r="AV271" s="79"/>
      <c r="AW271" s="79"/>
      <c r="AX271" s="79"/>
      <c r="AY271" s="79"/>
      <c r="AZ271" s="79"/>
    </row>
    <row r="272" spans="1:52" ht="17.100000000000001" customHeight="1">
      <c r="A272" s="79"/>
      <c r="B272" s="79"/>
      <c r="C272" s="79"/>
      <c r="D272" s="79"/>
      <c r="E272" s="79"/>
      <c r="F272" s="79"/>
      <c r="G272" s="79"/>
      <c r="H272" s="79"/>
      <c r="I272" s="79"/>
      <c r="J272" s="79"/>
      <c r="K272" s="79"/>
      <c r="L272" s="79"/>
      <c r="M272" s="79"/>
      <c r="N272" s="79"/>
      <c r="O272" s="79"/>
      <c r="P272" s="79"/>
      <c r="Q272" s="79"/>
      <c r="R272" s="79"/>
      <c r="S272" s="79"/>
      <c r="T272" s="79"/>
      <c r="U272" s="79"/>
      <c r="V272" s="79"/>
      <c r="W272" s="79"/>
      <c r="X272" s="79"/>
      <c r="Y272" s="79"/>
      <c r="Z272" s="79"/>
      <c r="AA272" s="79"/>
      <c r="AB272" s="79"/>
      <c r="AC272" s="79"/>
      <c r="AD272" s="79"/>
      <c r="AE272" s="79"/>
      <c r="AF272" s="79"/>
      <c r="AG272" s="79"/>
      <c r="AH272" s="79"/>
      <c r="AI272" s="79"/>
      <c r="AJ272" s="79"/>
      <c r="AK272" s="79"/>
      <c r="AL272" s="79"/>
      <c r="AM272" s="79"/>
      <c r="AN272" s="79"/>
      <c r="AO272" s="79"/>
      <c r="AP272" s="79"/>
      <c r="AQ272" s="79"/>
      <c r="AR272" s="79"/>
      <c r="AS272" s="79"/>
      <c r="AT272" s="79"/>
      <c r="AU272" s="79"/>
      <c r="AV272" s="79"/>
      <c r="AW272" s="79"/>
      <c r="AX272" s="79"/>
      <c r="AY272" s="79"/>
      <c r="AZ272" s="79"/>
    </row>
    <row r="273" spans="1:52" ht="17.100000000000001" customHeight="1">
      <c r="A273" s="79"/>
      <c r="B273" s="79"/>
      <c r="C273" s="79"/>
      <c r="D273" s="79"/>
      <c r="E273" s="79"/>
      <c r="F273" s="79"/>
      <c r="G273" s="79"/>
      <c r="H273" s="79"/>
      <c r="I273" s="79"/>
      <c r="J273" s="79"/>
      <c r="K273" s="79"/>
      <c r="L273" s="79"/>
      <c r="M273" s="79"/>
      <c r="N273" s="79"/>
      <c r="O273" s="79"/>
      <c r="P273" s="79"/>
      <c r="Q273" s="79"/>
      <c r="R273" s="79"/>
      <c r="S273" s="79"/>
      <c r="T273" s="79"/>
      <c r="U273" s="79"/>
      <c r="V273" s="79"/>
      <c r="W273" s="79"/>
      <c r="X273" s="79"/>
      <c r="Y273" s="79"/>
      <c r="Z273" s="79"/>
      <c r="AA273" s="79"/>
      <c r="AB273" s="79"/>
      <c r="AC273" s="79"/>
      <c r="AD273" s="79"/>
      <c r="AE273" s="79"/>
      <c r="AF273" s="79"/>
      <c r="AG273" s="79"/>
      <c r="AH273" s="79"/>
      <c r="AI273" s="79"/>
      <c r="AJ273" s="79"/>
      <c r="AK273" s="79"/>
      <c r="AL273" s="79"/>
      <c r="AM273" s="79"/>
      <c r="AN273" s="79"/>
      <c r="AO273" s="79"/>
      <c r="AP273" s="79"/>
      <c r="AQ273" s="79"/>
      <c r="AR273" s="79"/>
      <c r="AS273" s="79"/>
      <c r="AT273" s="79"/>
      <c r="AU273" s="79"/>
      <c r="AV273" s="79"/>
      <c r="AW273" s="79"/>
      <c r="AX273" s="79"/>
      <c r="AY273" s="79"/>
      <c r="AZ273" s="79"/>
    </row>
    <row r="274" spans="1:52" ht="17.100000000000001" customHeight="1">
      <c r="A274" s="79"/>
      <c r="B274" s="79"/>
      <c r="C274" s="79"/>
      <c r="D274" s="79"/>
      <c r="E274" s="79"/>
      <c r="F274" s="79"/>
      <c r="G274" s="79"/>
      <c r="H274" s="79"/>
      <c r="I274" s="79"/>
      <c r="J274" s="79"/>
      <c r="K274" s="79"/>
      <c r="L274" s="79"/>
      <c r="M274" s="79"/>
      <c r="N274" s="79"/>
      <c r="O274" s="79"/>
      <c r="P274" s="79"/>
      <c r="Q274" s="79"/>
      <c r="R274" s="79"/>
      <c r="S274" s="79"/>
      <c r="T274" s="79"/>
      <c r="U274" s="79"/>
      <c r="V274" s="79"/>
      <c r="W274" s="79"/>
      <c r="X274" s="79"/>
      <c r="Y274" s="79"/>
      <c r="Z274" s="79"/>
      <c r="AA274" s="79"/>
      <c r="AB274" s="79"/>
      <c r="AC274" s="79"/>
      <c r="AD274" s="79"/>
      <c r="AE274" s="79"/>
      <c r="AF274" s="79"/>
      <c r="AG274" s="79"/>
      <c r="AH274" s="79"/>
      <c r="AI274" s="79"/>
      <c r="AJ274" s="79"/>
      <c r="AK274" s="79"/>
      <c r="AL274" s="79"/>
      <c r="AM274" s="79"/>
      <c r="AN274" s="79"/>
      <c r="AO274" s="79"/>
      <c r="AP274" s="79"/>
      <c r="AQ274" s="79"/>
      <c r="AR274" s="79"/>
      <c r="AS274" s="79"/>
      <c r="AT274" s="79"/>
      <c r="AU274" s="79"/>
      <c r="AV274" s="79"/>
      <c r="AW274" s="79"/>
      <c r="AX274" s="79"/>
      <c r="AY274" s="79"/>
      <c r="AZ274" s="79"/>
    </row>
    <row r="275" spans="1:52" ht="17.100000000000001" customHeight="1">
      <c r="A275" s="79"/>
      <c r="B275" s="79"/>
      <c r="C275" s="79"/>
      <c r="D275" s="79"/>
      <c r="E275" s="79"/>
      <c r="F275" s="79"/>
      <c r="G275" s="79"/>
      <c r="H275" s="79"/>
      <c r="I275" s="79"/>
      <c r="J275" s="79"/>
      <c r="K275" s="79"/>
      <c r="L275" s="79"/>
      <c r="M275" s="79"/>
      <c r="N275" s="79"/>
      <c r="O275" s="79"/>
      <c r="P275" s="79"/>
      <c r="Q275" s="79"/>
      <c r="R275" s="79"/>
      <c r="S275" s="79"/>
      <c r="T275" s="79"/>
      <c r="U275" s="79"/>
      <c r="V275" s="79"/>
      <c r="W275" s="79"/>
      <c r="X275" s="79"/>
      <c r="Y275" s="79"/>
      <c r="Z275" s="79"/>
      <c r="AA275" s="79"/>
      <c r="AB275" s="79"/>
      <c r="AC275" s="79"/>
      <c r="AD275" s="79"/>
      <c r="AE275" s="79"/>
      <c r="AF275" s="79"/>
      <c r="AG275" s="79"/>
      <c r="AH275" s="79"/>
      <c r="AI275" s="79"/>
      <c r="AJ275" s="79"/>
      <c r="AK275" s="79"/>
      <c r="AL275" s="79"/>
      <c r="AM275" s="79"/>
      <c r="AN275" s="79"/>
      <c r="AO275" s="79"/>
      <c r="AP275" s="79"/>
      <c r="AQ275" s="79"/>
      <c r="AR275" s="79"/>
      <c r="AS275" s="79"/>
      <c r="AT275" s="79"/>
      <c r="AU275" s="79"/>
      <c r="AV275" s="79"/>
      <c r="AW275" s="79"/>
      <c r="AX275" s="79"/>
      <c r="AY275" s="79"/>
      <c r="AZ275" s="79"/>
    </row>
    <row r="276" spans="1:52" ht="17.100000000000001" customHeight="1">
      <c r="A276" s="79"/>
      <c r="B276" s="79"/>
      <c r="C276" s="79"/>
      <c r="D276" s="79"/>
      <c r="E276" s="79"/>
      <c r="F276" s="79"/>
      <c r="G276" s="79"/>
      <c r="H276" s="79"/>
      <c r="I276" s="79"/>
      <c r="J276" s="79"/>
      <c r="K276" s="79"/>
      <c r="L276" s="79"/>
      <c r="M276" s="79"/>
      <c r="N276" s="79"/>
      <c r="O276" s="79"/>
      <c r="P276" s="79"/>
      <c r="Q276" s="79"/>
      <c r="R276" s="79"/>
      <c r="S276" s="79"/>
      <c r="T276" s="79"/>
      <c r="U276" s="79"/>
      <c r="V276" s="79"/>
      <c r="W276" s="79"/>
      <c r="X276" s="79"/>
      <c r="Y276" s="79"/>
      <c r="Z276" s="79"/>
      <c r="AA276" s="79"/>
      <c r="AB276" s="79"/>
      <c r="AC276" s="79"/>
      <c r="AD276" s="79"/>
      <c r="AE276" s="79"/>
      <c r="AF276" s="79"/>
      <c r="AG276" s="79"/>
      <c r="AH276" s="79"/>
      <c r="AI276" s="79"/>
      <c r="AJ276" s="79"/>
      <c r="AK276" s="79"/>
      <c r="AL276" s="79"/>
      <c r="AM276" s="79"/>
      <c r="AN276" s="79"/>
      <c r="AO276" s="79"/>
      <c r="AP276" s="79"/>
      <c r="AQ276" s="79"/>
      <c r="AR276" s="79"/>
      <c r="AS276" s="79"/>
      <c r="AT276" s="79"/>
      <c r="AU276" s="79"/>
      <c r="AV276" s="79"/>
      <c r="AW276" s="79"/>
      <c r="AX276" s="79"/>
      <c r="AY276" s="79"/>
      <c r="AZ276" s="79"/>
    </row>
    <row r="277" spans="1:52" ht="17.100000000000001" customHeight="1">
      <c r="A277" s="79"/>
      <c r="B277" s="79"/>
      <c r="C277" s="79"/>
      <c r="D277" s="79"/>
      <c r="E277" s="79"/>
      <c r="F277" s="79"/>
      <c r="G277" s="79"/>
      <c r="H277" s="79"/>
      <c r="I277" s="79"/>
      <c r="J277" s="79"/>
      <c r="K277" s="79"/>
      <c r="L277" s="79"/>
      <c r="M277" s="79"/>
      <c r="N277" s="79"/>
      <c r="O277" s="79"/>
      <c r="P277" s="79"/>
      <c r="Q277" s="79"/>
      <c r="R277" s="79"/>
      <c r="S277" s="79"/>
      <c r="T277" s="79"/>
      <c r="U277" s="79"/>
      <c r="V277" s="79"/>
      <c r="W277" s="79"/>
      <c r="X277" s="79"/>
      <c r="Y277" s="79"/>
      <c r="Z277" s="79"/>
      <c r="AA277" s="79"/>
      <c r="AB277" s="79"/>
      <c r="AC277" s="79"/>
      <c r="AD277" s="79"/>
      <c r="AE277" s="79"/>
      <c r="AF277" s="79"/>
      <c r="AG277" s="79"/>
      <c r="AH277" s="79"/>
      <c r="AI277" s="79"/>
      <c r="AJ277" s="79"/>
      <c r="AK277" s="79"/>
      <c r="AL277" s="79"/>
      <c r="AM277" s="79"/>
      <c r="AN277" s="79"/>
      <c r="AO277" s="79"/>
      <c r="AP277" s="79"/>
      <c r="AQ277" s="79"/>
      <c r="AR277" s="79"/>
      <c r="AS277" s="79"/>
      <c r="AT277" s="79"/>
      <c r="AU277" s="79"/>
      <c r="AV277" s="79"/>
      <c r="AW277" s="79"/>
      <c r="AX277" s="79"/>
      <c r="AY277" s="79"/>
      <c r="AZ277" s="79"/>
    </row>
    <row r="278" spans="1:52" ht="17.100000000000001" customHeight="1">
      <c r="A278" s="79"/>
      <c r="B278" s="79"/>
      <c r="C278" s="79"/>
      <c r="D278" s="79"/>
      <c r="E278" s="79"/>
      <c r="F278" s="79"/>
      <c r="G278" s="79"/>
      <c r="H278" s="79"/>
      <c r="I278" s="79"/>
      <c r="J278" s="79"/>
      <c r="K278" s="79"/>
      <c r="L278" s="79"/>
      <c r="M278" s="79"/>
      <c r="N278" s="79"/>
      <c r="O278" s="79"/>
      <c r="P278" s="79"/>
      <c r="Q278" s="79"/>
      <c r="R278" s="79"/>
      <c r="S278" s="79"/>
      <c r="T278" s="79"/>
      <c r="U278" s="79"/>
      <c r="V278" s="79"/>
      <c r="W278" s="79"/>
      <c r="X278" s="79"/>
      <c r="Y278" s="79"/>
      <c r="Z278" s="79"/>
      <c r="AA278" s="79"/>
      <c r="AB278" s="79"/>
      <c r="AC278" s="79"/>
      <c r="AD278" s="79"/>
      <c r="AE278" s="79"/>
      <c r="AF278" s="79"/>
      <c r="AG278" s="79"/>
      <c r="AH278" s="79"/>
      <c r="AI278" s="79"/>
      <c r="AJ278" s="79"/>
      <c r="AK278" s="79"/>
      <c r="AL278" s="79"/>
      <c r="AM278" s="79"/>
      <c r="AN278" s="79"/>
      <c r="AO278" s="79"/>
      <c r="AP278" s="79"/>
      <c r="AQ278" s="79"/>
      <c r="AR278" s="79"/>
      <c r="AS278" s="79"/>
      <c r="AT278" s="79"/>
      <c r="AU278" s="79"/>
      <c r="AV278" s="79"/>
      <c r="AW278" s="79"/>
      <c r="AX278" s="79"/>
      <c r="AY278" s="79"/>
      <c r="AZ278" s="79"/>
    </row>
    <row r="279" spans="1:52" ht="17.100000000000001" customHeight="1">
      <c r="A279" s="79"/>
      <c r="B279" s="79"/>
      <c r="C279" s="79"/>
      <c r="D279" s="79"/>
      <c r="E279" s="79"/>
      <c r="F279" s="79"/>
      <c r="G279" s="79"/>
      <c r="H279" s="79"/>
      <c r="I279" s="79"/>
      <c r="J279" s="79"/>
      <c r="K279" s="79"/>
      <c r="L279" s="79"/>
      <c r="M279" s="79"/>
      <c r="N279" s="79"/>
      <c r="O279" s="79"/>
      <c r="P279" s="79"/>
      <c r="Q279" s="79"/>
      <c r="R279" s="79"/>
      <c r="S279" s="79"/>
      <c r="T279" s="79"/>
      <c r="U279" s="79"/>
      <c r="V279" s="79"/>
      <c r="W279" s="79"/>
      <c r="X279" s="79"/>
      <c r="Y279" s="79"/>
      <c r="Z279" s="79"/>
      <c r="AA279" s="79"/>
      <c r="AB279" s="79"/>
      <c r="AC279" s="79"/>
      <c r="AD279" s="79"/>
      <c r="AE279" s="79"/>
      <c r="AF279" s="79"/>
      <c r="AG279" s="79"/>
      <c r="AH279" s="79"/>
      <c r="AI279" s="79"/>
      <c r="AJ279" s="79"/>
      <c r="AK279" s="79"/>
      <c r="AL279" s="79"/>
      <c r="AM279" s="79"/>
      <c r="AN279" s="79"/>
      <c r="AO279" s="79"/>
      <c r="AP279" s="79"/>
      <c r="AQ279" s="79"/>
      <c r="AR279" s="79"/>
      <c r="AS279" s="79"/>
      <c r="AT279" s="79"/>
      <c r="AU279" s="79"/>
      <c r="AV279" s="79"/>
      <c r="AW279" s="79"/>
      <c r="AX279" s="79"/>
      <c r="AY279" s="79"/>
      <c r="AZ279" s="79"/>
    </row>
    <row r="280" spans="1:52" ht="17.100000000000001" customHeight="1">
      <c r="A280" s="79"/>
      <c r="B280" s="79"/>
      <c r="C280" s="79"/>
      <c r="D280" s="79"/>
      <c r="E280" s="79"/>
      <c r="F280" s="79"/>
      <c r="G280" s="79"/>
      <c r="H280" s="79"/>
      <c r="I280" s="79"/>
      <c r="J280" s="79"/>
      <c r="K280" s="79"/>
      <c r="L280" s="79"/>
      <c r="M280" s="79"/>
      <c r="N280" s="79"/>
      <c r="O280" s="79"/>
      <c r="P280" s="79"/>
      <c r="Q280" s="79"/>
      <c r="R280" s="79"/>
      <c r="S280" s="79"/>
      <c r="T280" s="79"/>
      <c r="U280" s="79"/>
      <c r="V280" s="79"/>
      <c r="W280" s="79"/>
      <c r="X280" s="79"/>
      <c r="Y280" s="79"/>
      <c r="Z280" s="79"/>
      <c r="AA280" s="79"/>
      <c r="AB280" s="79"/>
      <c r="AC280" s="79"/>
      <c r="AD280" s="79"/>
      <c r="AE280" s="79"/>
      <c r="AF280" s="79"/>
      <c r="AG280" s="79"/>
      <c r="AH280" s="79"/>
      <c r="AI280" s="79"/>
      <c r="AJ280" s="79"/>
      <c r="AK280" s="79"/>
      <c r="AL280" s="79"/>
      <c r="AM280" s="79"/>
      <c r="AN280" s="79"/>
      <c r="AO280" s="79"/>
      <c r="AP280" s="79"/>
      <c r="AQ280" s="79"/>
      <c r="AR280" s="79"/>
      <c r="AS280" s="79"/>
      <c r="AT280" s="79"/>
      <c r="AU280" s="79"/>
      <c r="AV280" s="79"/>
      <c r="AW280" s="79"/>
      <c r="AX280" s="79"/>
      <c r="AY280" s="79"/>
      <c r="AZ280" s="79"/>
    </row>
    <row r="281" spans="1:52" ht="17.100000000000001" customHeight="1">
      <c r="A281" s="79"/>
      <c r="B281" s="79"/>
      <c r="C281" s="79"/>
      <c r="D281" s="79"/>
      <c r="E281" s="79"/>
      <c r="F281" s="79"/>
      <c r="G281" s="79"/>
      <c r="H281" s="79"/>
      <c r="I281" s="79"/>
      <c r="J281" s="79"/>
      <c r="K281" s="79"/>
      <c r="L281" s="79"/>
      <c r="M281" s="79"/>
      <c r="N281" s="79"/>
      <c r="O281" s="79"/>
      <c r="P281" s="79"/>
      <c r="Q281" s="79"/>
      <c r="R281" s="79"/>
      <c r="S281" s="79"/>
      <c r="T281" s="79"/>
      <c r="U281" s="79"/>
      <c r="V281" s="79"/>
      <c r="W281" s="79"/>
      <c r="X281" s="79"/>
      <c r="Y281" s="79"/>
      <c r="Z281" s="79"/>
      <c r="AA281" s="79"/>
      <c r="AB281" s="79"/>
      <c r="AC281" s="79"/>
      <c r="AD281" s="79"/>
      <c r="AE281" s="79"/>
      <c r="AF281" s="79"/>
      <c r="AG281" s="79"/>
      <c r="AH281" s="79"/>
      <c r="AI281" s="79"/>
      <c r="AJ281" s="79"/>
      <c r="AK281" s="79"/>
      <c r="AL281" s="79"/>
      <c r="AM281" s="79"/>
      <c r="AN281" s="79"/>
      <c r="AO281" s="79"/>
      <c r="AP281" s="79"/>
      <c r="AQ281" s="79"/>
      <c r="AR281" s="79"/>
      <c r="AS281" s="79"/>
      <c r="AT281" s="79"/>
      <c r="AU281" s="79"/>
      <c r="AV281" s="79"/>
      <c r="AW281" s="79"/>
      <c r="AX281" s="79"/>
      <c r="AY281" s="79"/>
      <c r="AZ281" s="79"/>
    </row>
    <row r="282" spans="1:52" ht="17.100000000000001" customHeight="1">
      <c r="A282" s="79"/>
      <c r="B282" s="79"/>
      <c r="C282" s="79"/>
      <c r="D282" s="79"/>
      <c r="E282" s="79"/>
      <c r="F282" s="79"/>
      <c r="G282" s="79"/>
      <c r="H282" s="79"/>
      <c r="I282" s="79"/>
      <c r="J282" s="79"/>
      <c r="K282" s="79"/>
      <c r="L282" s="79"/>
      <c r="M282" s="79"/>
      <c r="N282" s="79"/>
      <c r="O282" s="79"/>
      <c r="P282" s="79"/>
      <c r="Q282" s="79"/>
      <c r="R282" s="79"/>
      <c r="S282" s="79"/>
      <c r="T282" s="79"/>
      <c r="U282" s="79"/>
      <c r="V282" s="79"/>
      <c r="W282" s="79"/>
      <c r="X282" s="79"/>
      <c r="Y282" s="79"/>
      <c r="Z282" s="79"/>
      <c r="AA282" s="79"/>
      <c r="AB282" s="79"/>
      <c r="AC282" s="79"/>
      <c r="AD282" s="79"/>
      <c r="AE282" s="79"/>
      <c r="AF282" s="79"/>
      <c r="AG282" s="79"/>
      <c r="AH282" s="79"/>
      <c r="AI282" s="79"/>
      <c r="AJ282" s="79"/>
      <c r="AK282" s="79"/>
      <c r="AL282" s="79"/>
      <c r="AM282" s="79"/>
      <c r="AN282" s="79"/>
      <c r="AO282" s="79"/>
      <c r="AP282" s="79"/>
      <c r="AQ282" s="79"/>
      <c r="AR282" s="79"/>
      <c r="AS282" s="79"/>
      <c r="AT282" s="79"/>
      <c r="AU282" s="79"/>
      <c r="AV282" s="79"/>
      <c r="AW282" s="79"/>
      <c r="AX282" s="79"/>
      <c r="AY282" s="79"/>
      <c r="AZ282" s="79"/>
    </row>
    <row r="283" spans="1:52" ht="17.100000000000001" customHeight="1">
      <c r="A283" s="79"/>
      <c r="B283" s="79"/>
      <c r="C283" s="79"/>
      <c r="D283" s="79"/>
      <c r="E283" s="79"/>
      <c r="F283" s="79"/>
      <c r="G283" s="79"/>
      <c r="H283" s="79"/>
      <c r="I283" s="79"/>
      <c r="J283" s="79"/>
      <c r="K283" s="79"/>
      <c r="L283" s="79"/>
      <c r="M283" s="79"/>
      <c r="N283" s="79"/>
      <c r="O283" s="79"/>
      <c r="P283" s="79"/>
      <c r="Q283" s="79"/>
      <c r="R283" s="79"/>
      <c r="S283" s="79"/>
      <c r="T283" s="79"/>
      <c r="U283" s="79"/>
      <c r="V283" s="79"/>
      <c r="W283" s="79"/>
      <c r="X283" s="79"/>
      <c r="Y283" s="79"/>
      <c r="Z283" s="79"/>
      <c r="AA283" s="79"/>
      <c r="AB283" s="79"/>
      <c r="AC283" s="79"/>
      <c r="AD283" s="79"/>
      <c r="AE283" s="79"/>
      <c r="AF283" s="79"/>
      <c r="AG283" s="79"/>
      <c r="AH283" s="79"/>
      <c r="AI283" s="79"/>
      <c r="AJ283" s="79"/>
      <c r="AK283" s="79"/>
      <c r="AL283" s="79"/>
      <c r="AM283" s="79"/>
      <c r="AN283" s="79"/>
      <c r="AO283" s="79"/>
      <c r="AP283" s="79"/>
      <c r="AQ283" s="79"/>
      <c r="AR283" s="79"/>
      <c r="AS283" s="79"/>
      <c r="AT283" s="79"/>
      <c r="AU283" s="79"/>
      <c r="AV283" s="79"/>
      <c r="AW283" s="79"/>
      <c r="AX283" s="79"/>
      <c r="AY283" s="79"/>
      <c r="AZ283" s="79"/>
    </row>
    <row r="284" spans="1:52" ht="17.100000000000001" customHeight="1">
      <c r="A284" s="79"/>
      <c r="B284" s="79"/>
      <c r="C284" s="79"/>
      <c r="D284" s="79"/>
      <c r="E284" s="79"/>
      <c r="F284" s="79"/>
      <c r="G284" s="79"/>
      <c r="H284" s="79"/>
      <c r="I284" s="79"/>
      <c r="J284" s="79"/>
      <c r="K284" s="79"/>
      <c r="L284" s="79"/>
      <c r="M284" s="79"/>
      <c r="N284" s="79"/>
      <c r="O284" s="79"/>
      <c r="P284" s="79"/>
      <c r="Q284" s="79"/>
      <c r="R284" s="79"/>
      <c r="S284" s="79"/>
      <c r="T284" s="79"/>
      <c r="U284" s="79"/>
      <c r="V284" s="79"/>
      <c r="W284" s="79"/>
      <c r="X284" s="79"/>
      <c r="Y284" s="79"/>
      <c r="Z284" s="79"/>
      <c r="AA284" s="79"/>
      <c r="AB284" s="79"/>
      <c r="AC284" s="79"/>
      <c r="AD284" s="79"/>
      <c r="AE284" s="79"/>
      <c r="AF284" s="79"/>
      <c r="AG284" s="79"/>
      <c r="AH284" s="79"/>
      <c r="AI284" s="79"/>
      <c r="AJ284" s="79"/>
      <c r="AK284" s="79"/>
      <c r="AL284" s="79"/>
      <c r="AM284" s="79"/>
      <c r="AN284" s="79"/>
      <c r="AO284" s="79"/>
      <c r="AP284" s="79"/>
      <c r="AQ284" s="79"/>
      <c r="AR284" s="79"/>
      <c r="AS284" s="79"/>
      <c r="AT284" s="79"/>
      <c r="AU284" s="79"/>
      <c r="AV284" s="79"/>
      <c r="AW284" s="79"/>
      <c r="AX284" s="79"/>
      <c r="AY284" s="79"/>
      <c r="AZ284" s="79"/>
    </row>
    <row r="285" spans="1:52" ht="17.100000000000001" customHeight="1">
      <c r="A285" s="79"/>
      <c r="B285" s="79"/>
      <c r="C285" s="79"/>
      <c r="D285" s="79"/>
      <c r="E285" s="79"/>
      <c r="F285" s="79"/>
      <c r="G285" s="79"/>
      <c r="H285" s="79"/>
      <c r="I285" s="79"/>
      <c r="J285" s="79"/>
      <c r="K285" s="79"/>
      <c r="L285" s="79"/>
      <c r="M285" s="79"/>
      <c r="N285" s="79"/>
      <c r="O285" s="79"/>
      <c r="P285" s="79"/>
      <c r="Q285" s="79"/>
      <c r="R285" s="79"/>
      <c r="S285" s="79"/>
      <c r="T285" s="79"/>
      <c r="U285" s="79"/>
      <c r="V285" s="79"/>
      <c r="W285" s="79"/>
      <c r="X285" s="79"/>
      <c r="Y285" s="79"/>
      <c r="Z285" s="79"/>
      <c r="AA285" s="79"/>
      <c r="AB285" s="79"/>
      <c r="AC285" s="79"/>
      <c r="AD285" s="79"/>
      <c r="AE285" s="79"/>
      <c r="AF285" s="79"/>
      <c r="AG285" s="79"/>
      <c r="AH285" s="79"/>
      <c r="AI285" s="79"/>
      <c r="AJ285" s="79"/>
      <c r="AK285" s="79"/>
      <c r="AL285" s="79"/>
      <c r="AM285" s="79"/>
      <c r="AN285" s="79"/>
      <c r="AO285" s="79"/>
      <c r="AP285" s="79"/>
      <c r="AQ285" s="79"/>
      <c r="AR285" s="79"/>
      <c r="AS285" s="79"/>
      <c r="AT285" s="79"/>
      <c r="AU285" s="79"/>
      <c r="AV285" s="79"/>
      <c r="AW285" s="79"/>
      <c r="AX285" s="79"/>
      <c r="AY285" s="79"/>
      <c r="AZ285" s="79"/>
    </row>
    <row r="286" spans="1:52" ht="17.100000000000001" customHeight="1">
      <c r="A286" s="79"/>
      <c r="B286" s="79"/>
      <c r="C286" s="79"/>
      <c r="D286" s="79"/>
      <c r="E286" s="79"/>
      <c r="F286" s="79"/>
      <c r="G286" s="79"/>
      <c r="H286" s="79"/>
      <c r="I286" s="79"/>
      <c r="J286" s="79"/>
      <c r="K286" s="79"/>
      <c r="L286" s="79"/>
      <c r="M286" s="79"/>
      <c r="N286" s="79"/>
      <c r="O286" s="79"/>
      <c r="P286" s="79"/>
      <c r="Q286" s="79"/>
      <c r="R286" s="79"/>
      <c r="S286" s="79"/>
      <c r="T286" s="79"/>
      <c r="U286" s="79"/>
      <c r="V286" s="79"/>
      <c r="W286" s="79"/>
      <c r="X286" s="79"/>
      <c r="Y286" s="79"/>
      <c r="Z286" s="79"/>
      <c r="AA286" s="79"/>
      <c r="AB286" s="79"/>
      <c r="AC286" s="79"/>
      <c r="AD286" s="79"/>
      <c r="AE286" s="79"/>
      <c r="AF286" s="79"/>
      <c r="AG286" s="79"/>
      <c r="AH286" s="79"/>
      <c r="AI286" s="79"/>
      <c r="AJ286" s="79"/>
      <c r="AK286" s="79"/>
      <c r="AL286" s="79"/>
      <c r="AM286" s="79"/>
      <c r="AN286" s="79"/>
      <c r="AO286" s="79"/>
      <c r="AP286" s="79"/>
      <c r="AQ286" s="79"/>
      <c r="AR286" s="79"/>
      <c r="AS286" s="79"/>
      <c r="AT286" s="79"/>
      <c r="AU286" s="79"/>
      <c r="AV286" s="79"/>
      <c r="AW286" s="79"/>
      <c r="AX286" s="79"/>
      <c r="AY286" s="79"/>
      <c r="AZ286" s="79"/>
    </row>
    <row r="287" spans="1:52" ht="17.100000000000001" customHeight="1">
      <c r="A287" s="79"/>
      <c r="B287" s="79"/>
      <c r="C287" s="79"/>
      <c r="D287" s="79"/>
      <c r="E287" s="79"/>
      <c r="F287" s="79"/>
      <c r="G287" s="79"/>
      <c r="H287" s="79"/>
      <c r="I287" s="79"/>
      <c r="J287" s="79"/>
      <c r="K287" s="79"/>
      <c r="L287" s="79"/>
      <c r="M287" s="79"/>
      <c r="N287" s="79"/>
      <c r="O287" s="79"/>
      <c r="P287" s="79"/>
      <c r="Q287" s="79"/>
      <c r="R287" s="79"/>
      <c r="S287" s="79"/>
      <c r="T287" s="79"/>
      <c r="U287" s="79"/>
      <c r="V287" s="79"/>
      <c r="W287" s="79"/>
      <c r="X287" s="79"/>
      <c r="Y287" s="79"/>
      <c r="Z287" s="79"/>
      <c r="AA287" s="79"/>
      <c r="AB287" s="79"/>
      <c r="AC287" s="79"/>
      <c r="AD287" s="79"/>
      <c r="AE287" s="79"/>
      <c r="AF287" s="79"/>
      <c r="AG287" s="79"/>
      <c r="AH287" s="79"/>
      <c r="AI287" s="79"/>
      <c r="AJ287" s="79"/>
      <c r="AK287" s="79"/>
      <c r="AL287" s="79"/>
      <c r="AM287" s="79"/>
      <c r="AN287" s="79"/>
      <c r="AO287" s="79"/>
      <c r="AP287" s="79"/>
      <c r="AQ287" s="79"/>
      <c r="AR287" s="79"/>
      <c r="AS287" s="79"/>
      <c r="AT287" s="79"/>
      <c r="AU287" s="79"/>
      <c r="AV287" s="79"/>
      <c r="AW287" s="79"/>
      <c r="AX287" s="79"/>
      <c r="AY287" s="79"/>
      <c r="AZ287" s="79"/>
    </row>
    <row r="288" spans="1:52" ht="17.100000000000001" customHeight="1">
      <c r="A288" s="79"/>
      <c r="B288" s="79"/>
      <c r="C288" s="79"/>
      <c r="D288" s="79"/>
      <c r="E288" s="79"/>
      <c r="F288" s="79"/>
      <c r="G288" s="79"/>
      <c r="H288" s="79"/>
      <c r="I288" s="79"/>
      <c r="J288" s="79"/>
      <c r="K288" s="79"/>
      <c r="L288" s="79"/>
      <c r="M288" s="79"/>
      <c r="N288" s="79"/>
      <c r="O288" s="79"/>
      <c r="P288" s="79"/>
      <c r="Q288" s="79"/>
      <c r="R288" s="79"/>
      <c r="S288" s="79"/>
      <c r="T288" s="79"/>
      <c r="U288" s="79"/>
      <c r="V288" s="79"/>
      <c r="W288" s="79"/>
      <c r="X288" s="79"/>
      <c r="Y288" s="79"/>
      <c r="Z288" s="79"/>
      <c r="AA288" s="79"/>
      <c r="AB288" s="79"/>
      <c r="AC288" s="79"/>
      <c r="AD288" s="79"/>
      <c r="AE288" s="79"/>
      <c r="AF288" s="79"/>
      <c r="AG288" s="79"/>
      <c r="AH288" s="79"/>
      <c r="AI288" s="79"/>
      <c r="AJ288" s="79"/>
      <c r="AK288" s="79"/>
      <c r="AL288" s="79"/>
      <c r="AM288" s="79"/>
      <c r="AN288" s="79"/>
      <c r="AO288" s="79"/>
      <c r="AP288" s="79"/>
      <c r="AQ288" s="79"/>
      <c r="AR288" s="79"/>
      <c r="AS288" s="79"/>
      <c r="AT288" s="79"/>
      <c r="AU288" s="79"/>
      <c r="AV288" s="79"/>
      <c r="AW288" s="79"/>
      <c r="AX288" s="79"/>
      <c r="AY288" s="79"/>
      <c r="AZ288" s="79"/>
    </row>
    <row r="289" spans="1:52" ht="17.100000000000001" customHeight="1">
      <c r="A289" s="79"/>
      <c r="B289" s="79"/>
      <c r="C289" s="79"/>
      <c r="D289" s="79"/>
      <c r="E289" s="79"/>
      <c r="F289" s="79"/>
      <c r="G289" s="79"/>
      <c r="H289" s="79"/>
      <c r="I289" s="79"/>
      <c r="J289" s="79"/>
      <c r="K289" s="79"/>
      <c r="L289" s="79"/>
      <c r="M289" s="79"/>
      <c r="N289" s="79"/>
      <c r="O289" s="79"/>
      <c r="P289" s="79"/>
      <c r="Q289" s="79"/>
      <c r="R289" s="79"/>
      <c r="S289" s="79"/>
      <c r="T289" s="79"/>
      <c r="U289" s="79"/>
      <c r="V289" s="79"/>
      <c r="W289" s="79"/>
      <c r="X289" s="79"/>
      <c r="Y289" s="79"/>
      <c r="Z289" s="79"/>
      <c r="AA289" s="79"/>
      <c r="AB289" s="79"/>
      <c r="AC289" s="79"/>
      <c r="AD289" s="79"/>
      <c r="AE289" s="79"/>
      <c r="AF289" s="79"/>
      <c r="AG289" s="79"/>
      <c r="AH289" s="79"/>
      <c r="AI289" s="79"/>
      <c r="AJ289" s="79"/>
      <c r="AK289" s="79"/>
      <c r="AL289" s="79"/>
      <c r="AM289" s="79"/>
      <c r="AN289" s="79"/>
      <c r="AO289" s="79"/>
      <c r="AP289" s="79"/>
      <c r="AQ289" s="79"/>
      <c r="AR289" s="79"/>
      <c r="AS289" s="79"/>
      <c r="AT289" s="79"/>
      <c r="AU289" s="79"/>
      <c r="AV289" s="79"/>
      <c r="AW289" s="79"/>
      <c r="AX289" s="79"/>
      <c r="AY289" s="79"/>
      <c r="AZ289" s="79"/>
    </row>
    <row r="290" spans="1:52" ht="17.100000000000001" customHeight="1">
      <c r="A290" s="79"/>
      <c r="B290" s="79"/>
      <c r="C290" s="79"/>
      <c r="D290" s="79"/>
      <c r="E290" s="79"/>
      <c r="F290" s="79"/>
      <c r="G290" s="79"/>
      <c r="H290" s="79"/>
      <c r="I290" s="79"/>
      <c r="J290" s="79"/>
      <c r="K290" s="79"/>
      <c r="L290" s="79"/>
      <c r="M290" s="79"/>
      <c r="N290" s="79"/>
      <c r="O290" s="79"/>
      <c r="P290" s="79"/>
      <c r="Q290" s="79"/>
      <c r="R290" s="79"/>
      <c r="S290" s="79"/>
      <c r="T290" s="79"/>
      <c r="U290" s="79"/>
      <c r="V290" s="79"/>
      <c r="W290" s="79"/>
      <c r="X290" s="79"/>
      <c r="Y290" s="79"/>
      <c r="Z290" s="79"/>
      <c r="AA290" s="79"/>
      <c r="AB290" s="79"/>
      <c r="AC290" s="79"/>
      <c r="AD290" s="79"/>
      <c r="AE290" s="79"/>
      <c r="AF290" s="79"/>
      <c r="AG290" s="79"/>
      <c r="AH290" s="79"/>
      <c r="AI290" s="79"/>
      <c r="AJ290" s="79"/>
      <c r="AK290" s="79"/>
      <c r="AL290" s="79"/>
      <c r="AM290" s="79"/>
      <c r="AN290" s="79"/>
      <c r="AO290" s="79"/>
      <c r="AP290" s="79"/>
      <c r="AQ290" s="79"/>
      <c r="AR290" s="79"/>
      <c r="AS290" s="79"/>
      <c r="AT290" s="79"/>
      <c r="AU290" s="79"/>
      <c r="AV290" s="79"/>
      <c r="AW290" s="79"/>
      <c r="AX290" s="79"/>
      <c r="AY290" s="79"/>
      <c r="AZ290" s="79"/>
    </row>
    <row r="291" spans="1:52" ht="17.100000000000001" customHeight="1">
      <c r="A291" s="79"/>
      <c r="B291" s="79"/>
      <c r="C291" s="79"/>
      <c r="D291" s="79"/>
      <c r="E291" s="79"/>
      <c r="F291" s="79"/>
      <c r="G291" s="79"/>
      <c r="H291" s="79"/>
      <c r="I291" s="79"/>
      <c r="J291" s="79"/>
      <c r="K291" s="79"/>
      <c r="L291" s="79"/>
      <c r="M291" s="79"/>
      <c r="N291" s="79"/>
      <c r="O291" s="79"/>
      <c r="P291" s="79"/>
      <c r="Q291" s="79"/>
      <c r="R291" s="79"/>
      <c r="S291" s="79"/>
      <c r="T291" s="79"/>
      <c r="U291" s="79"/>
      <c r="V291" s="79"/>
      <c r="W291" s="79"/>
      <c r="X291" s="79"/>
      <c r="Y291" s="79"/>
      <c r="Z291" s="79"/>
      <c r="AA291" s="79"/>
      <c r="AB291" s="79"/>
      <c r="AC291" s="79"/>
      <c r="AD291" s="79"/>
      <c r="AE291" s="79"/>
      <c r="AF291" s="79"/>
      <c r="AG291" s="79"/>
      <c r="AH291" s="79"/>
      <c r="AI291" s="79"/>
      <c r="AJ291" s="79"/>
      <c r="AK291" s="79"/>
      <c r="AL291" s="79"/>
      <c r="AM291" s="79"/>
      <c r="AN291" s="79"/>
      <c r="AO291" s="79"/>
      <c r="AP291" s="79"/>
      <c r="AQ291" s="79"/>
      <c r="AR291" s="79"/>
      <c r="AS291" s="79"/>
      <c r="AT291" s="79"/>
      <c r="AU291" s="79"/>
      <c r="AV291" s="79"/>
      <c r="AW291" s="79"/>
      <c r="AX291" s="79"/>
      <c r="AY291" s="79"/>
      <c r="AZ291" s="79"/>
    </row>
    <row r="292" spans="1:52" ht="17.100000000000001" customHeight="1">
      <c r="A292" s="79"/>
      <c r="B292" s="79"/>
      <c r="C292" s="79"/>
      <c r="D292" s="79"/>
      <c r="E292" s="79"/>
      <c r="F292" s="79"/>
      <c r="G292" s="79"/>
      <c r="H292" s="79"/>
      <c r="I292" s="79"/>
      <c r="J292" s="79"/>
      <c r="K292" s="79"/>
      <c r="L292" s="79"/>
      <c r="M292" s="79"/>
      <c r="N292" s="79"/>
      <c r="O292" s="79"/>
      <c r="P292" s="79"/>
      <c r="Q292" s="79"/>
      <c r="R292" s="79"/>
      <c r="S292" s="79"/>
      <c r="T292" s="79"/>
      <c r="U292" s="79"/>
      <c r="V292" s="79"/>
      <c r="W292" s="79"/>
      <c r="X292" s="79"/>
      <c r="Y292" s="79"/>
      <c r="Z292" s="79"/>
      <c r="AA292" s="79"/>
      <c r="AB292" s="79"/>
      <c r="AC292" s="79"/>
      <c r="AD292" s="79"/>
      <c r="AE292" s="79"/>
      <c r="AF292" s="79"/>
      <c r="AG292" s="79"/>
      <c r="AH292" s="79"/>
      <c r="AI292" s="79"/>
      <c r="AJ292" s="79"/>
      <c r="AK292" s="79"/>
      <c r="AL292" s="79"/>
      <c r="AM292" s="79"/>
      <c r="AN292" s="79"/>
      <c r="AO292" s="79"/>
      <c r="AP292" s="79"/>
      <c r="AQ292" s="79"/>
      <c r="AR292" s="79"/>
      <c r="AS292" s="79"/>
      <c r="AT292" s="79"/>
      <c r="AU292" s="79"/>
      <c r="AV292" s="79"/>
      <c r="AW292" s="79"/>
      <c r="AX292" s="79"/>
      <c r="AY292" s="79"/>
      <c r="AZ292" s="79"/>
    </row>
    <row r="293" spans="1:52" ht="17.100000000000001" customHeight="1">
      <c r="A293" s="79"/>
      <c r="B293" s="79"/>
      <c r="C293" s="79"/>
      <c r="D293" s="79"/>
      <c r="E293" s="79"/>
      <c r="F293" s="79"/>
      <c r="G293" s="79"/>
      <c r="H293" s="79"/>
      <c r="I293" s="79"/>
      <c r="J293" s="79"/>
      <c r="K293" s="79"/>
      <c r="L293" s="79"/>
      <c r="M293" s="79"/>
      <c r="N293" s="79"/>
      <c r="O293" s="79"/>
      <c r="P293" s="79"/>
      <c r="Q293" s="79"/>
      <c r="R293" s="79"/>
      <c r="S293" s="79"/>
      <c r="T293" s="79"/>
      <c r="U293" s="79"/>
      <c r="V293" s="79"/>
      <c r="W293" s="79"/>
      <c r="X293" s="79"/>
      <c r="Y293" s="79"/>
      <c r="Z293" s="79"/>
      <c r="AA293" s="79"/>
      <c r="AB293" s="79"/>
      <c r="AC293" s="79"/>
      <c r="AD293" s="79"/>
      <c r="AE293" s="79"/>
      <c r="AF293" s="79"/>
      <c r="AG293" s="79"/>
      <c r="AH293" s="79"/>
      <c r="AI293" s="79"/>
      <c r="AJ293" s="79"/>
      <c r="AK293" s="79"/>
      <c r="AL293" s="79"/>
      <c r="AM293" s="79"/>
      <c r="AN293" s="79"/>
      <c r="AO293" s="79"/>
      <c r="AP293" s="79"/>
      <c r="AQ293" s="79"/>
      <c r="AR293" s="79"/>
      <c r="AS293" s="79"/>
      <c r="AT293" s="79"/>
      <c r="AU293" s="79"/>
      <c r="AV293" s="79"/>
      <c r="AW293" s="79"/>
      <c r="AX293" s="79"/>
      <c r="AY293" s="79"/>
      <c r="AZ293" s="79"/>
    </row>
    <row r="294" spans="1:52" ht="17.100000000000001" customHeight="1">
      <c r="A294" s="79"/>
      <c r="B294" s="79"/>
      <c r="C294" s="79"/>
      <c r="D294" s="79"/>
      <c r="E294" s="79"/>
      <c r="F294" s="79"/>
      <c r="G294" s="79"/>
      <c r="H294" s="79"/>
      <c r="I294" s="79"/>
      <c r="J294" s="79"/>
      <c r="K294" s="79"/>
      <c r="L294" s="79"/>
      <c r="M294" s="79"/>
      <c r="N294" s="79"/>
      <c r="O294" s="79"/>
      <c r="P294" s="79"/>
      <c r="Q294" s="79"/>
      <c r="R294" s="79"/>
      <c r="S294" s="79"/>
      <c r="T294" s="79"/>
      <c r="U294" s="79"/>
      <c r="V294" s="79"/>
      <c r="W294" s="79"/>
      <c r="X294" s="79"/>
      <c r="Y294" s="79"/>
      <c r="Z294" s="79"/>
      <c r="AA294" s="79"/>
      <c r="AB294" s="79"/>
      <c r="AC294" s="79"/>
      <c r="AD294" s="79"/>
      <c r="AE294" s="79"/>
      <c r="AF294" s="79"/>
      <c r="AG294" s="79"/>
      <c r="AH294" s="79"/>
      <c r="AI294" s="79"/>
      <c r="AJ294" s="79"/>
      <c r="AK294" s="79"/>
      <c r="AL294" s="79"/>
      <c r="AM294" s="79"/>
      <c r="AN294" s="79"/>
      <c r="AO294" s="79"/>
      <c r="AP294" s="79"/>
      <c r="AQ294" s="79"/>
      <c r="AR294" s="79"/>
      <c r="AS294" s="79"/>
      <c r="AT294" s="79"/>
      <c r="AU294" s="79"/>
      <c r="AV294" s="79"/>
      <c r="AW294" s="79"/>
      <c r="AX294" s="79"/>
      <c r="AY294" s="79"/>
      <c r="AZ294" s="79"/>
    </row>
    <row r="295" spans="1:52" ht="17.100000000000001" customHeight="1">
      <c r="A295" s="79"/>
      <c r="B295" s="79"/>
      <c r="C295" s="79"/>
      <c r="D295" s="79"/>
      <c r="E295" s="79"/>
      <c r="F295" s="79"/>
      <c r="G295" s="79"/>
      <c r="H295" s="79"/>
      <c r="I295" s="79"/>
      <c r="J295" s="79"/>
      <c r="K295" s="79"/>
      <c r="L295" s="79"/>
      <c r="M295" s="79"/>
      <c r="N295" s="79"/>
      <c r="O295" s="79"/>
      <c r="P295" s="79"/>
      <c r="Q295" s="79"/>
      <c r="R295" s="79"/>
      <c r="S295" s="79"/>
      <c r="T295" s="79"/>
      <c r="U295" s="79"/>
      <c r="V295" s="79"/>
      <c r="W295" s="79"/>
      <c r="X295" s="79"/>
      <c r="Y295" s="79"/>
      <c r="Z295" s="79"/>
      <c r="AA295" s="79"/>
      <c r="AB295" s="79"/>
      <c r="AC295" s="79"/>
      <c r="AD295" s="79"/>
      <c r="AE295" s="79"/>
      <c r="AF295" s="79"/>
      <c r="AG295" s="79"/>
      <c r="AH295" s="79"/>
      <c r="AI295" s="79"/>
      <c r="AJ295" s="79"/>
      <c r="AK295" s="79"/>
      <c r="AL295" s="79"/>
      <c r="AM295" s="79"/>
      <c r="AN295" s="79"/>
      <c r="AO295" s="79"/>
      <c r="AP295" s="79"/>
      <c r="AQ295" s="79"/>
      <c r="AR295" s="79"/>
      <c r="AS295" s="79"/>
      <c r="AT295" s="79"/>
      <c r="AU295" s="79"/>
      <c r="AV295" s="79"/>
      <c r="AW295" s="79"/>
      <c r="AX295" s="79"/>
      <c r="AY295" s="79"/>
      <c r="AZ295" s="79"/>
    </row>
    <row r="296" spans="1:52" ht="17.100000000000001" customHeight="1">
      <c r="A296" s="79"/>
      <c r="B296" s="79"/>
      <c r="C296" s="79"/>
      <c r="D296" s="79"/>
      <c r="E296" s="79"/>
      <c r="F296" s="79"/>
      <c r="G296" s="79"/>
      <c r="H296" s="79"/>
      <c r="I296" s="79"/>
      <c r="J296" s="79"/>
      <c r="K296" s="79"/>
      <c r="L296" s="79"/>
      <c r="M296" s="79"/>
      <c r="N296" s="79"/>
      <c r="O296" s="79"/>
      <c r="P296" s="79"/>
      <c r="Q296" s="79"/>
      <c r="R296" s="79"/>
      <c r="S296" s="79"/>
      <c r="T296" s="79"/>
      <c r="U296" s="79"/>
      <c r="V296" s="79"/>
      <c r="W296" s="79"/>
      <c r="X296" s="79"/>
      <c r="Y296" s="79"/>
      <c r="Z296" s="79"/>
      <c r="AA296" s="79"/>
      <c r="AB296" s="79"/>
      <c r="AC296" s="79"/>
      <c r="AD296" s="79"/>
      <c r="AE296" s="79"/>
      <c r="AF296" s="79"/>
      <c r="AG296" s="79"/>
      <c r="AH296" s="79"/>
      <c r="AI296" s="79"/>
      <c r="AJ296" s="79"/>
      <c r="AK296" s="79"/>
      <c r="AL296" s="79"/>
      <c r="AM296" s="79"/>
      <c r="AN296" s="79"/>
      <c r="AO296" s="79"/>
      <c r="AP296" s="79"/>
      <c r="AQ296" s="79"/>
      <c r="AR296" s="79"/>
      <c r="AS296" s="79"/>
      <c r="AT296" s="79"/>
      <c r="AU296" s="79"/>
      <c r="AV296" s="79"/>
      <c r="AW296" s="79"/>
      <c r="AX296" s="79"/>
      <c r="AY296" s="79"/>
      <c r="AZ296" s="79"/>
    </row>
    <row r="297" spans="1:52" ht="17.100000000000001" customHeight="1">
      <c r="A297" s="79"/>
      <c r="B297" s="79"/>
      <c r="C297" s="79"/>
      <c r="D297" s="79"/>
      <c r="E297" s="79"/>
      <c r="F297" s="79"/>
      <c r="G297" s="79"/>
      <c r="H297" s="79"/>
      <c r="I297" s="79"/>
      <c r="J297" s="79"/>
      <c r="K297" s="79"/>
      <c r="L297" s="79"/>
      <c r="M297" s="79"/>
      <c r="N297" s="79"/>
      <c r="O297" s="79"/>
      <c r="P297" s="79"/>
      <c r="Q297" s="79"/>
      <c r="R297" s="79"/>
      <c r="S297" s="79"/>
      <c r="T297" s="79"/>
      <c r="U297" s="79"/>
      <c r="V297" s="79"/>
      <c r="W297" s="79"/>
      <c r="X297" s="79"/>
      <c r="Y297" s="79"/>
      <c r="Z297" s="79"/>
      <c r="AA297" s="79"/>
      <c r="AB297" s="79"/>
      <c r="AC297" s="79"/>
      <c r="AD297" s="79"/>
      <c r="AE297" s="79"/>
      <c r="AF297" s="79"/>
      <c r="AG297" s="79"/>
      <c r="AH297" s="79"/>
      <c r="AI297" s="79"/>
      <c r="AJ297" s="79"/>
      <c r="AK297" s="79"/>
      <c r="AL297" s="79"/>
      <c r="AM297" s="79"/>
      <c r="AN297" s="79"/>
      <c r="AO297" s="79"/>
      <c r="AP297" s="79"/>
      <c r="AQ297" s="79"/>
      <c r="AR297" s="79"/>
      <c r="AS297" s="79"/>
      <c r="AT297" s="79"/>
      <c r="AU297" s="79"/>
      <c r="AV297" s="79"/>
      <c r="AW297" s="79"/>
      <c r="AX297" s="79"/>
      <c r="AY297" s="79"/>
      <c r="AZ297" s="79"/>
    </row>
    <row r="298" spans="1:52" ht="17.100000000000001" customHeight="1">
      <c r="A298" s="79"/>
      <c r="B298" s="79"/>
      <c r="C298" s="79"/>
      <c r="D298" s="79"/>
      <c r="E298" s="79"/>
      <c r="F298" s="79"/>
      <c r="G298" s="79"/>
      <c r="H298" s="79"/>
      <c r="I298" s="79"/>
      <c r="J298" s="79"/>
      <c r="K298" s="79"/>
      <c r="L298" s="79"/>
      <c r="M298" s="79"/>
      <c r="N298" s="79"/>
      <c r="O298" s="79"/>
      <c r="P298" s="79"/>
      <c r="Q298" s="79"/>
      <c r="R298" s="79"/>
      <c r="S298" s="79"/>
      <c r="T298" s="79"/>
      <c r="U298" s="79"/>
      <c r="V298" s="79"/>
      <c r="W298" s="79"/>
      <c r="X298" s="79"/>
      <c r="Y298" s="79"/>
      <c r="Z298" s="79"/>
      <c r="AA298" s="79"/>
      <c r="AB298" s="79"/>
      <c r="AC298" s="79"/>
      <c r="AD298" s="79"/>
      <c r="AE298" s="79"/>
      <c r="AF298" s="79"/>
      <c r="AG298" s="79"/>
      <c r="AH298" s="79"/>
      <c r="AI298" s="79"/>
      <c r="AJ298" s="79"/>
      <c r="AK298" s="79"/>
      <c r="AL298" s="79"/>
      <c r="AM298" s="79"/>
      <c r="AN298" s="79"/>
      <c r="AO298" s="79"/>
      <c r="AP298" s="79"/>
      <c r="AQ298" s="79"/>
      <c r="AR298" s="79"/>
      <c r="AS298" s="79"/>
      <c r="AT298" s="79"/>
      <c r="AU298" s="79"/>
      <c r="AV298" s="79"/>
      <c r="AW298" s="79"/>
      <c r="AX298" s="79"/>
      <c r="AY298" s="79"/>
      <c r="AZ298" s="79"/>
    </row>
    <row r="299" spans="1:52" ht="17.100000000000001" customHeight="1">
      <c r="A299" s="79"/>
      <c r="B299" s="79"/>
      <c r="C299" s="79"/>
      <c r="D299" s="79"/>
      <c r="E299" s="79"/>
      <c r="F299" s="79"/>
      <c r="G299" s="79"/>
      <c r="H299" s="79"/>
      <c r="I299" s="79"/>
      <c r="J299" s="79"/>
      <c r="K299" s="79"/>
      <c r="L299" s="79"/>
      <c r="M299" s="79"/>
      <c r="N299" s="79"/>
      <c r="O299" s="79"/>
      <c r="P299" s="79"/>
      <c r="Q299" s="79"/>
      <c r="R299" s="79"/>
      <c r="S299" s="79"/>
      <c r="T299" s="79"/>
      <c r="U299" s="79"/>
      <c r="V299" s="79"/>
      <c r="W299" s="79"/>
      <c r="X299" s="79"/>
      <c r="Y299" s="79"/>
      <c r="Z299" s="79"/>
      <c r="AA299" s="79"/>
      <c r="AB299" s="79"/>
      <c r="AC299" s="79"/>
      <c r="AD299" s="79"/>
      <c r="AE299" s="79"/>
      <c r="AF299" s="79"/>
      <c r="AG299" s="79"/>
      <c r="AH299" s="79"/>
      <c r="AI299" s="79"/>
      <c r="AJ299" s="79"/>
      <c r="AK299" s="79"/>
      <c r="AL299" s="79"/>
      <c r="AM299" s="79"/>
      <c r="AN299" s="79"/>
      <c r="AO299" s="79"/>
      <c r="AP299" s="79"/>
      <c r="AQ299" s="79"/>
      <c r="AR299" s="79"/>
      <c r="AS299" s="79"/>
      <c r="AT299" s="79"/>
      <c r="AU299" s="79"/>
      <c r="AV299" s="79"/>
      <c r="AW299" s="79"/>
      <c r="AX299" s="79"/>
      <c r="AY299" s="79"/>
      <c r="AZ299" s="79"/>
    </row>
    <row r="300" spans="1:52" ht="17.100000000000001" customHeight="1">
      <c r="A300" s="79"/>
      <c r="B300" s="79"/>
      <c r="C300" s="79"/>
      <c r="D300" s="79"/>
      <c r="E300" s="79"/>
      <c r="F300" s="79"/>
      <c r="G300" s="79"/>
      <c r="H300" s="79"/>
      <c r="I300" s="79"/>
      <c r="J300" s="79"/>
      <c r="K300" s="79"/>
      <c r="L300" s="79"/>
      <c r="M300" s="79"/>
      <c r="N300" s="79"/>
      <c r="O300" s="79"/>
      <c r="P300" s="79"/>
      <c r="Q300" s="79"/>
      <c r="R300" s="79"/>
      <c r="S300" s="79"/>
      <c r="T300" s="79"/>
      <c r="U300" s="79"/>
      <c r="V300" s="79"/>
      <c r="W300" s="79"/>
      <c r="X300" s="79"/>
      <c r="Y300" s="79"/>
      <c r="Z300" s="79"/>
      <c r="AA300" s="79"/>
      <c r="AB300" s="79"/>
      <c r="AC300" s="79"/>
      <c r="AD300" s="79"/>
      <c r="AE300" s="79"/>
      <c r="AF300" s="79"/>
      <c r="AG300" s="79"/>
      <c r="AH300" s="79"/>
      <c r="AI300" s="79"/>
      <c r="AJ300" s="79"/>
      <c r="AK300" s="79"/>
      <c r="AL300" s="79"/>
      <c r="AM300" s="79"/>
      <c r="AN300" s="79"/>
      <c r="AO300" s="79"/>
      <c r="AP300" s="79"/>
      <c r="AQ300" s="79"/>
      <c r="AR300" s="79"/>
      <c r="AS300" s="79"/>
      <c r="AT300" s="79"/>
      <c r="AU300" s="79"/>
      <c r="AV300" s="79"/>
      <c r="AW300" s="79"/>
      <c r="AX300" s="79"/>
      <c r="AY300" s="79"/>
      <c r="AZ300" s="79"/>
    </row>
    <row r="301" spans="1:52" ht="17.100000000000001" customHeight="1">
      <c r="A301" s="79"/>
      <c r="B301" s="79"/>
      <c r="C301" s="79"/>
      <c r="D301" s="79"/>
      <c r="E301" s="79"/>
      <c r="F301" s="79"/>
      <c r="G301" s="79"/>
      <c r="H301" s="79"/>
      <c r="I301" s="79"/>
      <c r="J301" s="79"/>
      <c r="K301" s="79"/>
      <c r="L301" s="79"/>
      <c r="M301" s="79"/>
      <c r="N301" s="79"/>
      <c r="O301" s="79"/>
      <c r="P301" s="79"/>
      <c r="Q301" s="79"/>
      <c r="R301" s="79"/>
      <c r="S301" s="79"/>
      <c r="T301" s="79"/>
      <c r="U301" s="79"/>
      <c r="V301" s="79"/>
      <c r="W301" s="79"/>
      <c r="X301" s="79"/>
      <c r="Y301" s="79"/>
      <c r="Z301" s="79"/>
      <c r="AA301" s="79"/>
      <c r="AB301" s="79"/>
      <c r="AC301" s="79"/>
      <c r="AD301" s="79"/>
      <c r="AE301" s="79"/>
      <c r="AF301" s="79"/>
      <c r="AG301" s="79"/>
      <c r="AH301" s="79"/>
      <c r="AI301" s="79"/>
      <c r="AJ301" s="79"/>
      <c r="AK301" s="79"/>
      <c r="AL301" s="79"/>
      <c r="AM301" s="79"/>
      <c r="AN301" s="79"/>
      <c r="AO301" s="79"/>
      <c r="AP301" s="79"/>
      <c r="AQ301" s="79"/>
      <c r="AR301" s="79"/>
      <c r="AS301" s="79"/>
      <c r="AT301" s="79"/>
      <c r="AU301" s="79"/>
      <c r="AV301" s="79"/>
      <c r="AW301" s="79"/>
      <c r="AX301" s="79"/>
      <c r="AY301" s="79"/>
      <c r="AZ301" s="79"/>
    </row>
    <row r="302" spans="1:52" ht="17.100000000000001" customHeight="1">
      <c r="A302" s="79"/>
      <c r="B302" s="79"/>
      <c r="C302" s="79"/>
      <c r="D302" s="79"/>
      <c r="E302" s="79"/>
      <c r="F302" s="79"/>
      <c r="G302" s="79"/>
      <c r="H302" s="79"/>
      <c r="I302" s="79"/>
      <c r="J302" s="79"/>
      <c r="K302" s="79"/>
      <c r="L302" s="79"/>
      <c r="M302" s="79"/>
      <c r="N302" s="79"/>
      <c r="O302" s="79"/>
      <c r="P302" s="79"/>
      <c r="Q302" s="79"/>
      <c r="R302" s="79"/>
      <c r="S302" s="79"/>
      <c r="T302" s="79"/>
      <c r="U302" s="79"/>
      <c r="V302" s="79"/>
      <c r="W302" s="79"/>
      <c r="X302" s="79"/>
      <c r="Y302" s="79"/>
      <c r="Z302" s="79"/>
      <c r="AA302" s="79"/>
      <c r="AB302" s="79"/>
      <c r="AC302" s="79"/>
      <c r="AD302" s="79"/>
      <c r="AE302" s="79"/>
      <c r="AF302" s="79"/>
      <c r="AG302" s="79"/>
      <c r="AH302" s="79"/>
      <c r="AI302" s="79"/>
      <c r="AJ302" s="79"/>
      <c r="AK302" s="79"/>
      <c r="AL302" s="79"/>
      <c r="AM302" s="79"/>
      <c r="AN302" s="79"/>
      <c r="AO302" s="79"/>
      <c r="AP302" s="79"/>
      <c r="AQ302" s="79"/>
      <c r="AR302" s="79"/>
      <c r="AS302" s="79"/>
      <c r="AT302" s="79"/>
      <c r="AU302" s="79"/>
      <c r="AV302" s="79"/>
      <c r="AW302" s="79"/>
      <c r="AX302" s="79"/>
      <c r="AY302" s="79"/>
      <c r="AZ302" s="79"/>
    </row>
    <row r="303" spans="1:52" ht="17.100000000000001" customHeight="1">
      <c r="A303" s="79"/>
      <c r="B303" s="79"/>
      <c r="C303" s="79"/>
      <c r="D303" s="79"/>
      <c r="E303" s="79"/>
      <c r="F303" s="79"/>
      <c r="G303" s="79"/>
      <c r="H303" s="79"/>
      <c r="I303" s="79"/>
      <c r="J303" s="79"/>
      <c r="K303" s="79"/>
      <c r="L303" s="79"/>
      <c r="M303" s="79"/>
      <c r="N303" s="79"/>
      <c r="O303" s="79"/>
      <c r="P303" s="79"/>
      <c r="Q303" s="79"/>
      <c r="R303" s="79"/>
      <c r="S303" s="79"/>
      <c r="T303" s="79"/>
      <c r="U303" s="79"/>
      <c r="V303" s="79"/>
      <c r="W303" s="79"/>
      <c r="X303" s="79"/>
      <c r="Y303" s="79"/>
      <c r="Z303" s="79"/>
      <c r="AA303" s="79"/>
      <c r="AB303" s="79"/>
      <c r="AC303" s="79"/>
      <c r="AD303" s="79"/>
      <c r="AE303" s="79"/>
      <c r="AF303" s="79"/>
      <c r="AG303" s="79"/>
      <c r="AH303" s="79"/>
      <c r="AI303" s="79"/>
      <c r="AJ303" s="79"/>
      <c r="AK303" s="79"/>
      <c r="AL303" s="79"/>
      <c r="AM303" s="79"/>
      <c r="AN303" s="79"/>
      <c r="AO303" s="79"/>
      <c r="AP303" s="79"/>
      <c r="AQ303" s="79"/>
      <c r="AR303" s="79"/>
      <c r="AS303" s="79"/>
      <c r="AT303" s="79"/>
      <c r="AU303" s="79"/>
      <c r="AV303" s="79"/>
      <c r="AW303" s="79"/>
      <c r="AX303" s="79"/>
      <c r="AY303" s="79"/>
      <c r="AZ303" s="79"/>
    </row>
    <row r="304" spans="1:52" ht="17.100000000000001" customHeight="1">
      <c r="A304" s="79"/>
      <c r="B304" s="79"/>
      <c r="C304" s="79"/>
      <c r="D304" s="79"/>
      <c r="E304" s="79"/>
      <c r="F304" s="79"/>
      <c r="G304" s="79"/>
      <c r="H304" s="79"/>
      <c r="I304" s="79"/>
      <c r="J304" s="79"/>
      <c r="K304" s="79"/>
      <c r="L304" s="79"/>
      <c r="M304" s="79"/>
      <c r="N304" s="79"/>
      <c r="O304" s="79"/>
      <c r="P304" s="79"/>
      <c r="Q304" s="79"/>
      <c r="R304" s="79"/>
      <c r="S304" s="79"/>
      <c r="T304" s="79"/>
      <c r="U304" s="79"/>
      <c r="V304" s="79"/>
      <c r="W304" s="79"/>
      <c r="X304" s="79"/>
      <c r="Y304" s="79"/>
      <c r="Z304" s="79"/>
      <c r="AA304" s="79"/>
      <c r="AB304" s="79"/>
      <c r="AC304" s="79"/>
      <c r="AD304" s="79"/>
      <c r="AE304" s="79"/>
      <c r="AF304" s="79"/>
      <c r="AG304" s="79"/>
      <c r="AH304" s="79"/>
      <c r="AI304" s="79"/>
      <c r="AJ304" s="79"/>
      <c r="AK304" s="79"/>
      <c r="AL304" s="79"/>
      <c r="AM304" s="79"/>
      <c r="AN304" s="79"/>
      <c r="AO304" s="79"/>
      <c r="AP304" s="79"/>
      <c r="AQ304" s="79"/>
      <c r="AR304" s="79"/>
      <c r="AS304" s="79"/>
      <c r="AT304" s="79"/>
      <c r="AU304" s="79"/>
      <c r="AV304" s="79"/>
      <c r="AW304" s="79"/>
      <c r="AX304" s="79"/>
      <c r="AY304" s="79"/>
      <c r="AZ304" s="79"/>
    </row>
    <row r="305" spans="1:52" ht="17.100000000000001" customHeight="1">
      <c r="A305" s="79"/>
      <c r="B305" s="79"/>
      <c r="C305" s="79"/>
      <c r="D305" s="79"/>
      <c r="E305" s="79"/>
      <c r="F305" s="79"/>
      <c r="G305" s="79"/>
      <c r="H305" s="79"/>
      <c r="I305" s="79"/>
      <c r="J305" s="79"/>
      <c r="K305" s="79"/>
      <c r="L305" s="79"/>
      <c r="M305" s="79"/>
      <c r="N305" s="79"/>
      <c r="O305" s="79"/>
      <c r="P305" s="79"/>
      <c r="Q305" s="79"/>
      <c r="R305" s="79"/>
      <c r="S305" s="79"/>
      <c r="T305" s="79"/>
      <c r="U305" s="79"/>
      <c r="V305" s="79"/>
      <c r="W305" s="79"/>
      <c r="X305" s="79"/>
      <c r="Y305" s="79"/>
      <c r="Z305" s="79"/>
      <c r="AA305" s="79"/>
      <c r="AB305" s="79"/>
      <c r="AC305" s="79"/>
      <c r="AD305" s="79"/>
      <c r="AE305" s="79"/>
      <c r="AF305" s="79"/>
      <c r="AG305" s="79"/>
      <c r="AH305" s="79"/>
      <c r="AI305" s="79"/>
      <c r="AJ305" s="79"/>
      <c r="AK305" s="79"/>
      <c r="AL305" s="79"/>
      <c r="AM305" s="79"/>
      <c r="AN305" s="79"/>
      <c r="AO305" s="79"/>
      <c r="AP305" s="79"/>
      <c r="AQ305" s="79"/>
      <c r="AR305" s="79"/>
      <c r="AS305" s="79"/>
      <c r="AT305" s="79"/>
      <c r="AU305" s="79"/>
      <c r="AV305" s="79"/>
      <c r="AW305" s="79"/>
      <c r="AX305" s="79"/>
      <c r="AY305" s="79"/>
      <c r="AZ305" s="79"/>
    </row>
    <row r="306" spans="1:52" ht="17.100000000000001" customHeight="1">
      <c r="A306" s="79"/>
      <c r="B306" s="79"/>
      <c r="C306" s="79"/>
      <c r="D306" s="79"/>
      <c r="E306" s="79"/>
      <c r="F306" s="79"/>
      <c r="G306" s="79"/>
      <c r="H306" s="79"/>
      <c r="I306" s="79"/>
      <c r="J306" s="79"/>
      <c r="K306" s="79"/>
      <c r="L306" s="79"/>
      <c r="M306" s="79"/>
      <c r="N306" s="79"/>
      <c r="O306" s="79"/>
      <c r="P306" s="79"/>
      <c r="Q306" s="79"/>
      <c r="R306" s="79"/>
      <c r="S306" s="79"/>
      <c r="T306" s="79"/>
      <c r="U306" s="79"/>
      <c r="V306" s="79"/>
      <c r="W306" s="79"/>
      <c r="X306" s="79"/>
      <c r="Y306" s="79"/>
      <c r="Z306" s="79"/>
      <c r="AA306" s="79"/>
      <c r="AB306" s="79"/>
      <c r="AC306" s="79"/>
      <c r="AD306" s="79"/>
      <c r="AE306" s="79"/>
      <c r="AF306" s="79"/>
      <c r="AG306" s="79"/>
      <c r="AH306" s="79"/>
      <c r="AI306" s="79"/>
      <c r="AJ306" s="79"/>
      <c r="AK306" s="79"/>
      <c r="AL306" s="79"/>
      <c r="AM306" s="79"/>
      <c r="AN306" s="79"/>
      <c r="AO306" s="79"/>
      <c r="AP306" s="79"/>
      <c r="AQ306" s="79"/>
      <c r="AR306" s="79"/>
      <c r="AS306" s="79"/>
      <c r="AT306" s="79"/>
      <c r="AU306" s="79"/>
      <c r="AV306" s="79"/>
      <c r="AW306" s="79"/>
      <c r="AX306" s="79"/>
      <c r="AY306" s="79"/>
      <c r="AZ306" s="79"/>
    </row>
  </sheetData>
  <phoneticPr fontId="64" type="noConversion"/>
  <dataValidations count="2">
    <dataValidation type="decimal" errorStyle="warning" allowBlank="1" showInputMessage="1" showErrorMessage="1" errorTitle="确认股票市场风险溢价如此高吗？" error="10%的股票市场风险溢价似乎有些高，你确认吗？" sqref="C7:C8">
      <formula1>0.04</formula1>
      <formula2>0.1</formula2>
    </dataValidation>
    <dataValidation type="decimal" errorStyle="warning" allowBlank="1" showInputMessage="1" showErrorMessage="1" errorTitle="Beta可能出错！" error="您输入的beta似乎太高或太低！" sqref="C11">
      <formula1>0.5</formula1>
      <formula2>2</formula2>
    </dataValidation>
  </dataValidations>
  <pageMargins left="0.75" right="0.75" top="1" bottom="1" header="0.5" footer="0.5"/>
  <pageSetup paperSize="9" firstPageNumber="4294963191" orientation="portrait" r:id="rId1"/>
  <headerFooter alignWithMargins="0"/>
  <drawing r:id="rId2"/>
  <legacyDrawing r:id="rId3"/>
  <controls>
    <mc:AlternateContent xmlns:mc="http://schemas.openxmlformats.org/markup-compatibility/2006">
      <mc:Choice Requires="x14">
        <control shapeId="21517" r:id="rId4" name="cAutoUpdate">
          <controlPr defaultSize="0" linkedCell="C17" r:id="rId5">
            <anchor moveWithCells="1">
              <from>
                <xdr:col>2</xdr:col>
                <xdr:colOff>19050</xdr:colOff>
                <xdr:row>16</xdr:row>
                <xdr:rowOff>28575</xdr:rowOff>
              </from>
              <to>
                <xdr:col>3</xdr:col>
                <xdr:colOff>514350</xdr:colOff>
                <xdr:row>17</xdr:row>
                <xdr:rowOff>95250</xdr:rowOff>
              </to>
            </anchor>
          </controlPr>
        </control>
      </mc:Choice>
      <mc:Fallback>
        <control shapeId="21517" r:id="rId4" name="cAutoUpdate"/>
      </mc:Fallback>
    </mc:AlternateContent>
    <mc:AlternateContent xmlns:mc="http://schemas.openxmlformats.org/markup-compatibility/2006">
      <mc:Choice Requires="x14">
        <control shapeId="21518" r:id="rId6" name="cbUseNewData">
          <controlPr defaultSize="0" r:id="rId7">
            <anchor moveWithCells="1">
              <from>
                <xdr:col>3</xdr:col>
                <xdr:colOff>742950</xdr:colOff>
                <xdr:row>16</xdr:row>
                <xdr:rowOff>47625</xdr:rowOff>
              </from>
              <to>
                <xdr:col>4</xdr:col>
                <xdr:colOff>923925</xdr:colOff>
                <xdr:row>17</xdr:row>
                <xdr:rowOff>85725</xdr:rowOff>
              </to>
            </anchor>
          </controlPr>
        </control>
      </mc:Choice>
      <mc:Fallback>
        <control shapeId="21518" r:id="rId6" name="cbUseNewData"/>
      </mc:Fallback>
    </mc:AlternateContent>
    <mc:AlternateContent xmlns:mc="http://schemas.openxmlformats.org/markup-compatibility/2006">
      <mc:Choice Requires="x14">
        <control shapeId="21511" r:id="rId8" name="Drop Down 7">
          <controlPr defaultSize="0" autoLine="0" autoPict="0">
            <anchor moveWithCells="1">
              <from>
                <xdr:col>1</xdr:col>
                <xdr:colOff>19050</xdr:colOff>
                <xdr:row>20</xdr:row>
                <xdr:rowOff>9525</xdr:rowOff>
              </from>
              <to>
                <xdr:col>1</xdr:col>
                <xdr:colOff>1485900</xdr:colOff>
                <xdr:row>20</xdr:row>
                <xdr:rowOff>200025</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59999389629810485"/>
  </sheetPr>
  <dimension ref="A1:M91"/>
  <sheetViews>
    <sheetView showGridLines="0" workbookViewId="0">
      <selection activeCell="H12" sqref="H12"/>
    </sheetView>
  </sheetViews>
  <sheetFormatPr defaultRowHeight="14.25"/>
  <cols>
    <col min="1" max="1" width="2.375" style="1695" customWidth="1"/>
    <col min="2" max="2" width="10.125" style="1812" customWidth="1"/>
    <col min="3" max="3" width="12.625" style="1695" customWidth="1"/>
    <col min="4" max="4" width="11.75" style="1695" customWidth="1"/>
    <col min="5" max="5" width="11.25" style="1695" customWidth="1"/>
    <col min="6" max="6" width="13.25" style="1695" customWidth="1"/>
    <col min="7" max="7" width="13.625" style="1695" customWidth="1"/>
    <col min="8" max="9" width="13.75" style="1695" customWidth="1"/>
    <col min="10" max="10" width="18.25" style="1695" customWidth="1"/>
    <col min="11" max="11" width="16.875" style="1695" customWidth="1"/>
    <col min="12" max="12" width="11.75" style="1695" customWidth="1"/>
    <col min="13" max="13" width="12.875" style="1695" customWidth="1"/>
    <col min="14" max="257" width="9" style="1695"/>
    <col min="258" max="258" width="13.25" style="1695" customWidth="1"/>
    <col min="259" max="259" width="10.875" style="1695" customWidth="1"/>
    <col min="260" max="260" width="11.75" style="1695" customWidth="1"/>
    <col min="261" max="261" width="11.25" style="1695" customWidth="1"/>
    <col min="262" max="262" width="13.25" style="1695" customWidth="1"/>
    <col min="263" max="263" width="13.625" style="1695" customWidth="1"/>
    <col min="264" max="265" width="13.75" style="1695" customWidth="1"/>
    <col min="266" max="266" width="18.25" style="1695" customWidth="1"/>
    <col min="267" max="267" width="16.875" style="1695" customWidth="1"/>
    <col min="268" max="268" width="11.75" style="1695" customWidth="1"/>
    <col min="269" max="269" width="12.875" style="1695" customWidth="1"/>
    <col min="270" max="513" width="9" style="1695"/>
    <col min="514" max="514" width="13.25" style="1695" customWidth="1"/>
    <col min="515" max="515" width="10.875" style="1695" customWidth="1"/>
    <col min="516" max="516" width="11.75" style="1695" customWidth="1"/>
    <col min="517" max="517" width="11.25" style="1695" customWidth="1"/>
    <col min="518" max="518" width="13.25" style="1695" customWidth="1"/>
    <col min="519" max="519" width="13.625" style="1695" customWidth="1"/>
    <col min="520" max="521" width="13.75" style="1695" customWidth="1"/>
    <col min="522" max="522" width="18.25" style="1695" customWidth="1"/>
    <col min="523" max="523" width="16.875" style="1695" customWidth="1"/>
    <col min="524" max="524" width="11.75" style="1695" customWidth="1"/>
    <col min="525" max="525" width="12.875" style="1695" customWidth="1"/>
    <col min="526" max="769" width="9" style="1695"/>
    <col min="770" max="770" width="13.25" style="1695" customWidth="1"/>
    <col min="771" max="771" width="10.875" style="1695" customWidth="1"/>
    <col min="772" max="772" width="11.75" style="1695" customWidth="1"/>
    <col min="773" max="773" width="11.25" style="1695" customWidth="1"/>
    <col min="774" max="774" width="13.25" style="1695" customWidth="1"/>
    <col min="775" max="775" width="13.625" style="1695" customWidth="1"/>
    <col min="776" max="777" width="13.75" style="1695" customWidth="1"/>
    <col min="778" max="778" width="18.25" style="1695" customWidth="1"/>
    <col min="779" max="779" width="16.875" style="1695" customWidth="1"/>
    <col min="780" max="780" width="11.75" style="1695" customWidth="1"/>
    <col min="781" max="781" width="12.875" style="1695" customWidth="1"/>
    <col min="782" max="1025" width="9" style="1695"/>
    <col min="1026" max="1026" width="13.25" style="1695" customWidth="1"/>
    <col min="1027" max="1027" width="10.875" style="1695" customWidth="1"/>
    <col min="1028" max="1028" width="11.75" style="1695" customWidth="1"/>
    <col min="1029" max="1029" width="11.25" style="1695" customWidth="1"/>
    <col min="1030" max="1030" width="13.25" style="1695" customWidth="1"/>
    <col min="1031" max="1031" width="13.625" style="1695" customWidth="1"/>
    <col min="1032" max="1033" width="13.75" style="1695" customWidth="1"/>
    <col min="1034" max="1034" width="18.25" style="1695" customWidth="1"/>
    <col min="1035" max="1035" width="16.875" style="1695" customWidth="1"/>
    <col min="1036" max="1036" width="11.75" style="1695" customWidth="1"/>
    <col min="1037" max="1037" width="12.875" style="1695" customWidth="1"/>
    <col min="1038" max="1281" width="9" style="1695"/>
    <col min="1282" max="1282" width="13.25" style="1695" customWidth="1"/>
    <col min="1283" max="1283" width="10.875" style="1695" customWidth="1"/>
    <col min="1284" max="1284" width="11.75" style="1695" customWidth="1"/>
    <col min="1285" max="1285" width="11.25" style="1695" customWidth="1"/>
    <col min="1286" max="1286" width="13.25" style="1695" customWidth="1"/>
    <col min="1287" max="1287" width="13.625" style="1695" customWidth="1"/>
    <col min="1288" max="1289" width="13.75" style="1695" customWidth="1"/>
    <col min="1290" max="1290" width="18.25" style="1695" customWidth="1"/>
    <col min="1291" max="1291" width="16.875" style="1695" customWidth="1"/>
    <col min="1292" max="1292" width="11.75" style="1695" customWidth="1"/>
    <col min="1293" max="1293" width="12.875" style="1695" customWidth="1"/>
    <col min="1294" max="1537" width="9" style="1695"/>
    <col min="1538" max="1538" width="13.25" style="1695" customWidth="1"/>
    <col min="1539" max="1539" width="10.875" style="1695" customWidth="1"/>
    <col min="1540" max="1540" width="11.75" style="1695" customWidth="1"/>
    <col min="1541" max="1541" width="11.25" style="1695" customWidth="1"/>
    <col min="1542" max="1542" width="13.25" style="1695" customWidth="1"/>
    <col min="1543" max="1543" width="13.625" style="1695" customWidth="1"/>
    <col min="1544" max="1545" width="13.75" style="1695" customWidth="1"/>
    <col min="1546" max="1546" width="18.25" style="1695" customWidth="1"/>
    <col min="1547" max="1547" width="16.875" style="1695" customWidth="1"/>
    <col min="1548" max="1548" width="11.75" style="1695" customWidth="1"/>
    <col min="1549" max="1549" width="12.875" style="1695" customWidth="1"/>
    <col min="1550" max="1793" width="9" style="1695"/>
    <col min="1794" max="1794" width="13.25" style="1695" customWidth="1"/>
    <col min="1795" max="1795" width="10.875" style="1695" customWidth="1"/>
    <col min="1796" max="1796" width="11.75" style="1695" customWidth="1"/>
    <col min="1797" max="1797" width="11.25" style="1695" customWidth="1"/>
    <col min="1798" max="1798" width="13.25" style="1695" customWidth="1"/>
    <col min="1799" max="1799" width="13.625" style="1695" customWidth="1"/>
    <col min="1800" max="1801" width="13.75" style="1695" customWidth="1"/>
    <col min="1802" max="1802" width="18.25" style="1695" customWidth="1"/>
    <col min="1803" max="1803" width="16.875" style="1695" customWidth="1"/>
    <col min="1804" max="1804" width="11.75" style="1695" customWidth="1"/>
    <col min="1805" max="1805" width="12.875" style="1695" customWidth="1"/>
    <col min="1806" max="2049" width="9" style="1695"/>
    <col min="2050" max="2050" width="13.25" style="1695" customWidth="1"/>
    <col min="2051" max="2051" width="10.875" style="1695" customWidth="1"/>
    <col min="2052" max="2052" width="11.75" style="1695" customWidth="1"/>
    <col min="2053" max="2053" width="11.25" style="1695" customWidth="1"/>
    <col min="2054" max="2054" width="13.25" style="1695" customWidth="1"/>
    <col min="2055" max="2055" width="13.625" style="1695" customWidth="1"/>
    <col min="2056" max="2057" width="13.75" style="1695" customWidth="1"/>
    <col min="2058" max="2058" width="18.25" style="1695" customWidth="1"/>
    <col min="2059" max="2059" width="16.875" style="1695" customWidth="1"/>
    <col min="2060" max="2060" width="11.75" style="1695" customWidth="1"/>
    <col min="2061" max="2061" width="12.875" style="1695" customWidth="1"/>
    <col min="2062" max="2305" width="9" style="1695"/>
    <col min="2306" max="2306" width="13.25" style="1695" customWidth="1"/>
    <col min="2307" max="2307" width="10.875" style="1695" customWidth="1"/>
    <col min="2308" max="2308" width="11.75" style="1695" customWidth="1"/>
    <col min="2309" max="2309" width="11.25" style="1695" customWidth="1"/>
    <col min="2310" max="2310" width="13.25" style="1695" customWidth="1"/>
    <col min="2311" max="2311" width="13.625" style="1695" customWidth="1"/>
    <col min="2312" max="2313" width="13.75" style="1695" customWidth="1"/>
    <col min="2314" max="2314" width="18.25" style="1695" customWidth="1"/>
    <col min="2315" max="2315" width="16.875" style="1695" customWidth="1"/>
    <col min="2316" max="2316" width="11.75" style="1695" customWidth="1"/>
    <col min="2317" max="2317" width="12.875" style="1695" customWidth="1"/>
    <col min="2318" max="2561" width="9" style="1695"/>
    <col min="2562" max="2562" width="13.25" style="1695" customWidth="1"/>
    <col min="2563" max="2563" width="10.875" style="1695" customWidth="1"/>
    <col min="2564" max="2564" width="11.75" style="1695" customWidth="1"/>
    <col min="2565" max="2565" width="11.25" style="1695" customWidth="1"/>
    <col min="2566" max="2566" width="13.25" style="1695" customWidth="1"/>
    <col min="2567" max="2567" width="13.625" style="1695" customWidth="1"/>
    <col min="2568" max="2569" width="13.75" style="1695" customWidth="1"/>
    <col min="2570" max="2570" width="18.25" style="1695" customWidth="1"/>
    <col min="2571" max="2571" width="16.875" style="1695" customWidth="1"/>
    <col min="2572" max="2572" width="11.75" style="1695" customWidth="1"/>
    <col min="2573" max="2573" width="12.875" style="1695" customWidth="1"/>
    <col min="2574" max="2817" width="9" style="1695"/>
    <col min="2818" max="2818" width="13.25" style="1695" customWidth="1"/>
    <col min="2819" max="2819" width="10.875" style="1695" customWidth="1"/>
    <col min="2820" max="2820" width="11.75" style="1695" customWidth="1"/>
    <col min="2821" max="2821" width="11.25" style="1695" customWidth="1"/>
    <col min="2822" max="2822" width="13.25" style="1695" customWidth="1"/>
    <col min="2823" max="2823" width="13.625" style="1695" customWidth="1"/>
    <col min="2824" max="2825" width="13.75" style="1695" customWidth="1"/>
    <col min="2826" max="2826" width="18.25" style="1695" customWidth="1"/>
    <col min="2827" max="2827" width="16.875" style="1695" customWidth="1"/>
    <col min="2828" max="2828" width="11.75" style="1695" customWidth="1"/>
    <col min="2829" max="2829" width="12.875" style="1695" customWidth="1"/>
    <col min="2830" max="3073" width="9" style="1695"/>
    <col min="3074" max="3074" width="13.25" style="1695" customWidth="1"/>
    <col min="3075" max="3075" width="10.875" style="1695" customWidth="1"/>
    <col min="3076" max="3076" width="11.75" style="1695" customWidth="1"/>
    <col min="3077" max="3077" width="11.25" style="1695" customWidth="1"/>
    <col min="3078" max="3078" width="13.25" style="1695" customWidth="1"/>
    <col min="3079" max="3079" width="13.625" style="1695" customWidth="1"/>
    <col min="3080" max="3081" width="13.75" style="1695" customWidth="1"/>
    <col min="3082" max="3082" width="18.25" style="1695" customWidth="1"/>
    <col min="3083" max="3083" width="16.875" style="1695" customWidth="1"/>
    <col min="3084" max="3084" width="11.75" style="1695" customWidth="1"/>
    <col min="3085" max="3085" width="12.875" style="1695" customWidth="1"/>
    <col min="3086" max="3329" width="9" style="1695"/>
    <col min="3330" max="3330" width="13.25" style="1695" customWidth="1"/>
    <col min="3331" max="3331" width="10.875" style="1695" customWidth="1"/>
    <col min="3332" max="3332" width="11.75" style="1695" customWidth="1"/>
    <col min="3333" max="3333" width="11.25" style="1695" customWidth="1"/>
    <col min="3334" max="3334" width="13.25" style="1695" customWidth="1"/>
    <col min="3335" max="3335" width="13.625" style="1695" customWidth="1"/>
    <col min="3336" max="3337" width="13.75" style="1695" customWidth="1"/>
    <col min="3338" max="3338" width="18.25" style="1695" customWidth="1"/>
    <col min="3339" max="3339" width="16.875" style="1695" customWidth="1"/>
    <col min="3340" max="3340" width="11.75" style="1695" customWidth="1"/>
    <col min="3341" max="3341" width="12.875" style="1695" customWidth="1"/>
    <col min="3342" max="3585" width="9" style="1695"/>
    <col min="3586" max="3586" width="13.25" style="1695" customWidth="1"/>
    <col min="3587" max="3587" width="10.875" style="1695" customWidth="1"/>
    <col min="3588" max="3588" width="11.75" style="1695" customWidth="1"/>
    <col min="3589" max="3589" width="11.25" style="1695" customWidth="1"/>
    <col min="3590" max="3590" width="13.25" style="1695" customWidth="1"/>
    <col min="3591" max="3591" width="13.625" style="1695" customWidth="1"/>
    <col min="3592" max="3593" width="13.75" style="1695" customWidth="1"/>
    <col min="3594" max="3594" width="18.25" style="1695" customWidth="1"/>
    <col min="3595" max="3595" width="16.875" style="1695" customWidth="1"/>
    <col min="3596" max="3596" width="11.75" style="1695" customWidth="1"/>
    <col min="3597" max="3597" width="12.875" style="1695" customWidth="1"/>
    <col min="3598" max="3841" width="9" style="1695"/>
    <col min="3842" max="3842" width="13.25" style="1695" customWidth="1"/>
    <col min="3843" max="3843" width="10.875" style="1695" customWidth="1"/>
    <col min="3844" max="3844" width="11.75" style="1695" customWidth="1"/>
    <col min="3845" max="3845" width="11.25" style="1695" customWidth="1"/>
    <col min="3846" max="3846" width="13.25" style="1695" customWidth="1"/>
    <col min="3847" max="3847" width="13.625" style="1695" customWidth="1"/>
    <col min="3848" max="3849" width="13.75" style="1695" customWidth="1"/>
    <col min="3850" max="3850" width="18.25" style="1695" customWidth="1"/>
    <col min="3851" max="3851" width="16.875" style="1695" customWidth="1"/>
    <col min="3852" max="3852" width="11.75" style="1695" customWidth="1"/>
    <col min="3853" max="3853" width="12.875" style="1695" customWidth="1"/>
    <col min="3854" max="4097" width="9" style="1695"/>
    <col min="4098" max="4098" width="13.25" style="1695" customWidth="1"/>
    <col min="4099" max="4099" width="10.875" style="1695" customWidth="1"/>
    <col min="4100" max="4100" width="11.75" style="1695" customWidth="1"/>
    <col min="4101" max="4101" width="11.25" style="1695" customWidth="1"/>
    <col min="4102" max="4102" width="13.25" style="1695" customWidth="1"/>
    <col min="4103" max="4103" width="13.625" style="1695" customWidth="1"/>
    <col min="4104" max="4105" width="13.75" style="1695" customWidth="1"/>
    <col min="4106" max="4106" width="18.25" style="1695" customWidth="1"/>
    <col min="4107" max="4107" width="16.875" style="1695" customWidth="1"/>
    <col min="4108" max="4108" width="11.75" style="1695" customWidth="1"/>
    <col min="4109" max="4109" width="12.875" style="1695" customWidth="1"/>
    <col min="4110" max="4353" width="9" style="1695"/>
    <col min="4354" max="4354" width="13.25" style="1695" customWidth="1"/>
    <col min="4355" max="4355" width="10.875" style="1695" customWidth="1"/>
    <col min="4356" max="4356" width="11.75" style="1695" customWidth="1"/>
    <col min="4357" max="4357" width="11.25" style="1695" customWidth="1"/>
    <col min="4358" max="4358" width="13.25" style="1695" customWidth="1"/>
    <col min="4359" max="4359" width="13.625" style="1695" customWidth="1"/>
    <col min="4360" max="4361" width="13.75" style="1695" customWidth="1"/>
    <col min="4362" max="4362" width="18.25" style="1695" customWidth="1"/>
    <col min="4363" max="4363" width="16.875" style="1695" customWidth="1"/>
    <col min="4364" max="4364" width="11.75" style="1695" customWidth="1"/>
    <col min="4365" max="4365" width="12.875" style="1695" customWidth="1"/>
    <col min="4366" max="4609" width="9" style="1695"/>
    <col min="4610" max="4610" width="13.25" style="1695" customWidth="1"/>
    <col min="4611" max="4611" width="10.875" style="1695" customWidth="1"/>
    <col min="4612" max="4612" width="11.75" style="1695" customWidth="1"/>
    <col min="4613" max="4613" width="11.25" style="1695" customWidth="1"/>
    <col min="4614" max="4614" width="13.25" style="1695" customWidth="1"/>
    <col min="4615" max="4615" width="13.625" style="1695" customWidth="1"/>
    <col min="4616" max="4617" width="13.75" style="1695" customWidth="1"/>
    <col min="4618" max="4618" width="18.25" style="1695" customWidth="1"/>
    <col min="4619" max="4619" width="16.875" style="1695" customWidth="1"/>
    <col min="4620" max="4620" width="11.75" style="1695" customWidth="1"/>
    <col min="4621" max="4621" width="12.875" style="1695" customWidth="1"/>
    <col min="4622" max="4865" width="9" style="1695"/>
    <col min="4866" max="4866" width="13.25" style="1695" customWidth="1"/>
    <col min="4867" max="4867" width="10.875" style="1695" customWidth="1"/>
    <col min="4868" max="4868" width="11.75" style="1695" customWidth="1"/>
    <col min="4869" max="4869" width="11.25" style="1695" customWidth="1"/>
    <col min="4870" max="4870" width="13.25" style="1695" customWidth="1"/>
    <col min="4871" max="4871" width="13.625" style="1695" customWidth="1"/>
    <col min="4872" max="4873" width="13.75" style="1695" customWidth="1"/>
    <col min="4874" max="4874" width="18.25" style="1695" customWidth="1"/>
    <col min="4875" max="4875" width="16.875" style="1695" customWidth="1"/>
    <col min="4876" max="4876" width="11.75" style="1695" customWidth="1"/>
    <col min="4877" max="4877" width="12.875" style="1695" customWidth="1"/>
    <col min="4878" max="5121" width="9" style="1695"/>
    <col min="5122" max="5122" width="13.25" style="1695" customWidth="1"/>
    <col min="5123" max="5123" width="10.875" style="1695" customWidth="1"/>
    <col min="5124" max="5124" width="11.75" style="1695" customWidth="1"/>
    <col min="5125" max="5125" width="11.25" style="1695" customWidth="1"/>
    <col min="5126" max="5126" width="13.25" style="1695" customWidth="1"/>
    <col min="5127" max="5127" width="13.625" style="1695" customWidth="1"/>
    <col min="5128" max="5129" width="13.75" style="1695" customWidth="1"/>
    <col min="5130" max="5130" width="18.25" style="1695" customWidth="1"/>
    <col min="5131" max="5131" width="16.875" style="1695" customWidth="1"/>
    <col min="5132" max="5132" width="11.75" style="1695" customWidth="1"/>
    <col min="5133" max="5133" width="12.875" style="1695" customWidth="1"/>
    <col min="5134" max="5377" width="9" style="1695"/>
    <col min="5378" max="5378" width="13.25" style="1695" customWidth="1"/>
    <col min="5379" max="5379" width="10.875" style="1695" customWidth="1"/>
    <col min="5380" max="5380" width="11.75" style="1695" customWidth="1"/>
    <col min="5381" max="5381" width="11.25" style="1695" customWidth="1"/>
    <col min="5382" max="5382" width="13.25" style="1695" customWidth="1"/>
    <col min="5383" max="5383" width="13.625" style="1695" customWidth="1"/>
    <col min="5384" max="5385" width="13.75" style="1695" customWidth="1"/>
    <col min="5386" max="5386" width="18.25" style="1695" customWidth="1"/>
    <col min="5387" max="5387" width="16.875" style="1695" customWidth="1"/>
    <col min="5388" max="5388" width="11.75" style="1695" customWidth="1"/>
    <col min="5389" max="5389" width="12.875" style="1695" customWidth="1"/>
    <col min="5390" max="5633" width="9" style="1695"/>
    <col min="5634" max="5634" width="13.25" style="1695" customWidth="1"/>
    <col min="5635" max="5635" width="10.875" style="1695" customWidth="1"/>
    <col min="5636" max="5636" width="11.75" style="1695" customWidth="1"/>
    <col min="5637" max="5637" width="11.25" style="1695" customWidth="1"/>
    <col min="5638" max="5638" width="13.25" style="1695" customWidth="1"/>
    <col min="5639" max="5639" width="13.625" style="1695" customWidth="1"/>
    <col min="5640" max="5641" width="13.75" style="1695" customWidth="1"/>
    <col min="5642" max="5642" width="18.25" style="1695" customWidth="1"/>
    <col min="5643" max="5643" width="16.875" style="1695" customWidth="1"/>
    <col min="5644" max="5644" width="11.75" style="1695" customWidth="1"/>
    <col min="5645" max="5645" width="12.875" style="1695" customWidth="1"/>
    <col min="5646" max="5889" width="9" style="1695"/>
    <col min="5890" max="5890" width="13.25" style="1695" customWidth="1"/>
    <col min="5891" max="5891" width="10.875" style="1695" customWidth="1"/>
    <col min="5892" max="5892" width="11.75" style="1695" customWidth="1"/>
    <col min="5893" max="5893" width="11.25" style="1695" customWidth="1"/>
    <col min="5894" max="5894" width="13.25" style="1695" customWidth="1"/>
    <col min="5895" max="5895" width="13.625" style="1695" customWidth="1"/>
    <col min="5896" max="5897" width="13.75" style="1695" customWidth="1"/>
    <col min="5898" max="5898" width="18.25" style="1695" customWidth="1"/>
    <col min="5899" max="5899" width="16.875" style="1695" customWidth="1"/>
    <col min="5900" max="5900" width="11.75" style="1695" customWidth="1"/>
    <col min="5901" max="5901" width="12.875" style="1695" customWidth="1"/>
    <col min="5902" max="6145" width="9" style="1695"/>
    <col min="6146" max="6146" width="13.25" style="1695" customWidth="1"/>
    <col min="6147" max="6147" width="10.875" style="1695" customWidth="1"/>
    <col min="6148" max="6148" width="11.75" style="1695" customWidth="1"/>
    <col min="6149" max="6149" width="11.25" style="1695" customWidth="1"/>
    <col min="6150" max="6150" width="13.25" style="1695" customWidth="1"/>
    <col min="6151" max="6151" width="13.625" style="1695" customWidth="1"/>
    <col min="6152" max="6153" width="13.75" style="1695" customWidth="1"/>
    <col min="6154" max="6154" width="18.25" style="1695" customWidth="1"/>
    <col min="6155" max="6155" width="16.875" style="1695" customWidth="1"/>
    <col min="6156" max="6156" width="11.75" style="1695" customWidth="1"/>
    <col min="6157" max="6157" width="12.875" style="1695" customWidth="1"/>
    <col min="6158" max="6401" width="9" style="1695"/>
    <col min="6402" max="6402" width="13.25" style="1695" customWidth="1"/>
    <col min="6403" max="6403" width="10.875" style="1695" customWidth="1"/>
    <col min="6404" max="6404" width="11.75" style="1695" customWidth="1"/>
    <col min="6405" max="6405" width="11.25" style="1695" customWidth="1"/>
    <col min="6406" max="6406" width="13.25" style="1695" customWidth="1"/>
    <col min="6407" max="6407" width="13.625" style="1695" customWidth="1"/>
    <col min="6408" max="6409" width="13.75" style="1695" customWidth="1"/>
    <col min="6410" max="6410" width="18.25" style="1695" customWidth="1"/>
    <col min="6411" max="6411" width="16.875" style="1695" customWidth="1"/>
    <col min="6412" max="6412" width="11.75" style="1695" customWidth="1"/>
    <col min="6413" max="6413" width="12.875" style="1695" customWidth="1"/>
    <col min="6414" max="6657" width="9" style="1695"/>
    <col min="6658" max="6658" width="13.25" style="1695" customWidth="1"/>
    <col min="6659" max="6659" width="10.875" style="1695" customWidth="1"/>
    <col min="6660" max="6660" width="11.75" style="1695" customWidth="1"/>
    <col min="6661" max="6661" width="11.25" style="1695" customWidth="1"/>
    <col min="6662" max="6662" width="13.25" style="1695" customWidth="1"/>
    <col min="6663" max="6663" width="13.625" style="1695" customWidth="1"/>
    <col min="6664" max="6665" width="13.75" style="1695" customWidth="1"/>
    <col min="6666" max="6666" width="18.25" style="1695" customWidth="1"/>
    <col min="6667" max="6667" width="16.875" style="1695" customWidth="1"/>
    <col min="6668" max="6668" width="11.75" style="1695" customWidth="1"/>
    <col min="6669" max="6669" width="12.875" style="1695" customWidth="1"/>
    <col min="6670" max="6913" width="9" style="1695"/>
    <col min="6914" max="6914" width="13.25" style="1695" customWidth="1"/>
    <col min="6915" max="6915" width="10.875" style="1695" customWidth="1"/>
    <col min="6916" max="6916" width="11.75" style="1695" customWidth="1"/>
    <col min="6917" max="6917" width="11.25" style="1695" customWidth="1"/>
    <col min="6918" max="6918" width="13.25" style="1695" customWidth="1"/>
    <col min="6919" max="6919" width="13.625" style="1695" customWidth="1"/>
    <col min="6920" max="6921" width="13.75" style="1695" customWidth="1"/>
    <col min="6922" max="6922" width="18.25" style="1695" customWidth="1"/>
    <col min="6923" max="6923" width="16.875" style="1695" customWidth="1"/>
    <col min="6924" max="6924" width="11.75" style="1695" customWidth="1"/>
    <col min="6925" max="6925" width="12.875" style="1695" customWidth="1"/>
    <col min="6926" max="7169" width="9" style="1695"/>
    <col min="7170" max="7170" width="13.25" style="1695" customWidth="1"/>
    <col min="7171" max="7171" width="10.875" style="1695" customWidth="1"/>
    <col min="7172" max="7172" width="11.75" style="1695" customWidth="1"/>
    <col min="7173" max="7173" width="11.25" style="1695" customWidth="1"/>
    <col min="7174" max="7174" width="13.25" style="1695" customWidth="1"/>
    <col min="7175" max="7175" width="13.625" style="1695" customWidth="1"/>
    <col min="7176" max="7177" width="13.75" style="1695" customWidth="1"/>
    <col min="7178" max="7178" width="18.25" style="1695" customWidth="1"/>
    <col min="7179" max="7179" width="16.875" style="1695" customWidth="1"/>
    <col min="7180" max="7180" width="11.75" style="1695" customWidth="1"/>
    <col min="7181" max="7181" width="12.875" style="1695" customWidth="1"/>
    <col min="7182" max="7425" width="9" style="1695"/>
    <col min="7426" max="7426" width="13.25" style="1695" customWidth="1"/>
    <col min="7427" max="7427" width="10.875" style="1695" customWidth="1"/>
    <col min="7428" max="7428" width="11.75" style="1695" customWidth="1"/>
    <col min="7429" max="7429" width="11.25" style="1695" customWidth="1"/>
    <col min="7430" max="7430" width="13.25" style="1695" customWidth="1"/>
    <col min="7431" max="7431" width="13.625" style="1695" customWidth="1"/>
    <col min="7432" max="7433" width="13.75" style="1695" customWidth="1"/>
    <col min="7434" max="7434" width="18.25" style="1695" customWidth="1"/>
    <col min="7435" max="7435" width="16.875" style="1695" customWidth="1"/>
    <col min="7436" max="7436" width="11.75" style="1695" customWidth="1"/>
    <col min="7437" max="7437" width="12.875" style="1695" customWidth="1"/>
    <col min="7438" max="7681" width="9" style="1695"/>
    <col min="7682" max="7682" width="13.25" style="1695" customWidth="1"/>
    <col min="7683" max="7683" width="10.875" style="1695" customWidth="1"/>
    <col min="7684" max="7684" width="11.75" style="1695" customWidth="1"/>
    <col min="7685" max="7685" width="11.25" style="1695" customWidth="1"/>
    <col min="7686" max="7686" width="13.25" style="1695" customWidth="1"/>
    <col min="7687" max="7687" width="13.625" style="1695" customWidth="1"/>
    <col min="7688" max="7689" width="13.75" style="1695" customWidth="1"/>
    <col min="7690" max="7690" width="18.25" style="1695" customWidth="1"/>
    <col min="7691" max="7691" width="16.875" style="1695" customWidth="1"/>
    <col min="7692" max="7692" width="11.75" style="1695" customWidth="1"/>
    <col min="7693" max="7693" width="12.875" style="1695" customWidth="1"/>
    <col min="7694" max="7937" width="9" style="1695"/>
    <col min="7938" max="7938" width="13.25" style="1695" customWidth="1"/>
    <col min="7939" max="7939" width="10.875" style="1695" customWidth="1"/>
    <col min="7940" max="7940" width="11.75" style="1695" customWidth="1"/>
    <col min="7941" max="7941" width="11.25" style="1695" customWidth="1"/>
    <col min="7942" max="7942" width="13.25" style="1695" customWidth="1"/>
    <col min="7943" max="7943" width="13.625" style="1695" customWidth="1"/>
    <col min="7944" max="7945" width="13.75" style="1695" customWidth="1"/>
    <col min="7946" max="7946" width="18.25" style="1695" customWidth="1"/>
    <col min="7947" max="7947" width="16.875" style="1695" customWidth="1"/>
    <col min="7948" max="7948" width="11.75" style="1695" customWidth="1"/>
    <col min="7949" max="7949" width="12.875" style="1695" customWidth="1"/>
    <col min="7950" max="8193" width="9" style="1695"/>
    <col min="8194" max="8194" width="13.25" style="1695" customWidth="1"/>
    <col min="8195" max="8195" width="10.875" style="1695" customWidth="1"/>
    <col min="8196" max="8196" width="11.75" style="1695" customWidth="1"/>
    <col min="8197" max="8197" width="11.25" style="1695" customWidth="1"/>
    <col min="8198" max="8198" width="13.25" style="1695" customWidth="1"/>
    <col min="8199" max="8199" width="13.625" style="1695" customWidth="1"/>
    <col min="8200" max="8201" width="13.75" style="1695" customWidth="1"/>
    <col min="8202" max="8202" width="18.25" style="1695" customWidth="1"/>
    <col min="8203" max="8203" width="16.875" style="1695" customWidth="1"/>
    <col min="8204" max="8204" width="11.75" style="1695" customWidth="1"/>
    <col min="8205" max="8205" width="12.875" style="1695" customWidth="1"/>
    <col min="8206" max="8449" width="9" style="1695"/>
    <col min="8450" max="8450" width="13.25" style="1695" customWidth="1"/>
    <col min="8451" max="8451" width="10.875" style="1695" customWidth="1"/>
    <col min="8452" max="8452" width="11.75" style="1695" customWidth="1"/>
    <col min="8453" max="8453" width="11.25" style="1695" customWidth="1"/>
    <col min="8454" max="8454" width="13.25" style="1695" customWidth="1"/>
    <col min="8455" max="8455" width="13.625" style="1695" customWidth="1"/>
    <col min="8456" max="8457" width="13.75" style="1695" customWidth="1"/>
    <col min="8458" max="8458" width="18.25" style="1695" customWidth="1"/>
    <col min="8459" max="8459" width="16.875" style="1695" customWidth="1"/>
    <col min="8460" max="8460" width="11.75" style="1695" customWidth="1"/>
    <col min="8461" max="8461" width="12.875" style="1695" customWidth="1"/>
    <col min="8462" max="8705" width="9" style="1695"/>
    <col min="8706" max="8706" width="13.25" style="1695" customWidth="1"/>
    <col min="8707" max="8707" width="10.875" style="1695" customWidth="1"/>
    <col min="8708" max="8708" width="11.75" style="1695" customWidth="1"/>
    <col min="8709" max="8709" width="11.25" style="1695" customWidth="1"/>
    <col min="8710" max="8710" width="13.25" style="1695" customWidth="1"/>
    <col min="8711" max="8711" width="13.625" style="1695" customWidth="1"/>
    <col min="8712" max="8713" width="13.75" style="1695" customWidth="1"/>
    <col min="8714" max="8714" width="18.25" style="1695" customWidth="1"/>
    <col min="8715" max="8715" width="16.875" style="1695" customWidth="1"/>
    <col min="8716" max="8716" width="11.75" style="1695" customWidth="1"/>
    <col min="8717" max="8717" width="12.875" style="1695" customWidth="1"/>
    <col min="8718" max="8961" width="9" style="1695"/>
    <col min="8962" max="8962" width="13.25" style="1695" customWidth="1"/>
    <col min="8963" max="8963" width="10.875" style="1695" customWidth="1"/>
    <col min="8964" max="8964" width="11.75" style="1695" customWidth="1"/>
    <col min="8965" max="8965" width="11.25" style="1695" customWidth="1"/>
    <col min="8966" max="8966" width="13.25" style="1695" customWidth="1"/>
    <col min="8967" max="8967" width="13.625" style="1695" customWidth="1"/>
    <col min="8968" max="8969" width="13.75" style="1695" customWidth="1"/>
    <col min="8970" max="8970" width="18.25" style="1695" customWidth="1"/>
    <col min="8971" max="8971" width="16.875" style="1695" customWidth="1"/>
    <col min="8972" max="8972" width="11.75" style="1695" customWidth="1"/>
    <col min="8973" max="8973" width="12.875" style="1695" customWidth="1"/>
    <col min="8974" max="9217" width="9" style="1695"/>
    <col min="9218" max="9218" width="13.25" style="1695" customWidth="1"/>
    <col min="9219" max="9219" width="10.875" style="1695" customWidth="1"/>
    <col min="9220" max="9220" width="11.75" style="1695" customWidth="1"/>
    <col min="9221" max="9221" width="11.25" style="1695" customWidth="1"/>
    <col min="9222" max="9222" width="13.25" style="1695" customWidth="1"/>
    <col min="9223" max="9223" width="13.625" style="1695" customWidth="1"/>
    <col min="9224" max="9225" width="13.75" style="1695" customWidth="1"/>
    <col min="9226" max="9226" width="18.25" style="1695" customWidth="1"/>
    <col min="9227" max="9227" width="16.875" style="1695" customWidth="1"/>
    <col min="9228" max="9228" width="11.75" style="1695" customWidth="1"/>
    <col min="9229" max="9229" width="12.875" style="1695" customWidth="1"/>
    <col min="9230" max="9473" width="9" style="1695"/>
    <col min="9474" max="9474" width="13.25" style="1695" customWidth="1"/>
    <col min="9475" max="9475" width="10.875" style="1695" customWidth="1"/>
    <col min="9476" max="9476" width="11.75" style="1695" customWidth="1"/>
    <col min="9477" max="9477" width="11.25" style="1695" customWidth="1"/>
    <col min="9478" max="9478" width="13.25" style="1695" customWidth="1"/>
    <col min="9479" max="9479" width="13.625" style="1695" customWidth="1"/>
    <col min="9480" max="9481" width="13.75" style="1695" customWidth="1"/>
    <col min="9482" max="9482" width="18.25" style="1695" customWidth="1"/>
    <col min="9483" max="9483" width="16.875" style="1695" customWidth="1"/>
    <col min="9484" max="9484" width="11.75" style="1695" customWidth="1"/>
    <col min="9485" max="9485" width="12.875" style="1695" customWidth="1"/>
    <col min="9486" max="9729" width="9" style="1695"/>
    <col min="9730" max="9730" width="13.25" style="1695" customWidth="1"/>
    <col min="9731" max="9731" width="10.875" style="1695" customWidth="1"/>
    <col min="9732" max="9732" width="11.75" style="1695" customWidth="1"/>
    <col min="9733" max="9733" width="11.25" style="1695" customWidth="1"/>
    <col min="9734" max="9734" width="13.25" style="1695" customWidth="1"/>
    <col min="9735" max="9735" width="13.625" style="1695" customWidth="1"/>
    <col min="9736" max="9737" width="13.75" style="1695" customWidth="1"/>
    <col min="9738" max="9738" width="18.25" style="1695" customWidth="1"/>
    <col min="9739" max="9739" width="16.875" style="1695" customWidth="1"/>
    <col min="9740" max="9740" width="11.75" style="1695" customWidth="1"/>
    <col min="9741" max="9741" width="12.875" style="1695" customWidth="1"/>
    <col min="9742" max="9985" width="9" style="1695"/>
    <col min="9986" max="9986" width="13.25" style="1695" customWidth="1"/>
    <col min="9987" max="9987" width="10.875" style="1695" customWidth="1"/>
    <col min="9988" max="9988" width="11.75" style="1695" customWidth="1"/>
    <col min="9989" max="9989" width="11.25" style="1695" customWidth="1"/>
    <col min="9990" max="9990" width="13.25" style="1695" customWidth="1"/>
    <col min="9991" max="9991" width="13.625" style="1695" customWidth="1"/>
    <col min="9992" max="9993" width="13.75" style="1695" customWidth="1"/>
    <col min="9994" max="9994" width="18.25" style="1695" customWidth="1"/>
    <col min="9995" max="9995" width="16.875" style="1695" customWidth="1"/>
    <col min="9996" max="9996" width="11.75" style="1695" customWidth="1"/>
    <col min="9997" max="9997" width="12.875" style="1695" customWidth="1"/>
    <col min="9998" max="10241" width="9" style="1695"/>
    <col min="10242" max="10242" width="13.25" style="1695" customWidth="1"/>
    <col min="10243" max="10243" width="10.875" style="1695" customWidth="1"/>
    <col min="10244" max="10244" width="11.75" style="1695" customWidth="1"/>
    <col min="10245" max="10245" width="11.25" style="1695" customWidth="1"/>
    <col min="10246" max="10246" width="13.25" style="1695" customWidth="1"/>
    <col min="10247" max="10247" width="13.625" style="1695" customWidth="1"/>
    <col min="10248" max="10249" width="13.75" style="1695" customWidth="1"/>
    <col min="10250" max="10250" width="18.25" style="1695" customWidth="1"/>
    <col min="10251" max="10251" width="16.875" style="1695" customWidth="1"/>
    <col min="10252" max="10252" width="11.75" style="1695" customWidth="1"/>
    <col min="10253" max="10253" width="12.875" style="1695" customWidth="1"/>
    <col min="10254" max="10497" width="9" style="1695"/>
    <col min="10498" max="10498" width="13.25" style="1695" customWidth="1"/>
    <col min="10499" max="10499" width="10.875" style="1695" customWidth="1"/>
    <col min="10500" max="10500" width="11.75" style="1695" customWidth="1"/>
    <col min="10501" max="10501" width="11.25" style="1695" customWidth="1"/>
    <col min="10502" max="10502" width="13.25" style="1695" customWidth="1"/>
    <col min="10503" max="10503" width="13.625" style="1695" customWidth="1"/>
    <col min="10504" max="10505" width="13.75" style="1695" customWidth="1"/>
    <col min="10506" max="10506" width="18.25" style="1695" customWidth="1"/>
    <col min="10507" max="10507" width="16.875" style="1695" customWidth="1"/>
    <col min="10508" max="10508" width="11.75" style="1695" customWidth="1"/>
    <col min="10509" max="10509" width="12.875" style="1695" customWidth="1"/>
    <col min="10510" max="10753" width="9" style="1695"/>
    <col min="10754" max="10754" width="13.25" style="1695" customWidth="1"/>
    <col min="10755" max="10755" width="10.875" style="1695" customWidth="1"/>
    <col min="10756" max="10756" width="11.75" style="1695" customWidth="1"/>
    <col min="10757" max="10757" width="11.25" style="1695" customWidth="1"/>
    <col min="10758" max="10758" width="13.25" style="1695" customWidth="1"/>
    <col min="10759" max="10759" width="13.625" style="1695" customWidth="1"/>
    <col min="10760" max="10761" width="13.75" style="1695" customWidth="1"/>
    <col min="10762" max="10762" width="18.25" style="1695" customWidth="1"/>
    <col min="10763" max="10763" width="16.875" style="1695" customWidth="1"/>
    <col min="10764" max="10764" width="11.75" style="1695" customWidth="1"/>
    <col min="10765" max="10765" width="12.875" style="1695" customWidth="1"/>
    <col min="10766" max="11009" width="9" style="1695"/>
    <col min="11010" max="11010" width="13.25" style="1695" customWidth="1"/>
    <col min="11011" max="11011" width="10.875" style="1695" customWidth="1"/>
    <col min="11012" max="11012" width="11.75" style="1695" customWidth="1"/>
    <col min="11013" max="11013" width="11.25" style="1695" customWidth="1"/>
    <col min="11014" max="11014" width="13.25" style="1695" customWidth="1"/>
    <col min="11015" max="11015" width="13.625" style="1695" customWidth="1"/>
    <col min="11016" max="11017" width="13.75" style="1695" customWidth="1"/>
    <col min="11018" max="11018" width="18.25" style="1695" customWidth="1"/>
    <col min="11019" max="11019" width="16.875" style="1695" customWidth="1"/>
    <col min="11020" max="11020" width="11.75" style="1695" customWidth="1"/>
    <col min="11021" max="11021" width="12.875" style="1695" customWidth="1"/>
    <col min="11022" max="11265" width="9" style="1695"/>
    <col min="11266" max="11266" width="13.25" style="1695" customWidth="1"/>
    <col min="11267" max="11267" width="10.875" style="1695" customWidth="1"/>
    <col min="11268" max="11268" width="11.75" style="1695" customWidth="1"/>
    <col min="11269" max="11269" width="11.25" style="1695" customWidth="1"/>
    <col min="11270" max="11270" width="13.25" style="1695" customWidth="1"/>
    <col min="11271" max="11271" width="13.625" style="1695" customWidth="1"/>
    <col min="11272" max="11273" width="13.75" style="1695" customWidth="1"/>
    <col min="11274" max="11274" width="18.25" style="1695" customWidth="1"/>
    <col min="11275" max="11275" width="16.875" style="1695" customWidth="1"/>
    <col min="11276" max="11276" width="11.75" style="1695" customWidth="1"/>
    <col min="11277" max="11277" width="12.875" style="1695" customWidth="1"/>
    <col min="11278" max="11521" width="9" style="1695"/>
    <col min="11522" max="11522" width="13.25" style="1695" customWidth="1"/>
    <col min="11523" max="11523" width="10.875" style="1695" customWidth="1"/>
    <col min="11524" max="11524" width="11.75" style="1695" customWidth="1"/>
    <col min="11525" max="11525" width="11.25" style="1695" customWidth="1"/>
    <col min="11526" max="11526" width="13.25" style="1695" customWidth="1"/>
    <col min="11527" max="11527" width="13.625" style="1695" customWidth="1"/>
    <col min="11528" max="11529" width="13.75" style="1695" customWidth="1"/>
    <col min="11530" max="11530" width="18.25" style="1695" customWidth="1"/>
    <col min="11531" max="11531" width="16.875" style="1695" customWidth="1"/>
    <col min="11532" max="11532" width="11.75" style="1695" customWidth="1"/>
    <col min="11533" max="11533" width="12.875" style="1695" customWidth="1"/>
    <col min="11534" max="11777" width="9" style="1695"/>
    <col min="11778" max="11778" width="13.25" style="1695" customWidth="1"/>
    <col min="11779" max="11779" width="10.875" style="1695" customWidth="1"/>
    <col min="11780" max="11780" width="11.75" style="1695" customWidth="1"/>
    <col min="11781" max="11781" width="11.25" style="1695" customWidth="1"/>
    <col min="11782" max="11782" width="13.25" style="1695" customWidth="1"/>
    <col min="11783" max="11783" width="13.625" style="1695" customWidth="1"/>
    <col min="11784" max="11785" width="13.75" style="1695" customWidth="1"/>
    <col min="11786" max="11786" width="18.25" style="1695" customWidth="1"/>
    <col min="11787" max="11787" width="16.875" style="1695" customWidth="1"/>
    <col min="11788" max="11788" width="11.75" style="1695" customWidth="1"/>
    <col min="11789" max="11789" width="12.875" style="1695" customWidth="1"/>
    <col min="11790" max="12033" width="9" style="1695"/>
    <col min="12034" max="12034" width="13.25" style="1695" customWidth="1"/>
    <col min="12035" max="12035" width="10.875" style="1695" customWidth="1"/>
    <col min="12036" max="12036" width="11.75" style="1695" customWidth="1"/>
    <col min="12037" max="12037" width="11.25" style="1695" customWidth="1"/>
    <col min="12038" max="12038" width="13.25" style="1695" customWidth="1"/>
    <col min="12039" max="12039" width="13.625" style="1695" customWidth="1"/>
    <col min="12040" max="12041" width="13.75" style="1695" customWidth="1"/>
    <col min="12042" max="12042" width="18.25" style="1695" customWidth="1"/>
    <col min="12043" max="12043" width="16.875" style="1695" customWidth="1"/>
    <col min="12044" max="12044" width="11.75" style="1695" customWidth="1"/>
    <col min="12045" max="12045" width="12.875" style="1695" customWidth="1"/>
    <col min="12046" max="12289" width="9" style="1695"/>
    <col min="12290" max="12290" width="13.25" style="1695" customWidth="1"/>
    <col min="12291" max="12291" width="10.875" style="1695" customWidth="1"/>
    <col min="12292" max="12292" width="11.75" style="1695" customWidth="1"/>
    <col min="12293" max="12293" width="11.25" style="1695" customWidth="1"/>
    <col min="12294" max="12294" width="13.25" style="1695" customWidth="1"/>
    <col min="12295" max="12295" width="13.625" style="1695" customWidth="1"/>
    <col min="12296" max="12297" width="13.75" style="1695" customWidth="1"/>
    <col min="12298" max="12298" width="18.25" style="1695" customWidth="1"/>
    <col min="12299" max="12299" width="16.875" style="1695" customWidth="1"/>
    <col min="12300" max="12300" width="11.75" style="1695" customWidth="1"/>
    <col min="12301" max="12301" width="12.875" style="1695" customWidth="1"/>
    <col min="12302" max="12545" width="9" style="1695"/>
    <col min="12546" max="12546" width="13.25" style="1695" customWidth="1"/>
    <col min="12547" max="12547" width="10.875" style="1695" customWidth="1"/>
    <col min="12548" max="12548" width="11.75" style="1695" customWidth="1"/>
    <col min="12549" max="12549" width="11.25" style="1695" customWidth="1"/>
    <col min="12550" max="12550" width="13.25" style="1695" customWidth="1"/>
    <col min="12551" max="12551" width="13.625" style="1695" customWidth="1"/>
    <col min="12552" max="12553" width="13.75" style="1695" customWidth="1"/>
    <col min="12554" max="12554" width="18.25" style="1695" customWidth="1"/>
    <col min="12555" max="12555" width="16.875" style="1695" customWidth="1"/>
    <col min="12556" max="12556" width="11.75" style="1695" customWidth="1"/>
    <col min="12557" max="12557" width="12.875" style="1695" customWidth="1"/>
    <col min="12558" max="12801" width="9" style="1695"/>
    <col min="12802" max="12802" width="13.25" style="1695" customWidth="1"/>
    <col min="12803" max="12803" width="10.875" style="1695" customWidth="1"/>
    <col min="12804" max="12804" width="11.75" style="1695" customWidth="1"/>
    <col min="12805" max="12805" width="11.25" style="1695" customWidth="1"/>
    <col min="12806" max="12806" width="13.25" style="1695" customWidth="1"/>
    <col min="12807" max="12807" width="13.625" style="1695" customWidth="1"/>
    <col min="12808" max="12809" width="13.75" style="1695" customWidth="1"/>
    <col min="12810" max="12810" width="18.25" style="1695" customWidth="1"/>
    <col min="12811" max="12811" width="16.875" style="1695" customWidth="1"/>
    <col min="12812" max="12812" width="11.75" style="1695" customWidth="1"/>
    <col min="12813" max="12813" width="12.875" style="1695" customWidth="1"/>
    <col min="12814" max="13057" width="9" style="1695"/>
    <col min="13058" max="13058" width="13.25" style="1695" customWidth="1"/>
    <col min="13059" max="13059" width="10.875" style="1695" customWidth="1"/>
    <col min="13060" max="13060" width="11.75" style="1695" customWidth="1"/>
    <col min="13061" max="13061" width="11.25" style="1695" customWidth="1"/>
    <col min="13062" max="13062" width="13.25" style="1695" customWidth="1"/>
    <col min="13063" max="13063" width="13.625" style="1695" customWidth="1"/>
    <col min="13064" max="13065" width="13.75" style="1695" customWidth="1"/>
    <col min="13066" max="13066" width="18.25" style="1695" customWidth="1"/>
    <col min="13067" max="13067" width="16.875" style="1695" customWidth="1"/>
    <col min="13068" max="13068" width="11.75" style="1695" customWidth="1"/>
    <col min="13069" max="13069" width="12.875" style="1695" customWidth="1"/>
    <col min="13070" max="13313" width="9" style="1695"/>
    <col min="13314" max="13314" width="13.25" style="1695" customWidth="1"/>
    <col min="13315" max="13315" width="10.875" style="1695" customWidth="1"/>
    <col min="13316" max="13316" width="11.75" style="1695" customWidth="1"/>
    <col min="13317" max="13317" width="11.25" style="1695" customWidth="1"/>
    <col min="13318" max="13318" width="13.25" style="1695" customWidth="1"/>
    <col min="13319" max="13319" width="13.625" style="1695" customWidth="1"/>
    <col min="13320" max="13321" width="13.75" style="1695" customWidth="1"/>
    <col min="13322" max="13322" width="18.25" style="1695" customWidth="1"/>
    <col min="13323" max="13323" width="16.875" style="1695" customWidth="1"/>
    <col min="13324" max="13324" width="11.75" style="1695" customWidth="1"/>
    <col min="13325" max="13325" width="12.875" style="1695" customWidth="1"/>
    <col min="13326" max="13569" width="9" style="1695"/>
    <col min="13570" max="13570" width="13.25" style="1695" customWidth="1"/>
    <col min="13571" max="13571" width="10.875" style="1695" customWidth="1"/>
    <col min="13572" max="13572" width="11.75" style="1695" customWidth="1"/>
    <col min="13573" max="13573" width="11.25" style="1695" customWidth="1"/>
    <col min="13574" max="13574" width="13.25" style="1695" customWidth="1"/>
    <col min="13575" max="13575" width="13.625" style="1695" customWidth="1"/>
    <col min="13576" max="13577" width="13.75" style="1695" customWidth="1"/>
    <col min="13578" max="13578" width="18.25" style="1695" customWidth="1"/>
    <col min="13579" max="13579" width="16.875" style="1695" customWidth="1"/>
    <col min="13580" max="13580" width="11.75" style="1695" customWidth="1"/>
    <col min="13581" max="13581" width="12.875" style="1695" customWidth="1"/>
    <col min="13582" max="13825" width="9" style="1695"/>
    <col min="13826" max="13826" width="13.25" style="1695" customWidth="1"/>
    <col min="13827" max="13827" width="10.875" style="1695" customWidth="1"/>
    <col min="13828" max="13828" width="11.75" style="1695" customWidth="1"/>
    <col min="13829" max="13829" width="11.25" style="1695" customWidth="1"/>
    <col min="13830" max="13830" width="13.25" style="1695" customWidth="1"/>
    <col min="13831" max="13831" width="13.625" style="1695" customWidth="1"/>
    <col min="13832" max="13833" width="13.75" style="1695" customWidth="1"/>
    <col min="13834" max="13834" width="18.25" style="1695" customWidth="1"/>
    <col min="13835" max="13835" width="16.875" style="1695" customWidth="1"/>
    <col min="13836" max="13836" width="11.75" style="1695" customWidth="1"/>
    <col min="13837" max="13837" width="12.875" style="1695" customWidth="1"/>
    <col min="13838" max="14081" width="9" style="1695"/>
    <col min="14082" max="14082" width="13.25" style="1695" customWidth="1"/>
    <col min="14083" max="14083" width="10.875" style="1695" customWidth="1"/>
    <col min="14084" max="14084" width="11.75" style="1695" customWidth="1"/>
    <col min="14085" max="14085" width="11.25" style="1695" customWidth="1"/>
    <col min="14086" max="14086" width="13.25" style="1695" customWidth="1"/>
    <col min="14087" max="14087" width="13.625" style="1695" customWidth="1"/>
    <col min="14088" max="14089" width="13.75" style="1695" customWidth="1"/>
    <col min="14090" max="14090" width="18.25" style="1695" customWidth="1"/>
    <col min="14091" max="14091" width="16.875" style="1695" customWidth="1"/>
    <col min="14092" max="14092" width="11.75" style="1695" customWidth="1"/>
    <col min="14093" max="14093" width="12.875" style="1695" customWidth="1"/>
    <col min="14094" max="14337" width="9" style="1695"/>
    <col min="14338" max="14338" width="13.25" style="1695" customWidth="1"/>
    <col min="14339" max="14339" width="10.875" style="1695" customWidth="1"/>
    <col min="14340" max="14340" width="11.75" style="1695" customWidth="1"/>
    <col min="14341" max="14341" width="11.25" style="1695" customWidth="1"/>
    <col min="14342" max="14342" width="13.25" style="1695" customWidth="1"/>
    <col min="14343" max="14343" width="13.625" style="1695" customWidth="1"/>
    <col min="14344" max="14345" width="13.75" style="1695" customWidth="1"/>
    <col min="14346" max="14346" width="18.25" style="1695" customWidth="1"/>
    <col min="14347" max="14347" width="16.875" style="1695" customWidth="1"/>
    <col min="14348" max="14348" width="11.75" style="1695" customWidth="1"/>
    <col min="14349" max="14349" width="12.875" style="1695" customWidth="1"/>
    <col min="14350" max="14593" width="9" style="1695"/>
    <col min="14594" max="14594" width="13.25" style="1695" customWidth="1"/>
    <col min="14595" max="14595" width="10.875" style="1695" customWidth="1"/>
    <col min="14596" max="14596" width="11.75" style="1695" customWidth="1"/>
    <col min="14597" max="14597" width="11.25" style="1695" customWidth="1"/>
    <col min="14598" max="14598" width="13.25" style="1695" customWidth="1"/>
    <col min="14599" max="14599" width="13.625" style="1695" customWidth="1"/>
    <col min="14600" max="14601" width="13.75" style="1695" customWidth="1"/>
    <col min="14602" max="14602" width="18.25" style="1695" customWidth="1"/>
    <col min="14603" max="14603" width="16.875" style="1695" customWidth="1"/>
    <col min="14604" max="14604" width="11.75" style="1695" customWidth="1"/>
    <col min="14605" max="14605" width="12.875" style="1695" customWidth="1"/>
    <col min="14606" max="14849" width="9" style="1695"/>
    <col min="14850" max="14850" width="13.25" style="1695" customWidth="1"/>
    <col min="14851" max="14851" width="10.875" style="1695" customWidth="1"/>
    <col min="14852" max="14852" width="11.75" style="1695" customWidth="1"/>
    <col min="14853" max="14853" width="11.25" style="1695" customWidth="1"/>
    <col min="14854" max="14854" width="13.25" style="1695" customWidth="1"/>
    <col min="14855" max="14855" width="13.625" style="1695" customWidth="1"/>
    <col min="14856" max="14857" width="13.75" style="1695" customWidth="1"/>
    <col min="14858" max="14858" width="18.25" style="1695" customWidth="1"/>
    <col min="14859" max="14859" width="16.875" style="1695" customWidth="1"/>
    <col min="14860" max="14860" width="11.75" style="1695" customWidth="1"/>
    <col min="14861" max="14861" width="12.875" style="1695" customWidth="1"/>
    <col min="14862" max="15105" width="9" style="1695"/>
    <col min="15106" max="15106" width="13.25" style="1695" customWidth="1"/>
    <col min="15107" max="15107" width="10.875" style="1695" customWidth="1"/>
    <col min="15108" max="15108" width="11.75" style="1695" customWidth="1"/>
    <col min="15109" max="15109" width="11.25" style="1695" customWidth="1"/>
    <col min="15110" max="15110" width="13.25" style="1695" customWidth="1"/>
    <col min="15111" max="15111" width="13.625" style="1695" customWidth="1"/>
    <col min="15112" max="15113" width="13.75" style="1695" customWidth="1"/>
    <col min="15114" max="15114" width="18.25" style="1695" customWidth="1"/>
    <col min="15115" max="15115" width="16.875" style="1695" customWidth="1"/>
    <col min="15116" max="15116" width="11.75" style="1695" customWidth="1"/>
    <col min="15117" max="15117" width="12.875" style="1695" customWidth="1"/>
    <col min="15118" max="15361" width="9" style="1695"/>
    <col min="15362" max="15362" width="13.25" style="1695" customWidth="1"/>
    <col min="15363" max="15363" width="10.875" style="1695" customWidth="1"/>
    <col min="15364" max="15364" width="11.75" style="1695" customWidth="1"/>
    <col min="15365" max="15365" width="11.25" style="1695" customWidth="1"/>
    <col min="15366" max="15366" width="13.25" style="1695" customWidth="1"/>
    <col min="15367" max="15367" width="13.625" style="1695" customWidth="1"/>
    <col min="15368" max="15369" width="13.75" style="1695" customWidth="1"/>
    <col min="15370" max="15370" width="18.25" style="1695" customWidth="1"/>
    <col min="15371" max="15371" width="16.875" style="1695" customWidth="1"/>
    <col min="15372" max="15372" width="11.75" style="1695" customWidth="1"/>
    <col min="15373" max="15373" width="12.875" style="1695" customWidth="1"/>
    <col min="15374" max="15617" width="9" style="1695"/>
    <col min="15618" max="15618" width="13.25" style="1695" customWidth="1"/>
    <col min="15619" max="15619" width="10.875" style="1695" customWidth="1"/>
    <col min="15620" max="15620" width="11.75" style="1695" customWidth="1"/>
    <col min="15621" max="15621" width="11.25" style="1695" customWidth="1"/>
    <col min="15622" max="15622" width="13.25" style="1695" customWidth="1"/>
    <col min="15623" max="15623" width="13.625" style="1695" customWidth="1"/>
    <col min="15624" max="15625" width="13.75" style="1695" customWidth="1"/>
    <col min="15626" max="15626" width="18.25" style="1695" customWidth="1"/>
    <col min="15627" max="15627" width="16.875" style="1695" customWidth="1"/>
    <col min="15628" max="15628" width="11.75" style="1695" customWidth="1"/>
    <col min="15629" max="15629" width="12.875" style="1695" customWidth="1"/>
    <col min="15630" max="15873" width="9" style="1695"/>
    <col min="15874" max="15874" width="13.25" style="1695" customWidth="1"/>
    <col min="15875" max="15875" width="10.875" style="1695" customWidth="1"/>
    <col min="15876" max="15876" width="11.75" style="1695" customWidth="1"/>
    <col min="15877" max="15877" width="11.25" style="1695" customWidth="1"/>
    <col min="15878" max="15878" width="13.25" style="1695" customWidth="1"/>
    <col min="15879" max="15879" width="13.625" style="1695" customWidth="1"/>
    <col min="15880" max="15881" width="13.75" style="1695" customWidth="1"/>
    <col min="15882" max="15882" width="18.25" style="1695" customWidth="1"/>
    <col min="15883" max="15883" width="16.875" style="1695" customWidth="1"/>
    <col min="15884" max="15884" width="11.75" style="1695" customWidth="1"/>
    <col min="15885" max="15885" width="12.875" style="1695" customWidth="1"/>
    <col min="15886" max="16129" width="9" style="1695"/>
    <col min="16130" max="16130" width="13.25" style="1695" customWidth="1"/>
    <col min="16131" max="16131" width="10.875" style="1695" customWidth="1"/>
    <col min="16132" max="16132" width="11.75" style="1695" customWidth="1"/>
    <col min="16133" max="16133" width="11.25" style="1695" customWidth="1"/>
    <col min="16134" max="16134" width="13.25" style="1695" customWidth="1"/>
    <col min="16135" max="16135" width="13.625" style="1695" customWidth="1"/>
    <col min="16136" max="16137" width="13.75" style="1695" customWidth="1"/>
    <col min="16138" max="16138" width="18.25" style="1695" customWidth="1"/>
    <col min="16139" max="16139" width="16.875" style="1695" customWidth="1"/>
    <col min="16140" max="16140" width="11.75" style="1695" customWidth="1"/>
    <col min="16141" max="16141" width="12.875" style="1695" customWidth="1"/>
    <col min="16142" max="16384" width="9" style="1695"/>
  </cols>
  <sheetData>
    <row r="1" spans="1:13" ht="12" customHeight="1" thickBot="1">
      <c r="B1" s="1810"/>
    </row>
    <row r="2" spans="1:13" s="1694" customFormat="1" ht="18" customHeight="1">
      <c r="A2" s="2028"/>
      <c r="B2" s="186" t="s">
        <v>1318</v>
      </c>
      <c r="C2" s="1074"/>
      <c r="D2" s="1074"/>
      <c r="E2" s="1074"/>
      <c r="F2" s="1074"/>
      <c r="G2" s="2012"/>
      <c r="I2" s="186" t="s">
        <v>1158</v>
      </c>
      <c r="J2" s="1074"/>
      <c r="K2" s="2012"/>
    </row>
    <row r="3" spans="1:13" s="1694" customFormat="1" ht="18" customHeight="1">
      <c r="A3" s="2028"/>
      <c r="B3" s="2019" t="s">
        <v>1156</v>
      </c>
      <c r="C3" s="2023" t="s">
        <v>1157</v>
      </c>
      <c r="D3" s="2022">
        <f>利润表!M3</f>
        <v>2019</v>
      </c>
      <c r="E3" s="2020" t="str">
        <f>利润表!N3</f>
        <v>2020E</v>
      </c>
      <c r="F3" s="2020" t="str">
        <f>利润表!O3</f>
        <v>2021E</v>
      </c>
      <c r="G3" s="2021" t="str">
        <f>利润表!P3</f>
        <v>2022E</v>
      </c>
      <c r="I3" s="2029" t="s">
        <v>1160</v>
      </c>
      <c r="J3" s="2032" t="s">
        <v>1161</v>
      </c>
      <c r="K3" s="2033"/>
    </row>
    <row r="4" spans="1:13" s="1694" customFormat="1" ht="18" customHeight="1">
      <c r="A4" s="2028"/>
      <c r="B4" s="2563" t="s">
        <v>1159</v>
      </c>
      <c r="C4" s="2024" t="s">
        <v>1160</v>
      </c>
      <c r="D4" s="2049">
        <f>资产负债!M39/资产负债!M77</f>
        <v>1.2719860935443457</v>
      </c>
      <c r="E4" s="2017">
        <f ca="1">资产负债!N39/资产负债!N77</f>
        <v>1.4376974561994913</v>
      </c>
      <c r="F4" s="2017">
        <f ca="1">资产负债!O39/资产负债!O77</f>
        <v>2.3792697262553943</v>
      </c>
      <c r="G4" s="2018">
        <f ca="1">资产负债!P39/资产负债!P77</f>
        <v>5.0850157716999149</v>
      </c>
      <c r="I4" s="2030" t="s">
        <v>1162</v>
      </c>
      <c r="J4" s="2034" t="s">
        <v>1163</v>
      </c>
      <c r="K4" s="2035"/>
    </row>
    <row r="5" spans="1:13" s="1694" customFormat="1" ht="18" customHeight="1">
      <c r="A5" s="2028"/>
      <c r="B5" s="2564"/>
      <c r="C5" s="2025" t="s">
        <v>1162</v>
      </c>
      <c r="D5" s="2050">
        <f>资产负债!M65/资产负债!M39</f>
        <v>0.21382788296565858</v>
      </c>
      <c r="E5" s="2013">
        <f ca="1">资产负债!N65/资产负债!N39</f>
        <v>0.30444336832627567</v>
      </c>
      <c r="F5" s="2013">
        <f ca="1">资产负债!O65/资产负债!O39</f>
        <v>0.57970296979575875</v>
      </c>
      <c r="G5" s="2014">
        <f ca="1">资产负债!P65/资产负债!P39</f>
        <v>0.80334377612644048</v>
      </c>
      <c r="I5" s="2030" t="s">
        <v>1165</v>
      </c>
      <c r="J5" s="2034" t="s">
        <v>1245</v>
      </c>
      <c r="K5" s="2035"/>
    </row>
    <row r="6" spans="1:13" s="1694" customFormat="1" ht="18" customHeight="1">
      <c r="A6" s="2028"/>
      <c r="B6" s="2564" t="s">
        <v>1164</v>
      </c>
      <c r="C6" s="2025" t="s">
        <v>1165</v>
      </c>
      <c r="D6" s="2050">
        <f>利润表!M32/利润表!M4</f>
        <v>0.1500533213940877</v>
      </c>
      <c r="E6" s="2013">
        <f ca="1">利润表!N32/利润表!N4</f>
        <v>-0.21717519377423433</v>
      </c>
      <c r="F6" s="2013">
        <f ca="1">利润表!O32/利润表!O4</f>
        <v>-0.25800031336984219</v>
      </c>
      <c r="G6" s="2014">
        <f ca="1">利润表!P32/利润表!P4</f>
        <v>-0.25650162541201693</v>
      </c>
      <c r="I6" s="2030" t="s">
        <v>1248</v>
      </c>
      <c r="J6" s="2034" t="s">
        <v>1250</v>
      </c>
      <c r="K6" s="2035"/>
    </row>
    <row r="7" spans="1:13" s="1694" customFormat="1" ht="18" customHeight="1">
      <c r="A7" s="2028"/>
      <c r="B7" s="2564"/>
      <c r="C7" s="2025" t="s">
        <v>1248</v>
      </c>
      <c r="D7" s="2050">
        <f>1-利润表!M7/利润表!M4</f>
        <v>0.13547511116963185</v>
      </c>
      <c r="E7" s="2013">
        <f ca="1">1-利润表!N7/利润表!N4</f>
        <v>-0.23611626649685391</v>
      </c>
      <c r="F7" s="2013">
        <f ca="1">1-利润表!O7/利润表!O4</f>
        <v>-0.27685492170847792</v>
      </c>
      <c r="G7" s="2014">
        <f ca="1">1-利润表!P7/利润表!P4</f>
        <v>-0.27535940785356616</v>
      </c>
      <c r="I7" s="2030" t="s">
        <v>1247</v>
      </c>
      <c r="J7" s="2034" t="s">
        <v>1249</v>
      </c>
      <c r="K7" s="2035"/>
    </row>
    <row r="8" spans="1:13" s="1694" customFormat="1" ht="18" customHeight="1">
      <c r="A8" s="2028"/>
      <c r="B8" s="2564"/>
      <c r="C8" s="2025" t="s">
        <v>1247</v>
      </c>
      <c r="D8" s="2050">
        <f>1-利润表!M50/利润表!M45</f>
        <v>0.2036453428052345</v>
      </c>
      <c r="E8" s="2013">
        <f>1-利润表!N50/利润表!N45</f>
        <v>0.20316179094290066</v>
      </c>
      <c r="F8" s="2013">
        <f>1-利润表!O50/利润表!O45</f>
        <v>0.20116029609170005</v>
      </c>
      <c r="G8" s="2014">
        <f>1-利润表!P50/利润表!P45</f>
        <v>0.2026558099466117</v>
      </c>
      <c r="I8" s="2030" t="s">
        <v>1246</v>
      </c>
      <c r="J8" s="2034" t="s">
        <v>1246</v>
      </c>
      <c r="K8" s="2035"/>
    </row>
    <row r="9" spans="1:13" s="1694" customFormat="1" ht="18" customHeight="1">
      <c r="A9" s="2028"/>
      <c r="B9" s="2564"/>
      <c r="C9" s="2025" t="s">
        <v>1246</v>
      </c>
      <c r="D9" s="2050">
        <f>财务分析!G214/利润表!M4</f>
        <v>0.17121196349259182</v>
      </c>
      <c r="E9" s="2013">
        <f>财务分析!H214/利润表!N4</f>
        <v>0.15434907879221951</v>
      </c>
      <c r="F9" s="2013">
        <f>财务分析!I214/利润表!O4</f>
        <v>0.15234758394101894</v>
      </c>
      <c r="G9" s="2014">
        <f>财务分析!J214/利润表!P4</f>
        <v>0.15384309779593056</v>
      </c>
      <c r="I9" s="2030" t="s">
        <v>1167</v>
      </c>
      <c r="J9" s="2034" t="s">
        <v>1168</v>
      </c>
      <c r="K9" s="2035"/>
    </row>
    <row r="10" spans="1:13" s="1694" customFormat="1" ht="18" customHeight="1">
      <c r="A10" s="2028"/>
      <c r="B10" s="2564" t="s">
        <v>1166</v>
      </c>
      <c r="C10" s="2025" t="s">
        <v>1167</v>
      </c>
      <c r="D10" s="2050">
        <f>2*利润表!M4/(资产负债!L39+资产负债!M39)</f>
        <v>0.86418815346599054</v>
      </c>
      <c r="E10" s="2013">
        <f ca="1">2*利润表!N4/(资产负债!M39+资产负债!N39)</f>
        <v>0.82797160955135041</v>
      </c>
      <c r="F10" s="2013">
        <f ca="1">2*利润表!O4/(资产负债!N39+资产负债!O39)</f>
        <v>0.85342628668547493</v>
      </c>
      <c r="G10" s="2014">
        <f ca="1">2*利润表!P4/(资产负债!O39+资产负债!P39)</f>
        <v>0.7820296435928199</v>
      </c>
      <c r="I10" s="2030" t="s">
        <v>1169</v>
      </c>
      <c r="J10" s="2034" t="s">
        <v>1170</v>
      </c>
      <c r="K10" s="2035"/>
    </row>
    <row r="11" spans="1:13" s="1694" customFormat="1" ht="18" customHeight="1">
      <c r="A11" s="2028"/>
      <c r="B11" s="2564"/>
      <c r="C11" s="2025" t="s">
        <v>1169</v>
      </c>
      <c r="D11" s="2050">
        <f>2*利润表!M7/(资产负债!M13+资产负债!L13)</f>
        <v>6.5282861188123205</v>
      </c>
      <c r="E11" s="2013">
        <f ca="1">2*利润表!N7/(资产负债!N13+资产负债!M13)</f>
        <v>9.6624220374856762</v>
      </c>
      <c r="F11" s="2013">
        <f ca="1">2*利润表!O7/(资产负债!O13+资产负债!N13)</f>
        <v>10.668400179280564</v>
      </c>
      <c r="G11" s="2014">
        <f ca="1">2*利润表!P7/(资产负债!P13+资产负债!O13)</f>
        <v>10.06747414268577</v>
      </c>
      <c r="I11" s="2030" t="s">
        <v>1171</v>
      </c>
      <c r="J11" s="2034" t="s">
        <v>1172</v>
      </c>
      <c r="K11" s="2035"/>
    </row>
    <row r="12" spans="1:13" s="1694" customFormat="1" ht="18" customHeight="1" thickBot="1">
      <c r="A12" s="2028"/>
      <c r="B12" s="2565"/>
      <c r="C12" s="2026" t="s">
        <v>1171</v>
      </c>
      <c r="D12" s="2051">
        <f>2*利润表!M4/(资产负债!M7+资产负债!L7)</f>
        <v>2.1464663316526993</v>
      </c>
      <c r="E12" s="2015">
        <f>2*利润表!N4/(资产负债!N7+资产负债!M7)</f>
        <v>2.0859995409499494</v>
      </c>
      <c r="F12" s="2015">
        <f>2*利润表!O4/(资产负债!O7+资产负债!N7)</f>
        <v>2.1187197334205741</v>
      </c>
      <c r="G12" s="2016">
        <f>2*利润表!P4/(资产负债!P7+资产负债!O7)</f>
        <v>2.0949150071767089</v>
      </c>
      <c r="I12" s="2031" t="s">
        <v>1174</v>
      </c>
      <c r="J12" s="2036" t="s">
        <v>1200</v>
      </c>
      <c r="K12" s="2037"/>
    </row>
    <row r="13" spans="1:13" s="1694" customFormat="1" ht="18" customHeight="1">
      <c r="B13" s="2566"/>
      <c r="C13" s="2566"/>
      <c r="D13" s="2566"/>
      <c r="E13" s="2566"/>
      <c r="F13" s="2566"/>
      <c r="G13" s="2566"/>
      <c r="I13" s="2011"/>
      <c r="J13" s="2011"/>
      <c r="K13" s="2011"/>
    </row>
    <row r="14" spans="1:13" ht="15" thickBot="1">
      <c r="B14" s="1811"/>
      <c r="C14" s="1811"/>
      <c r="D14" s="1811"/>
    </row>
    <row r="15" spans="1:13" s="1694" customFormat="1" ht="18" customHeight="1">
      <c r="B15" s="2027">
        <f xml:space="preserve"> 公司说明!E12 - 1</f>
        <v>2019</v>
      </c>
      <c r="C15" s="1074" t="s">
        <v>1199</v>
      </c>
      <c r="D15" s="1074"/>
      <c r="E15" s="1074"/>
      <c r="F15" s="1074"/>
      <c r="G15" s="1074"/>
      <c r="H15" s="1074"/>
      <c r="I15" s="1074"/>
      <c r="J15" s="1074"/>
      <c r="K15" s="1074"/>
      <c r="L15" s="1074"/>
      <c r="M15" s="2012"/>
    </row>
    <row r="16" spans="1:13" s="1694" customFormat="1" ht="18" customHeight="1">
      <c r="B16" s="2040"/>
      <c r="C16" s="2044"/>
      <c r="D16" s="2560" t="s">
        <v>1159</v>
      </c>
      <c r="E16" s="2562"/>
      <c r="F16" s="2561" t="s">
        <v>1164</v>
      </c>
      <c r="G16" s="2561"/>
      <c r="H16" s="2561"/>
      <c r="I16" s="2561"/>
      <c r="J16" s="2560" t="s">
        <v>1173</v>
      </c>
      <c r="K16" s="2561"/>
      <c r="L16" s="2562"/>
      <c r="M16" s="2041" t="s">
        <v>1174</v>
      </c>
    </row>
    <row r="17" spans="2:13" s="1694" customFormat="1" ht="18" customHeight="1">
      <c r="B17" s="2042" t="s">
        <v>1198</v>
      </c>
      <c r="C17" s="2045" t="s">
        <v>1197</v>
      </c>
      <c r="D17" s="2046" t="s">
        <v>1160</v>
      </c>
      <c r="E17" s="2045" t="s">
        <v>1162</v>
      </c>
      <c r="F17" s="2043" t="s">
        <v>1165</v>
      </c>
      <c r="G17" s="2038" t="s">
        <v>1251</v>
      </c>
      <c r="H17" s="2038" t="s">
        <v>1247</v>
      </c>
      <c r="I17" s="2039" t="s">
        <v>1246</v>
      </c>
      <c r="J17" s="2046" t="s">
        <v>1167</v>
      </c>
      <c r="K17" s="2038" t="s">
        <v>1175</v>
      </c>
      <c r="L17" s="2045" t="s">
        <v>1171</v>
      </c>
      <c r="M17" s="2047" t="s">
        <v>1174</v>
      </c>
    </row>
    <row r="18" spans="2:13" s="1694" customFormat="1" ht="18" customHeight="1">
      <c r="B18" s="2052" t="s">
        <v>1294</v>
      </c>
      <c r="C18" s="2054" t="s">
        <v>1293</v>
      </c>
      <c r="D18" s="2059">
        <v>3.2164100000000002</v>
      </c>
      <c r="E18" s="2055">
        <v>0.68908999999999998</v>
      </c>
      <c r="F18" s="2056">
        <v>0.14932000000000001</v>
      </c>
      <c r="G18" s="2057">
        <v>0.16878000000000001</v>
      </c>
      <c r="H18" s="2057">
        <v>0.32857999999999998</v>
      </c>
      <c r="I18" s="2058">
        <v>0.18029999999999999</v>
      </c>
      <c r="J18" s="2059">
        <v>0.75512000000000001</v>
      </c>
      <c r="K18" s="2057">
        <v>9.7446599999999997</v>
      </c>
      <c r="L18" s="2055">
        <v>3.7587600000000001</v>
      </c>
      <c r="M18" s="2060">
        <v>0.34150999999999998</v>
      </c>
    </row>
    <row r="19" spans="2:13" s="1694" customFormat="1" ht="18" customHeight="1">
      <c r="B19" s="2053" t="s">
        <v>1285</v>
      </c>
      <c r="C19" s="2061" t="s">
        <v>1288</v>
      </c>
      <c r="D19" s="2062">
        <v>1.5138400000000001</v>
      </c>
      <c r="E19" s="2063">
        <v>0.33943000000000001</v>
      </c>
      <c r="F19" s="2064">
        <v>0.18106</v>
      </c>
      <c r="G19" s="2065">
        <v>0.27772000000000002</v>
      </c>
      <c r="H19" s="2065">
        <v>0.42172999999999999</v>
      </c>
      <c r="I19" s="2066">
        <v>0.29665000000000002</v>
      </c>
      <c r="J19" s="2062">
        <v>0.43686000000000003</v>
      </c>
      <c r="K19" s="2065">
        <v>14.38002</v>
      </c>
      <c r="L19" s="2063">
        <v>9.7215799999999994</v>
      </c>
      <c r="M19" s="2067">
        <v>0.14938000000000001</v>
      </c>
    </row>
    <row r="20" spans="2:13" s="1694" customFormat="1" ht="18" customHeight="1">
      <c r="B20" s="2053" t="s">
        <v>1286</v>
      </c>
      <c r="C20" s="2061" t="s">
        <v>1289</v>
      </c>
      <c r="D20" s="2062">
        <v>2.5217900000000002</v>
      </c>
      <c r="E20" s="2063">
        <v>0.60346</v>
      </c>
      <c r="F20" s="2064">
        <v>4.4769999999999997E-2</v>
      </c>
      <c r="G20" s="2065">
        <v>5.2609999999999997E-2</v>
      </c>
      <c r="H20" s="2065">
        <v>0.16624</v>
      </c>
      <c r="I20" s="2066">
        <v>9.2480000000000007E-2</v>
      </c>
      <c r="J20" s="2062">
        <v>0.86929000000000001</v>
      </c>
      <c r="K20" s="2065">
        <v>42.859360000000002</v>
      </c>
      <c r="L20" s="2063">
        <v>9.4503500000000003</v>
      </c>
      <c r="M20" s="2067">
        <v>0.12324</v>
      </c>
    </row>
    <row r="21" spans="2:13" s="1694" customFormat="1" ht="18" customHeight="1">
      <c r="B21" s="2053" t="s">
        <v>1291</v>
      </c>
      <c r="C21" s="2061" t="s">
        <v>1292</v>
      </c>
      <c r="D21" s="2062">
        <v>2.3456700000000001</v>
      </c>
      <c r="E21" s="2063">
        <v>0.57367999999999997</v>
      </c>
      <c r="F21" s="2064">
        <v>2.9760000000000002E-2</v>
      </c>
      <c r="G21" s="2065">
        <v>5.8180000000000003E-2</v>
      </c>
      <c r="H21" s="2065">
        <v>0.3241</v>
      </c>
      <c r="I21" s="2066">
        <v>0.11586</v>
      </c>
      <c r="J21" s="2062">
        <v>0.33062999999999998</v>
      </c>
      <c r="K21" s="2065">
        <v>10.29824</v>
      </c>
      <c r="L21" s="2063">
        <v>4.2544500000000003</v>
      </c>
      <c r="M21" s="2067">
        <v>2.7119999999999998E-2</v>
      </c>
    </row>
    <row r="22" spans="2:13" s="1694" customFormat="1" ht="18" customHeight="1">
      <c r="B22" s="2053" t="s">
        <v>1287</v>
      </c>
      <c r="C22" s="2061" t="s">
        <v>1290</v>
      </c>
      <c r="D22" s="2062">
        <v>2.35867</v>
      </c>
      <c r="E22" s="2063">
        <v>0.57603000000000004</v>
      </c>
      <c r="F22" s="2064">
        <v>6.5390000000000004E-2</v>
      </c>
      <c r="G22" s="2065">
        <v>0.14962</v>
      </c>
      <c r="H22" s="2065">
        <v>0.53747</v>
      </c>
      <c r="I22" s="2066">
        <v>0.27867999999999998</v>
      </c>
      <c r="J22" s="2062">
        <v>0.34436</v>
      </c>
      <c r="K22" s="2065">
        <v>25.917590000000001</v>
      </c>
      <c r="L22" s="2063">
        <v>3.4991599999999998</v>
      </c>
      <c r="M22" s="2067">
        <v>0.10727</v>
      </c>
    </row>
    <row r="23" spans="2:13" s="1694" customFormat="1" ht="18" customHeight="1">
      <c r="B23" s="2053" t="s">
        <v>1176</v>
      </c>
      <c r="C23" s="2061"/>
      <c r="D23" s="2062"/>
      <c r="E23" s="2063"/>
      <c r="F23" s="2064"/>
      <c r="G23" s="2065"/>
      <c r="H23" s="2065"/>
      <c r="I23" s="2066"/>
      <c r="J23" s="2062"/>
      <c r="K23" s="2065"/>
      <c r="L23" s="2063"/>
      <c r="M23" s="2067"/>
    </row>
    <row r="24" spans="2:13" s="1694" customFormat="1" ht="18" customHeight="1">
      <c r="B24" s="2053" t="s">
        <v>1177</v>
      </c>
      <c r="C24" s="2061"/>
      <c r="D24" s="2062"/>
      <c r="E24" s="2063"/>
      <c r="F24" s="2064"/>
      <c r="G24" s="2065"/>
      <c r="H24" s="2065"/>
      <c r="I24" s="2066"/>
      <c r="J24" s="2062"/>
      <c r="K24" s="2065"/>
      <c r="L24" s="2063"/>
      <c r="M24" s="2067"/>
    </row>
    <row r="25" spans="2:13" s="1694" customFormat="1" ht="18" customHeight="1">
      <c r="B25" s="2053" t="s">
        <v>1178</v>
      </c>
      <c r="C25" s="2061"/>
      <c r="D25" s="2062"/>
      <c r="E25" s="2063"/>
      <c r="F25" s="2064"/>
      <c r="G25" s="2065"/>
      <c r="H25" s="2065"/>
      <c r="I25" s="2066"/>
      <c r="J25" s="2062"/>
      <c r="K25" s="2065"/>
      <c r="L25" s="2063"/>
      <c r="M25" s="2067"/>
    </row>
    <row r="26" spans="2:13" s="1694" customFormat="1" ht="18" customHeight="1">
      <c r="B26" s="2053" t="s">
        <v>1179</v>
      </c>
      <c r="C26" s="2061"/>
      <c r="D26" s="2062"/>
      <c r="E26" s="2063"/>
      <c r="F26" s="2064"/>
      <c r="G26" s="2065"/>
      <c r="H26" s="2065"/>
      <c r="I26" s="2066"/>
      <c r="J26" s="2062"/>
      <c r="K26" s="2065"/>
      <c r="L26" s="2063"/>
      <c r="M26" s="2067"/>
    </row>
    <row r="27" spans="2:13" s="1694" customFormat="1" ht="18" customHeight="1">
      <c r="B27" s="2053" t="s">
        <v>1180</v>
      </c>
      <c r="C27" s="2061"/>
      <c r="D27" s="2062"/>
      <c r="E27" s="2063"/>
      <c r="F27" s="2064"/>
      <c r="G27" s="2065"/>
      <c r="H27" s="2065"/>
      <c r="I27" s="2066"/>
      <c r="J27" s="2062"/>
      <c r="K27" s="2065"/>
      <c r="L27" s="2063"/>
      <c r="M27" s="2067"/>
    </row>
    <row r="28" spans="2:13" s="1694" customFormat="1" ht="18" customHeight="1">
      <c r="B28" s="2053" t="s">
        <v>1181</v>
      </c>
      <c r="C28" s="2061"/>
      <c r="D28" s="2062"/>
      <c r="E28" s="2063"/>
      <c r="F28" s="2064"/>
      <c r="G28" s="2065"/>
      <c r="H28" s="2065"/>
      <c r="I28" s="2066"/>
      <c r="J28" s="2062"/>
      <c r="K28" s="2065"/>
      <c r="L28" s="2063"/>
      <c r="M28" s="2067"/>
    </row>
    <row r="29" spans="2:13" s="1694" customFormat="1" ht="18" customHeight="1">
      <c r="B29" s="2053" t="s">
        <v>1182</v>
      </c>
      <c r="C29" s="2061"/>
      <c r="D29" s="2062"/>
      <c r="E29" s="2063"/>
      <c r="F29" s="2064"/>
      <c r="G29" s="2065"/>
      <c r="H29" s="2065"/>
      <c r="I29" s="2066"/>
      <c r="J29" s="2062"/>
      <c r="K29" s="2065"/>
      <c r="L29" s="2063"/>
      <c r="M29" s="2067"/>
    </row>
    <row r="30" spans="2:13" s="1694" customFormat="1" ht="18" customHeight="1">
      <c r="B30" s="2053" t="s">
        <v>1183</v>
      </c>
      <c r="C30" s="2061"/>
      <c r="D30" s="2062"/>
      <c r="E30" s="2063"/>
      <c r="F30" s="2064"/>
      <c r="G30" s="2065"/>
      <c r="H30" s="2065"/>
      <c r="I30" s="2066"/>
      <c r="J30" s="2062"/>
      <c r="K30" s="2065"/>
      <c r="L30" s="2063"/>
      <c r="M30" s="2067"/>
    </row>
    <row r="31" spans="2:13" s="1694" customFormat="1" ht="18" customHeight="1">
      <c r="B31" s="2053" t="s">
        <v>1184</v>
      </c>
      <c r="C31" s="2061"/>
      <c r="D31" s="2062"/>
      <c r="E31" s="2063"/>
      <c r="F31" s="2064"/>
      <c r="G31" s="2065"/>
      <c r="H31" s="2065"/>
      <c r="I31" s="2066"/>
      <c r="J31" s="2062"/>
      <c r="K31" s="2065"/>
      <c r="L31" s="2063"/>
      <c r="M31" s="2067"/>
    </row>
    <row r="32" spans="2:13" s="1694" customFormat="1" ht="18" customHeight="1">
      <c r="B32" s="2053" t="s">
        <v>1185</v>
      </c>
      <c r="C32" s="2061"/>
      <c r="D32" s="2062"/>
      <c r="E32" s="2063"/>
      <c r="F32" s="2064"/>
      <c r="G32" s="2065"/>
      <c r="H32" s="2065"/>
      <c r="I32" s="2066"/>
      <c r="J32" s="2062"/>
      <c r="K32" s="2065"/>
      <c r="L32" s="2063"/>
      <c r="M32" s="2067"/>
    </row>
    <row r="33" spans="2:13" s="1694" customFormat="1" ht="18" customHeight="1">
      <c r="B33" s="2053" t="s">
        <v>1186</v>
      </c>
      <c r="C33" s="2061"/>
      <c r="D33" s="2062"/>
      <c r="E33" s="2063"/>
      <c r="F33" s="2064"/>
      <c r="G33" s="2065"/>
      <c r="H33" s="2065"/>
      <c r="I33" s="2066"/>
      <c r="J33" s="2062"/>
      <c r="K33" s="2065"/>
      <c r="L33" s="2063"/>
      <c r="M33" s="2067"/>
    </row>
    <row r="34" spans="2:13" s="1694" customFormat="1" ht="18" customHeight="1">
      <c r="B34" s="2053" t="s">
        <v>1187</v>
      </c>
      <c r="C34" s="2061"/>
      <c r="D34" s="2062"/>
      <c r="E34" s="2063"/>
      <c r="F34" s="2064"/>
      <c r="G34" s="2065"/>
      <c r="H34" s="2065"/>
      <c r="I34" s="2066"/>
      <c r="J34" s="2062"/>
      <c r="K34" s="2065"/>
      <c r="L34" s="2063"/>
      <c r="M34" s="2067"/>
    </row>
    <row r="35" spans="2:13" s="1694" customFormat="1" ht="18" customHeight="1">
      <c r="B35" s="2053" t="s">
        <v>1188</v>
      </c>
      <c r="C35" s="2061"/>
      <c r="D35" s="2062"/>
      <c r="E35" s="2063"/>
      <c r="F35" s="2064"/>
      <c r="G35" s="2065"/>
      <c r="H35" s="2065"/>
      <c r="I35" s="2066"/>
      <c r="J35" s="2062"/>
      <c r="K35" s="2065"/>
      <c r="L35" s="2063"/>
      <c r="M35" s="2067"/>
    </row>
    <row r="36" spans="2:13" s="1694" customFormat="1" ht="18" customHeight="1">
      <c r="B36" s="2053" t="s">
        <v>1189</v>
      </c>
      <c r="C36" s="2061"/>
      <c r="D36" s="2062"/>
      <c r="E36" s="2063"/>
      <c r="F36" s="2064"/>
      <c r="G36" s="2065"/>
      <c r="H36" s="2065"/>
      <c r="I36" s="2066"/>
      <c r="J36" s="2062"/>
      <c r="K36" s="2065"/>
      <c r="L36" s="2063"/>
      <c r="M36" s="2067"/>
    </row>
    <row r="37" spans="2:13" s="1694" customFormat="1" ht="18" customHeight="1">
      <c r="B37" s="2053" t="s">
        <v>1252</v>
      </c>
      <c r="C37" s="2061"/>
      <c r="D37" s="2062"/>
      <c r="E37" s="2063"/>
      <c r="F37" s="2064"/>
      <c r="G37" s="2065"/>
      <c r="H37" s="2065"/>
      <c r="I37" s="2066"/>
      <c r="J37" s="2062"/>
      <c r="K37" s="2065"/>
      <c r="L37" s="2063"/>
      <c r="M37" s="2067"/>
    </row>
    <row r="38" spans="2:13" s="1694" customFormat="1" ht="18" customHeight="1" thickBot="1">
      <c r="B38" s="2068" t="str">
        <f>公司说明!E4</f>
        <v>603806</v>
      </c>
      <c r="C38" s="2069" t="str">
        <f>公司说明!$C$4</f>
        <v>福斯特</v>
      </c>
      <c r="D38" s="2070">
        <f>D4</f>
        <v>1.2719860935443457</v>
      </c>
      <c r="E38" s="2071">
        <f>D5</f>
        <v>0.21382788296565858</v>
      </c>
      <c r="F38" s="2072">
        <f>D6</f>
        <v>0.1500533213940877</v>
      </c>
      <c r="G38" s="2073">
        <f>D7</f>
        <v>0.13547511116963185</v>
      </c>
      <c r="H38" s="2073">
        <f>D8</f>
        <v>0.2036453428052345</v>
      </c>
      <c r="I38" s="2074">
        <f>D9</f>
        <v>0.17121196349259182</v>
      </c>
      <c r="J38" s="2070">
        <f>D10</f>
        <v>0.86418815346599054</v>
      </c>
      <c r="K38" s="2073">
        <f>D11</f>
        <v>6.5282861188123205</v>
      </c>
      <c r="L38" s="2071">
        <f>D12</f>
        <v>2.1464663316526993</v>
      </c>
      <c r="M38" s="2075">
        <f>利润表!M32/资产负债!M75</f>
        <v>0.1466766350136175</v>
      </c>
    </row>
    <row r="39" spans="2:13" s="1694" customFormat="1">
      <c r="B39" s="1815"/>
    </row>
    <row r="40" spans="2:13" s="1694" customFormat="1" ht="15" thickBot="1">
      <c r="B40" s="1815"/>
    </row>
    <row r="41" spans="2:13" s="1694" customFormat="1" ht="18" customHeight="1">
      <c r="B41" s="186" t="s">
        <v>1320</v>
      </c>
      <c r="C41" s="1074"/>
      <c r="D41" s="1074"/>
      <c r="E41" s="1074"/>
      <c r="F41" s="1074"/>
      <c r="G41" s="1074"/>
      <c r="H41" s="2012"/>
    </row>
    <row r="42" spans="2:13" s="1694" customFormat="1" ht="18" customHeight="1">
      <c r="B42" s="2076" t="s">
        <v>1201</v>
      </c>
      <c r="C42" s="2077"/>
      <c r="D42" s="2078">
        <f>利润表!I3</f>
        <v>2015</v>
      </c>
      <c r="E42" s="2079">
        <f>利润表!J3</f>
        <v>2016</v>
      </c>
      <c r="F42" s="2079">
        <f>利润表!K3</f>
        <v>2017</v>
      </c>
      <c r="G42" s="2079">
        <f>利润表!L3</f>
        <v>2018</v>
      </c>
      <c r="H42" s="2080">
        <f>利润表!M3</f>
        <v>2019</v>
      </c>
      <c r="I42" s="1816"/>
    </row>
    <row r="43" spans="2:13" s="1694" customFormat="1" ht="18" customHeight="1">
      <c r="B43" s="2081" t="str">
        <f t="shared" ref="B43:B63" si="0">B18</f>
        <v>000651</v>
      </c>
      <c r="C43" s="2082" t="s">
        <v>1293</v>
      </c>
      <c r="D43" s="2083">
        <v>3.7801800000000001</v>
      </c>
      <c r="E43" s="2084">
        <v>3.4616899999999999</v>
      </c>
      <c r="F43" s="2084">
        <v>3.3294100000000002</v>
      </c>
      <c r="G43" s="2084">
        <v>3.3187799999999998</v>
      </c>
      <c r="H43" s="2085">
        <v>3.2164100000000002</v>
      </c>
      <c r="I43" s="1814"/>
    </row>
    <row r="44" spans="2:13" s="1694" customFormat="1" ht="18" customHeight="1">
      <c r="B44" s="2086" t="str">
        <f t="shared" si="0"/>
        <v>601088</v>
      </c>
      <c r="C44" s="2087" t="s">
        <v>1288</v>
      </c>
      <c r="D44" s="2088">
        <v>1.54057</v>
      </c>
      <c r="E44" s="2089">
        <v>1.5143899999999999</v>
      </c>
      <c r="F44" s="2089">
        <v>1.54671</v>
      </c>
      <c r="G44" s="2089">
        <v>1.5047600000000001</v>
      </c>
      <c r="H44" s="2090">
        <v>1.5138400000000001</v>
      </c>
      <c r="I44" s="1814"/>
    </row>
    <row r="45" spans="2:13" s="1694" customFormat="1" ht="18" customHeight="1">
      <c r="B45" s="2086" t="str">
        <f t="shared" si="0"/>
        <v>600188</v>
      </c>
      <c r="C45" s="2087" t="s">
        <v>1289</v>
      </c>
      <c r="D45" s="2088">
        <v>2.9536699999999998</v>
      </c>
      <c r="E45" s="2089">
        <v>3.0483099999999999</v>
      </c>
      <c r="F45" s="2089">
        <v>3.2339600000000002</v>
      </c>
      <c r="G45" s="2089">
        <v>2.9296700000000002</v>
      </c>
      <c r="H45" s="2090">
        <v>2.5217900000000002</v>
      </c>
      <c r="I45" s="1814"/>
    </row>
    <row r="46" spans="2:13" s="1694" customFormat="1" ht="18" customHeight="1">
      <c r="B46" s="2086" t="str">
        <f t="shared" si="0"/>
        <v>601898</v>
      </c>
      <c r="C46" s="2087" t="s">
        <v>1292</v>
      </c>
      <c r="D46" s="2088">
        <v>2.0934900000000001</v>
      </c>
      <c r="E46" s="2089">
        <v>2.36314</v>
      </c>
      <c r="F46" s="2089">
        <v>2.56935</v>
      </c>
      <c r="G46" s="2089">
        <v>2.3717299999999999</v>
      </c>
      <c r="H46" s="2090">
        <v>2.3456700000000001</v>
      </c>
      <c r="I46" s="1814"/>
    </row>
    <row r="47" spans="2:13" s="1694" customFormat="1" ht="18" customHeight="1">
      <c r="B47" s="2086" t="str">
        <f t="shared" si="0"/>
        <v>601001</v>
      </c>
      <c r="C47" s="2087" t="s">
        <v>1290</v>
      </c>
      <c r="D47" s="2088">
        <v>1.85375</v>
      </c>
      <c r="E47" s="2089">
        <v>2.0122599999999999</v>
      </c>
      <c r="F47" s="2089">
        <v>2.7328600000000001</v>
      </c>
      <c r="G47" s="2089">
        <v>2.6118299999999999</v>
      </c>
      <c r="H47" s="2090">
        <v>2.35867</v>
      </c>
      <c r="I47" s="1814"/>
    </row>
    <row r="48" spans="2:13" s="1694" customFormat="1" ht="18" customHeight="1">
      <c r="B48" s="2086" t="str">
        <f t="shared" si="0"/>
        <v>可比公司6</v>
      </c>
      <c r="C48" s="2087"/>
      <c r="D48" s="2088"/>
      <c r="E48" s="2089"/>
      <c r="F48" s="2089"/>
      <c r="G48" s="2089"/>
      <c r="H48" s="2090"/>
      <c r="I48" s="1814"/>
    </row>
    <row r="49" spans="2:9" s="1694" customFormat="1" ht="18" customHeight="1">
      <c r="B49" s="2086" t="str">
        <f t="shared" si="0"/>
        <v>可比公司7</v>
      </c>
      <c r="C49" s="2087"/>
      <c r="D49" s="2088"/>
      <c r="E49" s="2089"/>
      <c r="F49" s="2089"/>
      <c r="G49" s="2089"/>
      <c r="H49" s="2090"/>
      <c r="I49" s="1814"/>
    </row>
    <row r="50" spans="2:9" s="1694" customFormat="1" ht="18" customHeight="1">
      <c r="B50" s="2086" t="str">
        <f t="shared" si="0"/>
        <v>可比公司8</v>
      </c>
      <c r="C50" s="2087"/>
      <c r="D50" s="2088"/>
      <c r="E50" s="2089"/>
      <c r="F50" s="2089"/>
      <c r="G50" s="2089"/>
      <c r="H50" s="2090"/>
      <c r="I50" s="1814"/>
    </row>
    <row r="51" spans="2:9" s="1694" customFormat="1" ht="18" customHeight="1">
      <c r="B51" s="2086" t="str">
        <f t="shared" si="0"/>
        <v>可比公司9</v>
      </c>
      <c r="C51" s="2087"/>
      <c r="D51" s="2088"/>
      <c r="E51" s="2089"/>
      <c r="F51" s="2089"/>
      <c r="G51" s="2089"/>
      <c r="H51" s="2090"/>
      <c r="I51" s="1814"/>
    </row>
    <row r="52" spans="2:9" s="1694" customFormat="1" ht="18" customHeight="1">
      <c r="B52" s="2086" t="str">
        <f t="shared" si="0"/>
        <v>可比公司10</v>
      </c>
      <c r="C52" s="2087"/>
      <c r="D52" s="2088"/>
      <c r="E52" s="2089"/>
      <c r="F52" s="2089"/>
      <c r="G52" s="2089"/>
      <c r="H52" s="2090"/>
      <c r="I52" s="1814"/>
    </row>
    <row r="53" spans="2:9" s="1694" customFormat="1" ht="18" customHeight="1">
      <c r="B53" s="2086" t="str">
        <f t="shared" si="0"/>
        <v>可比公司11</v>
      </c>
      <c r="C53" s="2087"/>
      <c r="D53" s="2088"/>
      <c r="E53" s="2089"/>
      <c r="F53" s="2089"/>
      <c r="G53" s="2089"/>
      <c r="H53" s="2090"/>
      <c r="I53" s="1814"/>
    </row>
    <row r="54" spans="2:9" s="1694" customFormat="1" ht="18" customHeight="1">
      <c r="B54" s="2086" t="str">
        <f t="shared" si="0"/>
        <v>可比公司12</v>
      </c>
      <c r="C54" s="2087"/>
      <c r="D54" s="2088"/>
      <c r="E54" s="2089"/>
      <c r="F54" s="2089"/>
      <c r="G54" s="2089"/>
      <c r="H54" s="2090"/>
      <c r="I54" s="1814"/>
    </row>
    <row r="55" spans="2:9" s="1694" customFormat="1" ht="18" customHeight="1">
      <c r="B55" s="2086" t="str">
        <f t="shared" si="0"/>
        <v>可比公司13</v>
      </c>
      <c r="C55" s="2087"/>
      <c r="D55" s="2088"/>
      <c r="E55" s="2089"/>
      <c r="F55" s="2089"/>
      <c r="G55" s="2089"/>
      <c r="H55" s="2090"/>
      <c r="I55" s="1814"/>
    </row>
    <row r="56" spans="2:9" s="1694" customFormat="1" ht="18" customHeight="1">
      <c r="B56" s="2086" t="str">
        <f t="shared" si="0"/>
        <v>可比公司14</v>
      </c>
      <c r="C56" s="2087"/>
      <c r="D56" s="2088"/>
      <c r="E56" s="2089"/>
      <c r="F56" s="2089"/>
      <c r="G56" s="2089"/>
      <c r="H56" s="2090"/>
      <c r="I56" s="1814"/>
    </row>
    <row r="57" spans="2:9" s="1694" customFormat="1" ht="18" customHeight="1">
      <c r="B57" s="2086" t="str">
        <f t="shared" si="0"/>
        <v>可比公司15</v>
      </c>
      <c r="C57" s="2087"/>
      <c r="D57" s="2088"/>
      <c r="E57" s="2089"/>
      <c r="F57" s="2089"/>
      <c r="G57" s="2089"/>
      <c r="H57" s="2090"/>
      <c r="I57" s="1814"/>
    </row>
    <row r="58" spans="2:9" s="1694" customFormat="1" ht="18" customHeight="1">
      <c r="B58" s="2086" t="str">
        <f t="shared" si="0"/>
        <v>可比公司16</v>
      </c>
      <c r="C58" s="2087"/>
      <c r="D58" s="2088"/>
      <c r="E58" s="2089"/>
      <c r="F58" s="2089"/>
      <c r="G58" s="2089"/>
      <c r="H58" s="2090"/>
      <c r="I58" s="1814"/>
    </row>
    <row r="59" spans="2:9" s="1694" customFormat="1" ht="18" customHeight="1">
      <c r="B59" s="2086" t="str">
        <f t="shared" si="0"/>
        <v>可比公司17</v>
      </c>
      <c r="C59" s="2087"/>
      <c r="D59" s="2088"/>
      <c r="E59" s="2089"/>
      <c r="F59" s="2089"/>
      <c r="G59" s="2089"/>
      <c r="H59" s="2090"/>
      <c r="I59" s="1814"/>
    </row>
    <row r="60" spans="2:9" s="1694" customFormat="1" ht="18" customHeight="1">
      <c r="B60" s="2086" t="str">
        <f t="shared" si="0"/>
        <v>可比公司18</v>
      </c>
      <c r="C60" s="2087"/>
      <c r="D60" s="2088"/>
      <c r="E60" s="2089"/>
      <c r="F60" s="2089"/>
      <c r="G60" s="2089"/>
      <c r="H60" s="2090"/>
      <c r="I60" s="1814"/>
    </row>
    <row r="61" spans="2:9" s="1694" customFormat="1" ht="18" customHeight="1">
      <c r="B61" s="2086" t="str">
        <f t="shared" si="0"/>
        <v>可比公司19</v>
      </c>
      <c r="C61" s="2087"/>
      <c r="D61" s="2088"/>
      <c r="E61" s="2089"/>
      <c r="F61" s="2089"/>
      <c r="G61" s="2089"/>
      <c r="H61" s="2090"/>
      <c r="I61" s="1814"/>
    </row>
    <row r="62" spans="2:9" s="1694" customFormat="1" ht="18" customHeight="1">
      <c r="B62" s="2086" t="str">
        <f t="shared" si="0"/>
        <v>可比公司20</v>
      </c>
      <c r="C62" s="2087"/>
      <c r="D62" s="2088"/>
      <c r="E62" s="2089"/>
      <c r="F62" s="2089"/>
      <c r="G62" s="2089"/>
      <c r="H62" s="2090"/>
      <c r="I62" s="1814"/>
    </row>
    <row r="63" spans="2:9" s="1694" customFormat="1" ht="18" customHeight="1" thickBot="1">
      <c r="B63" s="2091" t="str">
        <f t="shared" si="0"/>
        <v>603806</v>
      </c>
      <c r="C63" s="2092" t="s">
        <v>1293</v>
      </c>
      <c r="D63" s="2093">
        <v>3.7801800000000001</v>
      </c>
      <c r="E63" s="2094">
        <v>3.4616899999999999</v>
      </c>
      <c r="F63" s="2094">
        <v>3.3294100000000002</v>
      </c>
      <c r="G63" s="2094">
        <v>3.3187799999999998</v>
      </c>
      <c r="H63" s="2095">
        <v>3.2164100000000002</v>
      </c>
      <c r="I63" s="1814"/>
    </row>
    <row r="64" spans="2:9" s="1694" customFormat="1">
      <c r="B64" s="2566"/>
      <c r="C64" s="2566"/>
      <c r="D64" s="2566"/>
      <c r="E64" s="2566"/>
      <c r="F64" s="2566"/>
      <c r="G64" s="2566"/>
      <c r="H64" s="2566"/>
    </row>
    <row r="65" spans="2:13" s="1694" customFormat="1" ht="15" thickBot="1">
      <c r="B65" s="1815"/>
    </row>
    <row r="66" spans="2:13" s="1694" customFormat="1" ht="18" customHeight="1">
      <c r="B66" s="186" t="s">
        <v>1319</v>
      </c>
      <c r="C66" s="1074"/>
      <c r="D66" s="1074"/>
      <c r="E66" s="1074"/>
      <c r="F66" s="1074"/>
      <c r="G66" s="1074"/>
      <c r="H66" s="1074"/>
      <c r="I66" s="1074"/>
      <c r="J66" s="1074"/>
      <c r="K66" s="1074"/>
      <c r="L66" s="1074"/>
      <c r="M66" s="2048">
        <f ca="1">公司说明!E10</f>
        <v>43930</v>
      </c>
    </row>
    <row r="67" spans="2:13" s="1694" customFormat="1" ht="18" customHeight="1">
      <c r="B67" s="2567" t="s">
        <v>1190</v>
      </c>
      <c r="C67" s="2569" t="s">
        <v>1191</v>
      </c>
      <c r="D67" s="2571" t="str">
        <f ca="1">"股价(" &amp; MONTH(M66) &amp; "月" &amp; DAY(M66) &amp; "日" &amp; ")"</f>
        <v>股价(4月9日)</v>
      </c>
      <c r="E67" s="2573" t="s">
        <v>1192</v>
      </c>
      <c r="F67" s="2574"/>
      <c r="G67" s="2574"/>
      <c r="H67" s="2575"/>
      <c r="I67" s="2573" t="s">
        <v>1193</v>
      </c>
      <c r="J67" s="2574"/>
      <c r="K67" s="2574"/>
      <c r="L67" s="2575"/>
      <c r="M67" s="2096" t="s">
        <v>1194</v>
      </c>
    </row>
    <row r="68" spans="2:13" s="1694" customFormat="1" ht="18" customHeight="1">
      <c r="B68" s="2568"/>
      <c r="C68" s="2570"/>
      <c r="D68" s="2572"/>
      <c r="E68" s="2097">
        <f>利润表!M3</f>
        <v>2019</v>
      </c>
      <c r="F68" s="2098" t="str">
        <f>利润表!N3</f>
        <v>2020E</v>
      </c>
      <c r="G68" s="2098" t="str">
        <f>利润表!O3</f>
        <v>2021E</v>
      </c>
      <c r="H68" s="2099" t="str">
        <f>利润表!P3</f>
        <v>2022E</v>
      </c>
      <c r="I68" s="2097">
        <f>E68</f>
        <v>2019</v>
      </c>
      <c r="J68" s="2098" t="str">
        <f t="shared" ref="J68:L68" si="1">F68</f>
        <v>2020E</v>
      </c>
      <c r="K68" s="2098" t="str">
        <f t="shared" si="1"/>
        <v>2021E</v>
      </c>
      <c r="L68" s="2099" t="str">
        <f t="shared" si="1"/>
        <v>2022E</v>
      </c>
      <c r="M68" s="2100"/>
    </row>
    <row r="69" spans="2:13" s="1694" customFormat="1" ht="18" customHeight="1">
      <c r="B69" s="2101" t="str">
        <f t="shared" ref="B69:B88" si="2">B18</f>
        <v>000651</v>
      </c>
      <c r="C69" s="2102" t="s">
        <v>1391</v>
      </c>
      <c r="D69" s="2103">
        <v>37.04</v>
      </c>
      <c r="E69" s="2104">
        <v>3.7238000000000002</v>
      </c>
      <c r="F69" s="2105">
        <v>4.5999999999999996</v>
      </c>
      <c r="G69" s="2105">
        <v>5.58</v>
      </c>
      <c r="H69" s="2106">
        <v>6.43</v>
      </c>
      <c r="I69" s="2107">
        <f>IF(AND(E69&lt;&gt;"n.a.",E69&lt;&gt;0,$D69&lt;&gt;"n.a."),$D69/E69,"")</f>
        <v>9.9468285085128088</v>
      </c>
      <c r="J69" s="2108">
        <f t="shared" ref="J69:L69" si="3">IF(AND(F69&lt;&gt;"n.a.",F69&lt;&gt;0,$D69&lt;&gt;"n.a."),$D69/F69,"")</f>
        <v>8.0521739130434788</v>
      </c>
      <c r="K69" s="2108">
        <f t="shared" si="3"/>
        <v>6.6379928315412187</v>
      </c>
      <c r="L69" s="2109">
        <f t="shared" si="3"/>
        <v>5.7604976671850698</v>
      </c>
      <c r="M69" s="2153">
        <v>2.8449</v>
      </c>
    </row>
    <row r="70" spans="2:13" s="1694" customFormat="1" ht="18" customHeight="1">
      <c r="B70" s="2110" t="str">
        <f t="shared" si="2"/>
        <v>601088</v>
      </c>
      <c r="C70" s="2111" t="s">
        <v>1392</v>
      </c>
      <c r="D70" s="2112">
        <v>18.579999999999998</v>
      </c>
      <c r="E70" s="2113">
        <v>2.2643</v>
      </c>
      <c r="F70" s="2117">
        <v>2.27</v>
      </c>
      <c r="G70" s="2117">
        <v>2.31</v>
      </c>
      <c r="H70" s="2118">
        <v>2.5099999999999998</v>
      </c>
      <c r="I70" s="2114">
        <f t="shared" ref="I70:I88" si="4">IF(AND(E70&lt;&gt;"n.a.",E70&lt;&gt;0,$D70&lt;&gt;"n.a."),$D70/E70,"")</f>
        <v>8.2056264629245241</v>
      </c>
      <c r="J70" s="2115">
        <f t="shared" ref="J70:J88" si="5">IF(AND(F70&lt;&gt;"n.a.",F70&lt;&gt;0,$D70&lt;&gt;"n.a."),$D70/F70,"")</f>
        <v>8.1850220264317173</v>
      </c>
      <c r="K70" s="2115">
        <f t="shared" ref="K70:K88" si="6">IF(AND(G70&lt;&gt;"n.a.",G70&lt;&gt;0,$D70&lt;&gt;"n.a."),$D70/G70,"")</f>
        <v>8.0432900432900425</v>
      </c>
      <c r="L70" s="2116">
        <f t="shared" ref="L70:L88" si="7">IF(AND(H70&lt;&gt;"n.a.",H70&lt;&gt;0,$D70&lt;&gt;"n.a."),$D70/H70,"")</f>
        <v>7.4023904382470116</v>
      </c>
      <c r="M70" s="2149">
        <v>1.19922</v>
      </c>
    </row>
    <row r="71" spans="2:13" s="1694" customFormat="1" ht="18" customHeight="1">
      <c r="B71" s="2110" t="str">
        <f t="shared" si="2"/>
        <v>600188</v>
      </c>
      <c r="C71" s="2111" t="s">
        <v>1393</v>
      </c>
      <c r="D71" s="2112">
        <v>10.69</v>
      </c>
      <c r="E71" s="2113">
        <v>1.3784000000000001</v>
      </c>
      <c r="F71" s="2117">
        <v>1.93</v>
      </c>
      <c r="G71" s="2117">
        <v>1.58</v>
      </c>
      <c r="H71" s="2147">
        <v>1.9905999999999999</v>
      </c>
      <c r="I71" s="2114">
        <f t="shared" si="4"/>
        <v>7.7553685432385366</v>
      </c>
      <c r="J71" s="2115">
        <f t="shared" si="5"/>
        <v>5.5388601036269431</v>
      </c>
      <c r="K71" s="2115">
        <f t="shared" si="6"/>
        <v>6.7658227848101262</v>
      </c>
      <c r="L71" s="2116">
        <f t="shared" si="7"/>
        <v>5.3702401286044408</v>
      </c>
      <c r="M71" s="2149">
        <v>0.83057000000000003</v>
      </c>
    </row>
    <row r="72" spans="2:13" s="1694" customFormat="1" ht="18" customHeight="1">
      <c r="B72" s="2110" t="str">
        <f t="shared" si="2"/>
        <v>601898</v>
      </c>
      <c r="C72" s="2111" t="s">
        <v>1394</v>
      </c>
      <c r="D72" s="2112">
        <v>5.0599999999999996</v>
      </c>
      <c r="E72" s="2113">
        <v>0.18210000000000001</v>
      </c>
      <c r="F72" s="2117">
        <v>0.23</v>
      </c>
      <c r="G72" s="2117">
        <v>0.27</v>
      </c>
      <c r="H72" s="2147">
        <v>0.45400000000000001</v>
      </c>
      <c r="I72" s="2114">
        <f t="shared" si="4"/>
        <v>27.78693025809994</v>
      </c>
      <c r="J72" s="2115">
        <f t="shared" si="5"/>
        <v>21.999999999999996</v>
      </c>
      <c r="K72" s="2115">
        <f t="shared" si="6"/>
        <v>18.740740740740737</v>
      </c>
      <c r="L72" s="2116">
        <f t="shared" si="7"/>
        <v>11.145374449339206</v>
      </c>
      <c r="M72" s="2149">
        <v>0.73829</v>
      </c>
    </row>
    <row r="73" spans="2:13" s="1694" customFormat="1" ht="18" customHeight="1">
      <c r="B73" s="2110" t="str">
        <f t="shared" si="2"/>
        <v>601001</v>
      </c>
      <c r="C73" s="2087" t="s">
        <v>1395</v>
      </c>
      <c r="D73" s="2112">
        <v>4.8</v>
      </c>
      <c r="E73" s="2113">
        <v>0.35799999999999998</v>
      </c>
      <c r="F73" s="2148">
        <v>0.47199999999999998</v>
      </c>
      <c r="G73" s="2148">
        <v>0.60599999999999998</v>
      </c>
      <c r="H73" s="2147">
        <v>0.63600000000000001</v>
      </c>
      <c r="I73" s="2114">
        <f t="shared" si="4"/>
        <v>13.407821229050279</v>
      </c>
      <c r="J73" s="2115">
        <f t="shared" si="5"/>
        <v>10.169491525423728</v>
      </c>
      <c r="K73" s="2115">
        <f t="shared" si="6"/>
        <v>7.9207920792079207</v>
      </c>
      <c r="L73" s="2116">
        <f t="shared" si="7"/>
        <v>7.5471698113207539</v>
      </c>
      <c r="M73" s="2149">
        <v>1.49472</v>
      </c>
    </row>
    <row r="74" spans="2:13" s="1694" customFormat="1" ht="18" customHeight="1">
      <c r="B74" s="2110" t="str">
        <f t="shared" si="2"/>
        <v>可比公司6</v>
      </c>
      <c r="C74" s="2087"/>
      <c r="D74" s="2112"/>
      <c r="E74" s="2113"/>
      <c r="F74" s="2117"/>
      <c r="G74" s="2117"/>
      <c r="H74" s="2118"/>
      <c r="I74" s="2114" t="str">
        <f t="shared" si="4"/>
        <v/>
      </c>
      <c r="J74" s="2115" t="str">
        <f t="shared" si="5"/>
        <v/>
      </c>
      <c r="K74" s="2115" t="str">
        <f t="shared" si="6"/>
        <v/>
      </c>
      <c r="L74" s="2116" t="str">
        <f t="shared" si="7"/>
        <v/>
      </c>
      <c r="M74" s="2149"/>
    </row>
    <row r="75" spans="2:13" s="1694" customFormat="1" ht="18" customHeight="1">
      <c r="B75" s="2110" t="str">
        <f t="shared" si="2"/>
        <v>可比公司7</v>
      </c>
      <c r="C75" s="2087"/>
      <c r="D75" s="2112"/>
      <c r="E75" s="2113"/>
      <c r="F75" s="2117"/>
      <c r="G75" s="2117"/>
      <c r="H75" s="2118"/>
      <c r="I75" s="2114" t="str">
        <f t="shared" si="4"/>
        <v/>
      </c>
      <c r="J75" s="2115" t="str">
        <f t="shared" si="5"/>
        <v/>
      </c>
      <c r="K75" s="2115" t="str">
        <f t="shared" si="6"/>
        <v/>
      </c>
      <c r="L75" s="2116" t="str">
        <f t="shared" si="7"/>
        <v/>
      </c>
      <c r="M75" s="2149"/>
    </row>
    <row r="76" spans="2:13" s="1694" customFormat="1" ht="18" customHeight="1">
      <c r="B76" s="2110" t="str">
        <f t="shared" si="2"/>
        <v>可比公司8</v>
      </c>
      <c r="C76" s="2087"/>
      <c r="D76" s="2112"/>
      <c r="E76" s="2113"/>
      <c r="F76" s="2117"/>
      <c r="G76" s="2117"/>
      <c r="H76" s="2118"/>
      <c r="I76" s="2114" t="str">
        <f t="shared" si="4"/>
        <v/>
      </c>
      <c r="J76" s="2115" t="str">
        <f t="shared" si="5"/>
        <v/>
      </c>
      <c r="K76" s="2115" t="str">
        <f t="shared" si="6"/>
        <v/>
      </c>
      <c r="L76" s="2116" t="str">
        <f t="shared" si="7"/>
        <v/>
      </c>
      <c r="M76" s="2149"/>
    </row>
    <row r="77" spans="2:13" s="1694" customFormat="1" ht="18" customHeight="1">
      <c r="B77" s="2110" t="str">
        <f t="shared" si="2"/>
        <v>可比公司9</v>
      </c>
      <c r="C77" s="2087"/>
      <c r="D77" s="2112"/>
      <c r="E77" s="2113"/>
      <c r="F77" s="2117"/>
      <c r="G77" s="2117"/>
      <c r="H77" s="2118"/>
      <c r="I77" s="2114" t="str">
        <f t="shared" si="4"/>
        <v/>
      </c>
      <c r="J77" s="2115" t="str">
        <f t="shared" si="5"/>
        <v/>
      </c>
      <c r="K77" s="2115" t="str">
        <f t="shared" si="6"/>
        <v/>
      </c>
      <c r="L77" s="2116" t="str">
        <f t="shared" si="7"/>
        <v/>
      </c>
      <c r="M77" s="2149"/>
    </row>
    <row r="78" spans="2:13" s="1694" customFormat="1" ht="18" customHeight="1">
      <c r="B78" s="2110" t="str">
        <f t="shared" si="2"/>
        <v>可比公司10</v>
      </c>
      <c r="C78" s="2087"/>
      <c r="D78" s="2112"/>
      <c r="E78" s="2113"/>
      <c r="F78" s="2117"/>
      <c r="G78" s="2117"/>
      <c r="H78" s="2118"/>
      <c r="I78" s="2114" t="str">
        <f t="shared" si="4"/>
        <v/>
      </c>
      <c r="J78" s="2115" t="str">
        <f t="shared" si="5"/>
        <v/>
      </c>
      <c r="K78" s="2115" t="str">
        <f t="shared" si="6"/>
        <v/>
      </c>
      <c r="L78" s="2116" t="str">
        <f t="shared" si="7"/>
        <v/>
      </c>
      <c r="M78" s="2149"/>
    </row>
    <row r="79" spans="2:13" s="1694" customFormat="1" ht="18" customHeight="1">
      <c r="B79" s="2110" t="str">
        <f t="shared" si="2"/>
        <v>可比公司11</v>
      </c>
      <c r="C79" s="2087"/>
      <c r="D79" s="2112"/>
      <c r="E79" s="2113"/>
      <c r="F79" s="2117"/>
      <c r="G79" s="2117"/>
      <c r="H79" s="2118"/>
      <c r="I79" s="2114" t="str">
        <f t="shared" si="4"/>
        <v/>
      </c>
      <c r="J79" s="2115" t="str">
        <f t="shared" si="5"/>
        <v/>
      </c>
      <c r="K79" s="2115" t="str">
        <f t="shared" si="6"/>
        <v/>
      </c>
      <c r="L79" s="2116" t="str">
        <f t="shared" si="7"/>
        <v/>
      </c>
      <c r="M79" s="2149"/>
    </row>
    <row r="80" spans="2:13" s="1694" customFormat="1" ht="18" customHeight="1">
      <c r="B80" s="2110" t="str">
        <f t="shared" si="2"/>
        <v>可比公司12</v>
      </c>
      <c r="C80" s="2087"/>
      <c r="D80" s="2112"/>
      <c r="E80" s="2113"/>
      <c r="F80" s="2117"/>
      <c r="G80" s="2117"/>
      <c r="H80" s="2118"/>
      <c r="I80" s="2114" t="str">
        <f t="shared" si="4"/>
        <v/>
      </c>
      <c r="J80" s="2115" t="str">
        <f t="shared" si="5"/>
        <v/>
      </c>
      <c r="K80" s="2115" t="str">
        <f t="shared" si="6"/>
        <v/>
      </c>
      <c r="L80" s="2116" t="str">
        <f t="shared" si="7"/>
        <v/>
      </c>
      <c r="M80" s="2149"/>
    </row>
    <row r="81" spans="2:13" s="1694" customFormat="1" ht="18" customHeight="1">
      <c r="B81" s="2110" t="str">
        <f t="shared" si="2"/>
        <v>可比公司13</v>
      </c>
      <c r="C81" s="2087"/>
      <c r="D81" s="2112"/>
      <c r="E81" s="2113"/>
      <c r="F81" s="2117"/>
      <c r="G81" s="2117"/>
      <c r="H81" s="2118"/>
      <c r="I81" s="2114" t="str">
        <f t="shared" si="4"/>
        <v/>
      </c>
      <c r="J81" s="2115" t="str">
        <f t="shared" si="5"/>
        <v/>
      </c>
      <c r="K81" s="2115" t="str">
        <f t="shared" si="6"/>
        <v/>
      </c>
      <c r="L81" s="2116" t="str">
        <f t="shared" si="7"/>
        <v/>
      </c>
      <c r="M81" s="2149"/>
    </row>
    <row r="82" spans="2:13" s="1694" customFormat="1" ht="18" customHeight="1">
      <c r="B82" s="2110" t="str">
        <f t="shared" si="2"/>
        <v>可比公司14</v>
      </c>
      <c r="C82" s="2087"/>
      <c r="D82" s="2112"/>
      <c r="E82" s="2113"/>
      <c r="F82" s="2117"/>
      <c r="G82" s="2117"/>
      <c r="H82" s="2118"/>
      <c r="I82" s="2114" t="str">
        <f t="shared" si="4"/>
        <v/>
      </c>
      <c r="J82" s="2115" t="str">
        <f t="shared" si="5"/>
        <v/>
      </c>
      <c r="K82" s="2115" t="str">
        <f t="shared" si="6"/>
        <v/>
      </c>
      <c r="L82" s="2116" t="str">
        <f t="shared" si="7"/>
        <v/>
      </c>
      <c r="M82" s="2149"/>
    </row>
    <row r="83" spans="2:13" s="1694" customFormat="1" ht="18" customHeight="1">
      <c r="B83" s="2110" t="str">
        <f t="shared" si="2"/>
        <v>可比公司15</v>
      </c>
      <c r="C83" s="2087"/>
      <c r="D83" s="2112"/>
      <c r="E83" s="2113"/>
      <c r="F83" s="2117"/>
      <c r="G83" s="2117"/>
      <c r="H83" s="2118"/>
      <c r="I83" s="2114" t="str">
        <f t="shared" si="4"/>
        <v/>
      </c>
      <c r="J83" s="2115" t="str">
        <f t="shared" si="5"/>
        <v/>
      </c>
      <c r="K83" s="2115" t="str">
        <f t="shared" si="6"/>
        <v/>
      </c>
      <c r="L83" s="2116" t="str">
        <f t="shared" si="7"/>
        <v/>
      </c>
      <c r="M83" s="2149"/>
    </row>
    <row r="84" spans="2:13" s="1694" customFormat="1" ht="18" customHeight="1">
      <c r="B84" s="2110" t="str">
        <f t="shared" si="2"/>
        <v>可比公司16</v>
      </c>
      <c r="C84" s="2087"/>
      <c r="D84" s="2112"/>
      <c r="E84" s="2113"/>
      <c r="F84" s="2117"/>
      <c r="G84" s="2117"/>
      <c r="H84" s="2118"/>
      <c r="I84" s="2114" t="str">
        <f t="shared" si="4"/>
        <v/>
      </c>
      <c r="J84" s="2115" t="str">
        <f t="shared" si="5"/>
        <v/>
      </c>
      <c r="K84" s="2115" t="str">
        <f t="shared" si="6"/>
        <v/>
      </c>
      <c r="L84" s="2116" t="str">
        <f t="shared" si="7"/>
        <v/>
      </c>
      <c r="M84" s="2149"/>
    </row>
    <row r="85" spans="2:13" s="1694" customFormat="1" ht="18" customHeight="1">
      <c r="B85" s="2110" t="str">
        <f t="shared" si="2"/>
        <v>可比公司17</v>
      </c>
      <c r="C85" s="2087"/>
      <c r="D85" s="2112"/>
      <c r="E85" s="2113"/>
      <c r="F85" s="2117"/>
      <c r="G85" s="2117"/>
      <c r="H85" s="2118"/>
      <c r="I85" s="2114" t="str">
        <f t="shared" si="4"/>
        <v/>
      </c>
      <c r="J85" s="2115" t="str">
        <f t="shared" si="5"/>
        <v/>
      </c>
      <c r="K85" s="2115" t="str">
        <f t="shared" si="6"/>
        <v/>
      </c>
      <c r="L85" s="2116" t="str">
        <f t="shared" si="7"/>
        <v/>
      </c>
      <c r="M85" s="2149"/>
    </row>
    <row r="86" spans="2:13" s="1694" customFormat="1" ht="18" customHeight="1">
      <c r="B86" s="2110" t="str">
        <f t="shared" si="2"/>
        <v>可比公司18</v>
      </c>
      <c r="C86" s="2087"/>
      <c r="D86" s="2112"/>
      <c r="E86" s="2113"/>
      <c r="F86" s="2117"/>
      <c r="G86" s="2117"/>
      <c r="H86" s="2118"/>
      <c r="I86" s="2114" t="str">
        <f t="shared" si="4"/>
        <v/>
      </c>
      <c r="J86" s="2115" t="str">
        <f t="shared" si="5"/>
        <v/>
      </c>
      <c r="K86" s="2115" t="str">
        <f t="shared" si="6"/>
        <v/>
      </c>
      <c r="L86" s="2116" t="str">
        <f t="shared" si="7"/>
        <v/>
      </c>
      <c r="M86" s="2149"/>
    </row>
    <row r="87" spans="2:13" s="1694" customFormat="1" ht="18" customHeight="1">
      <c r="B87" s="2110" t="str">
        <f t="shared" si="2"/>
        <v>可比公司19</v>
      </c>
      <c r="C87" s="2087"/>
      <c r="D87" s="2112"/>
      <c r="E87" s="2113"/>
      <c r="F87" s="2117"/>
      <c r="G87" s="2117"/>
      <c r="H87" s="2118"/>
      <c r="I87" s="2114" t="str">
        <f t="shared" si="4"/>
        <v/>
      </c>
      <c r="J87" s="2115" t="str">
        <f t="shared" si="5"/>
        <v/>
      </c>
      <c r="K87" s="2115" t="str">
        <f t="shared" si="6"/>
        <v/>
      </c>
      <c r="L87" s="2116" t="str">
        <f t="shared" si="7"/>
        <v/>
      </c>
      <c r="M87" s="2149"/>
    </row>
    <row r="88" spans="2:13" s="1694" customFormat="1" ht="18" customHeight="1">
      <c r="B88" s="2119" t="str">
        <f t="shared" si="2"/>
        <v>可比公司20</v>
      </c>
      <c r="C88" s="2120"/>
      <c r="D88" s="2121"/>
      <c r="E88" s="2122"/>
      <c r="F88" s="2123"/>
      <c r="G88" s="2123"/>
      <c r="H88" s="2124"/>
      <c r="I88" s="2125" t="str">
        <f t="shared" si="4"/>
        <v/>
      </c>
      <c r="J88" s="2126" t="str">
        <f t="shared" si="5"/>
        <v/>
      </c>
      <c r="K88" s="2126" t="str">
        <f t="shared" si="6"/>
        <v/>
      </c>
      <c r="L88" s="2127" t="str">
        <f t="shared" si="7"/>
        <v/>
      </c>
      <c r="M88" s="2150"/>
    </row>
    <row r="89" spans="2:13" s="1694" customFormat="1" ht="18" customHeight="1">
      <c r="B89" s="2128" t="s">
        <v>1195</v>
      </c>
      <c r="C89" s="2129"/>
      <c r="D89" s="2130">
        <f>AVERAGE(D69:D88)</f>
        <v>15.234</v>
      </c>
      <c r="E89" s="2131">
        <f t="shared" ref="E89:M89" si="8">AVERAGE(E69:E88)</f>
        <v>1.5813200000000001</v>
      </c>
      <c r="F89" s="2132">
        <f t="shared" si="8"/>
        <v>1.9003999999999999</v>
      </c>
      <c r="G89" s="2132">
        <f t="shared" si="8"/>
        <v>2.0691999999999999</v>
      </c>
      <c r="H89" s="2133">
        <f t="shared" si="8"/>
        <v>2.4041199999999998</v>
      </c>
      <c r="I89" s="2134">
        <f t="shared" si="8"/>
        <v>13.420515000365219</v>
      </c>
      <c r="J89" s="2135">
        <f t="shared" si="8"/>
        <v>10.789109513705172</v>
      </c>
      <c r="K89" s="2135">
        <f t="shared" si="8"/>
        <v>9.6217276959180094</v>
      </c>
      <c r="L89" s="2136">
        <f t="shared" si="8"/>
        <v>7.4451344989392965</v>
      </c>
      <c r="M89" s="2151">
        <f t="shared" si="8"/>
        <v>1.4215399999999998</v>
      </c>
    </row>
    <row r="90" spans="2:13" s="1694" customFormat="1" ht="18" customHeight="1" thickBot="1">
      <c r="B90" s="2137" t="str">
        <f>B38</f>
        <v>603806</v>
      </c>
      <c r="C90" s="2138" t="str">
        <f>C38</f>
        <v>福斯特</v>
      </c>
      <c r="D90" s="2139">
        <f>公司说明!E11</f>
        <v>43.68</v>
      </c>
      <c r="E90" s="2140">
        <f>利润表!M37</f>
        <v>1.8313486324339838</v>
      </c>
      <c r="F90" s="2141">
        <f ca="1">利润表!N37</f>
        <v>-2.6505477547709941</v>
      </c>
      <c r="G90" s="2141">
        <f ca="1">利润表!O37</f>
        <v>-3.1488041495362493</v>
      </c>
      <c r="H90" s="2142">
        <f ca="1">利润表!P37</f>
        <v>-3.1305131839214311</v>
      </c>
      <c r="I90" s="2143">
        <f>$D$90/E90</f>
        <v>23.851275080237663</v>
      </c>
      <c r="J90" s="2144">
        <f ca="1">$D$90/F90</f>
        <v>-16.47961253343799</v>
      </c>
      <c r="K90" s="2144">
        <f ca="1">$D$90/G90</f>
        <v>-13.871932938869227</v>
      </c>
      <c r="L90" s="2145">
        <f ca="1">$D$90/H90</f>
        <v>-13.95298388275252</v>
      </c>
      <c r="M90" s="2152">
        <f ca="1">D90/财务分析!H25</f>
        <v>4.628040499544805</v>
      </c>
    </row>
    <row r="91" spans="2:13" s="1694" customFormat="1" ht="18" customHeight="1">
      <c r="B91" s="2566"/>
      <c r="C91" s="2566"/>
      <c r="D91" s="2566"/>
      <c r="E91" s="2566"/>
      <c r="F91" s="2566"/>
      <c r="G91" s="2566"/>
      <c r="H91" s="2566"/>
      <c r="I91" s="2566"/>
      <c r="J91" s="2566"/>
      <c r="K91" s="2566"/>
      <c r="L91" s="2566"/>
      <c r="M91" s="2566"/>
    </row>
  </sheetData>
  <mergeCells count="14">
    <mergeCell ref="B91:M91"/>
    <mergeCell ref="B64:H64"/>
    <mergeCell ref="B67:B68"/>
    <mergeCell ref="C67:C68"/>
    <mergeCell ref="D67:D68"/>
    <mergeCell ref="E67:H67"/>
    <mergeCell ref="I67:L67"/>
    <mergeCell ref="J16:L16"/>
    <mergeCell ref="F16:I16"/>
    <mergeCell ref="B4:B5"/>
    <mergeCell ref="B6:B9"/>
    <mergeCell ref="B10:B12"/>
    <mergeCell ref="B13:G13"/>
    <mergeCell ref="D16:E16"/>
  </mergeCells>
  <phoneticPr fontId="21" type="noConversion"/>
  <pageMargins left="0.7" right="0.7" top="0.75" bottom="0.75" header="0.3" footer="0.3"/>
  <drawing r:id="rId1"/>
  <legacyDrawing r:id="rId2"/>
  <controls>
    <mc:AlternateContent xmlns:mc="http://schemas.openxmlformats.org/markup-compatibility/2006">
      <mc:Choice Requires="x14">
        <control shapeId="33800" r:id="rId3" name="CCARefresh2">
          <controlPr defaultSize="0" autoLine="0" r:id="rId4">
            <anchor moveWithCells="1">
              <from>
                <xdr:col>3</xdr:col>
                <xdr:colOff>885825</xdr:colOff>
                <xdr:row>40</xdr:row>
                <xdr:rowOff>0</xdr:rowOff>
              </from>
              <to>
                <xdr:col>5</xdr:col>
                <xdr:colOff>19050</xdr:colOff>
                <xdr:row>41</xdr:row>
                <xdr:rowOff>0</xdr:rowOff>
              </to>
            </anchor>
          </controlPr>
        </control>
      </mc:Choice>
      <mc:Fallback>
        <control shapeId="33800" r:id="rId3" name="CCARefresh2"/>
      </mc:Fallback>
    </mc:AlternateContent>
    <mc:AlternateContent xmlns:mc="http://schemas.openxmlformats.org/markup-compatibility/2006">
      <mc:Choice Requires="x14">
        <control shapeId="33797" r:id="rId5" name="cbDataPicker">
          <controlPr defaultSize="0" autoLine="0" linkedCell="B42" listFillRange="I4:I13" r:id="rId6">
            <anchor moveWithCells="1">
              <from>
                <xdr:col>1</xdr:col>
                <xdr:colOff>9525</xdr:colOff>
                <xdr:row>41</xdr:row>
                <xdr:rowOff>0</xdr:rowOff>
              </from>
              <to>
                <xdr:col>3</xdr:col>
                <xdr:colOff>9525</xdr:colOff>
                <xdr:row>42</xdr:row>
                <xdr:rowOff>28575</xdr:rowOff>
              </to>
            </anchor>
          </controlPr>
        </control>
      </mc:Choice>
      <mc:Fallback>
        <control shapeId="33797" r:id="rId5" name="cbDataPicker"/>
      </mc:Fallback>
    </mc:AlternateContent>
    <mc:AlternateContent xmlns:mc="http://schemas.openxmlformats.org/markup-compatibility/2006">
      <mc:Choice Requires="x14">
        <control shapeId="33796" r:id="rId7" name="CCARefresh1">
          <controlPr defaultSize="0" autoLine="0" r:id="rId8">
            <anchor moveWithCells="1">
              <from>
                <xdr:col>3</xdr:col>
                <xdr:colOff>885825</xdr:colOff>
                <xdr:row>14</xdr:row>
                <xdr:rowOff>0</xdr:rowOff>
              </from>
              <to>
                <xdr:col>5</xdr:col>
                <xdr:colOff>19050</xdr:colOff>
                <xdr:row>15</xdr:row>
                <xdr:rowOff>9525</xdr:rowOff>
              </to>
            </anchor>
          </controlPr>
        </control>
      </mc:Choice>
      <mc:Fallback>
        <control shapeId="33796" r:id="rId7" name="CCARefresh1"/>
      </mc:Fallback>
    </mc:AlternateContent>
    <mc:AlternateContent xmlns:mc="http://schemas.openxmlformats.org/markup-compatibility/2006">
      <mc:Choice Requires="x14">
        <control shapeId="33801" r:id="rId9" name="CCARefresh3">
          <controlPr defaultSize="0" autoLine="0" r:id="rId10">
            <anchor moveWithCells="1">
              <from>
                <xdr:col>3</xdr:col>
                <xdr:colOff>885825</xdr:colOff>
                <xdr:row>65</xdr:row>
                <xdr:rowOff>0</xdr:rowOff>
              </from>
              <to>
                <xdr:col>5</xdr:col>
                <xdr:colOff>19050</xdr:colOff>
                <xdr:row>66</xdr:row>
                <xdr:rowOff>0</xdr:rowOff>
              </to>
            </anchor>
          </controlPr>
        </control>
      </mc:Choice>
      <mc:Fallback>
        <control shapeId="33801" r:id="rId9" name="CCARefresh3"/>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S161"/>
  <sheetViews>
    <sheetView showGridLines="0" workbookViewId="0">
      <pane xSplit="8" ySplit="3" topLeftCell="I4" activePane="bottomRight" state="frozen"/>
      <selection pane="topRight"/>
      <selection pane="bottomLeft"/>
      <selection pane="bottomRight" activeCell="B22" sqref="B22"/>
    </sheetView>
  </sheetViews>
  <sheetFormatPr defaultRowHeight="14.25"/>
  <cols>
    <col min="1" max="1" width="3.25" style="897" customWidth="1"/>
    <col min="2" max="2" width="26.25" customWidth="1"/>
    <col min="3" max="8" width="2.625" style="897" customWidth="1"/>
    <col min="9" max="18" width="9.625" style="897" customWidth="1"/>
    <col min="19" max="16384" width="9" style="897"/>
  </cols>
  <sheetData>
    <row r="1" spans="1:18" ht="31.5" customHeight="1">
      <c r="A1" s="894"/>
      <c r="B1" s="62"/>
      <c r="C1" s="895"/>
      <c r="D1" s="895"/>
      <c r="E1" s="895"/>
      <c r="F1" s="895"/>
      <c r="G1" s="895"/>
      <c r="H1" s="895"/>
      <c r="I1" s="896"/>
      <c r="J1" s="896"/>
      <c r="K1" s="896"/>
      <c r="L1" s="896"/>
      <c r="M1" s="896"/>
      <c r="N1" s="896"/>
      <c r="O1" s="896"/>
      <c r="P1" s="896"/>
      <c r="Q1" s="896"/>
      <c r="R1" s="895"/>
    </row>
    <row r="2" spans="1:18" ht="15.75">
      <c r="A2" s="109"/>
      <c r="B2" s="173" t="s">
        <v>18</v>
      </c>
      <c r="C2" s="898"/>
      <c r="D2" s="898"/>
      <c r="E2" s="898"/>
      <c r="F2" s="898"/>
      <c r="G2" s="898"/>
      <c r="H2" s="898"/>
      <c r="I2" s="636">
        <f t="shared" ref="I2:L3" si="0">J2-1</f>
        <v>2015</v>
      </c>
      <c r="J2" s="636">
        <f t="shared" si="0"/>
        <v>2016</v>
      </c>
      <c r="K2" s="636">
        <f t="shared" si="0"/>
        <v>2017</v>
      </c>
      <c r="L2" s="636">
        <f t="shared" si="0"/>
        <v>2018</v>
      </c>
      <c r="M2" s="636">
        <f>公司说明!B1</f>
        <v>2019</v>
      </c>
      <c r="N2" s="636">
        <f>M3+1</f>
        <v>2020</v>
      </c>
      <c r="O2" s="636">
        <f>N2+1</f>
        <v>2021</v>
      </c>
      <c r="P2" s="636">
        <f>O2+1</f>
        <v>2022</v>
      </c>
      <c r="Q2" s="636">
        <f>P2+1</f>
        <v>2023</v>
      </c>
      <c r="R2" s="637">
        <f>Q2+1</f>
        <v>2024</v>
      </c>
    </row>
    <row r="3" spans="1:18" ht="18" customHeight="1">
      <c r="A3" s="640"/>
      <c r="B3" s="899"/>
      <c r="C3" s="574"/>
      <c r="D3" s="574"/>
      <c r="E3" s="574"/>
      <c r="F3" s="574"/>
      <c r="G3" s="574"/>
      <c r="H3" s="900"/>
      <c r="I3" s="643">
        <f t="shared" si="0"/>
        <v>2015</v>
      </c>
      <c r="J3" s="643">
        <f t="shared" si="0"/>
        <v>2016</v>
      </c>
      <c r="K3" s="643">
        <f t="shared" si="0"/>
        <v>2017</v>
      </c>
      <c r="L3" s="643">
        <f t="shared" si="0"/>
        <v>2018</v>
      </c>
      <c r="M3" s="643">
        <f>公司说明!B1</f>
        <v>2019</v>
      </c>
      <c r="N3" s="643" t="str">
        <f>N2&amp;"E"</f>
        <v>2020E</v>
      </c>
      <c r="O3" s="643" t="str">
        <f>O2&amp;"E"</f>
        <v>2021E</v>
      </c>
      <c r="P3" s="643" t="str">
        <f>P2&amp;"E"</f>
        <v>2022E</v>
      </c>
      <c r="Q3" s="643" t="str">
        <f>Q2&amp;"E"</f>
        <v>2023E</v>
      </c>
      <c r="R3" s="644" t="str">
        <f>R2&amp;"E"</f>
        <v>2024E</v>
      </c>
    </row>
    <row r="4" spans="1:18" ht="18" customHeight="1">
      <c r="A4" s="640"/>
      <c r="B4" s="903" t="s">
        <v>22</v>
      </c>
      <c r="C4" s="904"/>
      <c r="D4" s="904"/>
      <c r="E4" s="904"/>
      <c r="F4" s="904"/>
      <c r="G4" s="904"/>
      <c r="H4" s="905"/>
      <c r="I4" s="906"/>
      <c r="J4" s="906"/>
      <c r="K4" s="906"/>
      <c r="L4" s="906"/>
      <c r="M4" s="906"/>
      <c r="N4" s="906"/>
      <c r="O4" s="906"/>
      <c r="P4" s="906"/>
      <c r="Q4" s="906"/>
      <c r="R4" s="907"/>
    </row>
    <row r="5" spans="1:18" ht="18" customHeight="1">
      <c r="B5" s="908" t="s">
        <v>952</v>
      </c>
      <c r="C5" s="909">
        <v>101</v>
      </c>
      <c r="D5" s="909">
        <v>4</v>
      </c>
      <c r="E5" s="909">
        <v>4</v>
      </c>
      <c r="F5" s="909" t="s">
        <v>172</v>
      </c>
      <c r="G5" s="909" t="s">
        <v>173</v>
      </c>
      <c r="H5" s="910" t="s">
        <v>174</v>
      </c>
      <c r="I5" s="911">
        <f>利润表!I43</f>
        <v>3332.8047714200002</v>
      </c>
      <c r="J5" s="911">
        <f>利润表!J43</f>
        <v>3951.6072652299999</v>
      </c>
      <c r="K5" s="911">
        <f>利润表!K43</f>
        <v>4584.9197615800003</v>
      </c>
      <c r="L5" s="911">
        <f>利润表!L43</f>
        <v>4809.73609786</v>
      </c>
      <c r="M5" s="911">
        <f>利润表!M43</f>
        <v>6378.1513559200002</v>
      </c>
      <c r="N5" s="912">
        <f>利润表!M43</f>
        <v>6378.1513559200002</v>
      </c>
      <c r="O5" s="912">
        <f>利润表!N43</f>
        <v>6378.1513559200002</v>
      </c>
      <c r="P5" s="912">
        <f>利润表!O43</f>
        <v>6378.1513559200002</v>
      </c>
      <c r="Q5" s="912">
        <f>利润表!P43</f>
        <v>6378.1513559200002</v>
      </c>
      <c r="R5" s="913">
        <f>利润表!Q43</f>
        <v>6378.1513559200002</v>
      </c>
    </row>
    <row r="6" spans="1:18" ht="18" customHeight="1">
      <c r="B6" s="914" t="s">
        <v>953</v>
      </c>
      <c r="C6" s="915"/>
      <c r="D6" s="915"/>
      <c r="E6" s="915"/>
      <c r="F6" s="915"/>
      <c r="G6" s="915"/>
      <c r="H6" s="916"/>
      <c r="I6" s="917">
        <f>利润表!I44</f>
        <v>0</v>
      </c>
      <c r="J6" s="917">
        <f>利润表!J44</f>
        <v>0.1856701896001991</v>
      </c>
      <c r="K6" s="917">
        <f>利润表!K44</f>
        <v>0.16026706447335659</v>
      </c>
      <c r="L6" s="917">
        <f>利润表!L44</f>
        <v>4.9033864924721504E-2</v>
      </c>
      <c r="M6" s="917">
        <f>利润表!M44</f>
        <v>0.32609174934937424</v>
      </c>
      <c r="N6" s="917">
        <f>N5/M5-1</f>
        <v>0</v>
      </c>
      <c r="O6" s="917">
        <f>O5/N5-1</f>
        <v>0</v>
      </c>
      <c r="P6" s="917">
        <f>P5/O5-1</f>
        <v>0</v>
      </c>
      <c r="Q6" s="917">
        <f>Q5/P5-1</f>
        <v>0</v>
      </c>
      <c r="R6" s="918">
        <f>R5/Q5-1</f>
        <v>0</v>
      </c>
    </row>
    <row r="7" spans="1:18" ht="18" customHeight="1">
      <c r="B7" s="919" t="s">
        <v>954</v>
      </c>
      <c r="C7" s="920">
        <v>101</v>
      </c>
      <c r="D7" s="920">
        <v>1</v>
      </c>
      <c r="E7" s="920">
        <v>1</v>
      </c>
      <c r="F7" s="920" t="s">
        <v>175</v>
      </c>
      <c r="G7" s="920" t="s">
        <v>176</v>
      </c>
      <c r="H7" s="921" t="s">
        <v>177</v>
      </c>
      <c r="I7" s="911">
        <f>利润表!I50</f>
        <v>2238.2859384899998</v>
      </c>
      <c r="J7" s="911">
        <f>利润表!J48</f>
        <v>0</v>
      </c>
      <c r="K7" s="911">
        <f>利润表!K50</f>
        <v>3625.9091715999998</v>
      </c>
      <c r="L7" s="911">
        <f>利润表!L50</f>
        <v>3863.78724121</v>
      </c>
      <c r="M7" s="911">
        <f>利润表!M50</f>
        <v>5079.2705365800002</v>
      </c>
      <c r="N7" s="1881">
        <f>(1-N8)*N5</f>
        <v>5082.3547035464026</v>
      </c>
      <c r="O7" s="1881">
        <f t="shared" ref="O7:R7" si="1">(1-O8)*O5</f>
        <v>5095.1205406454546</v>
      </c>
      <c r="P7" s="1881">
        <f t="shared" si="1"/>
        <v>5085.5819269239528</v>
      </c>
      <c r="Q7" s="1881">
        <f t="shared" si="1"/>
        <v>5087.68572370527</v>
      </c>
      <c r="R7" s="1911">
        <f t="shared" si="1"/>
        <v>5089.4627304248925</v>
      </c>
    </row>
    <row r="8" spans="1:18" ht="18" customHeight="1">
      <c r="B8" s="924" t="s">
        <v>955</v>
      </c>
      <c r="C8" s="925"/>
      <c r="D8" s="925"/>
      <c r="E8" s="925"/>
      <c r="F8" s="925"/>
      <c r="G8" s="925"/>
      <c r="H8" s="926"/>
      <c r="I8" s="917">
        <f>利润表!I51</f>
        <v>0.32840772502364768</v>
      </c>
      <c r="J8" s="917">
        <f>利润表!J49</f>
        <v>3095.0378828100006</v>
      </c>
      <c r="K8" s="917">
        <f>利润表!K51</f>
        <v>0.20916627549650246</v>
      </c>
      <c r="L8" s="917">
        <f>利润表!L51</f>
        <v>0.19667375452696501</v>
      </c>
      <c r="M8" s="917">
        <f>利润表!M51</f>
        <v>0.2036453428052345</v>
      </c>
      <c r="N8" s="1879">
        <f>AVERAGE(K8:M8)</f>
        <v>0.20316179094290066</v>
      </c>
      <c r="O8" s="1879">
        <f t="shared" ref="O8:R8" si="2">AVERAGE(L8:N8)</f>
        <v>0.20116029609170005</v>
      </c>
      <c r="P8" s="1879">
        <f t="shared" si="2"/>
        <v>0.20265580994661173</v>
      </c>
      <c r="Q8" s="1879">
        <f t="shared" si="2"/>
        <v>0.20232596566040414</v>
      </c>
      <c r="R8" s="1880">
        <f t="shared" si="2"/>
        <v>0.20204735723290532</v>
      </c>
    </row>
    <row r="9" spans="1:18" ht="18" customHeight="1">
      <c r="B9" s="919" t="s">
        <v>956</v>
      </c>
      <c r="C9" s="920">
        <v>101</v>
      </c>
      <c r="D9" s="920">
        <v>1</v>
      </c>
      <c r="E9" s="920">
        <v>1</v>
      </c>
      <c r="F9" s="920" t="s">
        <v>178</v>
      </c>
      <c r="G9" s="920" t="s">
        <v>179</v>
      </c>
      <c r="H9" s="928" t="s">
        <v>180</v>
      </c>
      <c r="I9" s="911">
        <f>利润表!I56</f>
        <v>16.865364629999998</v>
      </c>
      <c r="J9" s="911">
        <f>利润表!J51</f>
        <v>0.30276952224409948</v>
      </c>
      <c r="K9" s="911">
        <f>利润表!K56</f>
        <v>26.899063820000002</v>
      </c>
      <c r="L9" s="911">
        <f>利润表!L56</f>
        <v>19.415506629999999</v>
      </c>
      <c r="M9" s="911">
        <f>利润表!M56</f>
        <v>21.80349241</v>
      </c>
      <c r="N9" s="1877">
        <f>N5*N10</f>
        <v>28.323310281579698</v>
      </c>
      <c r="O9" s="1877">
        <f t="shared" ref="O9:R9" si="3">O5*O10</f>
        <v>25.291181947686923</v>
      </c>
      <c r="P9" s="1877">
        <f t="shared" si="3"/>
        <v>25.13932821308887</v>
      </c>
      <c r="Q9" s="1877">
        <f t="shared" si="3"/>
        <v>26.251273480785159</v>
      </c>
      <c r="R9" s="1878">
        <f t="shared" si="3"/>
        <v>25.560594547186984</v>
      </c>
    </row>
    <row r="10" spans="1:18" ht="18" customHeight="1">
      <c r="B10" s="930" t="s">
        <v>957</v>
      </c>
      <c r="C10" s="915"/>
      <c r="D10" s="915"/>
      <c r="E10" s="915"/>
      <c r="F10" s="915"/>
      <c r="G10" s="915"/>
      <c r="H10" s="916"/>
      <c r="I10" s="917">
        <f>利润表!I57</f>
        <v>5.0604118112847676E-3</v>
      </c>
      <c r="J10" s="917">
        <f>利润表!J52</f>
        <v>0</v>
      </c>
      <c r="K10" s="917">
        <f>利润表!K57</f>
        <v>5.8668559579612726E-3</v>
      </c>
      <c r="L10" s="917">
        <f>利润表!L57</f>
        <v>4.0367093401732701E-3</v>
      </c>
      <c r="M10" s="917">
        <f>利润表!M57</f>
        <v>3.4184658207840556E-3</v>
      </c>
      <c r="N10" s="2290">
        <f>AVERAGE(K10:M10)</f>
        <v>4.4406770396395326E-3</v>
      </c>
      <c r="O10" s="2290">
        <f t="shared" ref="O10:R10" si="4">AVERAGE(L10:N10)</f>
        <v>3.9652840668656193E-3</v>
      </c>
      <c r="P10" s="2290">
        <f t="shared" si="4"/>
        <v>3.9414756424297351E-3</v>
      </c>
      <c r="Q10" s="2290">
        <f t="shared" si="4"/>
        <v>4.1158122496449618E-3</v>
      </c>
      <c r="R10" s="2291">
        <f t="shared" si="4"/>
        <v>4.0075239863134387E-3</v>
      </c>
    </row>
    <row r="11" spans="1:18" ht="18" customHeight="1">
      <c r="B11" s="919" t="s">
        <v>958</v>
      </c>
      <c r="C11" s="920">
        <v>101</v>
      </c>
      <c r="D11" s="920">
        <v>1</v>
      </c>
      <c r="E11" s="920">
        <v>1</v>
      </c>
      <c r="F11" s="920" t="s">
        <v>181</v>
      </c>
      <c r="G11" s="920" t="s">
        <v>182</v>
      </c>
      <c r="H11" s="928" t="s">
        <v>183</v>
      </c>
      <c r="I11" s="911">
        <f>利润表!I59</f>
        <v>55.81457365</v>
      </c>
      <c r="J11" s="911">
        <f>利润表!J54</f>
        <v>1.4384885704854957E-17</v>
      </c>
      <c r="K11" s="911">
        <f>利润表!K59</f>
        <v>78.155881199999996</v>
      </c>
      <c r="L11" s="911">
        <f>利润表!L59</f>
        <v>86.986311489999991</v>
      </c>
      <c r="M11" s="911">
        <f>利润表!M59</f>
        <v>112.84909105</v>
      </c>
      <c r="N11" s="1877">
        <f>N5*N12</f>
        <v>112.30825055389093</v>
      </c>
      <c r="O11" s="1877">
        <f t="shared" ref="O11:R11" si="5">O5*O12</f>
        <v>113.50305719237153</v>
      </c>
      <c r="P11" s="1877">
        <f t="shared" si="5"/>
        <v>112.88679959875417</v>
      </c>
      <c r="Q11" s="1877">
        <f t="shared" si="5"/>
        <v>112.89936911500553</v>
      </c>
      <c r="R11" s="1878">
        <f t="shared" si="5"/>
        <v>113.09640863537707</v>
      </c>
    </row>
    <row r="12" spans="1:18" ht="18" customHeight="1">
      <c r="B12" s="930" t="s">
        <v>959</v>
      </c>
      <c r="C12" s="915"/>
      <c r="D12" s="915"/>
      <c r="E12" s="915"/>
      <c r="F12" s="915"/>
      <c r="G12" s="915"/>
      <c r="H12" s="916"/>
      <c r="I12" s="917">
        <f>利润表!I60</f>
        <v>1.6747027647292769E-2</v>
      </c>
      <c r="J12" s="917">
        <f>利润表!J55</f>
        <v>0</v>
      </c>
      <c r="K12" s="917">
        <f>利润表!K60</f>
        <v>1.7046292032178736E-2</v>
      </c>
      <c r="L12" s="917">
        <f>利润表!L60</f>
        <v>1.8085464507855822E-2</v>
      </c>
      <c r="M12" s="917">
        <f>利润表!M60</f>
        <v>1.7693071981626306E-2</v>
      </c>
      <c r="N12" s="2290">
        <f>AVERAGE(K12:M12)</f>
        <v>1.7608276173886956E-2</v>
      </c>
      <c r="O12" s="2290">
        <f t="shared" ref="O12:R12" si="6">AVERAGE(L12:N12)</f>
        <v>1.7795604221123029E-2</v>
      </c>
      <c r="P12" s="2290">
        <f t="shared" si="6"/>
        <v>1.7698984125545433E-2</v>
      </c>
      <c r="Q12" s="2290">
        <f t="shared" si="6"/>
        <v>1.7700954840185138E-2</v>
      </c>
      <c r="R12" s="2291">
        <f t="shared" si="6"/>
        <v>1.77318477289512E-2</v>
      </c>
    </row>
    <row r="13" spans="1:18" ht="18" customHeight="1">
      <c r="B13" s="919" t="s">
        <v>960</v>
      </c>
      <c r="C13" s="920">
        <v>101</v>
      </c>
      <c r="D13" s="920">
        <v>1</v>
      </c>
      <c r="E13" s="920">
        <v>1</v>
      </c>
      <c r="F13" s="920" t="s">
        <v>184</v>
      </c>
      <c r="G13" s="920" t="s">
        <v>185</v>
      </c>
      <c r="H13" s="928" t="s">
        <v>186</v>
      </c>
      <c r="I13" s="911">
        <f>利润表!I62</f>
        <v>193.75757265999999</v>
      </c>
      <c r="J13" s="911">
        <f>利润表!J57</f>
        <v>5.8157988958607628E-3</v>
      </c>
      <c r="K13" s="911">
        <f>利润表!K62</f>
        <v>79.338761969999993</v>
      </c>
      <c r="L13" s="911">
        <f>利润表!L62</f>
        <v>84.266100010000002</v>
      </c>
      <c r="M13" s="911">
        <f>利润表!M62</f>
        <v>97.549293969999994</v>
      </c>
      <c r="N13" s="1877">
        <f>N14*N5</f>
        <v>106.55440931499174</v>
      </c>
      <c r="O13" s="1877">
        <f t="shared" ref="O13:R13" si="7">O14*O5</f>
        <v>105.28276108603399</v>
      </c>
      <c r="P13" s="1877">
        <f t="shared" si="7"/>
        <v>103.12882145700857</v>
      </c>
      <c r="Q13" s="1877">
        <f t="shared" si="7"/>
        <v>104.98866395267808</v>
      </c>
      <c r="R13" s="1878">
        <f t="shared" si="7"/>
        <v>104.46674883190687</v>
      </c>
    </row>
    <row r="14" spans="1:18" ht="18" customHeight="1">
      <c r="B14" s="930" t="s">
        <v>961</v>
      </c>
      <c r="C14" s="915"/>
      <c r="D14" s="915"/>
      <c r="E14" s="915"/>
      <c r="F14" s="915"/>
      <c r="G14" s="915"/>
      <c r="H14" s="916"/>
      <c r="I14" s="917">
        <f>利润表!I63</f>
        <v>5.8136490418383001E-2</v>
      </c>
      <c r="J14" s="917">
        <f>利润表!J58</f>
        <v>0</v>
      </c>
      <c r="K14" s="917">
        <f>利润表!K63</f>
        <v>1.7304285809935139E-2</v>
      </c>
      <c r="L14" s="917">
        <f>利润表!L63</f>
        <v>1.7519900945811268E-2</v>
      </c>
      <c r="M14" s="917">
        <f>利润表!M63</f>
        <v>1.5294289603124234E-2</v>
      </c>
      <c r="N14" s="2290">
        <f>AVERAGE(K14:M14)</f>
        <v>1.6706158786290212E-2</v>
      </c>
      <c r="O14" s="2290">
        <f t="shared" ref="O14:R14" si="8">AVERAGE(L14:N14)</f>
        <v>1.6506783111741904E-2</v>
      </c>
      <c r="P14" s="2290">
        <f t="shared" si="8"/>
        <v>1.6169077167052116E-2</v>
      </c>
      <c r="Q14" s="2290">
        <f t="shared" si="8"/>
        <v>1.6460673021694742E-2</v>
      </c>
      <c r="R14" s="2291">
        <f t="shared" si="8"/>
        <v>1.6378844433496253E-2</v>
      </c>
    </row>
    <row r="15" spans="1:18" ht="18" customHeight="1">
      <c r="B15" s="908" t="s">
        <v>962</v>
      </c>
      <c r="C15" s="915">
        <v>102</v>
      </c>
      <c r="D15" s="915">
        <v>2</v>
      </c>
      <c r="E15" s="915">
        <v>2</v>
      </c>
      <c r="F15" s="915"/>
      <c r="G15" s="915"/>
      <c r="H15" s="916" t="s">
        <v>189</v>
      </c>
      <c r="I15" s="917">
        <f>利润表!I70</f>
        <v>0</v>
      </c>
      <c r="J15" s="917">
        <f>利润表!J70</f>
        <v>0.5749048083832875</v>
      </c>
      <c r="K15" s="917">
        <f>利润表!K70</f>
        <v>0.86214489516257309</v>
      </c>
      <c r="L15" s="917">
        <f>利润表!L62</f>
        <v>84.266100010000002</v>
      </c>
      <c r="M15" s="917">
        <f>利润表!M70</f>
        <v>0.33686397564687109</v>
      </c>
      <c r="N15" s="2290">
        <f>AVERAGE(K15:M15)</f>
        <v>28.488369626936485</v>
      </c>
      <c r="O15" s="2290">
        <f t="shared" ref="O15:R15" si="9">AVERAGE(L15:N15)</f>
        <v>37.697111204194456</v>
      </c>
      <c r="P15" s="2290">
        <f t="shared" si="9"/>
        <v>22.174114935592602</v>
      </c>
      <c r="Q15" s="2290">
        <f t="shared" si="9"/>
        <v>29.453198588907849</v>
      </c>
      <c r="R15" s="2291">
        <f t="shared" si="9"/>
        <v>29.774808242898303</v>
      </c>
    </row>
    <row r="16" spans="1:18" ht="18" customHeight="1">
      <c r="B16" s="931" t="s">
        <v>963</v>
      </c>
      <c r="C16" s="925">
        <v>102</v>
      </c>
      <c r="D16" s="925">
        <v>2</v>
      </c>
      <c r="E16" s="925">
        <v>2</v>
      </c>
      <c r="F16" s="925"/>
      <c r="G16" s="925"/>
      <c r="H16" s="926" t="s">
        <v>191</v>
      </c>
      <c r="I16" s="917">
        <f>利润表!I75</f>
        <v>0</v>
      </c>
      <c r="J16" s="917" t="e">
        <f>利润表!J75</f>
        <v>#DIV/0!</v>
      </c>
      <c r="K16" s="917" t="e">
        <f>利润表!K75</f>
        <v>#DIV/0!</v>
      </c>
      <c r="L16" s="917">
        <f>利润表!L75</f>
        <v>25.960103233517639</v>
      </c>
      <c r="M16" s="917">
        <f>利润表!M75</f>
        <v>3.0271644326059857</v>
      </c>
      <c r="N16" s="2292" t="e">
        <f>AVERAGE(K16:M16)</f>
        <v>#DIV/0!</v>
      </c>
      <c r="O16" s="2292" t="e">
        <f t="shared" ref="O16:R16" si="10">AVERAGE(L16:N16)</f>
        <v>#DIV/0!</v>
      </c>
      <c r="P16" s="2292" t="e">
        <f t="shared" si="10"/>
        <v>#DIV/0!</v>
      </c>
      <c r="Q16" s="2292" t="e">
        <f t="shared" si="10"/>
        <v>#DIV/0!</v>
      </c>
      <c r="R16" s="2293" t="e">
        <f t="shared" si="10"/>
        <v>#DIV/0!</v>
      </c>
    </row>
    <row r="17" spans="2:19" ht="18" customHeight="1">
      <c r="B17" s="908" t="s">
        <v>964</v>
      </c>
      <c r="C17" s="932">
        <v>102</v>
      </c>
      <c r="D17" s="932">
        <v>2</v>
      </c>
      <c r="E17" s="932">
        <v>2</v>
      </c>
      <c r="F17" s="932"/>
      <c r="G17" s="932"/>
      <c r="H17" s="933" t="s">
        <v>193</v>
      </c>
      <c r="I17" s="934">
        <v>0</v>
      </c>
      <c r="J17" s="934">
        <v>0</v>
      </c>
      <c r="K17" s="934">
        <v>0</v>
      </c>
      <c r="L17" s="934">
        <v>0</v>
      </c>
      <c r="M17" s="934">
        <v>0</v>
      </c>
      <c r="N17" s="2294">
        <f>AVERAGE(K17:M17)</f>
        <v>0</v>
      </c>
      <c r="O17" s="2294">
        <f t="shared" ref="O17:R17" si="11">AVERAGE(L17:N17)</f>
        <v>0</v>
      </c>
      <c r="P17" s="2294">
        <f t="shared" si="11"/>
        <v>0</v>
      </c>
      <c r="Q17" s="2294">
        <f t="shared" si="11"/>
        <v>0</v>
      </c>
      <c r="R17" s="2295">
        <f t="shared" si="11"/>
        <v>0</v>
      </c>
    </row>
    <row r="18" spans="2:19" ht="18" customHeight="1">
      <c r="B18" s="908" t="s">
        <v>965</v>
      </c>
      <c r="C18" s="932"/>
      <c r="D18" s="932"/>
      <c r="E18" s="932"/>
      <c r="F18" s="932"/>
      <c r="G18" s="932"/>
      <c r="H18" s="933"/>
      <c r="I18" s="934">
        <v>0</v>
      </c>
      <c r="J18" s="934">
        <v>0</v>
      </c>
      <c r="K18" s="934">
        <v>0</v>
      </c>
      <c r="L18" s="934">
        <v>0</v>
      </c>
      <c r="M18" s="934">
        <v>0</v>
      </c>
      <c r="N18" s="935">
        <f>(利润表!N73+利润表!N74)*利润表!N75-利润表!N76</f>
        <v>2753.356665720843</v>
      </c>
      <c r="O18" s="935">
        <f>(利润表!O73+利润表!O74)*利润表!O75-利润表!O76</f>
        <v>2753.356665720843</v>
      </c>
      <c r="P18" s="935">
        <f>(利润表!P73+利润表!P74)*利润表!P75-利润表!P76</f>
        <v>2753.356665720843</v>
      </c>
      <c r="Q18" s="935">
        <f>(利润表!Q73+利润表!Q74)*利润表!Q75-利润表!Q76</f>
        <v>2753.356665720843</v>
      </c>
      <c r="R18" s="936">
        <f>(利润表!R73+利润表!R74)*利润表!R75-利润表!R76</f>
        <v>2753.356665720843</v>
      </c>
      <c r="S18" s="937"/>
    </row>
    <row r="19" spans="2:19" ht="18" customHeight="1">
      <c r="B19" s="908" t="s">
        <v>966</v>
      </c>
      <c r="C19" s="932">
        <v>102</v>
      </c>
      <c r="D19" s="932">
        <v>2</v>
      </c>
      <c r="E19" s="932">
        <v>2</v>
      </c>
      <c r="F19" s="932"/>
      <c r="G19" s="932"/>
      <c r="H19" s="933" t="s">
        <v>196</v>
      </c>
      <c r="I19" s="934">
        <v>0</v>
      </c>
      <c r="J19" s="934">
        <v>0</v>
      </c>
      <c r="K19" s="934">
        <v>0</v>
      </c>
      <c r="L19" s="934">
        <v>0</v>
      </c>
      <c r="M19" s="934">
        <v>0</v>
      </c>
      <c r="N19" s="2294">
        <f t="shared" ref="N19:N24" si="12">AVERAGE(K19:M19)</f>
        <v>0</v>
      </c>
      <c r="O19" s="2294">
        <f t="shared" ref="O19:R19" si="13">AVERAGE(L19:N19)</f>
        <v>0</v>
      </c>
      <c r="P19" s="2294">
        <f t="shared" si="13"/>
        <v>0</v>
      </c>
      <c r="Q19" s="2294">
        <f t="shared" si="13"/>
        <v>0</v>
      </c>
      <c r="R19" s="2295">
        <f t="shared" si="13"/>
        <v>0</v>
      </c>
    </row>
    <row r="20" spans="2:19" ht="18" customHeight="1">
      <c r="B20" s="908" t="s">
        <v>967</v>
      </c>
      <c r="C20" s="920">
        <v>102</v>
      </c>
      <c r="D20" s="920">
        <v>2</v>
      </c>
      <c r="E20" s="920">
        <v>2</v>
      </c>
      <c r="F20" s="920"/>
      <c r="G20" s="920"/>
      <c r="H20" s="928" t="s">
        <v>198</v>
      </c>
      <c r="I20" s="938">
        <f>利润表!I104</f>
        <v>0</v>
      </c>
      <c r="J20" s="938">
        <f>利润表!J76</f>
        <v>0</v>
      </c>
      <c r="K20" s="938">
        <f>利润表!K80</f>
        <v>0</v>
      </c>
      <c r="L20" s="938">
        <f>利润表!L104</f>
        <v>-0.26352584000000001</v>
      </c>
      <c r="M20" s="938">
        <f>利润表!M104</f>
        <v>-0.30307613999999999</v>
      </c>
      <c r="N20" s="2294">
        <f t="shared" si="12"/>
        <v>-0.18886732666666664</v>
      </c>
      <c r="O20" s="2294">
        <f t="shared" ref="O20:R20" si="14">AVERAGE(L20:N20)</f>
        <v>-0.25182310222222221</v>
      </c>
      <c r="P20" s="2294">
        <f t="shared" si="14"/>
        <v>-0.24792218962962961</v>
      </c>
      <c r="Q20" s="2294">
        <f t="shared" si="14"/>
        <v>-0.22953753950617284</v>
      </c>
      <c r="R20" s="2295">
        <f t="shared" si="14"/>
        <v>-0.24309427711934153</v>
      </c>
    </row>
    <row r="21" spans="2:19" ht="18" customHeight="1">
      <c r="B21" s="908" t="s">
        <v>968</v>
      </c>
      <c r="C21" s="932">
        <v>102</v>
      </c>
      <c r="D21" s="932">
        <v>2</v>
      </c>
      <c r="E21" s="932">
        <v>2</v>
      </c>
      <c r="F21" s="932"/>
      <c r="G21" s="932"/>
      <c r="H21" s="933" t="s">
        <v>200</v>
      </c>
      <c r="I21" s="934">
        <v>0</v>
      </c>
      <c r="J21" s="934">
        <v>0</v>
      </c>
      <c r="K21" s="934">
        <v>0</v>
      </c>
      <c r="L21" s="934">
        <v>0</v>
      </c>
      <c r="M21" s="934">
        <v>0</v>
      </c>
      <c r="N21" s="2294">
        <f t="shared" si="12"/>
        <v>0</v>
      </c>
      <c r="O21" s="2294">
        <f t="shared" ref="O21:R21" si="15">AVERAGE(L21:N21)</f>
        <v>0</v>
      </c>
      <c r="P21" s="2294">
        <f t="shared" si="15"/>
        <v>0</v>
      </c>
      <c r="Q21" s="2294">
        <f t="shared" si="15"/>
        <v>0</v>
      </c>
      <c r="R21" s="2295">
        <f t="shared" si="15"/>
        <v>0</v>
      </c>
    </row>
    <row r="22" spans="2:19" ht="18" customHeight="1">
      <c r="B22" s="908" t="s">
        <v>969</v>
      </c>
      <c r="C22" s="932">
        <v>102</v>
      </c>
      <c r="D22" s="932">
        <v>2</v>
      </c>
      <c r="E22" s="932">
        <v>2</v>
      </c>
      <c r="F22" s="932"/>
      <c r="G22" s="932"/>
      <c r="H22" s="933" t="s">
        <v>202</v>
      </c>
      <c r="I22" s="934">
        <v>0</v>
      </c>
      <c r="J22" s="934">
        <v>0</v>
      </c>
      <c r="K22" s="934">
        <v>0</v>
      </c>
      <c r="L22" s="934">
        <v>0</v>
      </c>
      <c r="M22" s="934">
        <v>0</v>
      </c>
      <c r="N22" s="2294">
        <f t="shared" si="12"/>
        <v>0</v>
      </c>
      <c r="O22" s="2294">
        <f t="shared" ref="O22:R22" si="16">AVERAGE(L22:N22)</f>
        <v>0</v>
      </c>
      <c r="P22" s="2294">
        <f t="shared" si="16"/>
        <v>0</v>
      </c>
      <c r="Q22" s="2294">
        <f t="shared" si="16"/>
        <v>0</v>
      </c>
      <c r="R22" s="2295">
        <f t="shared" si="16"/>
        <v>0</v>
      </c>
    </row>
    <row r="23" spans="2:19" ht="18" customHeight="1">
      <c r="B23" s="908" t="s">
        <v>970</v>
      </c>
      <c r="C23" s="920">
        <v>102</v>
      </c>
      <c r="D23" s="920">
        <v>2</v>
      </c>
      <c r="E23" s="920">
        <v>2</v>
      </c>
      <c r="F23" s="920"/>
      <c r="G23" s="920"/>
      <c r="H23" s="928" t="s">
        <v>204</v>
      </c>
      <c r="I23" s="938">
        <f>利润表!I100</f>
        <v>0</v>
      </c>
      <c r="J23" s="938">
        <f>利润表!J84</f>
        <v>0</v>
      </c>
      <c r="K23" s="938">
        <f>利润表!K98</f>
        <v>47.830630929999998</v>
      </c>
      <c r="L23" s="938">
        <f>利润表!L113</f>
        <v>0.20957967000000002</v>
      </c>
      <c r="M23" s="938">
        <f>利润表!M98</f>
        <v>26.918021679999999</v>
      </c>
      <c r="N23" s="2294">
        <f t="shared" si="12"/>
        <v>24.986077426666665</v>
      </c>
      <c r="O23" s="2294">
        <f t="shared" ref="O23:R23" si="17">AVERAGE(L23:N23)</f>
        <v>17.371226258888885</v>
      </c>
      <c r="P23" s="2294">
        <f t="shared" si="17"/>
        <v>23.09177512185185</v>
      </c>
      <c r="Q23" s="2294">
        <f t="shared" si="17"/>
        <v>21.816359602469134</v>
      </c>
      <c r="R23" s="2295">
        <f t="shared" si="17"/>
        <v>20.759786994403289</v>
      </c>
    </row>
    <row r="24" spans="2:19" ht="18" customHeight="1">
      <c r="B24" s="908" t="s">
        <v>971</v>
      </c>
      <c r="C24" s="920">
        <v>102</v>
      </c>
      <c r="D24" s="920">
        <v>2</v>
      </c>
      <c r="E24" s="920">
        <v>2</v>
      </c>
      <c r="F24" s="920"/>
      <c r="G24" s="920"/>
      <c r="H24" s="928" t="s">
        <v>206</v>
      </c>
      <c r="I24" s="938" t="e">
        <f>利润表!#REF!</f>
        <v>#REF!</v>
      </c>
      <c r="J24" s="938">
        <f>利润表!J85</f>
        <v>0</v>
      </c>
      <c r="K24" s="938" t="e">
        <f>利润表!#REF!</f>
        <v>#REF!</v>
      </c>
      <c r="L24" s="938">
        <f>利润表!L114</f>
        <v>2.81924851</v>
      </c>
      <c r="M24" s="938">
        <f>利润表!M114</f>
        <v>3.8136368799999998</v>
      </c>
      <c r="N24" s="2294" t="e">
        <f t="shared" si="12"/>
        <v>#REF!</v>
      </c>
      <c r="O24" s="2294" t="e">
        <f t="shared" ref="O24:R24" si="18">AVERAGE(L24:N24)</f>
        <v>#REF!</v>
      </c>
      <c r="P24" s="2294" t="e">
        <f t="shared" si="18"/>
        <v>#REF!</v>
      </c>
      <c r="Q24" s="2294" t="e">
        <f t="shared" si="18"/>
        <v>#REF!</v>
      </c>
      <c r="R24" s="2295" t="e">
        <f t="shared" si="18"/>
        <v>#REF!</v>
      </c>
    </row>
    <row r="25" spans="2:19" ht="18" customHeight="1">
      <c r="B25" s="931" t="s">
        <v>972</v>
      </c>
      <c r="C25" s="939">
        <v>101</v>
      </c>
      <c r="D25" s="939">
        <v>1</v>
      </c>
      <c r="E25" s="939">
        <v>1</v>
      </c>
      <c r="F25" s="939" t="s">
        <v>207</v>
      </c>
      <c r="G25" s="939" t="s">
        <v>819</v>
      </c>
      <c r="H25" s="921" t="s">
        <v>208</v>
      </c>
      <c r="I25" s="911">
        <f>利润表!I118</f>
        <v>106.46913868</v>
      </c>
      <c r="J25" s="911" t="e">
        <f>利润表!#REF!</f>
        <v>#REF!</v>
      </c>
      <c r="K25" s="911">
        <f>利润表!K110</f>
        <v>676.93514071000016</v>
      </c>
      <c r="L25" s="911">
        <f>利润表!L110</f>
        <v>858.36991368000031</v>
      </c>
      <c r="M25" s="911">
        <f>利润表!M110</f>
        <v>1094.2622257100002</v>
      </c>
      <c r="N25" s="1877">
        <f>IF((利润表!N73-利润表!N60)&gt;0,(利润表!N73-利润表!N60)*N26,0)</f>
        <v>2.9984729775010184</v>
      </c>
      <c r="O25" s="1877">
        <f>IF((利润表!O73-利润表!O60)&gt;0,(利润表!O73-利润表!O60)*O26,0)</f>
        <v>3.0192304176094957</v>
      </c>
      <c r="P25" s="1877">
        <f>IF((利润表!P73-利润表!P60)&gt;0,(利润表!P73-利润表!P60)*P26,0)</f>
        <v>3.1432029760868021</v>
      </c>
      <c r="Q25" s="1877">
        <f>IF((利润表!Q73-利润表!Q60)&gt;0,(利润表!Q73-利润表!Q60)*Q26,0)</f>
        <v>3.0536354570657722</v>
      </c>
      <c r="R25" s="1878">
        <f>IF((利润表!R73-利润表!R60)&gt;0,(利润表!R73-利润表!R60)*R26,0)</f>
        <v>3.0720229502540231</v>
      </c>
    </row>
    <row r="26" spans="2:19" ht="18" customHeight="1">
      <c r="B26" s="940" t="s">
        <v>973</v>
      </c>
      <c r="C26" s="941"/>
      <c r="D26" s="941"/>
      <c r="E26" s="941"/>
      <c r="F26" s="941"/>
      <c r="G26" s="941"/>
      <c r="H26" s="942"/>
      <c r="I26" s="943">
        <f>利润表!I119</f>
        <v>0.15703650723921384</v>
      </c>
      <c r="J26" s="943">
        <f>利润表!J111</f>
        <v>0.24533843190602894</v>
      </c>
      <c r="K26" s="943">
        <f>利润表!K111</f>
        <v>0.14764383586000268</v>
      </c>
      <c r="L26" s="943">
        <f>利润表!L119</f>
        <v>0.13311740361509852</v>
      </c>
      <c r="M26" s="943">
        <f>利润表!M111</f>
        <v>0.1715641672087854</v>
      </c>
      <c r="N26" s="2290">
        <f>AVERAGE(K26:M26)</f>
        <v>0.15077513556129554</v>
      </c>
      <c r="O26" s="2290">
        <f t="shared" ref="O26:R26" si="19">AVERAGE(L26:N26)</f>
        <v>0.15181890212839314</v>
      </c>
      <c r="P26" s="2290">
        <f t="shared" si="19"/>
        <v>0.15805273496615801</v>
      </c>
      <c r="Q26" s="2290">
        <f t="shared" si="19"/>
        <v>0.15354892421861557</v>
      </c>
      <c r="R26" s="2291">
        <f t="shared" si="19"/>
        <v>0.15447352043772222</v>
      </c>
    </row>
    <row r="27" spans="2:19" ht="18" customHeight="1">
      <c r="B27" s="908" t="s">
        <v>938</v>
      </c>
      <c r="C27" s="920">
        <v>101</v>
      </c>
      <c r="D27" s="920">
        <v>1</v>
      </c>
      <c r="E27" s="920">
        <v>1</v>
      </c>
      <c r="F27" s="920" t="s">
        <v>210</v>
      </c>
      <c r="G27" s="920" t="s">
        <v>211</v>
      </c>
      <c r="H27" s="928" t="s">
        <v>212</v>
      </c>
      <c r="I27" s="911">
        <f>利润表!I118</f>
        <v>106.46913868</v>
      </c>
      <c r="J27" s="911">
        <f>利润表!J110</f>
        <v>969.48112995999963</v>
      </c>
      <c r="K27" s="911" t="e">
        <f>利润表!#REF!</f>
        <v>#REF!</v>
      </c>
      <c r="L27" s="911" t="e">
        <f>利润表!#REF!</f>
        <v>#REF!</v>
      </c>
      <c r="M27" s="911" t="e">
        <f>利润表!#REF!</f>
        <v>#REF!</v>
      </c>
      <c r="N27" s="1881" t="e">
        <f>利润表!N78*N28</f>
        <v>#REF!</v>
      </c>
      <c r="O27" s="1881" t="e">
        <f>利润表!O78*O28</f>
        <v>#REF!</v>
      </c>
      <c r="P27" s="1881" t="e">
        <f>利润表!P78*P28</f>
        <v>#REF!</v>
      </c>
      <c r="Q27" s="1881" t="e">
        <f>利润表!Q78*Q28</f>
        <v>#REF!</v>
      </c>
      <c r="R27" s="1911" t="e">
        <f>利润表!R78*R28</f>
        <v>#REF!</v>
      </c>
    </row>
    <row r="28" spans="2:19" ht="18" customHeight="1">
      <c r="B28" s="930" t="s">
        <v>974</v>
      </c>
      <c r="C28" s="944"/>
      <c r="D28" s="944"/>
      <c r="E28" s="944"/>
      <c r="F28" s="944"/>
      <c r="G28" s="944"/>
      <c r="H28" s="945"/>
      <c r="I28" s="943">
        <f>利润表!I128</f>
        <v>-2.9478937393702589E-6</v>
      </c>
      <c r="J28" s="943" t="e">
        <f>利润表!#REF!</f>
        <v>#REF!</v>
      </c>
      <c r="K28" s="943" t="e">
        <f>利润表!#REF!</f>
        <v>#REF!</v>
      </c>
      <c r="L28" s="943">
        <f>利润表!L128</f>
        <v>-1.6030218733553861E-3</v>
      </c>
      <c r="M28" s="943" t="e">
        <f>利润表!#REF!</f>
        <v>#REF!</v>
      </c>
      <c r="N28" s="2296" t="e">
        <f>AVERAGE(K28:M28)</f>
        <v>#REF!</v>
      </c>
      <c r="O28" s="2296" t="e">
        <f t="shared" ref="O28:R28" si="20">AVERAGE(L28:N28)</f>
        <v>#REF!</v>
      </c>
      <c r="P28" s="2296" t="e">
        <f t="shared" si="20"/>
        <v>#REF!</v>
      </c>
      <c r="Q28" s="2296" t="e">
        <f t="shared" si="20"/>
        <v>#REF!</v>
      </c>
      <c r="R28" s="2297" t="e">
        <f t="shared" si="20"/>
        <v>#REF!</v>
      </c>
    </row>
    <row r="29" spans="2:19" ht="18" hidden="1" customHeight="1">
      <c r="B29" s="946"/>
      <c r="C29" s="947"/>
      <c r="D29" s="947"/>
      <c r="E29" s="947"/>
      <c r="F29" s="947"/>
      <c r="G29" s="947"/>
      <c r="H29" s="947"/>
      <c r="I29" s="948"/>
      <c r="J29" s="948"/>
      <c r="K29" s="948"/>
      <c r="L29" s="948"/>
      <c r="M29" s="948"/>
      <c r="N29" s="948"/>
      <c r="O29" s="948"/>
      <c r="P29" s="948"/>
      <c r="Q29" s="948"/>
      <c r="R29" s="949"/>
    </row>
    <row r="30" spans="2:19" ht="18" hidden="1" customHeight="1">
      <c r="B30" s="946"/>
      <c r="C30" s="947"/>
      <c r="D30" s="947"/>
      <c r="E30" s="947"/>
      <c r="F30" s="947"/>
      <c r="G30" s="947"/>
      <c r="H30" s="947"/>
      <c r="I30" s="948"/>
      <c r="J30" s="948"/>
      <c r="K30" s="948"/>
      <c r="L30" s="948"/>
      <c r="M30" s="948"/>
      <c r="N30" s="948"/>
      <c r="O30" s="948"/>
      <c r="P30" s="948"/>
      <c r="Q30" s="948"/>
      <c r="R30" s="950"/>
    </row>
    <row r="31" spans="2:19" ht="18" hidden="1" customHeight="1">
      <c r="B31" s="946"/>
      <c r="C31" s="947"/>
      <c r="D31" s="947"/>
      <c r="E31" s="947"/>
      <c r="F31" s="947"/>
      <c r="G31" s="947"/>
      <c r="H31" s="947"/>
      <c r="I31" s="948"/>
      <c r="J31" s="948"/>
      <c r="K31" s="948"/>
      <c r="L31" s="948"/>
      <c r="M31" s="948"/>
      <c r="N31" s="948"/>
      <c r="O31" s="948"/>
      <c r="P31" s="948"/>
      <c r="Q31" s="948"/>
      <c r="R31" s="950"/>
    </row>
    <row r="32" spans="2:19" ht="18" hidden="1" customHeight="1">
      <c r="B32" s="946"/>
      <c r="C32" s="947"/>
      <c r="D32" s="947"/>
      <c r="E32" s="947"/>
      <c r="F32" s="947"/>
      <c r="G32" s="947"/>
      <c r="H32" s="947"/>
      <c r="I32" s="948"/>
      <c r="J32" s="948"/>
      <c r="K32" s="948"/>
      <c r="L32" s="948"/>
      <c r="M32" s="948"/>
      <c r="N32" s="948"/>
      <c r="O32" s="948"/>
      <c r="P32" s="948"/>
      <c r="Q32" s="948"/>
      <c r="R32" s="950"/>
    </row>
    <row r="33" spans="2:18" ht="18" hidden="1" customHeight="1">
      <c r="B33" s="946"/>
      <c r="C33" s="947"/>
      <c r="D33" s="947"/>
      <c r="E33" s="947"/>
      <c r="F33" s="947"/>
      <c r="G33" s="947"/>
      <c r="H33" s="947"/>
      <c r="I33" s="948"/>
      <c r="J33" s="948"/>
      <c r="K33" s="948"/>
      <c r="L33" s="948"/>
      <c r="M33" s="948"/>
      <c r="N33" s="948"/>
      <c r="O33" s="948"/>
      <c r="P33" s="948"/>
      <c r="Q33" s="948"/>
      <c r="R33" s="950"/>
    </row>
    <row r="34" spans="2:18" ht="18" hidden="1" customHeight="1">
      <c r="B34" s="946"/>
      <c r="C34" s="947"/>
      <c r="D34" s="947"/>
      <c r="E34" s="947"/>
      <c r="F34" s="947"/>
      <c r="G34" s="947"/>
      <c r="H34" s="947"/>
      <c r="I34" s="948"/>
      <c r="J34" s="948"/>
      <c r="K34" s="948"/>
      <c r="L34" s="948"/>
      <c r="M34" s="948"/>
      <c r="N34" s="948"/>
      <c r="O34" s="948"/>
      <c r="P34" s="948"/>
      <c r="Q34" s="948"/>
      <c r="R34" s="950"/>
    </row>
    <row r="35" spans="2:18" ht="18" hidden="1" customHeight="1">
      <c r="B35" s="946"/>
      <c r="C35" s="947"/>
      <c r="D35" s="947"/>
      <c r="E35" s="947"/>
      <c r="F35" s="947"/>
      <c r="G35" s="947"/>
      <c r="H35" s="947"/>
      <c r="I35" s="948"/>
      <c r="J35" s="948"/>
      <c r="K35" s="948"/>
      <c r="L35" s="948"/>
      <c r="M35" s="948"/>
      <c r="N35" s="948"/>
      <c r="O35" s="948"/>
      <c r="P35" s="948"/>
      <c r="Q35" s="948"/>
      <c r="R35" s="950"/>
    </row>
    <row r="36" spans="2:18" ht="18" hidden="1" customHeight="1">
      <c r="B36" s="946"/>
      <c r="C36" s="947"/>
      <c r="D36" s="947"/>
      <c r="E36" s="947"/>
      <c r="F36" s="947"/>
      <c r="G36" s="947"/>
      <c r="H36" s="947"/>
      <c r="I36" s="948"/>
      <c r="J36" s="948"/>
      <c r="K36" s="948"/>
      <c r="L36" s="948"/>
      <c r="M36" s="948"/>
      <c r="N36" s="948"/>
      <c r="O36" s="948"/>
      <c r="P36" s="948"/>
      <c r="Q36" s="948"/>
      <c r="R36" s="950"/>
    </row>
    <row r="37" spans="2:18" ht="18" hidden="1" customHeight="1">
      <c r="B37" s="946"/>
      <c r="C37" s="947"/>
      <c r="D37" s="947"/>
      <c r="E37" s="947"/>
      <c r="F37" s="947"/>
      <c r="G37" s="947"/>
      <c r="H37" s="947"/>
      <c r="I37" s="948"/>
      <c r="J37" s="948"/>
      <c r="K37" s="948"/>
      <c r="L37" s="948"/>
      <c r="M37" s="948"/>
      <c r="N37" s="948"/>
      <c r="O37" s="948"/>
      <c r="P37" s="948"/>
      <c r="Q37" s="948"/>
      <c r="R37" s="950"/>
    </row>
    <row r="38" spans="2:18" ht="18" hidden="1" customHeight="1">
      <c r="B38" s="946"/>
      <c r="C38" s="947"/>
      <c r="D38" s="947"/>
      <c r="E38" s="947"/>
      <c r="F38" s="947"/>
      <c r="G38" s="947"/>
      <c r="H38" s="947"/>
      <c r="I38" s="948"/>
      <c r="J38" s="948"/>
      <c r="K38" s="948"/>
      <c r="L38" s="948"/>
      <c r="M38" s="948"/>
      <c r="N38" s="948"/>
      <c r="O38" s="948"/>
      <c r="P38" s="948"/>
      <c r="Q38" s="948"/>
      <c r="R38" s="950"/>
    </row>
    <row r="39" spans="2:18" ht="18" customHeight="1">
      <c r="B39" s="946"/>
      <c r="C39" s="947"/>
      <c r="D39" s="947"/>
      <c r="E39" s="947"/>
      <c r="F39" s="947"/>
      <c r="G39" s="947"/>
      <c r="H39" s="947"/>
      <c r="I39" s="948"/>
      <c r="J39" s="948"/>
      <c r="K39" s="948"/>
      <c r="L39" s="948"/>
      <c r="M39" s="948"/>
      <c r="N39" s="948"/>
      <c r="O39" s="948"/>
      <c r="P39" s="948"/>
      <c r="Q39" s="948"/>
      <c r="R39" s="950"/>
    </row>
    <row r="40" spans="2:18" ht="18" customHeight="1">
      <c r="B40" s="951" t="s">
        <v>975</v>
      </c>
      <c r="C40" s="952"/>
      <c r="D40" s="952"/>
      <c r="E40" s="952"/>
      <c r="F40" s="952"/>
      <c r="G40" s="952"/>
      <c r="H40" s="952"/>
      <c r="I40" s="948"/>
      <c r="J40" s="948"/>
      <c r="K40" s="948"/>
      <c r="L40" s="948"/>
      <c r="M40" s="948"/>
      <c r="N40" s="948"/>
      <c r="O40" s="948"/>
      <c r="P40" s="948"/>
      <c r="Q40" s="948"/>
      <c r="R40" s="953"/>
    </row>
    <row r="41" spans="2:18" ht="18" customHeight="1">
      <c r="B41" s="954" t="s">
        <v>976</v>
      </c>
      <c r="C41" s="920">
        <v>102</v>
      </c>
      <c r="D41" s="920">
        <v>2</v>
      </c>
      <c r="E41" s="920">
        <v>2</v>
      </c>
      <c r="F41" s="920" t="s">
        <v>215</v>
      </c>
      <c r="G41" s="920" t="s">
        <v>216</v>
      </c>
      <c r="H41" s="928" t="s">
        <v>217</v>
      </c>
      <c r="I41" s="955">
        <f>资产负债!I104</f>
        <v>0</v>
      </c>
      <c r="J41" s="955">
        <f>资产负债!J104</f>
        <v>0</v>
      </c>
      <c r="K41" s="955">
        <f>资产负债!K104</f>
        <v>1.0483</v>
      </c>
      <c r="L41" s="955">
        <f>资产负债!L104</f>
        <v>1.1487692700000001</v>
      </c>
      <c r="M41" s="955">
        <f>资产负债!M104</f>
        <v>676.86063799999999</v>
      </c>
      <c r="N41" s="911">
        <f>AVERAGE(K41:M41)</f>
        <v>226.35256909</v>
      </c>
      <c r="O41" s="911">
        <f>AVERAGE(L41:N41)</f>
        <v>301.45399212000001</v>
      </c>
      <c r="P41" s="911">
        <f>AVERAGE(M41:O41)</f>
        <v>401.55573307000003</v>
      </c>
      <c r="Q41" s="911">
        <f>AVERAGE(N41:P41)</f>
        <v>309.78743142666667</v>
      </c>
      <c r="R41" s="929">
        <f>AVERAGE(O41:Q41)</f>
        <v>337.59905220555555</v>
      </c>
    </row>
    <row r="42" spans="2:18" ht="18" hidden="1" customHeight="1">
      <c r="B42" s="956"/>
      <c r="C42" s="957"/>
      <c r="D42" s="957"/>
      <c r="E42" s="957"/>
      <c r="F42" s="957"/>
      <c r="G42" s="957"/>
      <c r="H42" s="958"/>
      <c r="I42" s="959"/>
      <c r="J42" s="922"/>
      <c r="K42" s="922"/>
      <c r="L42" s="922"/>
      <c r="M42" s="922"/>
      <c r="N42" s="922"/>
      <c r="O42" s="922"/>
      <c r="P42" s="922"/>
      <c r="Q42" s="922"/>
      <c r="R42" s="923"/>
    </row>
    <row r="43" spans="2:18" ht="18" customHeight="1">
      <c r="B43" s="960" t="s">
        <v>977</v>
      </c>
      <c r="C43" s="592"/>
      <c r="D43" s="592"/>
      <c r="E43" s="592"/>
      <c r="F43" s="592"/>
      <c r="G43" s="592"/>
      <c r="H43" s="961"/>
      <c r="I43" s="955">
        <f>资产负债!I113</f>
        <v>820.30839548000006</v>
      </c>
      <c r="J43" s="955">
        <f>资产负债!J113</f>
        <v>947.40631055999995</v>
      </c>
      <c r="K43" s="955">
        <f>资产负债!K113</f>
        <v>952.6954569400001</v>
      </c>
      <c r="L43" s="955">
        <f>资产负债!L113</f>
        <v>1139.31379335</v>
      </c>
      <c r="M43" s="955">
        <f>资产负债!M113</f>
        <v>1632.1574883699998</v>
      </c>
      <c r="N43" s="911">
        <f>资产负债!N113</f>
        <v>1478.4787073522732</v>
      </c>
      <c r="O43" s="911">
        <f>资产负债!O113</f>
        <v>1537.7181477281106</v>
      </c>
      <c r="P43" s="911">
        <f>资产负债!P113</f>
        <v>1546.8931965330344</v>
      </c>
      <c r="Q43" s="911">
        <f>资产负债!Q113</f>
        <v>1520.4175396718235</v>
      </c>
      <c r="R43" s="929">
        <f>资产负债!R113</f>
        <v>1534.9309289029825</v>
      </c>
    </row>
    <row r="44" spans="2:18" ht="18" customHeight="1">
      <c r="B44" s="962" t="s">
        <v>978</v>
      </c>
      <c r="C44" s="963">
        <v>101</v>
      </c>
      <c r="D44" s="963">
        <v>1</v>
      </c>
      <c r="E44" s="963">
        <v>1</v>
      </c>
      <c r="F44" s="963" t="s">
        <v>220</v>
      </c>
      <c r="G44" s="963" t="s">
        <v>221</v>
      </c>
      <c r="H44" s="963" t="s">
        <v>222</v>
      </c>
      <c r="I44" s="955">
        <f>资产负债!I114</f>
        <v>820.30839548000006</v>
      </c>
      <c r="J44" s="955">
        <f>资产负债!J114</f>
        <v>947.40631055999995</v>
      </c>
      <c r="K44" s="955">
        <f>资产负债!K114</f>
        <v>952.6954569400001</v>
      </c>
      <c r="L44" s="955">
        <f>资产负债!L114</f>
        <v>1139.31379335</v>
      </c>
      <c r="M44" s="955">
        <f>资产负债!M114</f>
        <v>1632.1574883699998</v>
      </c>
      <c r="N44" s="1877">
        <f ca="1">利润表!N29/N45</f>
        <v>-320.40885879051166</v>
      </c>
      <c r="O44" s="1877">
        <f ca="1">利润表!O29/O45</f>
        <v>-395.89151739703232</v>
      </c>
      <c r="P44" s="1877">
        <f ca="1">利润表!P29/P45</f>
        <v>-395.94026918660978</v>
      </c>
      <c r="Q44" s="1877">
        <f ca="1">利润表!Q29/Q45</f>
        <v>-389.66510411227335</v>
      </c>
      <c r="R44" s="1878">
        <f ca="1">利润表!R29/R45</f>
        <v>-393.81235948940287</v>
      </c>
    </row>
    <row r="45" spans="2:18" ht="18" customHeight="1">
      <c r="B45" s="964" t="s">
        <v>979</v>
      </c>
      <c r="C45" s="965"/>
      <c r="D45" s="965"/>
      <c r="E45" s="965"/>
      <c r="F45" s="965"/>
      <c r="G45" s="965"/>
      <c r="H45" s="965"/>
      <c r="I45" s="966">
        <f>资产负债!I115</f>
        <v>4.0628680503383405</v>
      </c>
      <c r="J45" s="966">
        <f>资产负债!J115</f>
        <v>4.1709741862435505</v>
      </c>
      <c r="K45" s="966">
        <f>资产负债!K115</f>
        <v>4.8125764935486144</v>
      </c>
      <c r="L45" s="966">
        <f>资产负债!L115</f>
        <v>4.2216078888307091</v>
      </c>
      <c r="M45" s="966">
        <f>资产负债!M115</f>
        <v>3.9078038739323628</v>
      </c>
      <c r="N45" s="2298">
        <f>AVERAGE(K45:M45)</f>
        <v>4.3139960854372283</v>
      </c>
      <c r="O45" s="2298">
        <f t="shared" ref="O45:R45" si="21">AVERAGE(L45:N45)</f>
        <v>4.1478026160667669</v>
      </c>
      <c r="P45" s="2298">
        <f t="shared" si="21"/>
        <v>4.1232008584787856</v>
      </c>
      <c r="Q45" s="2298">
        <f t="shared" si="21"/>
        <v>4.1949998533275936</v>
      </c>
      <c r="R45" s="2299">
        <f t="shared" si="21"/>
        <v>4.1553344426243823</v>
      </c>
    </row>
    <row r="46" spans="2:18" ht="18" customHeight="1">
      <c r="B46" s="967" t="s">
        <v>980</v>
      </c>
      <c r="C46" s="968">
        <v>101</v>
      </c>
      <c r="D46" s="968">
        <v>1</v>
      </c>
      <c r="E46" s="968">
        <v>1</v>
      </c>
      <c r="F46" s="968" t="s">
        <v>224</v>
      </c>
      <c r="G46" s="968" t="s">
        <v>225</v>
      </c>
      <c r="H46" s="968" t="s">
        <v>226</v>
      </c>
      <c r="I46" s="969">
        <v>0</v>
      </c>
      <c r="J46" s="970">
        <v>0</v>
      </c>
      <c r="K46" s="970">
        <v>0</v>
      </c>
      <c r="L46" s="970">
        <v>0</v>
      </c>
      <c r="M46" s="970">
        <v>0</v>
      </c>
      <c r="N46" s="1877" t="e">
        <f ca="1">N44*N47</f>
        <v>#REF!</v>
      </c>
      <c r="O46" s="1877" t="e">
        <f t="shared" ref="O46:R46" ca="1" si="22">O44*O47</f>
        <v>#REF!</v>
      </c>
      <c r="P46" s="1877" t="e">
        <f t="shared" ca="1" si="22"/>
        <v>#REF!</v>
      </c>
      <c r="Q46" s="1877" t="e">
        <f t="shared" ca="1" si="22"/>
        <v>#REF!</v>
      </c>
      <c r="R46" s="1878" t="e">
        <f t="shared" ca="1" si="22"/>
        <v>#REF!</v>
      </c>
    </row>
    <row r="47" spans="2:18" ht="18" customHeight="1">
      <c r="B47" s="964" t="s">
        <v>981</v>
      </c>
      <c r="C47" s="965"/>
      <c r="D47" s="965"/>
      <c r="E47" s="965"/>
      <c r="F47" s="965"/>
      <c r="G47" s="965"/>
      <c r="H47" s="965"/>
      <c r="I47" s="971" t="e">
        <f>资产负债!#REF!</f>
        <v>#REF!</v>
      </c>
      <c r="J47" s="687" t="e">
        <f>资产负债!#REF!</f>
        <v>#REF!</v>
      </c>
      <c r="K47" s="687" t="e">
        <f>资产负债!#REF!</f>
        <v>#REF!</v>
      </c>
      <c r="L47" s="687" t="e">
        <f>资产负债!#REF!</f>
        <v>#REF!</v>
      </c>
      <c r="M47" s="687" t="e">
        <f>资产负债!#REF!</f>
        <v>#REF!</v>
      </c>
      <c r="N47" s="2300" t="e">
        <f>AVERAGE(K47:M47)</f>
        <v>#REF!</v>
      </c>
      <c r="O47" s="2300" t="e">
        <f t="shared" ref="O47:R47" si="23">AVERAGE(L47:N47)</f>
        <v>#REF!</v>
      </c>
      <c r="P47" s="2300" t="e">
        <f t="shared" si="23"/>
        <v>#REF!</v>
      </c>
      <c r="Q47" s="2300" t="e">
        <f t="shared" si="23"/>
        <v>#REF!</v>
      </c>
      <c r="R47" s="2301" t="e">
        <f t="shared" si="23"/>
        <v>#REF!</v>
      </c>
    </row>
    <row r="48" spans="2:18" ht="18" customHeight="1">
      <c r="B48" s="960" t="s">
        <v>982</v>
      </c>
      <c r="C48" s="594"/>
      <c r="D48" s="594"/>
      <c r="E48" s="594"/>
      <c r="F48" s="594"/>
      <c r="G48" s="594"/>
      <c r="H48" s="972"/>
      <c r="I48" s="955">
        <f>资产负债!I120</f>
        <v>0.91748722999999999</v>
      </c>
      <c r="J48" s="955">
        <f>资产负债!J120</f>
        <v>11.285195980000001</v>
      </c>
      <c r="K48" s="955">
        <f>资产负债!K120</f>
        <v>27.37005577</v>
      </c>
      <c r="L48" s="955">
        <f>资产负债!L120</f>
        <v>105.32755451999999</v>
      </c>
      <c r="M48" s="955">
        <f>资产负债!M120</f>
        <v>27.10925413</v>
      </c>
      <c r="N48" s="911">
        <f>资产负债!N120</f>
        <v>27.10925413</v>
      </c>
      <c r="O48" s="911">
        <f>资产负债!O120</f>
        <v>27.10925413</v>
      </c>
      <c r="P48" s="911">
        <f>资产负债!P120</f>
        <v>27.10925413</v>
      </c>
      <c r="Q48" s="911">
        <f>资产负债!Q120</f>
        <v>27.10925413</v>
      </c>
      <c r="R48" s="929">
        <f>资产负债!R120</f>
        <v>27.10925413</v>
      </c>
    </row>
    <row r="49" spans="2:18" ht="18" customHeight="1">
      <c r="B49" s="962" t="s">
        <v>983</v>
      </c>
      <c r="C49" s="973">
        <v>102</v>
      </c>
      <c r="D49" s="973">
        <v>2</v>
      </c>
      <c r="E49" s="973">
        <v>2</v>
      </c>
      <c r="F49" s="973"/>
      <c r="G49" s="973"/>
      <c r="H49" s="974" t="s">
        <v>230</v>
      </c>
      <c r="I49" s="955">
        <f>资产负债!I121</f>
        <v>0.91748722999999999</v>
      </c>
      <c r="J49" s="955">
        <f>资产负债!J121</f>
        <v>11.285195980000001</v>
      </c>
      <c r="K49" s="955">
        <f>资产负债!K121</f>
        <v>27.37005577</v>
      </c>
      <c r="L49" s="955">
        <f>资产负债!L121</f>
        <v>105.32755451999999</v>
      </c>
      <c r="M49" s="955">
        <f>资产负债!M121</f>
        <v>27.10925413</v>
      </c>
      <c r="N49" s="1881">
        <f>AVERAGE(K49:M49)</f>
        <v>53.26895480666667</v>
      </c>
      <c r="O49" s="1881">
        <f t="shared" ref="O49:R49" si="24">AVERAGE(L49:N49)</f>
        <v>61.901921152222222</v>
      </c>
      <c r="P49" s="1881">
        <f t="shared" si="24"/>
        <v>47.426710029629625</v>
      </c>
      <c r="Q49" s="1881">
        <f t="shared" si="24"/>
        <v>54.199195329506175</v>
      </c>
      <c r="R49" s="1911">
        <f t="shared" si="24"/>
        <v>54.509275503786007</v>
      </c>
    </row>
    <row r="50" spans="2:18" ht="18" customHeight="1">
      <c r="B50" s="975" t="s">
        <v>984</v>
      </c>
      <c r="C50" s="976">
        <v>102</v>
      </c>
      <c r="D50" s="976">
        <v>2</v>
      </c>
      <c r="E50" s="976">
        <v>2</v>
      </c>
      <c r="F50" s="976"/>
      <c r="G50" s="976"/>
      <c r="H50" s="977" t="s">
        <v>232</v>
      </c>
      <c r="I50" s="978">
        <v>0</v>
      </c>
      <c r="J50" s="979">
        <v>0</v>
      </c>
      <c r="K50" s="979">
        <v>0</v>
      </c>
      <c r="L50" s="979">
        <v>0</v>
      </c>
      <c r="M50" s="979">
        <v>0</v>
      </c>
      <c r="N50" s="1881">
        <f>AVERAGE(K50:M50)</f>
        <v>0</v>
      </c>
      <c r="O50" s="1881">
        <f t="shared" ref="O50:R50" si="25">AVERAGE(L50:N50)</f>
        <v>0</v>
      </c>
      <c r="P50" s="1881">
        <f t="shared" si="25"/>
        <v>0</v>
      </c>
      <c r="Q50" s="1881">
        <f t="shared" si="25"/>
        <v>0</v>
      </c>
      <c r="R50" s="1911">
        <f t="shared" si="25"/>
        <v>0</v>
      </c>
    </row>
    <row r="51" spans="2:18" ht="18" customHeight="1">
      <c r="B51" s="980" t="s">
        <v>985</v>
      </c>
      <c r="C51" s="981">
        <v>102</v>
      </c>
      <c r="D51" s="981">
        <v>2</v>
      </c>
      <c r="E51" s="981">
        <v>2</v>
      </c>
      <c r="F51" s="981"/>
      <c r="G51" s="981"/>
      <c r="H51" s="982" t="s">
        <v>234</v>
      </c>
      <c r="I51" s="955">
        <f>资产负债!I124</f>
        <v>19.860685459999999</v>
      </c>
      <c r="J51" s="955">
        <f>资产负债!J124</f>
        <v>95.285449349999993</v>
      </c>
      <c r="K51" s="955">
        <f>资产负债!K124</f>
        <v>39.896574020000003</v>
      </c>
      <c r="L51" s="955">
        <f>资产负债!L124</f>
        <v>35.62005954</v>
      </c>
      <c r="M51" s="955">
        <f>资产负债!M124</f>
        <v>60.481394590000001</v>
      </c>
      <c r="N51" s="1881">
        <f>AVERAGE(K51:M51)</f>
        <v>45.332676050000003</v>
      </c>
      <c r="O51" s="1881">
        <f t="shared" ref="O51:R52" si="26">AVERAGE(L51:N51)</f>
        <v>47.144710060000001</v>
      </c>
      <c r="P51" s="1881">
        <f t="shared" si="26"/>
        <v>50.986260233333333</v>
      </c>
      <c r="Q51" s="1881">
        <f t="shared" si="26"/>
        <v>47.821215447777774</v>
      </c>
      <c r="R51" s="1911">
        <f t="shared" si="26"/>
        <v>48.650728580370377</v>
      </c>
    </row>
    <row r="52" spans="2:18" ht="18" customHeight="1">
      <c r="B52" s="980" t="s">
        <v>986</v>
      </c>
      <c r="C52" s="981">
        <v>102</v>
      </c>
      <c r="D52" s="981">
        <v>2</v>
      </c>
      <c r="E52" s="981">
        <v>2</v>
      </c>
      <c r="F52" s="981"/>
      <c r="G52" s="981"/>
      <c r="H52" s="982" t="s">
        <v>941</v>
      </c>
      <c r="I52" s="955" t="e">
        <f>资产负债!#REF!</f>
        <v>#REF!</v>
      </c>
      <c r="J52" s="955" t="e">
        <f>资产负债!#REF!</f>
        <v>#REF!</v>
      </c>
      <c r="K52" s="955" t="e">
        <f>资产负债!#REF!</f>
        <v>#REF!</v>
      </c>
      <c r="L52" s="955" t="e">
        <f>资产负债!#REF!</f>
        <v>#REF!</v>
      </c>
      <c r="M52" s="955" t="e">
        <f>资产负债!#REF!</f>
        <v>#REF!</v>
      </c>
      <c r="N52" s="1881" t="e">
        <f>AVERAGE(K52:M52)</f>
        <v>#REF!</v>
      </c>
      <c r="O52" s="1881" t="e">
        <f t="shared" si="26"/>
        <v>#REF!</v>
      </c>
      <c r="P52" s="1881" t="e">
        <f t="shared" si="26"/>
        <v>#REF!</v>
      </c>
      <c r="Q52" s="1881" t="e">
        <f t="shared" si="26"/>
        <v>#REF!</v>
      </c>
      <c r="R52" s="1911" t="e">
        <f t="shared" si="26"/>
        <v>#REF!</v>
      </c>
    </row>
    <row r="53" spans="2:18" ht="18" customHeight="1">
      <c r="B53" s="980" t="s">
        <v>884</v>
      </c>
      <c r="C53" s="983">
        <v>102</v>
      </c>
      <c r="D53" s="983">
        <v>2</v>
      </c>
      <c r="E53" s="983">
        <v>2</v>
      </c>
      <c r="F53" s="983"/>
      <c r="G53" s="983"/>
      <c r="H53" s="984" t="s">
        <v>942</v>
      </c>
      <c r="I53" s="955" t="e">
        <f>资产负债!#REF!</f>
        <v>#REF!</v>
      </c>
      <c r="J53" s="955" t="e">
        <f>资产负债!#REF!</f>
        <v>#REF!</v>
      </c>
      <c r="K53" s="955" t="e">
        <f>资产负债!#REF!</f>
        <v>#REF!</v>
      </c>
      <c r="L53" s="955" t="e">
        <f>资产负债!#REF!</f>
        <v>#REF!</v>
      </c>
      <c r="M53" s="955" t="e">
        <f>资产负债!#REF!</f>
        <v>#REF!</v>
      </c>
      <c r="N53" s="1881" t="e">
        <f>AVERAGE(K53:M53)</f>
        <v>#REF!</v>
      </c>
      <c r="O53" s="1881" t="e">
        <f t="shared" ref="O53:R53" si="27">AVERAGE(L53:N53)</f>
        <v>#REF!</v>
      </c>
      <c r="P53" s="1881" t="e">
        <f t="shared" si="27"/>
        <v>#REF!</v>
      </c>
      <c r="Q53" s="1881" t="e">
        <f t="shared" si="27"/>
        <v>#REF!</v>
      </c>
      <c r="R53" s="1911" t="e">
        <f t="shared" si="27"/>
        <v>#REF!</v>
      </c>
    </row>
    <row r="54" spans="2:18" ht="18" customHeight="1">
      <c r="B54" s="985" t="s">
        <v>987</v>
      </c>
      <c r="C54" s="973">
        <v>101</v>
      </c>
      <c r="D54" s="973">
        <v>1</v>
      </c>
      <c r="E54" s="973">
        <v>1</v>
      </c>
      <c r="F54" s="973" t="s">
        <v>943</v>
      </c>
      <c r="G54" s="973" t="s">
        <v>944</v>
      </c>
      <c r="H54" s="974" t="s">
        <v>945</v>
      </c>
      <c r="I54" s="986">
        <f>资产负债!I127</f>
        <v>440.61787799999996</v>
      </c>
      <c r="J54" s="986">
        <f>资产负债!J127</f>
        <v>477.89344679000004</v>
      </c>
      <c r="K54" s="986">
        <f>资产负债!K127</f>
        <v>478.93054676999998</v>
      </c>
      <c r="L54" s="986">
        <f>资产负债!L127</f>
        <v>780.10735330999989</v>
      </c>
      <c r="M54" s="986">
        <f>资产负债!M127</f>
        <v>909.17846889999998</v>
      </c>
      <c r="N54" s="1877">
        <f>利润表!N33/N55</f>
        <v>0</v>
      </c>
      <c r="O54" s="1877">
        <f>利润表!O33/O55</f>
        <v>0</v>
      </c>
      <c r="P54" s="1877">
        <f>利润表!P33/P55</f>
        <v>0</v>
      </c>
      <c r="Q54" s="1877">
        <f>利润表!Q33/Q55</f>
        <v>0</v>
      </c>
      <c r="R54" s="1878">
        <f>利润表!R33/R55</f>
        <v>0</v>
      </c>
    </row>
    <row r="55" spans="2:18" ht="18" customHeight="1">
      <c r="B55" s="964" t="s">
        <v>862</v>
      </c>
      <c r="C55" s="965"/>
      <c r="D55" s="965"/>
      <c r="E55" s="965"/>
      <c r="F55" s="965"/>
      <c r="G55" s="965"/>
      <c r="H55" s="965"/>
      <c r="I55" s="987">
        <f>资产负债!I128</f>
        <v>5.0798799827409633</v>
      </c>
      <c r="J55" s="988">
        <f>资产负债!J128</f>
        <v>5.7652621937933901</v>
      </c>
      <c r="K55" s="988">
        <f>资产负债!K128</f>
        <v>7.5708454932637537</v>
      </c>
      <c r="L55" s="988">
        <f>资产负债!L128</f>
        <v>4.9528917075527223</v>
      </c>
      <c r="M55" s="988">
        <f>资产负债!M128</f>
        <v>5.5866595067141498</v>
      </c>
      <c r="N55" s="2298">
        <f t="shared" ref="N55:N63" si="28">AVERAGE(K55:M55)</f>
        <v>6.0367989025102089</v>
      </c>
      <c r="O55" s="2298">
        <f t="shared" ref="O55:R55" si="29">AVERAGE(L55:N55)</f>
        <v>5.525450038925694</v>
      </c>
      <c r="P55" s="2298">
        <f t="shared" si="29"/>
        <v>5.7163028160500176</v>
      </c>
      <c r="Q55" s="2298">
        <f t="shared" si="29"/>
        <v>5.7595172524953071</v>
      </c>
      <c r="R55" s="2299">
        <f t="shared" si="29"/>
        <v>5.6670900358236729</v>
      </c>
    </row>
    <row r="56" spans="2:18" ht="18" customHeight="1">
      <c r="B56" s="964" t="s">
        <v>988</v>
      </c>
      <c r="C56" s="989">
        <v>102</v>
      </c>
      <c r="D56" s="989">
        <v>2</v>
      </c>
      <c r="E56" s="989">
        <v>2</v>
      </c>
      <c r="F56" s="989"/>
      <c r="G56" s="989"/>
      <c r="H56" s="989" t="s">
        <v>946</v>
      </c>
      <c r="I56" s="986">
        <f>资产负债!I129</f>
        <v>2.4605061699999999</v>
      </c>
      <c r="J56" s="990">
        <f>资产负债!J129</f>
        <v>0</v>
      </c>
      <c r="K56" s="990">
        <f>资产负债!K129</f>
        <v>0</v>
      </c>
      <c r="L56" s="990">
        <f>资产负债!L129</f>
        <v>0</v>
      </c>
      <c r="M56" s="990">
        <f>资产负债!M129</f>
        <v>0</v>
      </c>
      <c r="N56" s="1881">
        <f t="shared" si="28"/>
        <v>0</v>
      </c>
      <c r="O56" s="1881">
        <f t="shared" ref="O56:R56" si="30">AVERAGE(L56:N56)</f>
        <v>0</v>
      </c>
      <c r="P56" s="1881">
        <f t="shared" si="30"/>
        <v>0</v>
      </c>
      <c r="Q56" s="1881">
        <f t="shared" si="30"/>
        <v>0</v>
      </c>
      <c r="R56" s="1911">
        <f t="shared" si="30"/>
        <v>0</v>
      </c>
    </row>
    <row r="57" spans="2:18" ht="18" customHeight="1">
      <c r="B57" s="991" t="s">
        <v>886</v>
      </c>
      <c r="C57" s="992">
        <v>102</v>
      </c>
      <c r="D57" s="992">
        <v>2</v>
      </c>
      <c r="E57" s="992">
        <v>2</v>
      </c>
      <c r="F57" s="992"/>
      <c r="G57" s="992"/>
      <c r="H57" s="993" t="s">
        <v>947</v>
      </c>
      <c r="I57" s="955">
        <f>资产负债!I136</f>
        <v>1391.75044985</v>
      </c>
      <c r="J57" s="955">
        <f>资产负债!J136</f>
        <v>1578.95726167</v>
      </c>
      <c r="K57" s="955">
        <f>资产负债!K136</f>
        <v>1191.2970027000001</v>
      </c>
      <c r="L57" s="955">
        <f>资产负债!L136</f>
        <v>891.43359971000007</v>
      </c>
      <c r="M57" s="955">
        <f>资产负债!M136</f>
        <v>142.89985096000001</v>
      </c>
      <c r="N57" s="1881">
        <f t="shared" si="28"/>
        <v>741.87681779000013</v>
      </c>
      <c r="O57" s="1881">
        <f t="shared" ref="O57:R57" si="31">AVERAGE(L57:N57)</f>
        <v>592.07008948666669</v>
      </c>
      <c r="P57" s="1881">
        <f t="shared" si="31"/>
        <v>492.28225274555558</v>
      </c>
      <c r="Q57" s="1881">
        <f t="shared" si="31"/>
        <v>608.74305334074086</v>
      </c>
      <c r="R57" s="1911">
        <f t="shared" si="31"/>
        <v>564.36513185765443</v>
      </c>
    </row>
    <row r="58" spans="2:18" ht="18" customHeight="1">
      <c r="B58" s="991" t="s">
        <v>989</v>
      </c>
      <c r="C58" s="992">
        <v>102</v>
      </c>
      <c r="D58" s="992">
        <v>2</v>
      </c>
      <c r="E58" s="992">
        <v>2</v>
      </c>
      <c r="F58" s="992"/>
      <c r="G58" s="992"/>
      <c r="H58" s="993" t="s">
        <v>240</v>
      </c>
      <c r="I58" s="955">
        <f>资产负债!I150</f>
        <v>0</v>
      </c>
      <c r="J58" s="955">
        <f>资产负债!J150</f>
        <v>0</v>
      </c>
      <c r="K58" s="955">
        <f>资产负债!K150</f>
        <v>0</v>
      </c>
      <c r="L58" s="955">
        <f>资产负债!L150</f>
        <v>0</v>
      </c>
      <c r="M58" s="955">
        <f>资产负债!M150</f>
        <v>0</v>
      </c>
      <c r="N58" s="1881">
        <f t="shared" si="28"/>
        <v>0</v>
      </c>
      <c r="O58" s="1881">
        <f t="shared" ref="O58:R58" si="32">AVERAGE(L58:N58)</f>
        <v>0</v>
      </c>
      <c r="P58" s="1881">
        <f t="shared" si="32"/>
        <v>0</v>
      </c>
      <c r="Q58" s="1881">
        <f t="shared" si="32"/>
        <v>0</v>
      </c>
      <c r="R58" s="1911">
        <f t="shared" si="32"/>
        <v>0</v>
      </c>
    </row>
    <row r="59" spans="2:18" ht="18" customHeight="1">
      <c r="B59" s="991" t="s">
        <v>990</v>
      </c>
      <c r="C59" s="992">
        <v>102</v>
      </c>
      <c r="D59" s="992">
        <v>2</v>
      </c>
      <c r="E59" s="992">
        <v>2</v>
      </c>
      <c r="F59" s="992"/>
      <c r="G59" s="992"/>
      <c r="H59" s="993" t="s">
        <v>242</v>
      </c>
      <c r="I59" s="955">
        <f>资产负债!I151</f>
        <v>0</v>
      </c>
      <c r="J59" s="955">
        <f>资产负债!J151</f>
        <v>0</v>
      </c>
      <c r="K59" s="955">
        <f>资产负债!K151</f>
        <v>0</v>
      </c>
      <c r="L59" s="955">
        <f>资产负债!L151</f>
        <v>0</v>
      </c>
      <c r="M59" s="955">
        <f>资产负债!M151</f>
        <v>0</v>
      </c>
      <c r="N59" s="1881">
        <f t="shared" si="28"/>
        <v>0</v>
      </c>
      <c r="O59" s="1881">
        <f t="shared" ref="O59:R59" si="33">AVERAGE(L59:N59)</f>
        <v>0</v>
      </c>
      <c r="P59" s="1881">
        <f t="shared" si="33"/>
        <v>0</v>
      </c>
      <c r="Q59" s="1881">
        <f t="shared" si="33"/>
        <v>0</v>
      </c>
      <c r="R59" s="1911">
        <f t="shared" si="33"/>
        <v>0</v>
      </c>
    </row>
    <row r="60" spans="2:18" ht="18" customHeight="1">
      <c r="B60" s="991" t="s">
        <v>991</v>
      </c>
      <c r="C60" s="992">
        <v>102</v>
      </c>
      <c r="D60" s="992">
        <v>2</v>
      </c>
      <c r="E60" s="992">
        <v>2</v>
      </c>
      <c r="F60" s="992"/>
      <c r="G60" s="992"/>
      <c r="H60" s="993" t="s">
        <v>244</v>
      </c>
      <c r="I60" s="955">
        <f>资产负债!I152</f>
        <v>0</v>
      </c>
      <c r="J60" s="955">
        <f>资产负债!J152</f>
        <v>0</v>
      </c>
      <c r="K60" s="955">
        <f>资产负债!K152</f>
        <v>0</v>
      </c>
      <c r="L60" s="955">
        <f>资产负债!L152</f>
        <v>0</v>
      </c>
      <c r="M60" s="955">
        <f>资产负债!M152</f>
        <v>0</v>
      </c>
      <c r="N60" s="1881">
        <f t="shared" si="28"/>
        <v>0</v>
      </c>
      <c r="O60" s="1881">
        <f t="shared" ref="O60:R60" si="34">AVERAGE(L60:N60)</f>
        <v>0</v>
      </c>
      <c r="P60" s="1881">
        <f t="shared" si="34"/>
        <v>0</v>
      </c>
      <c r="Q60" s="1881">
        <f t="shared" si="34"/>
        <v>0</v>
      </c>
      <c r="R60" s="1911">
        <f t="shared" si="34"/>
        <v>0</v>
      </c>
    </row>
    <row r="61" spans="2:18" ht="18" customHeight="1">
      <c r="B61" s="994" t="s">
        <v>992</v>
      </c>
      <c r="C61" s="932">
        <v>102</v>
      </c>
      <c r="D61" s="932">
        <v>2</v>
      </c>
      <c r="E61" s="932">
        <v>2</v>
      </c>
      <c r="F61" s="932"/>
      <c r="G61" s="932"/>
      <c r="H61" s="993" t="s">
        <v>246</v>
      </c>
      <c r="I61" s="955">
        <f>资产负债!I156</f>
        <v>0</v>
      </c>
      <c r="J61" s="955">
        <f>资产负债!J156</f>
        <v>0.83210300000000004</v>
      </c>
      <c r="K61" s="955">
        <f>资产负债!K156</f>
        <v>1.6843453099999994</v>
      </c>
      <c r="L61" s="955">
        <f>资产负债!L156</f>
        <v>1.4575462099999985</v>
      </c>
      <c r="M61" s="955">
        <f>资产负债!M156</f>
        <v>0</v>
      </c>
      <c r="N61" s="1881">
        <f t="shared" si="28"/>
        <v>1.0472971733333327</v>
      </c>
      <c r="O61" s="1881">
        <f t="shared" ref="O61:R61" si="35">AVERAGE(L61:N61)</f>
        <v>0.83494779444444378</v>
      </c>
      <c r="P61" s="1881">
        <f t="shared" si="35"/>
        <v>0.62741498925925887</v>
      </c>
      <c r="Q61" s="1881">
        <f t="shared" si="35"/>
        <v>0.8365533190123452</v>
      </c>
      <c r="R61" s="1911">
        <f t="shared" si="35"/>
        <v>0.76630536757201595</v>
      </c>
    </row>
    <row r="62" spans="2:18" ht="18" customHeight="1">
      <c r="B62" s="994" t="s">
        <v>993</v>
      </c>
      <c r="C62" s="932">
        <v>102</v>
      </c>
      <c r="D62" s="932">
        <v>2</v>
      </c>
      <c r="E62" s="932">
        <v>2</v>
      </c>
      <c r="F62" s="932"/>
      <c r="G62" s="932"/>
      <c r="H62" s="993" t="s">
        <v>248</v>
      </c>
      <c r="I62" s="955">
        <f>资产负债!I157</f>
        <v>4.3011009999998961E-2</v>
      </c>
      <c r="J62" s="955">
        <f>资产负债!J157</f>
        <v>0</v>
      </c>
      <c r="K62" s="955">
        <f>资产负债!K157</f>
        <v>0</v>
      </c>
      <c r="L62" s="955">
        <f>资产负债!L157</f>
        <v>0</v>
      </c>
      <c r="M62" s="955">
        <f>资产负债!M157</f>
        <v>13.930983509999999</v>
      </c>
      <c r="N62" s="1881">
        <f t="shared" si="28"/>
        <v>4.6436611699999997</v>
      </c>
      <c r="O62" s="1881">
        <f t="shared" ref="O62:R62" si="36">AVERAGE(L62:N62)</f>
        <v>6.1915482266666659</v>
      </c>
      <c r="P62" s="1881">
        <f t="shared" si="36"/>
        <v>8.2553976355555552</v>
      </c>
      <c r="Q62" s="1881">
        <f t="shared" si="36"/>
        <v>6.3635356774074081</v>
      </c>
      <c r="R62" s="1911">
        <f t="shared" si="36"/>
        <v>6.936827179876544</v>
      </c>
    </row>
    <row r="63" spans="2:18" ht="18" customHeight="1">
      <c r="B63" s="995" t="s">
        <v>994</v>
      </c>
      <c r="C63" s="996">
        <v>102</v>
      </c>
      <c r="D63" s="996">
        <v>2</v>
      </c>
      <c r="E63" s="996">
        <v>2</v>
      </c>
      <c r="F63" s="996"/>
      <c r="G63" s="996"/>
      <c r="H63" s="993" t="s">
        <v>249</v>
      </c>
      <c r="I63" s="997">
        <f>资产负债!I159</f>
        <v>0</v>
      </c>
      <c r="J63" s="997">
        <f>资产负债!J159</f>
        <v>0</v>
      </c>
      <c r="K63" s="997">
        <f>资产负债!K159</f>
        <v>0</v>
      </c>
      <c r="L63" s="997">
        <f>资产负债!L159</f>
        <v>0</v>
      </c>
      <c r="M63" s="997">
        <f>资产负债!M159</f>
        <v>0</v>
      </c>
      <c r="N63" s="1881">
        <f t="shared" si="28"/>
        <v>0</v>
      </c>
      <c r="O63" s="1881">
        <f t="shared" ref="O63:R63" si="37">AVERAGE(L63:N63)</f>
        <v>0</v>
      </c>
      <c r="P63" s="1881">
        <f t="shared" si="37"/>
        <v>0</v>
      </c>
      <c r="Q63" s="1881">
        <f t="shared" si="37"/>
        <v>0</v>
      </c>
      <c r="R63" s="1911">
        <f t="shared" si="37"/>
        <v>0</v>
      </c>
    </row>
    <row r="64" spans="2:18" ht="18" hidden="1" customHeight="1">
      <c r="B64" s="962"/>
      <c r="C64" s="973"/>
      <c r="D64" s="973"/>
      <c r="E64" s="973"/>
      <c r="F64" s="973"/>
      <c r="G64" s="973"/>
      <c r="H64" s="993"/>
      <c r="I64" s="998"/>
      <c r="J64" s="999"/>
      <c r="K64" s="999"/>
      <c r="L64" s="999"/>
      <c r="M64" s="999"/>
      <c r="N64" s="922"/>
      <c r="O64" s="922"/>
      <c r="P64" s="922"/>
      <c r="Q64" s="922"/>
      <c r="R64" s="923"/>
    </row>
    <row r="65" spans="2:18" ht="18" customHeight="1">
      <c r="B65" s="995" t="s">
        <v>995</v>
      </c>
      <c r="C65" s="996">
        <v>102</v>
      </c>
      <c r="D65" s="996">
        <v>2</v>
      </c>
      <c r="E65" s="996">
        <v>2</v>
      </c>
      <c r="F65" s="996"/>
      <c r="G65" s="996"/>
      <c r="H65" s="993" t="s">
        <v>251</v>
      </c>
      <c r="I65" s="978">
        <v>0</v>
      </c>
      <c r="J65" s="979">
        <v>0</v>
      </c>
      <c r="K65" s="979">
        <v>0</v>
      </c>
      <c r="L65" s="979">
        <v>0</v>
      </c>
      <c r="M65" s="979">
        <v>0</v>
      </c>
      <c r="N65" s="1881">
        <f>AVERAGE(K65:M65)</f>
        <v>0</v>
      </c>
      <c r="O65" s="1881">
        <f t="shared" ref="O65:R65" si="38">AVERAGE(L65:N65)</f>
        <v>0</v>
      </c>
      <c r="P65" s="1881">
        <f t="shared" si="38"/>
        <v>0</v>
      </c>
      <c r="Q65" s="1881">
        <f t="shared" si="38"/>
        <v>0</v>
      </c>
      <c r="R65" s="1911">
        <f t="shared" si="38"/>
        <v>0</v>
      </c>
    </row>
    <row r="66" spans="2:18" s="1000" customFormat="1" ht="18" hidden="1" customHeight="1">
      <c r="B66" s="1001" t="s">
        <v>996</v>
      </c>
      <c r="C66" s="1002">
        <v>102</v>
      </c>
      <c r="D66" s="1002">
        <v>6</v>
      </c>
      <c r="E66" s="1002">
        <v>6</v>
      </c>
      <c r="F66" s="1002"/>
      <c r="G66" s="1002"/>
      <c r="H66" s="1003" t="s">
        <v>252</v>
      </c>
      <c r="I66" s="1004"/>
      <c r="J66" s="1004"/>
      <c r="K66" s="1004"/>
      <c r="L66" s="1004"/>
      <c r="M66" s="1004"/>
      <c r="N66" s="922"/>
      <c r="O66" s="922"/>
      <c r="P66" s="922"/>
      <c r="Q66" s="922"/>
      <c r="R66" s="923"/>
    </row>
    <row r="67" spans="2:18" ht="18" customHeight="1">
      <c r="B67" s="967" t="s">
        <v>997</v>
      </c>
      <c r="C67" s="968">
        <v>102</v>
      </c>
      <c r="D67" s="968">
        <v>2</v>
      </c>
      <c r="E67" s="968">
        <v>2</v>
      </c>
      <c r="F67" s="968"/>
      <c r="G67" s="968"/>
      <c r="H67" s="993" t="s">
        <v>254</v>
      </c>
      <c r="I67" s="1005">
        <v>0</v>
      </c>
      <c r="J67" s="979">
        <v>0</v>
      </c>
      <c r="K67" s="979">
        <v>0</v>
      </c>
      <c r="L67" s="979">
        <v>0</v>
      </c>
      <c r="M67" s="979">
        <v>0</v>
      </c>
      <c r="N67" s="1881">
        <f>AVERAGE(K67:M67)</f>
        <v>0</v>
      </c>
      <c r="O67" s="1881">
        <f t="shared" ref="O67:R68" si="39">AVERAGE(L67:N67)</f>
        <v>0</v>
      </c>
      <c r="P67" s="1881">
        <f t="shared" si="39"/>
        <v>0</v>
      </c>
      <c r="Q67" s="1881">
        <f t="shared" si="39"/>
        <v>0</v>
      </c>
      <c r="R67" s="1911">
        <f t="shared" si="39"/>
        <v>0</v>
      </c>
    </row>
    <row r="68" spans="2:18" ht="18" customHeight="1">
      <c r="B68" s="1006" t="s">
        <v>998</v>
      </c>
      <c r="C68" s="957">
        <v>102</v>
      </c>
      <c r="D68" s="957">
        <v>2</v>
      </c>
      <c r="E68" s="957">
        <v>2</v>
      </c>
      <c r="F68" s="957"/>
      <c r="G68" s="957"/>
      <c r="H68" s="993" t="s">
        <v>256</v>
      </c>
      <c r="I68" s="990">
        <f>资产负债!I172</f>
        <v>0</v>
      </c>
      <c r="J68" s="990">
        <f>资产负债!J172</f>
        <v>0</v>
      </c>
      <c r="K68" s="990">
        <f>资产负债!K172</f>
        <v>0</v>
      </c>
      <c r="L68" s="990">
        <f>资产负债!L172</f>
        <v>0</v>
      </c>
      <c r="M68" s="990">
        <f>资产负债!M172</f>
        <v>0</v>
      </c>
      <c r="N68" s="1881">
        <f>AVERAGE(K68:M68)</f>
        <v>0</v>
      </c>
      <c r="O68" s="1881">
        <f t="shared" si="39"/>
        <v>0</v>
      </c>
      <c r="P68" s="1881">
        <f t="shared" si="39"/>
        <v>0</v>
      </c>
      <c r="Q68" s="1881">
        <f t="shared" si="39"/>
        <v>0</v>
      </c>
      <c r="R68" s="1911">
        <f t="shared" si="39"/>
        <v>0</v>
      </c>
    </row>
    <row r="69" spans="2:18" ht="18" hidden="1" customHeight="1">
      <c r="B69" s="1007"/>
      <c r="C69" s="1008"/>
      <c r="D69" s="1008"/>
      <c r="E69" s="1008"/>
      <c r="F69" s="1008"/>
      <c r="G69" s="1008"/>
      <c r="H69" s="1009"/>
      <c r="I69" s="1010"/>
      <c r="J69" s="1011"/>
      <c r="K69" s="1011"/>
      <c r="L69" s="1011"/>
      <c r="M69" s="1011"/>
      <c r="N69" s="1011"/>
      <c r="O69" s="1011"/>
      <c r="P69" s="1011"/>
      <c r="Q69" s="1011"/>
      <c r="R69" s="1012"/>
    </row>
    <row r="70" spans="2:18" ht="18" hidden="1" customHeight="1">
      <c r="B70" s="1007"/>
      <c r="C70" s="1013"/>
      <c r="D70" s="1013"/>
      <c r="E70" s="1013"/>
      <c r="F70" s="1013"/>
      <c r="G70" s="1013"/>
      <c r="H70" s="1009"/>
      <c r="I70" s="1010"/>
      <c r="J70" s="1011"/>
      <c r="K70" s="1011"/>
      <c r="L70" s="1011"/>
      <c r="M70" s="1011"/>
      <c r="N70" s="1011"/>
      <c r="O70" s="1011"/>
      <c r="P70" s="1011"/>
      <c r="Q70" s="1011"/>
      <c r="R70" s="1012"/>
    </row>
    <row r="71" spans="2:18" ht="18" customHeight="1">
      <c r="B71" s="995" t="s">
        <v>999</v>
      </c>
      <c r="C71" s="1014">
        <v>102</v>
      </c>
      <c r="D71" s="1014">
        <v>2</v>
      </c>
      <c r="E71" s="1014">
        <v>2</v>
      </c>
      <c r="F71" s="1014"/>
      <c r="G71" s="1014"/>
      <c r="H71" s="993" t="s">
        <v>258</v>
      </c>
      <c r="I71" s="978">
        <v>0</v>
      </c>
      <c r="J71" s="979">
        <v>0</v>
      </c>
      <c r="K71" s="979">
        <v>0</v>
      </c>
      <c r="L71" s="979">
        <v>0</v>
      </c>
      <c r="M71" s="979">
        <v>0</v>
      </c>
      <c r="N71" s="1881">
        <f>AVERAGE(K71:M71)</f>
        <v>0</v>
      </c>
      <c r="O71" s="1881">
        <f t="shared" ref="O71:R71" si="40">AVERAGE(L71:N71)</f>
        <v>0</v>
      </c>
      <c r="P71" s="1881">
        <f t="shared" si="40"/>
        <v>0</v>
      </c>
      <c r="Q71" s="1881">
        <f t="shared" si="40"/>
        <v>0</v>
      </c>
      <c r="R71" s="1911">
        <f t="shared" si="40"/>
        <v>0</v>
      </c>
    </row>
    <row r="72" spans="2:18" ht="18" customHeight="1">
      <c r="B72" s="995" t="s">
        <v>1000</v>
      </c>
      <c r="C72" s="1014">
        <v>102</v>
      </c>
      <c r="D72" s="1014">
        <v>2</v>
      </c>
      <c r="E72" s="1014">
        <v>2</v>
      </c>
      <c r="F72" s="1014"/>
      <c r="G72" s="1014"/>
      <c r="H72" s="993" t="s">
        <v>260</v>
      </c>
      <c r="I72" s="978">
        <v>0</v>
      </c>
      <c r="J72" s="979">
        <v>0</v>
      </c>
      <c r="K72" s="979">
        <v>0</v>
      </c>
      <c r="L72" s="979">
        <v>0</v>
      </c>
      <c r="M72" s="979">
        <v>0</v>
      </c>
      <c r="N72" s="1881">
        <f>AVERAGE(K72:M72)</f>
        <v>0</v>
      </c>
      <c r="O72" s="1881">
        <f t="shared" ref="O72:R72" si="41">AVERAGE(L72:N72)</f>
        <v>0</v>
      </c>
      <c r="P72" s="1881">
        <f t="shared" si="41"/>
        <v>0</v>
      </c>
      <c r="Q72" s="1881">
        <f t="shared" si="41"/>
        <v>0</v>
      </c>
      <c r="R72" s="1911">
        <f t="shared" si="41"/>
        <v>0</v>
      </c>
    </row>
    <row r="73" spans="2:18" ht="18" hidden="1" customHeight="1">
      <c r="B73" s="1015"/>
      <c r="C73" s="1016"/>
      <c r="D73" s="1016"/>
      <c r="E73" s="1016"/>
      <c r="F73" s="1016"/>
      <c r="G73" s="1016"/>
      <c r="H73" s="1009"/>
      <c r="I73" s="1017"/>
      <c r="J73" s="1017"/>
      <c r="K73" s="1017"/>
      <c r="L73" s="1017"/>
      <c r="M73" s="1017"/>
      <c r="N73" s="1018"/>
      <c r="O73" s="1018"/>
      <c r="P73" s="1018"/>
      <c r="Q73" s="1018"/>
      <c r="R73" s="1019"/>
    </row>
    <row r="74" spans="2:18" ht="18" hidden="1" customHeight="1">
      <c r="B74" s="1020"/>
      <c r="C74" s="1008"/>
      <c r="D74" s="1008"/>
      <c r="E74" s="1008"/>
      <c r="F74" s="1008"/>
      <c r="G74" s="1008"/>
      <c r="H74" s="1009"/>
      <c r="I74" s="1010"/>
      <c r="J74" s="1011"/>
      <c r="K74" s="1011"/>
      <c r="L74" s="1011"/>
      <c r="M74" s="1011"/>
      <c r="N74" s="1011"/>
      <c r="O74" s="1011"/>
      <c r="P74" s="1011"/>
      <c r="Q74" s="1011"/>
      <c r="R74" s="1012"/>
    </row>
    <row r="75" spans="2:18" ht="18" hidden="1" customHeight="1">
      <c r="B75" s="1020"/>
      <c r="C75" s="1008"/>
      <c r="D75" s="1008"/>
      <c r="E75" s="1008"/>
      <c r="F75" s="1008"/>
      <c r="G75" s="1008"/>
      <c r="H75" s="1009"/>
      <c r="I75" s="1010"/>
      <c r="J75" s="1011"/>
      <c r="K75" s="1011"/>
      <c r="L75" s="1011"/>
      <c r="M75" s="1011"/>
      <c r="N75" s="1011"/>
      <c r="O75" s="1011"/>
      <c r="P75" s="1011"/>
      <c r="Q75" s="1011"/>
      <c r="R75" s="1012"/>
    </row>
    <row r="76" spans="2:18" ht="18" customHeight="1">
      <c r="B76" s="1021" t="s">
        <v>1001</v>
      </c>
      <c r="C76" s="1022">
        <v>102</v>
      </c>
      <c r="D76" s="1022">
        <v>2</v>
      </c>
      <c r="E76" s="1022">
        <v>2</v>
      </c>
      <c r="F76" s="1022"/>
      <c r="G76" s="1022"/>
      <c r="H76" s="993" t="s">
        <v>262</v>
      </c>
      <c r="I76" s="978">
        <v>0</v>
      </c>
      <c r="J76" s="979">
        <v>0</v>
      </c>
      <c r="K76" s="979">
        <v>0</v>
      </c>
      <c r="L76" s="979">
        <v>0</v>
      </c>
      <c r="M76" s="979">
        <v>0</v>
      </c>
      <c r="N76" s="1881">
        <f>AVERAGE(K76:M76)</f>
        <v>0</v>
      </c>
      <c r="O76" s="1881">
        <f t="shared" ref="O76:R76" si="42">AVERAGE(L76:N76)</f>
        <v>0</v>
      </c>
      <c r="P76" s="1881">
        <f t="shared" si="42"/>
        <v>0</v>
      </c>
      <c r="Q76" s="1881">
        <f t="shared" si="42"/>
        <v>0</v>
      </c>
      <c r="R76" s="1911">
        <f t="shared" si="42"/>
        <v>0</v>
      </c>
    </row>
    <row r="77" spans="2:18" ht="18" customHeight="1">
      <c r="B77" s="1021" t="s">
        <v>1002</v>
      </c>
      <c r="C77" s="1022">
        <v>102</v>
      </c>
      <c r="D77" s="1022">
        <v>2</v>
      </c>
      <c r="E77" s="1022">
        <v>2</v>
      </c>
      <c r="F77" s="1022"/>
      <c r="G77" s="1022"/>
      <c r="H77" s="993" t="s">
        <v>264</v>
      </c>
      <c r="I77" s="978">
        <v>0</v>
      </c>
      <c r="J77" s="979">
        <v>0</v>
      </c>
      <c r="K77" s="979">
        <v>0</v>
      </c>
      <c r="L77" s="979">
        <v>0</v>
      </c>
      <c r="M77" s="979">
        <v>0</v>
      </c>
      <c r="N77" s="1881">
        <f>AVERAGE(K77:M77)</f>
        <v>0</v>
      </c>
      <c r="O77" s="1881">
        <f t="shared" ref="O77:R77" si="43">AVERAGE(L77:N77)</f>
        <v>0</v>
      </c>
      <c r="P77" s="1881">
        <f t="shared" si="43"/>
        <v>0</v>
      </c>
      <c r="Q77" s="1881">
        <f t="shared" si="43"/>
        <v>0</v>
      </c>
      <c r="R77" s="1911">
        <f t="shared" si="43"/>
        <v>0</v>
      </c>
    </row>
    <row r="78" spans="2:18" ht="18" customHeight="1">
      <c r="B78" s="1021" t="s">
        <v>1003</v>
      </c>
      <c r="C78" s="1022">
        <v>101</v>
      </c>
      <c r="D78" s="1022">
        <v>1</v>
      </c>
      <c r="E78" s="1022">
        <v>1</v>
      </c>
      <c r="F78" s="1022" t="s">
        <v>266</v>
      </c>
      <c r="G78" s="1022" t="s">
        <v>267</v>
      </c>
      <c r="H78" s="993" t="s">
        <v>268</v>
      </c>
      <c r="I78" s="978">
        <v>0</v>
      </c>
      <c r="J78" s="979">
        <v>0</v>
      </c>
      <c r="K78" s="979">
        <v>0</v>
      </c>
      <c r="L78" s="979">
        <v>0</v>
      </c>
      <c r="M78" s="979">
        <v>0</v>
      </c>
      <c r="N78" s="1877">
        <f>(资产负债!N174+资产负债!N170)/2*N79</f>
        <v>0</v>
      </c>
      <c r="O78" s="1877">
        <f>(资产负债!O174+资产负债!O170)/2*O79</f>
        <v>0</v>
      </c>
      <c r="P78" s="1877">
        <f>(资产负债!P174+资产负债!P170)/2*P79</f>
        <v>0</v>
      </c>
      <c r="Q78" s="1877">
        <f>(资产负债!Q174+资产负债!Q170)/2*Q79</f>
        <v>0</v>
      </c>
      <c r="R78" s="1878">
        <f>(资产负债!R174+资产负债!R170)/2*R79</f>
        <v>0</v>
      </c>
    </row>
    <row r="79" spans="2:18" ht="18" customHeight="1">
      <c r="B79" s="1021" t="s">
        <v>1004</v>
      </c>
      <c r="C79" s="1023"/>
      <c r="D79" s="1023"/>
      <c r="E79" s="1023"/>
      <c r="F79" s="1023"/>
      <c r="G79" s="1023"/>
      <c r="H79" s="1023"/>
      <c r="I79" s="971">
        <f>资产负债!I201</f>
        <v>0</v>
      </c>
      <c r="J79" s="687">
        <f>资产负债!J201</f>
        <v>0</v>
      </c>
      <c r="K79" s="687">
        <f>资产负债!K201</f>
        <v>0</v>
      </c>
      <c r="L79" s="687">
        <f>资产负债!L201</f>
        <v>0</v>
      </c>
      <c r="M79" s="687">
        <f>资产负债!M201</f>
        <v>0</v>
      </c>
      <c r="N79" s="2290">
        <f t="shared" ref="N79:N86" si="44">AVERAGE(K79:M79)</f>
        <v>0</v>
      </c>
      <c r="O79" s="2290">
        <f t="shared" ref="O79:R80" si="45">AVERAGE(L79:N79)</f>
        <v>0</v>
      </c>
      <c r="P79" s="2290">
        <f t="shared" si="45"/>
        <v>0</v>
      </c>
      <c r="Q79" s="2290">
        <f t="shared" si="45"/>
        <v>0</v>
      </c>
      <c r="R79" s="2291">
        <f t="shared" si="45"/>
        <v>0</v>
      </c>
    </row>
    <row r="80" spans="2:18" ht="18" customHeight="1">
      <c r="B80" s="1021" t="s">
        <v>1005</v>
      </c>
      <c r="C80" s="1022">
        <v>102</v>
      </c>
      <c r="D80" s="1022">
        <v>2</v>
      </c>
      <c r="E80" s="1022">
        <v>2</v>
      </c>
      <c r="F80" s="1022"/>
      <c r="G80" s="1022"/>
      <c r="H80" s="1024" t="s">
        <v>271</v>
      </c>
      <c r="I80" s="978">
        <v>0</v>
      </c>
      <c r="J80" s="979">
        <v>0</v>
      </c>
      <c r="K80" s="979">
        <v>0</v>
      </c>
      <c r="L80" s="979">
        <v>0</v>
      </c>
      <c r="M80" s="979">
        <v>0</v>
      </c>
      <c r="N80" s="1881">
        <f t="shared" si="44"/>
        <v>0</v>
      </c>
      <c r="O80" s="1881">
        <f t="shared" si="45"/>
        <v>0</v>
      </c>
      <c r="P80" s="1881">
        <f t="shared" si="45"/>
        <v>0</v>
      </c>
      <c r="Q80" s="1881">
        <f t="shared" si="45"/>
        <v>0</v>
      </c>
      <c r="R80" s="1911">
        <f t="shared" si="45"/>
        <v>0</v>
      </c>
    </row>
    <row r="81" spans="2:18" ht="18" customHeight="1">
      <c r="B81" s="1021" t="s">
        <v>1006</v>
      </c>
      <c r="C81" s="1022">
        <v>102</v>
      </c>
      <c r="D81" s="1022">
        <v>2</v>
      </c>
      <c r="E81" s="1022">
        <v>2</v>
      </c>
      <c r="F81" s="1022"/>
      <c r="G81" s="1022"/>
      <c r="H81" s="1024" t="s">
        <v>273</v>
      </c>
      <c r="I81" s="978">
        <v>0</v>
      </c>
      <c r="J81" s="979">
        <v>0</v>
      </c>
      <c r="K81" s="979">
        <v>0</v>
      </c>
      <c r="L81" s="979">
        <v>0</v>
      </c>
      <c r="M81" s="979">
        <v>0</v>
      </c>
      <c r="N81" s="1881">
        <f t="shared" si="44"/>
        <v>0</v>
      </c>
      <c r="O81" s="1881">
        <f t="shared" ref="O81:R81" si="46">AVERAGE(L81:N81)</f>
        <v>0</v>
      </c>
      <c r="P81" s="1881">
        <f t="shared" si="46"/>
        <v>0</v>
      </c>
      <c r="Q81" s="1881">
        <f t="shared" si="46"/>
        <v>0</v>
      </c>
      <c r="R81" s="1911">
        <f t="shared" si="46"/>
        <v>0</v>
      </c>
    </row>
    <row r="82" spans="2:18" ht="18" customHeight="1">
      <c r="B82" s="995" t="s">
        <v>1007</v>
      </c>
      <c r="C82" s="996">
        <v>102</v>
      </c>
      <c r="D82" s="996">
        <v>2</v>
      </c>
      <c r="E82" s="996">
        <v>2</v>
      </c>
      <c r="F82" s="996"/>
      <c r="G82" s="996"/>
      <c r="H82" s="1024" t="s">
        <v>275</v>
      </c>
      <c r="I82" s="978">
        <v>0</v>
      </c>
      <c r="J82" s="979">
        <v>0</v>
      </c>
      <c r="K82" s="979">
        <v>0</v>
      </c>
      <c r="L82" s="979">
        <v>0</v>
      </c>
      <c r="M82" s="979">
        <v>0</v>
      </c>
      <c r="N82" s="1881">
        <f t="shared" si="44"/>
        <v>0</v>
      </c>
      <c r="O82" s="1881">
        <f t="shared" ref="O82:R82" si="47">AVERAGE(L82:N82)</f>
        <v>0</v>
      </c>
      <c r="P82" s="1881">
        <f t="shared" si="47"/>
        <v>0</v>
      </c>
      <c r="Q82" s="1881">
        <f t="shared" si="47"/>
        <v>0</v>
      </c>
      <c r="R82" s="1911">
        <f t="shared" si="47"/>
        <v>0</v>
      </c>
    </row>
    <row r="83" spans="2:18" ht="18" customHeight="1">
      <c r="B83" s="995" t="s">
        <v>1008</v>
      </c>
      <c r="C83" s="996">
        <v>102</v>
      </c>
      <c r="D83" s="996">
        <v>2</v>
      </c>
      <c r="E83" s="996">
        <v>2</v>
      </c>
      <c r="F83" s="996"/>
      <c r="G83" s="996"/>
      <c r="H83" s="1024" t="s">
        <v>277</v>
      </c>
      <c r="I83" s="978">
        <v>0</v>
      </c>
      <c r="J83" s="979">
        <v>0</v>
      </c>
      <c r="K83" s="979">
        <v>0</v>
      </c>
      <c r="L83" s="979">
        <v>0</v>
      </c>
      <c r="M83" s="979">
        <v>0</v>
      </c>
      <c r="N83" s="1881">
        <f t="shared" si="44"/>
        <v>0</v>
      </c>
      <c r="O83" s="1881">
        <f t="shared" ref="O83:R83" si="48">AVERAGE(L83:N83)</f>
        <v>0</v>
      </c>
      <c r="P83" s="1881">
        <f t="shared" si="48"/>
        <v>0</v>
      </c>
      <c r="Q83" s="1881">
        <f t="shared" si="48"/>
        <v>0</v>
      </c>
      <c r="R83" s="1911">
        <f t="shared" si="48"/>
        <v>0</v>
      </c>
    </row>
    <row r="84" spans="2:18" ht="18" customHeight="1">
      <c r="B84" s="960" t="s">
        <v>1009</v>
      </c>
      <c r="C84" s="594">
        <v>102</v>
      </c>
      <c r="D84" s="594">
        <v>2</v>
      </c>
      <c r="E84" s="594">
        <v>2</v>
      </c>
      <c r="F84" s="594"/>
      <c r="G84" s="594"/>
      <c r="H84" s="1024" t="s">
        <v>279</v>
      </c>
      <c r="I84" s="955">
        <f>资产负债!I209</f>
        <v>1.4592001799999998</v>
      </c>
      <c r="J84" s="955">
        <f>资产负债!J209</f>
        <v>1.70606024</v>
      </c>
      <c r="K84" s="955">
        <f>资产负债!K209</f>
        <v>0.21440000000000001</v>
      </c>
      <c r="L84" s="955">
        <f>资产负债!L209</f>
        <v>0.20480000000000001</v>
      </c>
      <c r="M84" s="955">
        <f>资产负债!M209</f>
        <v>0.34623199999999998</v>
      </c>
      <c r="N84" s="1881">
        <f t="shared" si="44"/>
        <v>0.25514399999999998</v>
      </c>
      <c r="O84" s="1881">
        <f t="shared" ref="O84:R84" si="49">AVERAGE(L84:N84)</f>
        <v>0.26872533333333332</v>
      </c>
      <c r="P84" s="1881">
        <f t="shared" si="49"/>
        <v>0.29003377777777772</v>
      </c>
      <c r="Q84" s="1881">
        <f t="shared" si="49"/>
        <v>0.27130103703703701</v>
      </c>
      <c r="R84" s="1911">
        <f t="shared" si="49"/>
        <v>0.27668671604938266</v>
      </c>
    </row>
    <row r="85" spans="2:18" ht="18" customHeight="1">
      <c r="B85" s="960" t="s">
        <v>1010</v>
      </c>
      <c r="C85" s="594">
        <v>102</v>
      </c>
      <c r="D85" s="594">
        <v>2</v>
      </c>
      <c r="E85" s="594">
        <v>2</v>
      </c>
      <c r="F85" s="594"/>
      <c r="G85" s="594"/>
      <c r="H85" s="1024" t="s">
        <v>281</v>
      </c>
      <c r="I85" s="955">
        <f>资产负债!I210</f>
        <v>52.646084479999999</v>
      </c>
      <c r="J85" s="955">
        <f>资产负债!J210</f>
        <v>47.431610499999998</v>
      </c>
      <c r="K85" s="955">
        <f>资产负债!K210</f>
        <v>43.395113119999998</v>
      </c>
      <c r="L85" s="955">
        <f>资产负债!L210</f>
        <v>57.691854509999999</v>
      </c>
      <c r="M85" s="955">
        <f>资产负债!M210</f>
        <v>41.033468759999998</v>
      </c>
      <c r="N85" s="1881">
        <f t="shared" si="44"/>
        <v>47.373478796666667</v>
      </c>
      <c r="O85" s="1881">
        <f t="shared" ref="O85:R85" si="50">AVERAGE(L85:N85)</f>
        <v>48.699600688888886</v>
      </c>
      <c r="P85" s="1881">
        <f t="shared" si="50"/>
        <v>45.702182748518517</v>
      </c>
      <c r="Q85" s="1881">
        <f t="shared" si="50"/>
        <v>47.258420744691357</v>
      </c>
      <c r="R85" s="1911">
        <f t="shared" si="50"/>
        <v>47.220068060699589</v>
      </c>
    </row>
    <row r="86" spans="2:18" ht="18" customHeight="1">
      <c r="B86" s="960" t="s">
        <v>1011</v>
      </c>
      <c r="C86" s="594">
        <v>102</v>
      </c>
      <c r="D86" s="594">
        <v>2</v>
      </c>
      <c r="E86" s="594">
        <v>2</v>
      </c>
      <c r="F86" s="594"/>
      <c r="G86" s="594"/>
      <c r="H86" s="1024" t="s">
        <v>283</v>
      </c>
      <c r="I86" s="955">
        <f>资产负债!I211</f>
        <v>16.214799899999999</v>
      </c>
      <c r="J86" s="955">
        <f>资产负债!J211</f>
        <v>8.9241661999999984</v>
      </c>
      <c r="K86" s="955">
        <f>资产负债!K211</f>
        <v>6.0463205999999996</v>
      </c>
      <c r="L86" s="955">
        <f>资产负债!L211</f>
        <v>4.2368642699999999</v>
      </c>
      <c r="M86" s="955">
        <f>资产负债!M211</f>
        <v>11.921826429999999</v>
      </c>
      <c r="N86" s="1881">
        <f t="shared" si="44"/>
        <v>7.401670433333333</v>
      </c>
      <c r="O86" s="1881">
        <f t="shared" ref="O86:R86" si="51">AVERAGE(L86:N86)</f>
        <v>7.8534537111111113</v>
      </c>
      <c r="P86" s="1881">
        <f t="shared" si="51"/>
        <v>9.0589835248148152</v>
      </c>
      <c r="Q86" s="1881">
        <f t="shared" si="51"/>
        <v>8.1047025564197526</v>
      </c>
      <c r="R86" s="1911">
        <f t="shared" si="51"/>
        <v>8.3390465974485597</v>
      </c>
    </row>
    <row r="87" spans="2:18" ht="18" hidden="1" customHeight="1">
      <c r="B87" s="985"/>
      <c r="C87" s="1025"/>
      <c r="D87" s="1025"/>
      <c r="E87" s="1025"/>
      <c r="F87" s="1025"/>
      <c r="G87" s="1025"/>
      <c r="H87" s="1024"/>
      <c r="I87" s="1026"/>
      <c r="J87" s="1026"/>
      <c r="K87" s="1026"/>
      <c r="L87" s="1026"/>
      <c r="M87" s="1026"/>
      <c r="N87" s="922"/>
      <c r="O87" s="922"/>
      <c r="P87" s="922"/>
      <c r="Q87" s="922"/>
      <c r="R87" s="923"/>
    </row>
    <row r="88" spans="2:18" ht="18" hidden="1" customHeight="1">
      <c r="B88" s="1027"/>
      <c r="C88" s="947"/>
      <c r="D88" s="947"/>
      <c r="E88" s="947"/>
      <c r="F88" s="947"/>
      <c r="G88" s="947"/>
      <c r="H88" s="947"/>
      <c r="I88" s="948"/>
      <c r="J88" s="948"/>
      <c r="K88" s="948"/>
      <c r="L88" s="948"/>
      <c r="M88" s="948"/>
      <c r="N88" s="948"/>
      <c r="O88" s="948"/>
      <c r="P88" s="948"/>
      <c r="Q88" s="948"/>
      <c r="R88" s="949"/>
    </row>
    <row r="89" spans="2:18" ht="18" hidden="1" customHeight="1">
      <c r="B89" s="946"/>
      <c r="C89" s="947"/>
      <c r="D89" s="947"/>
      <c r="E89" s="947"/>
      <c r="F89" s="947"/>
      <c r="G89" s="947"/>
      <c r="H89" s="947"/>
      <c r="I89" s="948"/>
      <c r="J89" s="948"/>
      <c r="K89" s="948"/>
      <c r="L89" s="948"/>
      <c r="M89" s="948"/>
      <c r="N89" s="948"/>
      <c r="O89" s="948"/>
      <c r="P89" s="948"/>
      <c r="Q89" s="948"/>
      <c r="R89" s="950"/>
    </row>
    <row r="90" spans="2:18" ht="18" hidden="1" customHeight="1">
      <c r="B90" s="946"/>
      <c r="C90" s="947"/>
      <c r="D90" s="947"/>
      <c r="E90" s="947"/>
      <c r="F90" s="947"/>
      <c r="G90" s="947"/>
      <c r="H90" s="947"/>
      <c r="I90" s="948"/>
      <c r="J90" s="948"/>
      <c r="K90" s="948"/>
      <c r="L90" s="948"/>
      <c r="M90" s="948"/>
      <c r="N90" s="948"/>
      <c r="O90" s="948"/>
      <c r="P90" s="948"/>
      <c r="Q90" s="948"/>
      <c r="R90" s="950"/>
    </row>
    <row r="91" spans="2:18" ht="18" hidden="1" customHeight="1">
      <c r="B91" s="946"/>
      <c r="C91" s="947"/>
      <c r="D91" s="947"/>
      <c r="E91" s="947"/>
      <c r="F91" s="947"/>
      <c r="G91" s="947"/>
      <c r="H91" s="947"/>
      <c r="I91" s="948"/>
      <c r="J91" s="948"/>
      <c r="K91" s="948"/>
      <c r="L91" s="948"/>
      <c r="M91" s="948"/>
      <c r="N91" s="948"/>
      <c r="O91" s="948"/>
      <c r="P91" s="948"/>
      <c r="Q91" s="948"/>
      <c r="R91" s="950"/>
    </row>
    <row r="92" spans="2:18" ht="18" hidden="1" customHeight="1">
      <c r="B92" s="946"/>
      <c r="C92" s="947"/>
      <c r="D92" s="947"/>
      <c r="E92" s="947"/>
      <c r="F92" s="947"/>
      <c r="G92" s="947"/>
      <c r="H92" s="947"/>
      <c r="I92" s="948"/>
      <c r="J92" s="948"/>
      <c r="K92" s="948"/>
      <c r="L92" s="948"/>
      <c r="M92" s="948"/>
      <c r="N92" s="948"/>
      <c r="O92" s="948"/>
      <c r="P92" s="948"/>
      <c r="Q92" s="948"/>
      <c r="R92" s="950"/>
    </row>
    <row r="93" spans="2:18" ht="18" hidden="1" customHeight="1">
      <c r="B93" s="946"/>
      <c r="C93" s="947"/>
      <c r="D93" s="947"/>
      <c r="E93" s="947"/>
      <c r="F93" s="947"/>
      <c r="G93" s="947"/>
      <c r="H93" s="947"/>
      <c r="I93" s="948"/>
      <c r="J93" s="948"/>
      <c r="K93" s="948"/>
      <c r="L93" s="948"/>
      <c r="M93" s="948"/>
      <c r="N93" s="948"/>
      <c r="O93" s="948"/>
      <c r="P93" s="948"/>
      <c r="Q93" s="948"/>
      <c r="R93" s="950"/>
    </row>
    <row r="94" spans="2:18" ht="18" hidden="1" customHeight="1">
      <c r="B94" s="946"/>
      <c r="C94" s="947"/>
      <c r="D94" s="947"/>
      <c r="E94" s="947"/>
      <c r="F94" s="947"/>
      <c r="G94" s="947"/>
      <c r="H94" s="947"/>
      <c r="I94" s="948"/>
      <c r="J94" s="948"/>
      <c r="K94" s="948"/>
      <c r="L94" s="948"/>
      <c r="M94" s="948"/>
      <c r="N94" s="948"/>
      <c r="O94" s="948"/>
      <c r="P94" s="948"/>
      <c r="Q94" s="948"/>
      <c r="R94" s="950"/>
    </row>
    <row r="95" spans="2:18" ht="18" hidden="1" customHeight="1">
      <c r="B95" s="946"/>
      <c r="C95" s="947"/>
      <c r="D95" s="947"/>
      <c r="E95" s="947"/>
      <c r="F95" s="947"/>
      <c r="G95" s="947"/>
      <c r="H95" s="947"/>
      <c r="I95" s="948"/>
      <c r="J95" s="948"/>
      <c r="K95" s="948"/>
      <c r="L95" s="948"/>
      <c r="M95" s="948"/>
      <c r="N95" s="948"/>
      <c r="O95" s="948"/>
      <c r="P95" s="948"/>
      <c r="Q95" s="948"/>
      <c r="R95" s="950"/>
    </row>
    <row r="96" spans="2:18" ht="18" hidden="1" customHeight="1">
      <c r="B96" s="946"/>
      <c r="C96" s="947"/>
      <c r="D96" s="947"/>
      <c r="E96" s="947"/>
      <c r="F96" s="947"/>
      <c r="G96" s="947"/>
      <c r="H96" s="947"/>
      <c r="I96" s="948"/>
      <c r="J96" s="948"/>
      <c r="K96" s="948"/>
      <c r="L96" s="948"/>
      <c r="M96" s="948"/>
      <c r="N96" s="948"/>
      <c r="O96" s="948"/>
      <c r="P96" s="948"/>
      <c r="Q96" s="948"/>
      <c r="R96" s="950"/>
    </row>
    <row r="97" spans="2:18" ht="18" hidden="1" customHeight="1">
      <c r="B97" s="946"/>
      <c r="C97" s="947"/>
      <c r="D97" s="947"/>
      <c r="E97" s="947"/>
      <c r="F97" s="947"/>
      <c r="G97" s="947"/>
      <c r="H97" s="947"/>
      <c r="I97" s="948"/>
      <c r="J97" s="948"/>
      <c r="K97" s="948"/>
      <c r="L97" s="948"/>
      <c r="M97" s="948"/>
      <c r="N97" s="948"/>
      <c r="O97" s="948"/>
      <c r="P97" s="948"/>
      <c r="Q97" s="948"/>
      <c r="R97" s="950"/>
    </row>
    <row r="98" spans="2:18" ht="18" hidden="1" customHeight="1">
      <c r="B98" s="946"/>
      <c r="C98" s="947"/>
      <c r="D98" s="947"/>
      <c r="E98" s="947"/>
      <c r="F98" s="947"/>
      <c r="G98" s="947"/>
      <c r="H98" s="947"/>
      <c r="I98" s="948"/>
      <c r="J98" s="948"/>
      <c r="K98" s="948"/>
      <c r="L98" s="948"/>
      <c r="M98" s="948"/>
      <c r="N98" s="948"/>
      <c r="O98" s="948"/>
      <c r="P98" s="948"/>
      <c r="Q98" s="948"/>
      <c r="R98" s="950"/>
    </row>
    <row r="99" spans="2:18" ht="18" hidden="1" customHeight="1">
      <c r="B99" s="946"/>
      <c r="C99" s="947"/>
      <c r="D99" s="947"/>
      <c r="E99" s="947"/>
      <c r="F99" s="947"/>
      <c r="G99" s="947"/>
      <c r="H99" s="947"/>
      <c r="I99" s="948"/>
      <c r="J99" s="948"/>
      <c r="K99" s="948"/>
      <c r="L99" s="948"/>
      <c r="M99" s="948"/>
      <c r="N99" s="948"/>
      <c r="O99" s="948"/>
      <c r="P99" s="948"/>
      <c r="Q99" s="948"/>
      <c r="R99" s="950"/>
    </row>
    <row r="100" spans="2:18" s="1028" customFormat="1" ht="18" hidden="1" customHeight="1">
      <c r="B100" s="1029" t="s">
        <v>1012</v>
      </c>
      <c r="C100" s="1030">
        <v>102</v>
      </c>
      <c r="D100" s="1030">
        <v>2</v>
      </c>
      <c r="E100" s="1030">
        <v>2</v>
      </c>
      <c r="F100" s="1030"/>
      <c r="G100" s="1030"/>
      <c r="H100" s="1031" t="s">
        <v>284</v>
      </c>
      <c r="I100" s="1032"/>
      <c r="J100" s="1032"/>
      <c r="K100" s="1032"/>
      <c r="L100" s="1032"/>
      <c r="M100" s="1032"/>
      <c r="N100" s="1033"/>
      <c r="O100" s="1033"/>
      <c r="P100" s="1033"/>
      <c r="Q100" s="1033"/>
      <c r="R100" s="1034"/>
    </row>
    <row r="101" spans="2:18" ht="18" customHeight="1">
      <c r="B101" s="991" t="s">
        <v>1013</v>
      </c>
      <c r="C101" s="1035">
        <v>102</v>
      </c>
      <c r="D101" s="1035">
        <v>2</v>
      </c>
      <c r="E101" s="1035">
        <v>2</v>
      </c>
      <c r="F101" s="1035"/>
      <c r="G101" s="1035"/>
      <c r="H101" s="1036" t="s">
        <v>286</v>
      </c>
      <c r="I101" s="955">
        <f>资产负债!I224</f>
        <v>0</v>
      </c>
      <c r="J101" s="955">
        <f>资产负债!J224</f>
        <v>0</v>
      </c>
      <c r="K101" s="955">
        <f>资产负债!K224</f>
        <v>0</v>
      </c>
      <c r="L101" s="955">
        <f>资产负债!L224</f>
        <v>4.7604624800000002</v>
      </c>
      <c r="M101" s="955">
        <f>资产负债!M224</f>
        <v>2.34126849</v>
      </c>
      <c r="N101" s="1881">
        <f>AVERAGE(K101:M101)</f>
        <v>2.3672436566666666</v>
      </c>
      <c r="O101" s="1881">
        <f t="shared" ref="O101:R101" si="52">AVERAGE(L101:N101)</f>
        <v>3.1563248755555553</v>
      </c>
      <c r="P101" s="1881">
        <f t="shared" si="52"/>
        <v>2.6216123407407408</v>
      </c>
      <c r="Q101" s="1881">
        <f t="shared" si="52"/>
        <v>2.7150602909876542</v>
      </c>
      <c r="R101" s="1911">
        <f t="shared" si="52"/>
        <v>2.8309991690946501</v>
      </c>
    </row>
    <row r="102" spans="2:18" ht="18" customHeight="1">
      <c r="B102" s="991" t="s">
        <v>1014</v>
      </c>
      <c r="C102" s="992">
        <v>101</v>
      </c>
      <c r="D102" s="992">
        <v>1</v>
      </c>
      <c r="E102" s="992">
        <v>1</v>
      </c>
      <c r="F102" s="992" t="s">
        <v>288</v>
      </c>
      <c r="G102" s="992" t="s">
        <v>289</v>
      </c>
      <c r="H102" s="993" t="s">
        <v>290</v>
      </c>
      <c r="I102" s="955">
        <f>资产负债!I226</f>
        <v>519.87802891000001</v>
      </c>
      <c r="J102" s="955">
        <f>资产负债!J226</f>
        <v>569.5903721200001</v>
      </c>
      <c r="K102" s="955">
        <f>资产负债!K226</f>
        <v>639.04140025000015</v>
      </c>
      <c r="L102" s="955">
        <f>资产负债!L226</f>
        <v>795.23880104999989</v>
      </c>
      <c r="M102" s="955">
        <f>资产负债!M226</f>
        <v>799.48492441000008</v>
      </c>
      <c r="N102" s="1877">
        <f>利润表!N33/N103</f>
        <v>0</v>
      </c>
      <c r="O102" s="1877">
        <f>利润表!O33/O103</f>
        <v>0</v>
      </c>
      <c r="P102" s="1877">
        <f>利润表!P33/P103</f>
        <v>0</v>
      </c>
      <c r="Q102" s="1877">
        <f>利润表!Q33/Q103</f>
        <v>0</v>
      </c>
      <c r="R102" s="1878">
        <f>利润表!R33/R103</f>
        <v>0</v>
      </c>
    </row>
    <row r="103" spans="2:18" ht="18" customHeight="1">
      <c r="B103" s="1037" t="s">
        <v>1015</v>
      </c>
      <c r="C103" s="1038"/>
      <c r="D103" s="1038"/>
      <c r="E103" s="1038"/>
      <c r="F103" s="1038"/>
      <c r="G103" s="1038"/>
      <c r="H103" s="1039"/>
      <c r="I103" s="966">
        <f>资产负债!I227</f>
        <v>4.3054059106573366</v>
      </c>
      <c r="J103" s="966">
        <f>资产负债!J227</f>
        <v>4.8371270939592783</v>
      </c>
      <c r="K103" s="966">
        <f>资产负债!K227</f>
        <v>5.6739816390323128</v>
      </c>
      <c r="L103" s="966">
        <f>资产负债!L227</f>
        <v>4.8586503024103171</v>
      </c>
      <c r="M103" s="966">
        <f>资产负债!M227</f>
        <v>6.3531786297638764</v>
      </c>
      <c r="N103" s="2520">
        <f t="shared" ref="N103:N115" si="53">AVERAGE(K103:M103)</f>
        <v>5.6286035237355021</v>
      </c>
      <c r="O103" s="2520">
        <f t="shared" ref="O103:R103" si="54">AVERAGE(L103:N103)</f>
        <v>5.6134774853032319</v>
      </c>
      <c r="P103" s="2520">
        <f t="shared" si="54"/>
        <v>5.8650865462675368</v>
      </c>
      <c r="Q103" s="2520">
        <f t="shared" si="54"/>
        <v>5.7023891851020911</v>
      </c>
      <c r="R103" s="2521">
        <f t="shared" si="54"/>
        <v>5.7269844055576202</v>
      </c>
    </row>
    <row r="104" spans="2:18" ht="18" customHeight="1">
      <c r="B104" s="960" t="s">
        <v>1016</v>
      </c>
      <c r="C104" s="592">
        <v>102</v>
      </c>
      <c r="D104" s="592">
        <v>2</v>
      </c>
      <c r="E104" s="592">
        <v>2</v>
      </c>
      <c r="F104" s="592"/>
      <c r="G104" s="592"/>
      <c r="H104" s="961" t="s">
        <v>948</v>
      </c>
      <c r="I104" s="955" t="e">
        <f>资产负债!#REF!</f>
        <v>#REF!</v>
      </c>
      <c r="J104" s="955" t="e">
        <f>资产负债!#REF!</f>
        <v>#REF!</v>
      </c>
      <c r="K104" s="955" t="e">
        <f>资产负债!#REF!</f>
        <v>#REF!</v>
      </c>
      <c r="L104" s="955" t="e">
        <f>资产负债!#REF!</f>
        <v>#REF!</v>
      </c>
      <c r="M104" s="955" t="e">
        <f>资产负债!#REF!</f>
        <v>#REF!</v>
      </c>
      <c r="N104" s="1881" t="e">
        <f t="shared" si="53"/>
        <v>#REF!</v>
      </c>
      <c r="O104" s="1881" t="e">
        <f t="shared" ref="O104:R104" si="55">AVERAGE(L104:N104)</f>
        <v>#REF!</v>
      </c>
      <c r="P104" s="1881" t="e">
        <f t="shared" si="55"/>
        <v>#REF!</v>
      </c>
      <c r="Q104" s="1881" t="e">
        <f t="shared" si="55"/>
        <v>#REF!</v>
      </c>
      <c r="R104" s="1911" t="e">
        <f t="shared" si="55"/>
        <v>#REF!</v>
      </c>
    </row>
    <row r="105" spans="2:18" ht="18" customHeight="1">
      <c r="B105" s="960" t="s">
        <v>889</v>
      </c>
      <c r="C105" s="592">
        <v>102</v>
      </c>
      <c r="D105" s="592">
        <v>2</v>
      </c>
      <c r="E105" s="592">
        <v>2</v>
      </c>
      <c r="F105" s="592"/>
      <c r="G105" s="592"/>
      <c r="H105" s="961" t="s">
        <v>949</v>
      </c>
      <c r="I105" s="955" t="e">
        <f>资产负债!#REF!</f>
        <v>#REF!</v>
      </c>
      <c r="J105" s="955" t="e">
        <f>资产负债!#REF!</f>
        <v>#REF!</v>
      </c>
      <c r="K105" s="955" t="e">
        <f>资产负债!#REF!</f>
        <v>#REF!</v>
      </c>
      <c r="L105" s="955" t="e">
        <f>资产负债!#REF!</f>
        <v>#REF!</v>
      </c>
      <c r="M105" s="955" t="e">
        <f>资产负债!#REF!</f>
        <v>#REF!</v>
      </c>
      <c r="N105" s="1881" t="e">
        <f t="shared" si="53"/>
        <v>#REF!</v>
      </c>
      <c r="O105" s="1881" t="e">
        <f t="shared" ref="O105:R105" si="56">AVERAGE(L105:N105)</f>
        <v>#REF!</v>
      </c>
      <c r="P105" s="1881" t="e">
        <f t="shared" si="56"/>
        <v>#REF!</v>
      </c>
      <c r="Q105" s="1881" t="e">
        <f t="shared" si="56"/>
        <v>#REF!</v>
      </c>
      <c r="R105" s="1911" t="e">
        <f t="shared" si="56"/>
        <v>#REF!</v>
      </c>
    </row>
    <row r="106" spans="2:18" ht="18" customHeight="1">
      <c r="B106" s="985" t="s">
        <v>1017</v>
      </c>
      <c r="C106" s="588">
        <v>102</v>
      </c>
      <c r="D106" s="588">
        <v>2</v>
      </c>
      <c r="E106" s="588">
        <v>2</v>
      </c>
      <c r="F106" s="588"/>
      <c r="G106" s="588"/>
      <c r="H106" s="1040" t="s">
        <v>950</v>
      </c>
      <c r="I106" s="986">
        <f>资产负债!I230</f>
        <v>27.483712260000001</v>
      </c>
      <c r="J106" s="986">
        <f>资产负债!J230</f>
        <v>68.734864459999997</v>
      </c>
      <c r="K106" s="986">
        <f>资产负债!K230</f>
        <v>21.087462640000002</v>
      </c>
      <c r="L106" s="986">
        <f>资产负债!L230</f>
        <v>54.192978179999997</v>
      </c>
      <c r="M106" s="986">
        <f>资产负债!M230</f>
        <v>39.801671069999998</v>
      </c>
      <c r="N106" s="1881">
        <f t="shared" si="53"/>
        <v>38.360703963333329</v>
      </c>
      <c r="O106" s="1881">
        <f t="shared" ref="O106:R106" si="57">AVERAGE(L106:N106)</f>
        <v>44.11845107111111</v>
      </c>
      <c r="P106" s="1881">
        <f t="shared" si="57"/>
        <v>40.760275368148143</v>
      </c>
      <c r="Q106" s="1881">
        <f t="shared" si="57"/>
        <v>41.079810134197523</v>
      </c>
      <c r="R106" s="1911">
        <f t="shared" si="57"/>
        <v>41.986178857818921</v>
      </c>
    </row>
    <row r="107" spans="2:18" ht="18" customHeight="1">
      <c r="B107" s="954" t="s">
        <v>1018</v>
      </c>
      <c r="C107" s="920">
        <v>102</v>
      </c>
      <c r="D107" s="920">
        <v>2</v>
      </c>
      <c r="E107" s="920">
        <v>2</v>
      </c>
      <c r="F107" s="920"/>
      <c r="G107" s="920"/>
      <c r="H107" s="961" t="s">
        <v>951</v>
      </c>
      <c r="I107" s="955">
        <f>资产负债!I231</f>
        <v>0</v>
      </c>
      <c r="J107" s="955">
        <f>资产负债!J231</f>
        <v>0</v>
      </c>
      <c r="K107" s="955">
        <f>资产负债!K231</f>
        <v>0</v>
      </c>
      <c r="L107" s="955">
        <f>资产负债!L231</f>
        <v>15.541912</v>
      </c>
      <c r="M107" s="955">
        <f>资产负债!M231</f>
        <v>0</v>
      </c>
      <c r="N107" s="1881">
        <f t="shared" si="53"/>
        <v>5.1806373333333333</v>
      </c>
      <c r="O107" s="1881">
        <f t="shared" ref="O107:R107" si="58">AVERAGE(L107:N107)</f>
        <v>6.9075164444444441</v>
      </c>
      <c r="P107" s="1881">
        <f t="shared" si="58"/>
        <v>4.0293845925925922</v>
      </c>
      <c r="Q107" s="1881">
        <f t="shared" si="58"/>
        <v>5.372512790123456</v>
      </c>
      <c r="R107" s="1911">
        <f t="shared" si="58"/>
        <v>5.4364712757201632</v>
      </c>
    </row>
    <row r="108" spans="2:18" ht="18" customHeight="1">
      <c r="B108" s="1041" t="s">
        <v>1019</v>
      </c>
      <c r="C108" s="1042">
        <v>102</v>
      </c>
      <c r="D108" s="1042">
        <v>2</v>
      </c>
      <c r="E108" s="1042">
        <v>2</v>
      </c>
      <c r="F108" s="1042"/>
      <c r="G108" s="1042"/>
      <c r="H108" s="961" t="s">
        <v>296</v>
      </c>
      <c r="I108" s="997">
        <f>资产负债!I239</f>
        <v>0</v>
      </c>
      <c r="J108" s="997">
        <f>资产负债!J239</f>
        <v>0</v>
      </c>
      <c r="K108" s="997">
        <f>资产负债!K239</f>
        <v>0</v>
      </c>
      <c r="L108" s="997">
        <f>资产负债!L239</f>
        <v>0</v>
      </c>
      <c r="M108" s="997">
        <f>资产负债!M239</f>
        <v>0</v>
      </c>
      <c r="N108" s="1881">
        <f t="shared" si="53"/>
        <v>0</v>
      </c>
      <c r="O108" s="1881">
        <f t="shared" ref="O108:R108" si="59">AVERAGE(L108:N108)</f>
        <v>0</v>
      </c>
      <c r="P108" s="1881">
        <f t="shared" si="59"/>
        <v>0</v>
      </c>
      <c r="Q108" s="1881">
        <f t="shared" si="59"/>
        <v>0</v>
      </c>
      <c r="R108" s="1911">
        <f t="shared" si="59"/>
        <v>0</v>
      </c>
    </row>
    <row r="109" spans="2:18" ht="18" customHeight="1">
      <c r="B109" s="1041" t="s">
        <v>1020</v>
      </c>
      <c r="C109" s="1042">
        <v>102</v>
      </c>
      <c r="D109" s="1042">
        <v>2</v>
      </c>
      <c r="E109" s="1042">
        <v>2</v>
      </c>
      <c r="F109" s="1042"/>
      <c r="G109" s="1042"/>
      <c r="H109" s="1040" t="s">
        <v>298</v>
      </c>
      <c r="I109" s="997">
        <f>资产负债!I240</f>
        <v>0</v>
      </c>
      <c r="J109" s="997">
        <f>资产负债!J240</f>
        <v>0</v>
      </c>
      <c r="K109" s="997">
        <f>资产负债!K240</f>
        <v>0</v>
      </c>
      <c r="L109" s="997">
        <f>资产负债!L240</f>
        <v>0</v>
      </c>
      <c r="M109" s="997">
        <f>资产负债!M240</f>
        <v>0</v>
      </c>
      <c r="N109" s="1881">
        <f t="shared" si="53"/>
        <v>0</v>
      </c>
      <c r="O109" s="1881">
        <f t="shared" ref="O109:R109" si="60">AVERAGE(L109:N109)</f>
        <v>0</v>
      </c>
      <c r="P109" s="1881">
        <f t="shared" si="60"/>
        <v>0</v>
      </c>
      <c r="Q109" s="1881">
        <f t="shared" si="60"/>
        <v>0</v>
      </c>
      <c r="R109" s="1911">
        <f t="shared" si="60"/>
        <v>0</v>
      </c>
    </row>
    <row r="110" spans="2:18" ht="18" customHeight="1">
      <c r="B110" s="1041" t="s">
        <v>1021</v>
      </c>
      <c r="C110" s="1042">
        <v>102</v>
      </c>
      <c r="D110" s="1042">
        <v>2</v>
      </c>
      <c r="E110" s="1042">
        <v>2</v>
      </c>
      <c r="F110" s="1042"/>
      <c r="G110" s="1042"/>
      <c r="H110" s="961" t="s">
        <v>300</v>
      </c>
      <c r="I110" s="955">
        <f>资产负债!I241</f>
        <v>0</v>
      </c>
      <c r="J110" s="955">
        <f>资产负债!J241</f>
        <v>0</v>
      </c>
      <c r="K110" s="955">
        <f>资产负债!K241</f>
        <v>0</v>
      </c>
      <c r="L110" s="955">
        <f>资产负债!L241</f>
        <v>0</v>
      </c>
      <c r="M110" s="955">
        <f>资产负债!M241</f>
        <v>0</v>
      </c>
      <c r="N110" s="1881">
        <f t="shared" si="53"/>
        <v>0</v>
      </c>
      <c r="O110" s="1881">
        <f t="shared" ref="O110:R110" si="61">AVERAGE(L110:N110)</f>
        <v>0</v>
      </c>
      <c r="P110" s="1881">
        <f t="shared" si="61"/>
        <v>0</v>
      </c>
      <c r="Q110" s="1881">
        <f t="shared" si="61"/>
        <v>0</v>
      </c>
      <c r="R110" s="1911">
        <f t="shared" si="61"/>
        <v>0</v>
      </c>
    </row>
    <row r="111" spans="2:18" ht="18" customHeight="1">
      <c r="B111" s="995" t="s">
        <v>1022</v>
      </c>
      <c r="C111" s="1014">
        <v>102</v>
      </c>
      <c r="D111" s="1014">
        <v>2</v>
      </c>
      <c r="E111" s="1014">
        <v>2</v>
      </c>
      <c r="F111" s="1014"/>
      <c r="G111" s="1014"/>
      <c r="H111" s="1040" t="s">
        <v>302</v>
      </c>
      <c r="I111" s="978">
        <v>0</v>
      </c>
      <c r="J111" s="979">
        <v>0</v>
      </c>
      <c r="K111" s="979">
        <v>0</v>
      </c>
      <c r="L111" s="979">
        <v>0</v>
      </c>
      <c r="M111" s="979">
        <v>0</v>
      </c>
      <c r="N111" s="1881">
        <f t="shared" si="53"/>
        <v>0</v>
      </c>
      <c r="O111" s="1881">
        <f t="shared" ref="O111:R111" si="62">AVERAGE(L111:N111)</f>
        <v>0</v>
      </c>
      <c r="P111" s="1881">
        <f t="shared" si="62"/>
        <v>0</v>
      </c>
      <c r="Q111" s="1881">
        <f t="shared" si="62"/>
        <v>0</v>
      </c>
      <c r="R111" s="1911">
        <f t="shared" si="62"/>
        <v>0</v>
      </c>
    </row>
    <row r="112" spans="2:18" ht="18" customHeight="1">
      <c r="B112" s="1021" t="s">
        <v>1023</v>
      </c>
      <c r="C112" s="1022">
        <v>102</v>
      </c>
      <c r="D112" s="1022">
        <v>2</v>
      </c>
      <c r="E112" s="1022">
        <v>2</v>
      </c>
      <c r="F112" s="1022"/>
      <c r="G112" s="1022"/>
      <c r="H112" s="961" t="s">
        <v>304</v>
      </c>
      <c r="I112" s="978">
        <v>0</v>
      </c>
      <c r="J112" s="979">
        <v>0</v>
      </c>
      <c r="K112" s="979">
        <v>0</v>
      </c>
      <c r="L112" s="979">
        <v>0</v>
      </c>
      <c r="M112" s="979">
        <v>0</v>
      </c>
      <c r="N112" s="1881">
        <f t="shared" si="53"/>
        <v>0</v>
      </c>
      <c r="O112" s="1881">
        <f t="shared" ref="O112:R112" si="63">AVERAGE(L112:N112)</f>
        <v>0</v>
      </c>
      <c r="P112" s="1881">
        <f t="shared" si="63"/>
        <v>0</v>
      </c>
      <c r="Q112" s="1881">
        <f t="shared" si="63"/>
        <v>0</v>
      </c>
      <c r="R112" s="1911">
        <f t="shared" si="63"/>
        <v>0</v>
      </c>
    </row>
    <row r="113" spans="2:18" ht="18" customHeight="1">
      <c r="B113" s="1021" t="s">
        <v>1024</v>
      </c>
      <c r="C113" s="1022">
        <v>102</v>
      </c>
      <c r="D113" s="1022">
        <v>2</v>
      </c>
      <c r="E113" s="1022">
        <v>2</v>
      </c>
      <c r="F113" s="1022"/>
      <c r="G113" s="1022"/>
      <c r="H113" s="1040" t="s">
        <v>306</v>
      </c>
      <c r="I113" s="978">
        <v>0</v>
      </c>
      <c r="J113" s="979">
        <v>0</v>
      </c>
      <c r="K113" s="979">
        <v>0</v>
      </c>
      <c r="L113" s="979">
        <v>0</v>
      </c>
      <c r="M113" s="979">
        <v>0</v>
      </c>
      <c r="N113" s="1881">
        <f t="shared" si="53"/>
        <v>0</v>
      </c>
      <c r="O113" s="1881">
        <f t="shared" ref="O113:R113" si="64">AVERAGE(L113:N113)</f>
        <v>0</v>
      </c>
      <c r="P113" s="1881">
        <f t="shared" si="64"/>
        <v>0</v>
      </c>
      <c r="Q113" s="1881">
        <f t="shared" si="64"/>
        <v>0</v>
      </c>
      <c r="R113" s="1911">
        <f t="shared" si="64"/>
        <v>0</v>
      </c>
    </row>
    <row r="114" spans="2:18" ht="18" customHeight="1">
      <c r="B114" s="954" t="s">
        <v>1025</v>
      </c>
      <c r="C114" s="920">
        <v>102</v>
      </c>
      <c r="D114" s="920">
        <v>2</v>
      </c>
      <c r="E114" s="920">
        <v>2</v>
      </c>
      <c r="F114" s="920"/>
      <c r="G114" s="920"/>
      <c r="H114" s="961" t="s">
        <v>308</v>
      </c>
      <c r="I114" s="955">
        <f>资产负债!I252</f>
        <v>19.085265039999999</v>
      </c>
      <c r="J114" s="955">
        <f>资产负债!J252</f>
        <v>16.740403010000001</v>
      </c>
      <c r="K114" s="955">
        <f>资产负债!K252</f>
        <v>14.39554098</v>
      </c>
      <c r="L114" s="955">
        <f>资产负债!L252</f>
        <v>15.05067895</v>
      </c>
      <c r="M114" s="955">
        <f>资产负债!M252</f>
        <v>24.685816920000001</v>
      </c>
      <c r="N114" s="1881">
        <f t="shared" si="53"/>
        <v>18.044012283333334</v>
      </c>
      <c r="O114" s="1881">
        <f t="shared" ref="O114:R114" si="65">AVERAGE(L114:N114)</f>
        <v>19.260169384444442</v>
      </c>
      <c r="P114" s="1881">
        <f t="shared" si="65"/>
        <v>20.663332862592593</v>
      </c>
      <c r="Q114" s="1881">
        <f t="shared" si="65"/>
        <v>19.322504843456787</v>
      </c>
      <c r="R114" s="1911">
        <f t="shared" si="65"/>
        <v>19.748669030164606</v>
      </c>
    </row>
    <row r="115" spans="2:18" ht="18" customHeight="1">
      <c r="B115" s="991" t="s">
        <v>1026</v>
      </c>
      <c r="C115" s="992">
        <v>102</v>
      </c>
      <c r="D115" s="992">
        <v>2</v>
      </c>
      <c r="E115" s="992">
        <v>2</v>
      </c>
      <c r="F115" s="992"/>
      <c r="G115" s="992"/>
      <c r="H115" s="1040" t="s">
        <v>310</v>
      </c>
      <c r="I115" s="955">
        <f>资产负债!I254</f>
        <v>0</v>
      </c>
      <c r="J115" s="955">
        <f>资产负债!J254</f>
        <v>0</v>
      </c>
      <c r="K115" s="955">
        <f>资产负债!K254</f>
        <v>0</v>
      </c>
      <c r="L115" s="955">
        <f>资产负债!L254</f>
        <v>0</v>
      </c>
      <c r="M115" s="955">
        <f>资产负债!M254</f>
        <v>0</v>
      </c>
      <c r="N115" s="1881">
        <f t="shared" si="53"/>
        <v>0</v>
      </c>
      <c r="O115" s="1881">
        <f t="shared" ref="O115:R115" si="66">AVERAGE(L115:N115)</f>
        <v>0</v>
      </c>
      <c r="P115" s="1881">
        <f t="shared" si="66"/>
        <v>0</v>
      </c>
      <c r="Q115" s="1881">
        <f t="shared" si="66"/>
        <v>0</v>
      </c>
      <c r="R115" s="1911">
        <f t="shared" si="66"/>
        <v>0</v>
      </c>
    </row>
    <row r="116" spans="2:18" ht="18" hidden="1" customHeight="1">
      <c r="B116" s="985"/>
      <c r="C116" s="1025"/>
      <c r="D116" s="1025"/>
      <c r="E116" s="1025"/>
      <c r="F116" s="1025"/>
      <c r="G116" s="1025"/>
      <c r="H116" s="961"/>
      <c r="I116" s="1043"/>
      <c r="J116" s="1043"/>
      <c r="K116" s="1043"/>
      <c r="L116" s="1043"/>
      <c r="M116" s="1043"/>
      <c r="N116" s="922"/>
      <c r="O116" s="922"/>
      <c r="P116" s="922"/>
      <c r="Q116" s="922"/>
      <c r="R116" s="923"/>
    </row>
    <row r="117" spans="2:18" ht="18" hidden="1" customHeight="1">
      <c r="B117" s="1027"/>
      <c r="C117" s="947"/>
      <c r="D117" s="947"/>
      <c r="E117" s="947"/>
      <c r="F117" s="947"/>
      <c r="G117" s="947"/>
      <c r="H117" s="947"/>
      <c r="I117" s="948"/>
      <c r="J117" s="948"/>
      <c r="K117" s="948"/>
      <c r="L117" s="948"/>
      <c r="M117" s="948"/>
      <c r="N117" s="948"/>
      <c r="O117" s="948"/>
      <c r="P117" s="948"/>
      <c r="Q117" s="948"/>
      <c r="R117" s="949"/>
    </row>
    <row r="118" spans="2:18" ht="18" hidden="1" customHeight="1">
      <c r="B118" s="946"/>
      <c r="C118" s="947"/>
      <c r="D118" s="947"/>
      <c r="E118" s="947"/>
      <c r="F118" s="947"/>
      <c r="G118" s="947"/>
      <c r="H118" s="947"/>
      <c r="I118" s="948"/>
      <c r="J118" s="948"/>
      <c r="K118" s="948"/>
      <c r="L118" s="948"/>
      <c r="M118" s="948"/>
      <c r="N118" s="948"/>
      <c r="O118" s="948"/>
      <c r="P118" s="948"/>
      <c r="Q118" s="948"/>
      <c r="R118" s="950"/>
    </row>
    <row r="119" spans="2:18" ht="18" hidden="1" customHeight="1">
      <c r="B119" s="946"/>
      <c r="C119" s="947"/>
      <c r="D119" s="947"/>
      <c r="E119" s="947"/>
      <c r="F119" s="947"/>
      <c r="G119" s="947"/>
      <c r="H119" s="947"/>
      <c r="I119" s="948"/>
      <c r="J119" s="948"/>
      <c r="K119" s="948"/>
      <c r="L119" s="948"/>
      <c r="M119" s="948"/>
      <c r="N119" s="948"/>
      <c r="O119" s="948"/>
      <c r="P119" s="948"/>
      <c r="Q119" s="948"/>
      <c r="R119" s="950"/>
    </row>
    <row r="120" spans="2:18" ht="18" hidden="1" customHeight="1">
      <c r="B120" s="946"/>
      <c r="C120" s="947"/>
      <c r="D120" s="947"/>
      <c r="E120" s="947"/>
      <c r="F120" s="947"/>
      <c r="G120" s="947"/>
      <c r="H120" s="947"/>
      <c r="I120" s="948"/>
      <c r="J120" s="948"/>
      <c r="K120" s="948"/>
      <c r="L120" s="948"/>
      <c r="M120" s="948"/>
      <c r="N120" s="948"/>
      <c r="O120" s="948"/>
      <c r="P120" s="948"/>
      <c r="Q120" s="948"/>
      <c r="R120" s="950"/>
    </row>
    <row r="121" spans="2:18" ht="18" hidden="1" customHeight="1">
      <c r="B121" s="946"/>
      <c r="C121" s="947"/>
      <c r="D121" s="947"/>
      <c r="E121" s="947"/>
      <c r="F121" s="947"/>
      <c r="G121" s="947"/>
      <c r="H121" s="947"/>
      <c r="I121" s="948"/>
      <c r="J121" s="948"/>
      <c r="K121" s="948"/>
      <c r="L121" s="948"/>
      <c r="M121" s="948"/>
      <c r="N121" s="948"/>
      <c r="O121" s="948"/>
      <c r="P121" s="948"/>
      <c r="Q121" s="948"/>
      <c r="R121" s="950"/>
    </row>
    <row r="122" spans="2:18" ht="18" hidden="1" customHeight="1">
      <c r="B122" s="946"/>
      <c r="C122" s="947"/>
      <c r="D122" s="947"/>
      <c r="E122" s="947"/>
      <c r="F122" s="947"/>
      <c r="G122" s="947"/>
      <c r="H122" s="947"/>
      <c r="I122" s="948"/>
      <c r="J122" s="948"/>
      <c r="K122" s="948"/>
      <c r="L122" s="948"/>
      <c r="M122" s="948"/>
      <c r="N122" s="948"/>
      <c r="O122" s="948"/>
      <c r="P122" s="948"/>
      <c r="Q122" s="948"/>
      <c r="R122" s="950"/>
    </row>
    <row r="123" spans="2:18" ht="18" hidden="1" customHeight="1">
      <c r="B123" s="946"/>
      <c r="C123" s="947"/>
      <c r="D123" s="947"/>
      <c r="E123" s="947"/>
      <c r="F123" s="947"/>
      <c r="G123" s="947"/>
      <c r="H123" s="947"/>
      <c r="I123" s="948"/>
      <c r="J123" s="948"/>
      <c r="K123" s="948"/>
      <c r="L123" s="948"/>
      <c r="M123" s="948"/>
      <c r="N123" s="948"/>
      <c r="O123" s="948"/>
      <c r="P123" s="948"/>
      <c r="Q123" s="948"/>
      <c r="R123" s="950"/>
    </row>
    <row r="124" spans="2:18" ht="18" hidden="1" customHeight="1">
      <c r="B124" s="946"/>
      <c r="C124" s="947"/>
      <c r="D124" s="947"/>
      <c r="E124" s="947"/>
      <c r="F124" s="947"/>
      <c r="G124" s="947"/>
      <c r="H124" s="947"/>
      <c r="I124" s="948"/>
      <c r="J124" s="948"/>
      <c r="K124" s="948"/>
      <c r="L124" s="948"/>
      <c r="M124" s="948"/>
      <c r="N124" s="948"/>
      <c r="O124" s="948"/>
      <c r="P124" s="948"/>
      <c r="Q124" s="948"/>
      <c r="R124" s="950"/>
    </row>
    <row r="125" spans="2:18" ht="18" hidden="1" customHeight="1">
      <c r="B125" s="946"/>
      <c r="C125" s="947"/>
      <c r="D125" s="947"/>
      <c r="E125" s="947"/>
      <c r="F125" s="947"/>
      <c r="G125" s="947"/>
      <c r="H125" s="947"/>
      <c r="I125" s="948"/>
      <c r="J125" s="948"/>
      <c r="K125" s="948"/>
      <c r="L125" s="948"/>
      <c r="M125" s="948"/>
      <c r="N125" s="948"/>
      <c r="O125" s="948"/>
      <c r="P125" s="948"/>
      <c r="Q125" s="948"/>
      <c r="R125" s="950"/>
    </row>
    <row r="126" spans="2:18" ht="18" hidden="1" customHeight="1">
      <c r="B126" s="946"/>
      <c r="C126" s="947"/>
      <c r="D126" s="947"/>
      <c r="E126" s="947"/>
      <c r="F126" s="947"/>
      <c r="G126" s="947"/>
      <c r="H126" s="947"/>
      <c r="I126" s="948"/>
      <c r="J126" s="948"/>
      <c r="K126" s="948"/>
      <c r="L126" s="948"/>
      <c r="M126" s="948"/>
      <c r="N126" s="948"/>
      <c r="O126" s="948"/>
      <c r="P126" s="948"/>
      <c r="Q126" s="948"/>
      <c r="R126" s="950"/>
    </row>
    <row r="127" spans="2:18" ht="18" hidden="1" customHeight="1">
      <c r="B127" s="946"/>
      <c r="C127" s="947"/>
      <c r="D127" s="947"/>
      <c r="E127" s="947"/>
      <c r="F127" s="947"/>
      <c r="G127" s="947"/>
      <c r="H127" s="947"/>
      <c r="I127" s="948"/>
      <c r="J127" s="948"/>
      <c r="K127" s="948"/>
      <c r="L127" s="948"/>
      <c r="M127" s="948"/>
      <c r="N127" s="948"/>
      <c r="O127" s="948"/>
      <c r="P127" s="948"/>
      <c r="Q127" s="948"/>
      <c r="R127" s="950"/>
    </row>
    <row r="128" spans="2:18" ht="18" customHeight="1">
      <c r="B128" s="1021" t="s">
        <v>1027</v>
      </c>
      <c r="C128" s="1022">
        <v>102</v>
      </c>
      <c r="D128" s="1022">
        <v>2</v>
      </c>
      <c r="E128" s="1022">
        <v>2</v>
      </c>
      <c r="F128" s="1022"/>
      <c r="G128" s="1022"/>
      <c r="H128" s="1024" t="s">
        <v>312</v>
      </c>
      <c r="I128" s="978">
        <v>0</v>
      </c>
      <c r="J128" s="979">
        <v>0</v>
      </c>
      <c r="K128" s="979">
        <v>0</v>
      </c>
      <c r="L128" s="979">
        <v>0</v>
      </c>
      <c r="M128" s="979">
        <v>0</v>
      </c>
      <c r="N128" s="1881">
        <f t="shared" ref="N128:N134" si="67">AVERAGE(K128:M128)</f>
        <v>0</v>
      </c>
      <c r="O128" s="1881">
        <f t="shared" ref="O128:R128" si="68">AVERAGE(L128:N128)</f>
        <v>0</v>
      </c>
      <c r="P128" s="1881">
        <f t="shared" si="68"/>
        <v>0</v>
      </c>
      <c r="Q128" s="1881">
        <f t="shared" si="68"/>
        <v>0</v>
      </c>
      <c r="R128" s="1911">
        <f t="shared" si="68"/>
        <v>0</v>
      </c>
    </row>
    <row r="129" spans="2:18" ht="18" customHeight="1">
      <c r="B129" s="1021" t="s">
        <v>1028</v>
      </c>
      <c r="C129" s="1022">
        <v>102</v>
      </c>
      <c r="D129" s="1022">
        <v>2</v>
      </c>
      <c r="E129" s="1022">
        <v>2</v>
      </c>
      <c r="F129" s="1022"/>
      <c r="G129" s="1022"/>
      <c r="H129" s="1024" t="s">
        <v>314</v>
      </c>
      <c r="I129" s="978">
        <v>0</v>
      </c>
      <c r="J129" s="979">
        <v>0</v>
      </c>
      <c r="K129" s="979">
        <v>0</v>
      </c>
      <c r="L129" s="979">
        <v>0</v>
      </c>
      <c r="M129" s="979">
        <v>0</v>
      </c>
      <c r="N129" s="1881">
        <f t="shared" si="67"/>
        <v>0</v>
      </c>
      <c r="O129" s="1881">
        <f t="shared" ref="O129:R129" si="69">AVERAGE(L129:N129)</f>
        <v>0</v>
      </c>
      <c r="P129" s="1881">
        <f t="shared" si="69"/>
        <v>0</v>
      </c>
      <c r="Q129" s="1881">
        <f t="shared" si="69"/>
        <v>0</v>
      </c>
      <c r="R129" s="1911">
        <f t="shared" si="69"/>
        <v>0</v>
      </c>
    </row>
    <row r="130" spans="2:18" ht="18" customHeight="1">
      <c r="B130" s="1044" t="s">
        <v>1029</v>
      </c>
      <c r="C130" s="1045">
        <v>102</v>
      </c>
      <c r="D130" s="1045">
        <v>2</v>
      </c>
      <c r="E130" s="1045">
        <v>2</v>
      </c>
      <c r="F130" s="1045"/>
      <c r="G130" s="1045"/>
      <c r="H130" s="1024" t="s">
        <v>316</v>
      </c>
      <c r="I130" s="978">
        <v>0</v>
      </c>
      <c r="J130" s="979">
        <v>0</v>
      </c>
      <c r="K130" s="979">
        <v>0</v>
      </c>
      <c r="L130" s="979">
        <v>0</v>
      </c>
      <c r="M130" s="979">
        <v>0</v>
      </c>
      <c r="N130" s="1881">
        <f t="shared" si="67"/>
        <v>0</v>
      </c>
      <c r="O130" s="1881">
        <f t="shared" ref="O130:R130" si="70">AVERAGE(L130:N130)</f>
        <v>0</v>
      </c>
      <c r="P130" s="1881">
        <f t="shared" si="70"/>
        <v>0</v>
      </c>
      <c r="Q130" s="1881">
        <f t="shared" si="70"/>
        <v>0</v>
      </c>
      <c r="R130" s="1911">
        <f t="shared" si="70"/>
        <v>0</v>
      </c>
    </row>
    <row r="131" spans="2:18" ht="18" customHeight="1">
      <c r="B131" s="1041" t="s">
        <v>1030</v>
      </c>
      <c r="C131" s="1042">
        <v>102</v>
      </c>
      <c r="D131" s="1042">
        <v>2</v>
      </c>
      <c r="E131" s="1042">
        <v>2</v>
      </c>
      <c r="F131" s="1042"/>
      <c r="G131" s="1042"/>
      <c r="H131" s="1024" t="s">
        <v>318</v>
      </c>
      <c r="I131" s="978">
        <v>0</v>
      </c>
      <c r="J131" s="979">
        <v>0</v>
      </c>
      <c r="K131" s="979">
        <v>0</v>
      </c>
      <c r="L131" s="979">
        <v>0</v>
      </c>
      <c r="M131" s="979">
        <v>0</v>
      </c>
      <c r="N131" s="1881">
        <f t="shared" si="67"/>
        <v>0</v>
      </c>
      <c r="O131" s="1881">
        <f t="shared" ref="O131:R131" si="71">AVERAGE(L131:N131)</f>
        <v>0</v>
      </c>
      <c r="P131" s="1881">
        <f t="shared" si="71"/>
        <v>0</v>
      </c>
      <c r="Q131" s="1881">
        <f t="shared" si="71"/>
        <v>0</v>
      </c>
      <c r="R131" s="1911">
        <f t="shared" si="71"/>
        <v>0</v>
      </c>
    </row>
    <row r="132" spans="2:18" ht="18" customHeight="1">
      <c r="B132" s="1021" t="s">
        <v>1031</v>
      </c>
      <c r="C132" s="1022">
        <v>102</v>
      </c>
      <c r="D132" s="1022">
        <v>2</v>
      </c>
      <c r="E132" s="1022">
        <v>2</v>
      </c>
      <c r="F132" s="1022"/>
      <c r="G132" s="1022"/>
      <c r="H132" s="1024" t="s">
        <v>320</v>
      </c>
      <c r="I132" s="978">
        <v>0</v>
      </c>
      <c r="J132" s="979">
        <v>0</v>
      </c>
      <c r="K132" s="979">
        <v>0</v>
      </c>
      <c r="L132" s="979">
        <v>0</v>
      </c>
      <c r="M132" s="979">
        <v>0</v>
      </c>
      <c r="N132" s="1881">
        <f t="shared" si="67"/>
        <v>0</v>
      </c>
      <c r="O132" s="1881">
        <f t="shared" ref="O132:R132" si="72">AVERAGE(L132:N132)</f>
        <v>0</v>
      </c>
      <c r="P132" s="1881">
        <f t="shared" si="72"/>
        <v>0</v>
      </c>
      <c r="Q132" s="1881">
        <f t="shared" si="72"/>
        <v>0</v>
      </c>
      <c r="R132" s="1911">
        <f t="shared" si="72"/>
        <v>0</v>
      </c>
    </row>
    <row r="133" spans="2:18" ht="18" customHeight="1">
      <c r="B133" s="1021" t="s">
        <v>1032</v>
      </c>
      <c r="C133" s="1022">
        <v>102</v>
      </c>
      <c r="D133" s="1022">
        <v>2</v>
      </c>
      <c r="E133" s="1022">
        <v>2</v>
      </c>
      <c r="F133" s="1022"/>
      <c r="G133" s="1022"/>
      <c r="H133" s="1024" t="s">
        <v>322</v>
      </c>
      <c r="I133" s="978">
        <v>0</v>
      </c>
      <c r="J133" s="979">
        <v>0</v>
      </c>
      <c r="K133" s="979">
        <v>0</v>
      </c>
      <c r="L133" s="979">
        <v>0</v>
      </c>
      <c r="M133" s="979">
        <v>0</v>
      </c>
      <c r="N133" s="1881">
        <f t="shared" si="67"/>
        <v>0</v>
      </c>
      <c r="O133" s="1881">
        <f t="shared" ref="O133:R133" si="73">AVERAGE(L133:N133)</f>
        <v>0</v>
      </c>
      <c r="P133" s="1881">
        <f t="shared" si="73"/>
        <v>0</v>
      </c>
      <c r="Q133" s="1881">
        <f t="shared" si="73"/>
        <v>0</v>
      </c>
      <c r="R133" s="1911">
        <f t="shared" si="73"/>
        <v>0</v>
      </c>
    </row>
    <row r="134" spans="2:18" ht="18" customHeight="1">
      <c r="B134" s="1021" t="s">
        <v>1033</v>
      </c>
      <c r="C134" s="1022">
        <v>102</v>
      </c>
      <c r="D134" s="1022">
        <v>2</v>
      </c>
      <c r="E134" s="1022">
        <v>2</v>
      </c>
      <c r="F134" s="1022"/>
      <c r="G134" s="1022"/>
      <c r="H134" s="1024" t="s">
        <v>324</v>
      </c>
      <c r="I134" s="978">
        <v>0</v>
      </c>
      <c r="J134" s="979">
        <v>0</v>
      </c>
      <c r="K134" s="979">
        <v>0</v>
      </c>
      <c r="L134" s="979">
        <v>0</v>
      </c>
      <c r="M134" s="979">
        <v>0</v>
      </c>
      <c r="N134" s="1881">
        <f t="shared" si="67"/>
        <v>0</v>
      </c>
      <c r="O134" s="1881">
        <f t="shared" ref="O134:R134" si="74">AVERAGE(L134:N134)</f>
        <v>0</v>
      </c>
      <c r="P134" s="1881">
        <f t="shared" si="74"/>
        <v>0</v>
      </c>
      <c r="Q134" s="1881">
        <f t="shared" si="74"/>
        <v>0</v>
      </c>
      <c r="R134" s="1911">
        <f t="shared" si="74"/>
        <v>0</v>
      </c>
    </row>
    <row r="135" spans="2:18" s="1000" customFormat="1" ht="18" hidden="1" customHeight="1">
      <c r="B135" s="1046" t="s">
        <v>1034</v>
      </c>
      <c r="C135" s="1047">
        <v>102</v>
      </c>
      <c r="D135" s="1047">
        <v>2</v>
      </c>
      <c r="E135" s="1047">
        <v>2</v>
      </c>
      <c r="F135" s="1047"/>
      <c r="G135" s="1047"/>
      <c r="H135" s="1031" t="s">
        <v>325</v>
      </c>
      <c r="I135" s="1048"/>
      <c r="J135" s="1049"/>
      <c r="K135" s="1049"/>
      <c r="L135" s="1049"/>
      <c r="M135" s="1050"/>
      <c r="N135" s="1050"/>
      <c r="O135" s="1050"/>
      <c r="P135" s="1050"/>
      <c r="Q135" s="1050"/>
      <c r="R135" s="1051"/>
    </row>
    <row r="136" spans="2:18" ht="18" customHeight="1">
      <c r="B136" s="954" t="s">
        <v>1035</v>
      </c>
      <c r="C136" s="1052">
        <v>102</v>
      </c>
      <c r="D136" s="1052">
        <v>2</v>
      </c>
      <c r="E136" s="1052">
        <v>2</v>
      </c>
      <c r="F136" s="1052"/>
      <c r="G136" s="1052"/>
      <c r="H136" s="1024" t="s">
        <v>327</v>
      </c>
      <c r="I136" s="955">
        <f>资产负债!I290</f>
        <v>0</v>
      </c>
      <c r="J136" s="955">
        <f>资产负债!J290</f>
        <v>0</v>
      </c>
      <c r="K136" s="955">
        <f>资产负债!K290</f>
        <v>0</v>
      </c>
      <c r="L136" s="955">
        <f>资产负债!L290</f>
        <v>0</v>
      </c>
      <c r="M136" s="955">
        <f>资产负债!M290</f>
        <v>0</v>
      </c>
      <c r="N136" s="1881">
        <f>AVERAGE(K136:M136)</f>
        <v>0</v>
      </c>
      <c r="O136" s="1881">
        <f t="shared" ref="O136:R136" si="75">AVERAGE(L136:N136)</f>
        <v>0</v>
      </c>
      <c r="P136" s="1881">
        <f t="shared" si="75"/>
        <v>0</v>
      </c>
      <c r="Q136" s="1881">
        <f t="shared" si="75"/>
        <v>0</v>
      </c>
      <c r="R136" s="1911">
        <f t="shared" si="75"/>
        <v>0</v>
      </c>
    </row>
    <row r="137" spans="2:18" ht="18" customHeight="1">
      <c r="B137" s="1021" t="s">
        <v>1036</v>
      </c>
      <c r="C137" s="1022">
        <v>102</v>
      </c>
      <c r="D137" s="1022">
        <v>2</v>
      </c>
      <c r="E137" s="1022">
        <v>2</v>
      </c>
      <c r="F137" s="1022"/>
      <c r="G137" s="1022"/>
      <c r="H137" s="1024" t="s">
        <v>329</v>
      </c>
      <c r="I137" s="997">
        <f>资产负债!I298</f>
        <v>0</v>
      </c>
      <c r="J137" s="997">
        <f>资产负债!J298</f>
        <v>0</v>
      </c>
      <c r="K137" s="997">
        <f>资产负债!K298</f>
        <v>0</v>
      </c>
      <c r="L137" s="997">
        <f>资产负债!L298</f>
        <v>0</v>
      </c>
      <c r="M137" s="997">
        <f>资产负债!M298</f>
        <v>0</v>
      </c>
      <c r="N137" s="1881">
        <f>AVERAGE(K137:M137)</f>
        <v>0</v>
      </c>
      <c r="O137" s="1881">
        <f t="shared" ref="O137:R137" si="76">AVERAGE(L137:N137)</f>
        <v>0</v>
      </c>
      <c r="P137" s="1881">
        <f t="shared" si="76"/>
        <v>0</v>
      </c>
      <c r="Q137" s="1881">
        <f t="shared" si="76"/>
        <v>0</v>
      </c>
      <c r="R137" s="1911">
        <f t="shared" si="76"/>
        <v>0</v>
      </c>
    </row>
    <row r="138" spans="2:18" ht="18" customHeight="1">
      <c r="B138" s="1041" t="s">
        <v>1037</v>
      </c>
      <c r="C138" s="1053">
        <v>101</v>
      </c>
      <c r="D138" s="1053">
        <v>1</v>
      </c>
      <c r="E138" s="1053">
        <v>1</v>
      </c>
      <c r="F138" s="1053" t="s">
        <v>331</v>
      </c>
      <c r="G138" s="1053" t="s">
        <v>332</v>
      </c>
      <c r="H138" s="1024" t="s">
        <v>333</v>
      </c>
      <c r="I138" s="955">
        <f>资产负债!I304</f>
        <v>0</v>
      </c>
      <c r="J138" s="955">
        <f>资产负债!J304</f>
        <v>0</v>
      </c>
      <c r="K138" s="955">
        <f>资产负债!K304</f>
        <v>0</v>
      </c>
      <c r="L138" s="955">
        <f>资产负债!L304</f>
        <v>0</v>
      </c>
      <c r="M138" s="955">
        <f>资产负债!M304</f>
        <v>60.10768865999998</v>
      </c>
      <c r="N138" s="1877">
        <f>资产负债!N280*N139</f>
        <v>0</v>
      </c>
      <c r="O138" s="1877">
        <f>资产负债!O280*O139</f>
        <v>0</v>
      </c>
      <c r="P138" s="1877">
        <f>资产负债!P280*P139</f>
        <v>0</v>
      </c>
      <c r="Q138" s="1877">
        <f>资产负债!Q280*Q139</f>
        <v>0</v>
      </c>
      <c r="R138" s="1878">
        <f>资产负债!R280*R139</f>
        <v>0</v>
      </c>
    </row>
    <row r="139" spans="2:18" ht="18" customHeight="1">
      <c r="B139" s="1054" t="s">
        <v>1038</v>
      </c>
      <c r="C139" s="1042"/>
      <c r="D139" s="1042"/>
      <c r="E139" s="1042"/>
      <c r="F139" s="1042"/>
      <c r="G139" s="1042"/>
      <c r="H139" s="1024"/>
      <c r="I139" s="955">
        <f>资产负债!I305</f>
        <v>0</v>
      </c>
      <c r="J139" s="955">
        <f>资产负债!J305</f>
        <v>0</v>
      </c>
      <c r="K139" s="955">
        <f>资产负债!K305</f>
        <v>0</v>
      </c>
      <c r="L139" s="955">
        <f>资产负债!L305</f>
        <v>0</v>
      </c>
      <c r="M139" s="955">
        <f>资产负债!M305</f>
        <v>6.2804331078955625E-2</v>
      </c>
      <c r="N139" s="2300">
        <f>AVERAGE(K139:M139)</f>
        <v>2.0934777026318543E-2</v>
      </c>
      <c r="O139" s="2300">
        <f t="shared" ref="O139:R139" si="77">AVERAGE(L139:N139)</f>
        <v>2.791303603509139E-2</v>
      </c>
      <c r="P139" s="2300">
        <f t="shared" si="77"/>
        <v>3.7217381380121851E-2</v>
      </c>
      <c r="Q139" s="2300">
        <f t="shared" si="77"/>
        <v>2.8688398147177264E-2</v>
      </c>
      <c r="R139" s="2301">
        <f t="shared" si="77"/>
        <v>3.1272938520796836E-2</v>
      </c>
    </row>
    <row r="140" spans="2:18" ht="18" hidden="1" customHeight="1">
      <c r="B140" s="1055"/>
      <c r="C140" s="1056"/>
      <c r="D140" s="1056"/>
      <c r="E140" s="1056"/>
      <c r="F140" s="1056"/>
      <c r="G140" s="1056"/>
      <c r="H140" s="1057"/>
      <c r="I140" s="1058"/>
      <c r="J140" s="1058"/>
      <c r="K140" s="1058"/>
      <c r="L140" s="1058"/>
      <c r="M140" s="1058"/>
      <c r="N140" s="922"/>
      <c r="O140" s="922"/>
      <c r="P140" s="922"/>
      <c r="Q140" s="922"/>
      <c r="R140" s="923"/>
    </row>
    <row r="141" spans="2:18" ht="18" customHeight="1">
      <c r="B141" s="1021" t="s">
        <v>1039</v>
      </c>
      <c r="C141" s="1022">
        <v>102</v>
      </c>
      <c r="D141" s="1022">
        <v>2</v>
      </c>
      <c r="E141" s="1022">
        <v>2</v>
      </c>
      <c r="F141" s="1022"/>
      <c r="G141" s="1022"/>
      <c r="H141" s="1024" t="s">
        <v>336</v>
      </c>
      <c r="I141" s="978">
        <v>0</v>
      </c>
      <c r="J141" s="979">
        <v>0</v>
      </c>
      <c r="K141" s="979">
        <v>0</v>
      </c>
      <c r="L141" s="979">
        <v>0</v>
      </c>
      <c r="M141" s="979">
        <v>0</v>
      </c>
      <c r="N141" s="1881">
        <f>AVERAGE(K141:M141)</f>
        <v>0</v>
      </c>
      <c r="O141" s="1881">
        <f t="shared" ref="O141:R141" si="78">AVERAGE(L141:N141)</f>
        <v>0</v>
      </c>
      <c r="P141" s="1881">
        <f t="shared" si="78"/>
        <v>0</v>
      </c>
      <c r="Q141" s="1881">
        <f t="shared" si="78"/>
        <v>0</v>
      </c>
      <c r="R141" s="1911">
        <f t="shared" si="78"/>
        <v>0</v>
      </c>
    </row>
    <row r="142" spans="2:18" ht="18" hidden="1" customHeight="1">
      <c r="B142" s="1027"/>
      <c r="C142" s="947"/>
      <c r="D142" s="947"/>
      <c r="E142" s="947"/>
      <c r="F142" s="947"/>
      <c r="G142" s="947"/>
      <c r="H142" s="947"/>
      <c r="I142" s="1059"/>
      <c r="J142" s="1059"/>
      <c r="K142" s="1059"/>
      <c r="L142" s="1059"/>
      <c r="M142" s="1059"/>
      <c r="N142" s="1059"/>
      <c r="O142" s="1059"/>
      <c r="P142" s="1059"/>
      <c r="Q142" s="1059"/>
      <c r="R142" s="949"/>
    </row>
    <row r="143" spans="2:18" ht="18" hidden="1" customHeight="1">
      <c r="B143" s="946"/>
      <c r="C143" s="947"/>
      <c r="D143" s="947"/>
      <c r="E143" s="947"/>
      <c r="F143" s="947"/>
      <c r="G143" s="947"/>
      <c r="H143" s="947"/>
      <c r="I143" s="947"/>
      <c r="J143" s="947"/>
      <c r="K143" s="947"/>
      <c r="L143" s="947"/>
      <c r="M143" s="947"/>
      <c r="N143" s="947"/>
      <c r="O143" s="947"/>
      <c r="P143" s="947"/>
      <c r="Q143" s="947"/>
      <c r="R143" s="950"/>
    </row>
    <row r="144" spans="2:18" ht="18" hidden="1" customHeight="1">
      <c r="B144" s="946"/>
      <c r="C144" s="947"/>
      <c r="D144" s="947"/>
      <c r="E144" s="947"/>
      <c r="F144" s="947"/>
      <c r="G144" s="947"/>
      <c r="H144" s="947"/>
      <c r="I144" s="947"/>
      <c r="J144" s="947"/>
      <c r="K144" s="947"/>
      <c r="L144" s="947"/>
      <c r="M144" s="947"/>
      <c r="N144" s="947"/>
      <c r="O144" s="947"/>
      <c r="P144" s="947"/>
      <c r="Q144" s="947"/>
      <c r="R144" s="950"/>
    </row>
    <row r="145" spans="2:18" ht="18" hidden="1" customHeight="1">
      <c r="B145" s="946"/>
      <c r="C145" s="947"/>
      <c r="D145" s="947"/>
      <c r="E145" s="947"/>
      <c r="F145" s="947"/>
      <c r="G145" s="947"/>
      <c r="H145" s="947"/>
      <c r="I145" s="947"/>
      <c r="J145" s="947"/>
      <c r="K145" s="947"/>
      <c r="L145" s="947"/>
      <c r="M145" s="947"/>
      <c r="N145" s="947"/>
      <c r="O145" s="947"/>
      <c r="P145" s="947"/>
      <c r="Q145" s="947"/>
      <c r="R145" s="950"/>
    </row>
    <row r="146" spans="2:18" ht="18" hidden="1" customHeight="1">
      <c r="B146" s="946"/>
      <c r="C146" s="947"/>
      <c r="D146" s="947"/>
      <c r="E146" s="947"/>
      <c r="F146" s="947"/>
      <c r="G146" s="947"/>
      <c r="H146" s="947"/>
      <c r="I146" s="947"/>
      <c r="J146" s="947"/>
      <c r="K146" s="947"/>
      <c r="L146" s="947"/>
      <c r="M146" s="947"/>
      <c r="N146" s="947"/>
      <c r="O146" s="947"/>
      <c r="P146" s="947"/>
      <c r="Q146" s="947"/>
      <c r="R146" s="950"/>
    </row>
    <row r="147" spans="2:18" ht="18" hidden="1" customHeight="1">
      <c r="B147" s="946"/>
      <c r="C147" s="947"/>
      <c r="D147" s="947"/>
      <c r="E147" s="947"/>
      <c r="F147" s="947"/>
      <c r="G147" s="947"/>
      <c r="H147" s="947"/>
      <c r="I147" s="947"/>
      <c r="J147" s="947"/>
      <c r="K147" s="947"/>
      <c r="L147" s="947"/>
      <c r="M147" s="947"/>
      <c r="N147" s="947"/>
      <c r="O147" s="947"/>
      <c r="P147" s="947"/>
      <c r="Q147" s="947"/>
      <c r="R147" s="950"/>
    </row>
    <row r="148" spans="2:18" ht="18" hidden="1" customHeight="1">
      <c r="B148" s="946"/>
      <c r="C148" s="947"/>
      <c r="D148" s="947"/>
      <c r="E148" s="947"/>
      <c r="F148" s="947"/>
      <c r="G148" s="947"/>
      <c r="H148" s="947"/>
      <c r="I148" s="947"/>
      <c r="J148" s="947"/>
      <c r="K148" s="947"/>
      <c r="L148" s="947"/>
      <c r="M148" s="947"/>
      <c r="N148" s="947"/>
      <c r="O148" s="947"/>
      <c r="P148" s="947"/>
      <c r="Q148" s="947"/>
      <c r="R148" s="950"/>
    </row>
    <row r="149" spans="2:18" ht="18" hidden="1" customHeight="1">
      <c r="B149" s="946"/>
      <c r="C149" s="947"/>
      <c r="D149" s="947"/>
      <c r="E149" s="947"/>
      <c r="F149" s="947"/>
      <c r="G149" s="947"/>
      <c r="H149" s="947"/>
      <c r="I149" s="947"/>
      <c r="J149" s="947"/>
      <c r="K149" s="947"/>
      <c r="L149" s="947"/>
      <c r="M149" s="947"/>
      <c r="N149" s="947"/>
      <c r="O149" s="947"/>
      <c r="P149" s="947"/>
      <c r="Q149" s="947"/>
      <c r="R149" s="950"/>
    </row>
    <row r="150" spans="2:18" ht="18" customHeight="1">
      <c r="B150" s="946"/>
      <c r="C150" s="947"/>
      <c r="D150" s="947"/>
      <c r="E150" s="947"/>
      <c r="F150" s="947"/>
      <c r="G150" s="947"/>
      <c r="H150" s="947"/>
      <c r="I150" s="947"/>
      <c r="J150" s="947"/>
      <c r="K150" s="947"/>
      <c r="L150" s="947"/>
      <c r="M150" s="947"/>
      <c r="N150" s="947"/>
      <c r="O150" s="947"/>
      <c r="P150" s="947"/>
      <c r="Q150" s="947"/>
      <c r="R150" s="950"/>
    </row>
    <row r="151" spans="2:18" ht="18" customHeight="1">
      <c r="B151" s="1060" t="s">
        <v>1040</v>
      </c>
      <c r="C151" s="952"/>
      <c r="D151" s="952"/>
      <c r="E151" s="952"/>
      <c r="F151" s="952"/>
      <c r="G151" s="952"/>
      <c r="H151" s="952"/>
      <c r="I151" s="1061"/>
      <c r="J151" s="1061"/>
      <c r="K151" s="1061"/>
      <c r="L151" s="1061"/>
      <c r="M151" s="1061"/>
      <c r="N151" s="1061"/>
      <c r="O151" s="1061"/>
      <c r="P151" s="1061"/>
      <c r="Q151" s="1061"/>
      <c r="R151" s="953"/>
    </row>
    <row r="152" spans="2:18" ht="18" hidden="1" customHeight="1">
      <c r="B152" s="1062"/>
      <c r="C152" s="594"/>
      <c r="D152" s="594"/>
      <c r="E152" s="594"/>
      <c r="F152" s="594"/>
      <c r="G152" s="594"/>
      <c r="H152" s="972"/>
      <c r="I152" s="1043"/>
      <c r="J152" s="1043"/>
      <c r="K152" s="1043"/>
      <c r="L152" s="1043"/>
      <c r="M152" s="1043"/>
      <c r="N152" s="922"/>
      <c r="O152" s="922"/>
      <c r="P152" s="922"/>
      <c r="Q152" s="922"/>
      <c r="R152" s="923"/>
    </row>
    <row r="153" spans="2:18" ht="18" hidden="1" customHeight="1">
      <c r="B153" s="1062"/>
      <c r="C153" s="594"/>
      <c r="D153" s="594"/>
      <c r="E153" s="594"/>
      <c r="F153" s="594"/>
      <c r="G153" s="594"/>
      <c r="H153" s="972"/>
      <c r="I153" s="1043"/>
      <c r="J153" s="1043"/>
      <c r="K153" s="1043"/>
      <c r="L153" s="1043"/>
      <c r="M153" s="1043"/>
      <c r="N153" s="922"/>
      <c r="O153" s="922"/>
      <c r="P153" s="922"/>
      <c r="Q153" s="922"/>
      <c r="R153" s="923"/>
    </row>
    <row r="154" spans="2:18" ht="18" hidden="1" customHeight="1">
      <c r="B154" s="1062"/>
      <c r="C154" s="594"/>
      <c r="D154" s="594"/>
      <c r="E154" s="594"/>
      <c r="F154" s="594"/>
      <c r="G154" s="594"/>
      <c r="H154" s="972"/>
      <c r="I154" s="1043"/>
      <c r="J154" s="1043"/>
      <c r="K154" s="1043"/>
      <c r="L154" s="1043"/>
      <c r="M154" s="1043"/>
      <c r="N154" s="922"/>
      <c r="O154" s="922"/>
      <c r="P154" s="922"/>
      <c r="Q154" s="922"/>
      <c r="R154" s="923"/>
    </row>
    <row r="155" spans="2:18" ht="18" hidden="1" customHeight="1">
      <c r="B155" s="1062"/>
      <c r="C155" s="594"/>
      <c r="D155" s="594"/>
      <c r="E155" s="594"/>
      <c r="F155" s="594"/>
      <c r="G155" s="594"/>
      <c r="H155" s="972"/>
      <c r="I155" s="1043"/>
      <c r="J155" s="1043"/>
      <c r="K155" s="1043"/>
      <c r="L155" s="1043"/>
      <c r="M155" s="1043"/>
      <c r="N155" s="922"/>
      <c r="O155" s="922"/>
      <c r="P155" s="922"/>
      <c r="Q155" s="922"/>
      <c r="R155" s="923"/>
    </row>
    <row r="156" spans="2:18" ht="18" hidden="1" customHeight="1">
      <c r="B156" s="1062"/>
      <c r="C156" s="594"/>
      <c r="D156" s="594"/>
      <c r="E156" s="594"/>
      <c r="F156" s="594"/>
      <c r="G156" s="594"/>
      <c r="H156" s="972"/>
      <c r="I156" s="1043"/>
      <c r="J156" s="1043"/>
      <c r="K156" s="1043"/>
      <c r="L156" s="1043"/>
      <c r="M156" s="1043"/>
      <c r="N156" s="922"/>
      <c r="O156" s="922"/>
      <c r="P156" s="922"/>
      <c r="Q156" s="922"/>
      <c r="R156" s="923"/>
    </row>
    <row r="157" spans="2:18" ht="18" hidden="1" customHeight="1">
      <c r="B157" s="1063"/>
      <c r="C157" s="1025"/>
      <c r="D157" s="1025"/>
      <c r="E157" s="1025"/>
      <c r="F157" s="1025"/>
      <c r="G157" s="1025"/>
      <c r="H157" s="1064"/>
      <c r="I157" s="998"/>
      <c r="J157" s="999"/>
      <c r="K157" s="999"/>
      <c r="L157" s="999"/>
      <c r="M157" s="999"/>
      <c r="N157" s="922"/>
      <c r="O157" s="922"/>
      <c r="P157" s="922"/>
      <c r="Q157" s="922"/>
      <c r="R157" s="923"/>
    </row>
    <row r="158" spans="2:18" ht="18" hidden="1" customHeight="1">
      <c r="B158" s="1063"/>
      <c r="C158" s="1025"/>
      <c r="D158" s="1025"/>
      <c r="E158" s="1025"/>
      <c r="F158" s="1025"/>
      <c r="G158" s="1025"/>
      <c r="H158" s="1064"/>
      <c r="I158" s="998"/>
      <c r="J158" s="999"/>
      <c r="K158" s="999"/>
      <c r="L158" s="999"/>
      <c r="M158" s="999"/>
      <c r="N158" s="922"/>
      <c r="O158" s="922"/>
      <c r="P158" s="922"/>
      <c r="Q158" s="922"/>
      <c r="R158" s="923"/>
    </row>
    <row r="159" spans="2:18" ht="18" customHeight="1">
      <c r="B159" s="1065" t="s">
        <v>1041</v>
      </c>
      <c r="C159" s="603">
        <v>102</v>
      </c>
      <c r="D159" s="603">
        <v>2</v>
      </c>
      <c r="E159" s="603">
        <v>2</v>
      </c>
      <c r="F159" s="603"/>
      <c r="G159" s="603"/>
      <c r="H159" s="1066" t="s">
        <v>340</v>
      </c>
      <c r="I159" s="1067">
        <f>现金流量!I64</f>
        <v>721.47893023999995</v>
      </c>
      <c r="J159" s="1067">
        <f>现金流量!J64</f>
        <v>728.13876163999998</v>
      </c>
      <c r="K159" s="1067">
        <f>现金流量!K64</f>
        <v>271.70928752999998</v>
      </c>
      <c r="L159" s="1067">
        <f>现金流量!L64</f>
        <v>304.64462457999997</v>
      </c>
      <c r="M159" s="1067">
        <f>现金流量!M64</f>
        <v>414.35373085000003</v>
      </c>
      <c r="N159" s="2518">
        <f>AVERAGE(K159:M159)</f>
        <v>330.2358809866667</v>
      </c>
      <c r="O159" s="2518">
        <f t="shared" ref="O159:R159" si="79">AVERAGE(L159:N159)</f>
        <v>349.74474547222218</v>
      </c>
      <c r="P159" s="2518">
        <f t="shared" si="79"/>
        <v>364.77811910296299</v>
      </c>
      <c r="Q159" s="2518">
        <f t="shared" si="79"/>
        <v>348.25291518728392</v>
      </c>
      <c r="R159" s="2519">
        <f t="shared" si="79"/>
        <v>354.25859325415632</v>
      </c>
    </row>
    <row r="160" spans="2:18" ht="18" customHeight="1">
      <c r="B160" s="1068" t="s">
        <v>1042</v>
      </c>
      <c r="C160" s="1069">
        <v>102</v>
      </c>
      <c r="D160" s="1069">
        <v>2</v>
      </c>
      <c r="E160" s="1069">
        <v>2</v>
      </c>
      <c r="F160" s="1069"/>
      <c r="G160" s="1069"/>
      <c r="H160" s="1070" t="s">
        <v>342</v>
      </c>
      <c r="I160" s="1071">
        <f>现金流量!I68</f>
        <v>0</v>
      </c>
      <c r="J160" s="1071">
        <f>现金流量!J68</f>
        <v>0</v>
      </c>
      <c r="K160" s="1071">
        <f>现金流量!K68</f>
        <v>0</v>
      </c>
      <c r="L160" s="1071">
        <f>现金流量!L68</f>
        <v>15.408259220000001</v>
      </c>
      <c r="M160" s="1071">
        <f>现金流量!M68</f>
        <v>19.904745179999999</v>
      </c>
      <c r="N160" s="2516">
        <f>AVERAGE(K160:M160)</f>
        <v>11.771001466666666</v>
      </c>
      <c r="O160" s="2516">
        <f t="shared" ref="O160:R160" si="80">AVERAGE(L160:N160)</f>
        <v>15.694668622222222</v>
      </c>
      <c r="P160" s="2516">
        <f t="shared" si="80"/>
        <v>15.790138422962963</v>
      </c>
      <c r="Q160" s="2516">
        <f t="shared" si="80"/>
        <v>14.418602837283951</v>
      </c>
      <c r="R160" s="2517">
        <f t="shared" si="80"/>
        <v>15.301136627489711</v>
      </c>
    </row>
    <row r="161" spans="3:8" ht="18" customHeight="1">
      <c r="C161" s="1072"/>
      <c r="D161" s="1072"/>
      <c r="E161" s="1072"/>
      <c r="F161" s="1072"/>
      <c r="G161" s="1072"/>
      <c r="H161" s="1072"/>
    </row>
  </sheetData>
  <phoneticPr fontId="64" type="noConversion"/>
  <pageMargins left="0.75" right="0.75" top="1" bottom="1" header="0.5" footer="0.5"/>
  <pageSetup paperSize="9" firstPageNumber="4294963191" orientation="portrait" r:id="rId1"/>
  <headerFooter alignWithMargins="0"/>
  <drawing r:id="rId2"/>
  <legacyDrawing r:id="rId3"/>
  <controls>
    <mc:AlternateContent xmlns:mc="http://schemas.openxmlformats.org/markup-compatibility/2006">
      <mc:Choice Requires="x14">
        <control shapeId="4099" r:id="rId4" name="cbCollect">
          <controlPr defaultSize="0" r:id="rId5">
            <anchor moveWithCells="1">
              <from>
                <xdr:col>2</xdr:col>
                <xdr:colOff>180975</xdr:colOff>
                <xdr:row>0</xdr:row>
                <xdr:rowOff>95250</xdr:rowOff>
              </from>
              <to>
                <xdr:col>7</xdr:col>
                <xdr:colOff>28575</xdr:colOff>
                <xdr:row>0</xdr:row>
                <xdr:rowOff>342900</xdr:rowOff>
              </to>
            </anchor>
          </controlPr>
        </control>
      </mc:Choice>
      <mc:Fallback>
        <control shapeId="4099" r:id="rId4" name="cbCollect"/>
      </mc:Fallback>
    </mc:AlternateContent>
    <mc:AlternateContent xmlns:mc="http://schemas.openxmlformats.org/markup-compatibility/2006">
      <mc:Choice Requires="x14">
        <control shapeId="4100" r:id="rId6" name="cbFillback">
          <controlPr defaultSize="0" r:id="rId7">
            <anchor moveWithCells="1">
              <from>
                <xdr:col>9</xdr:col>
                <xdr:colOff>180975</xdr:colOff>
                <xdr:row>0</xdr:row>
                <xdr:rowOff>95250</xdr:rowOff>
              </from>
              <to>
                <xdr:col>10</xdr:col>
                <xdr:colOff>295275</xdr:colOff>
                <xdr:row>0</xdr:row>
                <xdr:rowOff>342900</xdr:rowOff>
              </to>
            </anchor>
          </controlPr>
        </control>
      </mc:Choice>
      <mc:Fallback>
        <control shapeId="4100" r:id="rId6" name="cbFillback"/>
      </mc:Fallback>
    </mc:AlternateContent>
    <mc:AlternateContent xmlns:mc="http://schemas.openxmlformats.org/markup-compatibility/2006">
      <mc:Choice Requires="x14">
        <control shapeId="4101" r:id="rId8" name="cbNewYearSummary">
          <controlPr defaultSize="0" r:id="rId9">
            <anchor moveWithCells="1">
              <from>
                <xdr:col>11</xdr:col>
                <xdr:colOff>619125</xdr:colOff>
                <xdr:row>0</xdr:row>
                <xdr:rowOff>95250</xdr:rowOff>
              </from>
              <to>
                <xdr:col>13</xdr:col>
                <xdr:colOff>409575</xdr:colOff>
                <xdr:row>0</xdr:row>
                <xdr:rowOff>342900</xdr:rowOff>
              </to>
            </anchor>
          </controlPr>
        </control>
      </mc:Choice>
      <mc:Fallback>
        <control shapeId="4101" r:id="rId8" name="cbNewYearSummary"/>
      </mc:Fallback>
    </mc:AlternateContent>
    <mc:AlternateContent xmlns:mc="http://schemas.openxmlformats.org/markup-compatibility/2006">
      <mc:Choice Requires="x14">
        <control shapeId="6816" r:id="rId10" name="cbFormula1002">
          <controlPr defaultSize="0" linkedCell="D7" listFillRange="SYSDATA!B2:C8" r:id="rId11">
            <anchor moveWithCells="1">
              <from>
                <xdr:col>2</xdr:col>
                <xdr:colOff>0</xdr:colOff>
                <xdr:row>6</xdr:row>
                <xdr:rowOff>0</xdr:rowOff>
              </from>
              <to>
                <xdr:col>8</xdr:col>
                <xdr:colOff>38100</xdr:colOff>
                <xdr:row>7</xdr:row>
                <xdr:rowOff>0</xdr:rowOff>
              </to>
            </anchor>
          </controlPr>
        </control>
      </mc:Choice>
      <mc:Fallback>
        <control shapeId="6816" r:id="rId10" name="cbFormula1002"/>
      </mc:Fallback>
    </mc:AlternateContent>
    <mc:AlternateContent xmlns:mc="http://schemas.openxmlformats.org/markup-compatibility/2006">
      <mc:Choice Requires="x14">
        <control shapeId="6881" r:id="rId12" name="cbFormula1003">
          <controlPr defaultSize="0" linkedCell="D9" listFillRange="SYSDATA!B2:C8" r:id="rId13">
            <anchor moveWithCells="1">
              <from>
                <xdr:col>2</xdr:col>
                <xdr:colOff>0</xdr:colOff>
                <xdr:row>8</xdr:row>
                <xdr:rowOff>0</xdr:rowOff>
              </from>
              <to>
                <xdr:col>8</xdr:col>
                <xdr:colOff>38100</xdr:colOff>
                <xdr:row>9</xdr:row>
                <xdr:rowOff>0</xdr:rowOff>
              </to>
            </anchor>
          </controlPr>
        </control>
      </mc:Choice>
      <mc:Fallback>
        <control shapeId="6881" r:id="rId12" name="cbFormula1003"/>
      </mc:Fallback>
    </mc:AlternateContent>
    <mc:AlternateContent xmlns:mc="http://schemas.openxmlformats.org/markup-compatibility/2006">
      <mc:Choice Requires="x14">
        <control shapeId="6882" r:id="rId14" name="cbFormula1004">
          <controlPr defaultSize="0" linkedCell="D11" listFillRange="SYSDATA!B2:C8" r:id="rId15">
            <anchor moveWithCells="1">
              <from>
                <xdr:col>2</xdr:col>
                <xdr:colOff>0</xdr:colOff>
                <xdr:row>10</xdr:row>
                <xdr:rowOff>0</xdr:rowOff>
              </from>
              <to>
                <xdr:col>8</xdr:col>
                <xdr:colOff>38100</xdr:colOff>
                <xdr:row>11</xdr:row>
                <xdr:rowOff>0</xdr:rowOff>
              </to>
            </anchor>
          </controlPr>
        </control>
      </mc:Choice>
      <mc:Fallback>
        <control shapeId="6882" r:id="rId14" name="cbFormula1004"/>
      </mc:Fallback>
    </mc:AlternateContent>
    <mc:AlternateContent xmlns:mc="http://schemas.openxmlformats.org/markup-compatibility/2006">
      <mc:Choice Requires="x14">
        <control shapeId="6883" r:id="rId16" name="cbFormula1005">
          <controlPr defaultSize="0" linkedCell="D13" listFillRange="SYSDATA!B2:C8" r:id="rId17">
            <anchor moveWithCells="1">
              <from>
                <xdr:col>2</xdr:col>
                <xdr:colOff>0</xdr:colOff>
                <xdr:row>12</xdr:row>
                <xdr:rowOff>0</xdr:rowOff>
              </from>
              <to>
                <xdr:col>8</xdr:col>
                <xdr:colOff>38100</xdr:colOff>
                <xdr:row>13</xdr:row>
                <xdr:rowOff>0</xdr:rowOff>
              </to>
            </anchor>
          </controlPr>
        </control>
      </mc:Choice>
      <mc:Fallback>
        <control shapeId="6883" r:id="rId16" name="cbFormula1005"/>
      </mc:Fallback>
    </mc:AlternateContent>
    <mc:AlternateContent xmlns:mc="http://schemas.openxmlformats.org/markup-compatibility/2006">
      <mc:Choice Requires="x14">
        <control shapeId="6916" r:id="rId18" name="cbFormula1006">
          <controlPr defaultSize="0" linkedCell="D15" listFillRange="SYSDATA!E2:F5" r:id="rId19">
            <anchor moveWithCells="1">
              <from>
                <xdr:col>2</xdr:col>
                <xdr:colOff>0</xdr:colOff>
                <xdr:row>14</xdr:row>
                <xdr:rowOff>0</xdr:rowOff>
              </from>
              <to>
                <xdr:col>8</xdr:col>
                <xdr:colOff>38100</xdr:colOff>
                <xdr:row>15</xdr:row>
                <xdr:rowOff>0</xdr:rowOff>
              </to>
            </anchor>
          </controlPr>
        </control>
      </mc:Choice>
      <mc:Fallback>
        <control shapeId="6916" r:id="rId18" name="cbFormula1006"/>
      </mc:Fallback>
    </mc:AlternateContent>
    <mc:AlternateContent xmlns:mc="http://schemas.openxmlformats.org/markup-compatibility/2006">
      <mc:Choice Requires="x14">
        <control shapeId="6929" r:id="rId20" name="cbFormula1007">
          <controlPr defaultSize="0" linkedCell="D16" listFillRange="SYSDATA!E2:F5" r:id="rId21">
            <anchor moveWithCells="1">
              <from>
                <xdr:col>2</xdr:col>
                <xdr:colOff>0</xdr:colOff>
                <xdr:row>15</xdr:row>
                <xdr:rowOff>0</xdr:rowOff>
              </from>
              <to>
                <xdr:col>8</xdr:col>
                <xdr:colOff>38100</xdr:colOff>
                <xdr:row>16</xdr:row>
                <xdr:rowOff>0</xdr:rowOff>
              </to>
            </anchor>
          </controlPr>
        </control>
      </mc:Choice>
      <mc:Fallback>
        <control shapeId="6929" r:id="rId20" name="cbFormula1007"/>
      </mc:Fallback>
    </mc:AlternateContent>
    <mc:AlternateContent xmlns:mc="http://schemas.openxmlformats.org/markup-compatibility/2006">
      <mc:Choice Requires="x14">
        <control shapeId="6930" r:id="rId22" name="cbFormula1008">
          <controlPr defaultSize="0" linkedCell="D17" listFillRange="SYSDATA!E2:F5" r:id="rId23">
            <anchor moveWithCells="1">
              <from>
                <xdr:col>2</xdr:col>
                <xdr:colOff>0</xdr:colOff>
                <xdr:row>16</xdr:row>
                <xdr:rowOff>0</xdr:rowOff>
              </from>
              <to>
                <xdr:col>8</xdr:col>
                <xdr:colOff>38100</xdr:colOff>
                <xdr:row>17</xdr:row>
                <xdr:rowOff>0</xdr:rowOff>
              </to>
            </anchor>
          </controlPr>
        </control>
      </mc:Choice>
      <mc:Fallback>
        <control shapeId="6930" r:id="rId22" name="cbFormula1008"/>
      </mc:Fallback>
    </mc:AlternateContent>
    <mc:AlternateContent xmlns:mc="http://schemas.openxmlformats.org/markup-compatibility/2006">
      <mc:Choice Requires="x14">
        <control shapeId="6931" r:id="rId24" name="cbFormula1009">
          <controlPr defaultSize="0" linkedCell="D19" listFillRange="SYSDATA!E2:F5" r:id="rId25">
            <anchor moveWithCells="1">
              <from>
                <xdr:col>2</xdr:col>
                <xdr:colOff>0</xdr:colOff>
                <xdr:row>18</xdr:row>
                <xdr:rowOff>0</xdr:rowOff>
              </from>
              <to>
                <xdr:col>8</xdr:col>
                <xdr:colOff>38100</xdr:colOff>
                <xdr:row>19</xdr:row>
                <xdr:rowOff>0</xdr:rowOff>
              </to>
            </anchor>
          </controlPr>
        </control>
      </mc:Choice>
      <mc:Fallback>
        <control shapeId="6931" r:id="rId24" name="cbFormula1009"/>
      </mc:Fallback>
    </mc:AlternateContent>
    <mc:AlternateContent xmlns:mc="http://schemas.openxmlformats.org/markup-compatibility/2006">
      <mc:Choice Requires="x14">
        <control shapeId="6942" r:id="rId26" name="cbFormula1010">
          <controlPr defaultSize="0" linkedCell="D21" listFillRange="SYSDATA!E2:F5" r:id="rId27">
            <anchor moveWithCells="1">
              <from>
                <xdr:col>2</xdr:col>
                <xdr:colOff>0</xdr:colOff>
                <xdr:row>20</xdr:row>
                <xdr:rowOff>0</xdr:rowOff>
              </from>
              <to>
                <xdr:col>8</xdr:col>
                <xdr:colOff>38100</xdr:colOff>
                <xdr:row>21</xdr:row>
                <xdr:rowOff>0</xdr:rowOff>
              </to>
            </anchor>
          </controlPr>
        </control>
      </mc:Choice>
      <mc:Fallback>
        <control shapeId="6942" r:id="rId26" name="cbFormula1010"/>
      </mc:Fallback>
    </mc:AlternateContent>
    <mc:AlternateContent xmlns:mc="http://schemas.openxmlformats.org/markup-compatibility/2006">
      <mc:Choice Requires="x14">
        <control shapeId="6943" r:id="rId28" name="cbFormula1011">
          <controlPr defaultSize="0" linkedCell="D22" listFillRange="SYSDATA!E2:F5" r:id="rId29">
            <anchor moveWithCells="1">
              <from>
                <xdr:col>2</xdr:col>
                <xdr:colOff>0</xdr:colOff>
                <xdr:row>21</xdr:row>
                <xdr:rowOff>0</xdr:rowOff>
              </from>
              <to>
                <xdr:col>8</xdr:col>
                <xdr:colOff>38100</xdr:colOff>
                <xdr:row>22</xdr:row>
                <xdr:rowOff>0</xdr:rowOff>
              </to>
            </anchor>
          </controlPr>
        </control>
      </mc:Choice>
      <mc:Fallback>
        <control shapeId="6943" r:id="rId28" name="cbFormula1011"/>
      </mc:Fallback>
    </mc:AlternateContent>
    <mc:AlternateContent xmlns:mc="http://schemas.openxmlformats.org/markup-compatibility/2006">
      <mc:Choice Requires="x14">
        <control shapeId="6944" r:id="rId30" name="cbFormula1012">
          <controlPr defaultSize="0" linkedCell="D23" listFillRange="SYSDATA!E2:F5" r:id="rId31">
            <anchor moveWithCells="1">
              <from>
                <xdr:col>2</xdr:col>
                <xdr:colOff>9525</xdr:colOff>
                <xdr:row>22</xdr:row>
                <xdr:rowOff>0</xdr:rowOff>
              </from>
              <to>
                <xdr:col>8</xdr:col>
                <xdr:colOff>47625</xdr:colOff>
                <xdr:row>23</xdr:row>
                <xdr:rowOff>0</xdr:rowOff>
              </to>
            </anchor>
          </controlPr>
        </control>
      </mc:Choice>
      <mc:Fallback>
        <control shapeId="6944" r:id="rId30" name="cbFormula1012"/>
      </mc:Fallback>
    </mc:AlternateContent>
    <mc:AlternateContent xmlns:mc="http://schemas.openxmlformats.org/markup-compatibility/2006">
      <mc:Choice Requires="x14">
        <control shapeId="6945" r:id="rId32" name="cbFormula1013">
          <controlPr defaultSize="0" linkedCell="D24" listFillRange="SYSDATA!E2:F5" r:id="rId33">
            <anchor moveWithCells="1">
              <from>
                <xdr:col>2</xdr:col>
                <xdr:colOff>9525</xdr:colOff>
                <xdr:row>23</xdr:row>
                <xdr:rowOff>0</xdr:rowOff>
              </from>
              <to>
                <xdr:col>8</xdr:col>
                <xdr:colOff>47625</xdr:colOff>
                <xdr:row>24</xdr:row>
                <xdr:rowOff>0</xdr:rowOff>
              </to>
            </anchor>
          </controlPr>
        </control>
      </mc:Choice>
      <mc:Fallback>
        <control shapeId="6945" r:id="rId32" name="cbFormula1013"/>
      </mc:Fallback>
    </mc:AlternateContent>
    <mc:AlternateContent xmlns:mc="http://schemas.openxmlformats.org/markup-compatibility/2006">
      <mc:Choice Requires="x14">
        <control shapeId="6946" r:id="rId34" name="cbFormula1014">
          <controlPr defaultSize="0" linkedCell="D25" listFillRange="SYSDATA!B2:C8" r:id="rId35">
            <anchor moveWithCells="1">
              <from>
                <xdr:col>2</xdr:col>
                <xdr:colOff>9525</xdr:colOff>
                <xdr:row>24</xdr:row>
                <xdr:rowOff>0</xdr:rowOff>
              </from>
              <to>
                <xdr:col>8</xdr:col>
                <xdr:colOff>47625</xdr:colOff>
                <xdr:row>25</xdr:row>
                <xdr:rowOff>0</xdr:rowOff>
              </to>
            </anchor>
          </controlPr>
        </control>
      </mc:Choice>
      <mc:Fallback>
        <control shapeId="6946" r:id="rId34" name="cbFormula1014"/>
      </mc:Fallback>
    </mc:AlternateContent>
    <mc:AlternateContent xmlns:mc="http://schemas.openxmlformats.org/markup-compatibility/2006">
      <mc:Choice Requires="x14">
        <control shapeId="6950" r:id="rId36" name="cbFormula1015">
          <controlPr defaultSize="0" linkedCell="D27" listFillRange="SYSDATA!B2:C8" r:id="rId37">
            <anchor moveWithCells="1">
              <from>
                <xdr:col>2</xdr:col>
                <xdr:colOff>9525</xdr:colOff>
                <xdr:row>26</xdr:row>
                <xdr:rowOff>0</xdr:rowOff>
              </from>
              <to>
                <xdr:col>8</xdr:col>
                <xdr:colOff>47625</xdr:colOff>
                <xdr:row>27</xdr:row>
                <xdr:rowOff>0</xdr:rowOff>
              </to>
            </anchor>
          </controlPr>
        </control>
      </mc:Choice>
      <mc:Fallback>
        <control shapeId="6950" r:id="rId36" name="cbFormula1015"/>
      </mc:Fallback>
    </mc:AlternateContent>
    <mc:AlternateContent xmlns:mc="http://schemas.openxmlformats.org/markup-compatibility/2006">
      <mc:Choice Requires="x14">
        <control shapeId="6951" r:id="rId38" name="cbFormula1016">
          <controlPr defaultSize="0" linkedCell="D20" listFillRange="SYSDATA!E2:F5" r:id="rId39">
            <anchor moveWithCells="1">
              <from>
                <xdr:col>2</xdr:col>
                <xdr:colOff>0</xdr:colOff>
                <xdr:row>19</xdr:row>
                <xdr:rowOff>0</xdr:rowOff>
              </from>
              <to>
                <xdr:col>8</xdr:col>
                <xdr:colOff>38100</xdr:colOff>
                <xdr:row>20</xdr:row>
                <xdr:rowOff>0</xdr:rowOff>
              </to>
            </anchor>
          </controlPr>
        </control>
      </mc:Choice>
      <mc:Fallback>
        <control shapeId="6951" r:id="rId38" name="cbFormula1016"/>
      </mc:Fallback>
    </mc:AlternateContent>
    <mc:AlternateContent xmlns:mc="http://schemas.openxmlformats.org/markup-compatibility/2006">
      <mc:Choice Requires="x14">
        <control shapeId="7024" r:id="rId40" name="cbFormula1017">
          <controlPr defaultSize="0" linkedCell="D41" listFillRange="SYSDATA!E2:F5" r:id="rId41">
            <anchor moveWithCells="1">
              <from>
                <xdr:col>2</xdr:col>
                <xdr:colOff>9525</xdr:colOff>
                <xdr:row>40</xdr:row>
                <xdr:rowOff>9525</xdr:rowOff>
              </from>
              <to>
                <xdr:col>8</xdr:col>
                <xdr:colOff>47625</xdr:colOff>
                <xdr:row>42</xdr:row>
                <xdr:rowOff>9525</xdr:rowOff>
              </to>
            </anchor>
          </controlPr>
        </control>
      </mc:Choice>
      <mc:Fallback>
        <control shapeId="7024" r:id="rId40" name="cbFormula1017"/>
      </mc:Fallback>
    </mc:AlternateContent>
    <mc:AlternateContent xmlns:mc="http://schemas.openxmlformats.org/markup-compatibility/2006">
      <mc:Choice Requires="x14">
        <control shapeId="7025" r:id="rId42" name="cbFormula1018">
          <controlPr defaultSize="0" linkedCell="D44" listFillRange="SYSDATA!B2:C8" r:id="rId43">
            <anchor moveWithCells="1">
              <from>
                <xdr:col>2</xdr:col>
                <xdr:colOff>9525</xdr:colOff>
                <xdr:row>43</xdr:row>
                <xdr:rowOff>0</xdr:rowOff>
              </from>
              <to>
                <xdr:col>8</xdr:col>
                <xdr:colOff>47625</xdr:colOff>
                <xdr:row>44</xdr:row>
                <xdr:rowOff>0</xdr:rowOff>
              </to>
            </anchor>
          </controlPr>
        </control>
      </mc:Choice>
      <mc:Fallback>
        <control shapeId="7025" r:id="rId42" name="cbFormula1018"/>
      </mc:Fallback>
    </mc:AlternateContent>
    <mc:AlternateContent xmlns:mc="http://schemas.openxmlformats.org/markup-compatibility/2006">
      <mc:Choice Requires="x14">
        <control shapeId="7026" r:id="rId44" name="cbFormula1019">
          <controlPr defaultSize="0" linkedCell="D46" listFillRange="SYSDATA!B2:C8" r:id="rId45">
            <anchor moveWithCells="1">
              <from>
                <xdr:col>2</xdr:col>
                <xdr:colOff>9525</xdr:colOff>
                <xdr:row>45</xdr:row>
                <xdr:rowOff>0</xdr:rowOff>
              </from>
              <to>
                <xdr:col>8</xdr:col>
                <xdr:colOff>47625</xdr:colOff>
                <xdr:row>46</xdr:row>
                <xdr:rowOff>0</xdr:rowOff>
              </to>
            </anchor>
          </controlPr>
        </control>
      </mc:Choice>
      <mc:Fallback>
        <control shapeId="7026" r:id="rId44" name="cbFormula1019"/>
      </mc:Fallback>
    </mc:AlternateContent>
    <mc:AlternateContent xmlns:mc="http://schemas.openxmlformats.org/markup-compatibility/2006">
      <mc:Choice Requires="x14">
        <control shapeId="7028" r:id="rId46" name="cbFormula1024">
          <controlPr defaultSize="0" linkedCell="D54" listFillRange="SYSDATA!B2:C8" r:id="rId47">
            <anchor moveWithCells="1">
              <from>
                <xdr:col>2</xdr:col>
                <xdr:colOff>9525</xdr:colOff>
                <xdr:row>53</xdr:row>
                <xdr:rowOff>0</xdr:rowOff>
              </from>
              <to>
                <xdr:col>8</xdr:col>
                <xdr:colOff>47625</xdr:colOff>
                <xdr:row>54</xdr:row>
                <xdr:rowOff>0</xdr:rowOff>
              </to>
            </anchor>
          </controlPr>
        </control>
      </mc:Choice>
      <mc:Fallback>
        <control shapeId="7028" r:id="rId46" name="cbFormula1024"/>
      </mc:Fallback>
    </mc:AlternateContent>
    <mc:AlternateContent xmlns:mc="http://schemas.openxmlformats.org/markup-compatibility/2006">
      <mc:Choice Requires="x14">
        <control shapeId="7029" r:id="rId48" name="cbFormula1048">
          <controlPr defaultSize="0" linkedCell="D78" listFillRange="SYSDATA!B2:C8" r:id="rId49">
            <anchor moveWithCells="1">
              <from>
                <xdr:col>2</xdr:col>
                <xdr:colOff>9525</xdr:colOff>
                <xdr:row>77</xdr:row>
                <xdr:rowOff>0</xdr:rowOff>
              </from>
              <to>
                <xdr:col>8</xdr:col>
                <xdr:colOff>47625</xdr:colOff>
                <xdr:row>78</xdr:row>
                <xdr:rowOff>0</xdr:rowOff>
              </to>
            </anchor>
          </controlPr>
        </control>
      </mc:Choice>
      <mc:Fallback>
        <control shapeId="7029" r:id="rId48" name="cbFormula1048"/>
      </mc:Fallback>
    </mc:AlternateContent>
    <mc:AlternateContent xmlns:mc="http://schemas.openxmlformats.org/markup-compatibility/2006">
      <mc:Choice Requires="x14">
        <control shapeId="7030" r:id="rId50" name="cbFormula1020">
          <controlPr defaultSize="0" linkedCell="D49" listFillRange="SYSDATA!E2:F5" r:id="rId51">
            <anchor moveWithCells="1">
              <from>
                <xdr:col>2</xdr:col>
                <xdr:colOff>0</xdr:colOff>
                <xdr:row>48</xdr:row>
                <xdr:rowOff>0</xdr:rowOff>
              </from>
              <to>
                <xdr:col>8</xdr:col>
                <xdr:colOff>38100</xdr:colOff>
                <xdr:row>49</xdr:row>
                <xdr:rowOff>0</xdr:rowOff>
              </to>
            </anchor>
          </controlPr>
        </control>
      </mc:Choice>
      <mc:Fallback>
        <control shapeId="7030" r:id="rId50" name="cbFormula1020"/>
      </mc:Fallback>
    </mc:AlternateContent>
    <mc:AlternateContent xmlns:mc="http://schemas.openxmlformats.org/markup-compatibility/2006">
      <mc:Choice Requires="x14">
        <control shapeId="7031" r:id="rId52" name="cbFormula1021">
          <controlPr defaultSize="0" linkedCell="D50" listFillRange="SYSDATA!E2:F5" r:id="rId53">
            <anchor moveWithCells="1">
              <from>
                <xdr:col>2</xdr:col>
                <xdr:colOff>0</xdr:colOff>
                <xdr:row>49</xdr:row>
                <xdr:rowOff>0</xdr:rowOff>
              </from>
              <to>
                <xdr:col>8</xdr:col>
                <xdr:colOff>38100</xdr:colOff>
                <xdr:row>50</xdr:row>
                <xdr:rowOff>0</xdr:rowOff>
              </to>
            </anchor>
          </controlPr>
        </control>
      </mc:Choice>
      <mc:Fallback>
        <control shapeId="7031" r:id="rId52" name="cbFormula1021"/>
      </mc:Fallback>
    </mc:AlternateContent>
    <mc:AlternateContent xmlns:mc="http://schemas.openxmlformats.org/markup-compatibility/2006">
      <mc:Choice Requires="x14">
        <control shapeId="7032" r:id="rId54" name="cbFormula1022">
          <controlPr defaultSize="0" linkedCell="D51" listFillRange="SYSDATA!E2:F5" r:id="rId55">
            <anchor moveWithCells="1">
              <from>
                <xdr:col>2</xdr:col>
                <xdr:colOff>0</xdr:colOff>
                <xdr:row>50</xdr:row>
                <xdr:rowOff>0</xdr:rowOff>
              </from>
              <to>
                <xdr:col>8</xdr:col>
                <xdr:colOff>38100</xdr:colOff>
                <xdr:row>51</xdr:row>
                <xdr:rowOff>0</xdr:rowOff>
              </to>
            </anchor>
          </controlPr>
        </control>
      </mc:Choice>
      <mc:Fallback>
        <control shapeId="7032" r:id="rId54" name="cbFormula1022"/>
      </mc:Fallback>
    </mc:AlternateContent>
    <mc:AlternateContent xmlns:mc="http://schemas.openxmlformats.org/markup-compatibility/2006">
      <mc:Choice Requires="x14">
        <control shapeId="7033" r:id="rId56" name="cbFormula1023">
          <controlPr defaultSize="0" linkedCell="D53" listFillRange="SYSDATA!E2:F5" r:id="rId57">
            <anchor moveWithCells="1">
              <from>
                <xdr:col>2</xdr:col>
                <xdr:colOff>0</xdr:colOff>
                <xdr:row>52</xdr:row>
                <xdr:rowOff>0</xdr:rowOff>
              </from>
              <to>
                <xdr:col>8</xdr:col>
                <xdr:colOff>38100</xdr:colOff>
                <xdr:row>53</xdr:row>
                <xdr:rowOff>0</xdr:rowOff>
              </to>
            </anchor>
          </controlPr>
        </control>
      </mc:Choice>
      <mc:Fallback>
        <control shapeId="7033" r:id="rId56" name="cbFormula1023"/>
      </mc:Fallback>
    </mc:AlternateContent>
    <mc:AlternateContent xmlns:mc="http://schemas.openxmlformats.org/markup-compatibility/2006">
      <mc:Choice Requires="x14">
        <control shapeId="7034" r:id="rId58" name="cbFormula1025">
          <controlPr defaultSize="0" linkedCell="D56" listFillRange="SYSDATA!E2:F5" r:id="rId59">
            <anchor moveWithCells="1">
              <from>
                <xdr:col>2</xdr:col>
                <xdr:colOff>0</xdr:colOff>
                <xdr:row>55</xdr:row>
                <xdr:rowOff>0</xdr:rowOff>
              </from>
              <to>
                <xdr:col>8</xdr:col>
                <xdr:colOff>38100</xdr:colOff>
                <xdr:row>56</xdr:row>
                <xdr:rowOff>0</xdr:rowOff>
              </to>
            </anchor>
          </controlPr>
        </control>
      </mc:Choice>
      <mc:Fallback>
        <control shapeId="7034" r:id="rId58" name="cbFormula1025"/>
      </mc:Fallback>
    </mc:AlternateContent>
    <mc:AlternateContent xmlns:mc="http://schemas.openxmlformats.org/markup-compatibility/2006">
      <mc:Choice Requires="x14">
        <control shapeId="7035" r:id="rId60" name="cbFormula1026">
          <controlPr defaultSize="0" linkedCell="D57" listFillRange="SYSDATA!E2:F5" r:id="rId61">
            <anchor moveWithCells="1">
              <from>
                <xdr:col>2</xdr:col>
                <xdr:colOff>0</xdr:colOff>
                <xdr:row>56</xdr:row>
                <xdr:rowOff>0</xdr:rowOff>
              </from>
              <to>
                <xdr:col>8</xdr:col>
                <xdr:colOff>38100</xdr:colOff>
                <xdr:row>57</xdr:row>
                <xdr:rowOff>0</xdr:rowOff>
              </to>
            </anchor>
          </controlPr>
        </control>
      </mc:Choice>
      <mc:Fallback>
        <control shapeId="7035" r:id="rId60" name="cbFormula1026"/>
      </mc:Fallback>
    </mc:AlternateContent>
    <mc:AlternateContent xmlns:mc="http://schemas.openxmlformats.org/markup-compatibility/2006">
      <mc:Choice Requires="x14">
        <control shapeId="7037" r:id="rId62" name="cbFormula1028">
          <controlPr defaultSize="0" linkedCell="D58" listFillRange="SYSDATA!E2:F5" r:id="rId63">
            <anchor moveWithCells="1">
              <from>
                <xdr:col>2</xdr:col>
                <xdr:colOff>0</xdr:colOff>
                <xdr:row>57</xdr:row>
                <xdr:rowOff>0</xdr:rowOff>
              </from>
              <to>
                <xdr:col>8</xdr:col>
                <xdr:colOff>38100</xdr:colOff>
                <xdr:row>58</xdr:row>
                <xdr:rowOff>0</xdr:rowOff>
              </to>
            </anchor>
          </controlPr>
        </control>
      </mc:Choice>
      <mc:Fallback>
        <control shapeId="7037" r:id="rId62" name="cbFormula1028"/>
      </mc:Fallback>
    </mc:AlternateContent>
    <mc:AlternateContent xmlns:mc="http://schemas.openxmlformats.org/markup-compatibility/2006">
      <mc:Choice Requires="x14">
        <control shapeId="7038" r:id="rId64" name="cbFormula1029">
          <controlPr defaultSize="0" linkedCell="D59" listFillRange="SYSDATA!E2:F5" r:id="rId65">
            <anchor moveWithCells="1">
              <from>
                <xdr:col>2</xdr:col>
                <xdr:colOff>0</xdr:colOff>
                <xdr:row>58</xdr:row>
                <xdr:rowOff>0</xdr:rowOff>
              </from>
              <to>
                <xdr:col>8</xdr:col>
                <xdr:colOff>38100</xdr:colOff>
                <xdr:row>59</xdr:row>
                <xdr:rowOff>0</xdr:rowOff>
              </to>
            </anchor>
          </controlPr>
        </control>
      </mc:Choice>
      <mc:Fallback>
        <control shapeId="7038" r:id="rId64" name="cbFormula1029"/>
      </mc:Fallback>
    </mc:AlternateContent>
    <mc:AlternateContent xmlns:mc="http://schemas.openxmlformats.org/markup-compatibility/2006">
      <mc:Choice Requires="x14">
        <control shapeId="7039" r:id="rId66" name="cbFormula1030">
          <controlPr defaultSize="0" linkedCell="D60" listFillRange="SYSDATA!E2:F5" r:id="rId67">
            <anchor moveWithCells="1">
              <from>
                <xdr:col>2</xdr:col>
                <xdr:colOff>0</xdr:colOff>
                <xdr:row>59</xdr:row>
                <xdr:rowOff>0</xdr:rowOff>
              </from>
              <to>
                <xdr:col>8</xdr:col>
                <xdr:colOff>38100</xdr:colOff>
                <xdr:row>60</xdr:row>
                <xdr:rowOff>0</xdr:rowOff>
              </to>
            </anchor>
          </controlPr>
        </control>
      </mc:Choice>
      <mc:Fallback>
        <control shapeId="7039" r:id="rId66" name="cbFormula1030"/>
      </mc:Fallback>
    </mc:AlternateContent>
    <mc:AlternateContent xmlns:mc="http://schemas.openxmlformats.org/markup-compatibility/2006">
      <mc:Choice Requires="x14">
        <control shapeId="7040" r:id="rId68" name="cbFormula1031">
          <controlPr defaultSize="0" linkedCell="D61" listFillRange="SYSDATA!E2:F5" r:id="rId69">
            <anchor moveWithCells="1">
              <from>
                <xdr:col>2</xdr:col>
                <xdr:colOff>0</xdr:colOff>
                <xdr:row>60</xdr:row>
                <xdr:rowOff>0</xdr:rowOff>
              </from>
              <to>
                <xdr:col>8</xdr:col>
                <xdr:colOff>38100</xdr:colOff>
                <xdr:row>61</xdr:row>
                <xdr:rowOff>0</xdr:rowOff>
              </to>
            </anchor>
          </controlPr>
        </control>
      </mc:Choice>
      <mc:Fallback>
        <control shapeId="7040" r:id="rId68" name="cbFormula1031"/>
      </mc:Fallback>
    </mc:AlternateContent>
    <mc:AlternateContent xmlns:mc="http://schemas.openxmlformats.org/markup-compatibility/2006">
      <mc:Choice Requires="x14">
        <control shapeId="7041" r:id="rId70" name="cbFormula1032">
          <controlPr defaultSize="0" linkedCell="D62" listFillRange="SYSDATA!E2:F5" r:id="rId71">
            <anchor moveWithCells="1">
              <from>
                <xdr:col>2</xdr:col>
                <xdr:colOff>0</xdr:colOff>
                <xdr:row>61</xdr:row>
                <xdr:rowOff>0</xdr:rowOff>
              </from>
              <to>
                <xdr:col>8</xdr:col>
                <xdr:colOff>38100</xdr:colOff>
                <xdr:row>62</xdr:row>
                <xdr:rowOff>0</xdr:rowOff>
              </to>
            </anchor>
          </controlPr>
        </control>
      </mc:Choice>
      <mc:Fallback>
        <control shapeId="7041" r:id="rId70" name="cbFormula1032"/>
      </mc:Fallback>
    </mc:AlternateContent>
    <mc:AlternateContent xmlns:mc="http://schemas.openxmlformats.org/markup-compatibility/2006">
      <mc:Choice Requires="x14">
        <control shapeId="7042" r:id="rId72" name="cbFormula1033">
          <controlPr defaultSize="0" linkedCell="D63" listFillRange="SYSDATA!E2:F5" r:id="rId73">
            <anchor moveWithCells="1">
              <from>
                <xdr:col>2</xdr:col>
                <xdr:colOff>0</xdr:colOff>
                <xdr:row>62</xdr:row>
                <xdr:rowOff>0</xdr:rowOff>
              </from>
              <to>
                <xdr:col>8</xdr:col>
                <xdr:colOff>38100</xdr:colOff>
                <xdr:row>64</xdr:row>
                <xdr:rowOff>0</xdr:rowOff>
              </to>
            </anchor>
          </controlPr>
        </control>
      </mc:Choice>
      <mc:Fallback>
        <control shapeId="7042" r:id="rId72" name="cbFormula1033"/>
      </mc:Fallback>
    </mc:AlternateContent>
    <mc:AlternateContent xmlns:mc="http://schemas.openxmlformats.org/markup-compatibility/2006">
      <mc:Choice Requires="x14">
        <control shapeId="7044" r:id="rId74" name="cbFormula1035">
          <controlPr defaultSize="0" linkedCell="D65" listFillRange="SYSDATA!E2:F5" r:id="rId75">
            <anchor moveWithCells="1">
              <from>
                <xdr:col>2</xdr:col>
                <xdr:colOff>0</xdr:colOff>
                <xdr:row>64</xdr:row>
                <xdr:rowOff>0</xdr:rowOff>
              </from>
              <to>
                <xdr:col>8</xdr:col>
                <xdr:colOff>38100</xdr:colOff>
                <xdr:row>66</xdr:row>
                <xdr:rowOff>0</xdr:rowOff>
              </to>
            </anchor>
          </controlPr>
        </control>
      </mc:Choice>
      <mc:Fallback>
        <control shapeId="7044" r:id="rId74" name="cbFormula1035"/>
      </mc:Fallback>
    </mc:AlternateContent>
    <mc:AlternateContent xmlns:mc="http://schemas.openxmlformats.org/markup-compatibility/2006">
      <mc:Choice Requires="x14">
        <control shapeId="7046" r:id="rId76" name="cbFormula1037">
          <controlPr defaultSize="0" linkedCell="D67" listFillRange="SYSDATA!E2:F5" r:id="rId77">
            <anchor moveWithCells="1">
              <from>
                <xdr:col>2</xdr:col>
                <xdr:colOff>0</xdr:colOff>
                <xdr:row>66</xdr:row>
                <xdr:rowOff>0</xdr:rowOff>
              </from>
              <to>
                <xdr:col>8</xdr:col>
                <xdr:colOff>38100</xdr:colOff>
                <xdr:row>67</xdr:row>
                <xdr:rowOff>0</xdr:rowOff>
              </to>
            </anchor>
          </controlPr>
        </control>
      </mc:Choice>
      <mc:Fallback>
        <control shapeId="7046" r:id="rId76" name="cbFormula1037"/>
      </mc:Fallback>
    </mc:AlternateContent>
    <mc:AlternateContent xmlns:mc="http://schemas.openxmlformats.org/markup-compatibility/2006">
      <mc:Choice Requires="x14">
        <control shapeId="7047" r:id="rId78" name="cbFormula1038">
          <controlPr defaultSize="0" linkedCell="D68" listFillRange="SYSDATA!E2:F5" r:id="rId79">
            <anchor moveWithCells="1">
              <from>
                <xdr:col>2</xdr:col>
                <xdr:colOff>0</xdr:colOff>
                <xdr:row>67</xdr:row>
                <xdr:rowOff>0</xdr:rowOff>
              </from>
              <to>
                <xdr:col>8</xdr:col>
                <xdr:colOff>38100</xdr:colOff>
                <xdr:row>70</xdr:row>
                <xdr:rowOff>0</xdr:rowOff>
              </to>
            </anchor>
          </controlPr>
        </control>
      </mc:Choice>
      <mc:Fallback>
        <control shapeId="7047" r:id="rId78" name="cbFormula1038"/>
      </mc:Fallback>
    </mc:AlternateContent>
    <mc:AlternateContent xmlns:mc="http://schemas.openxmlformats.org/markup-compatibility/2006">
      <mc:Choice Requires="x14">
        <control shapeId="7050" r:id="rId80" name="cbFormula1041">
          <controlPr defaultSize="0" linkedCell="D71" listFillRange="SYSDATA!E2:F5" r:id="rId81">
            <anchor moveWithCells="1">
              <from>
                <xdr:col>2</xdr:col>
                <xdr:colOff>0</xdr:colOff>
                <xdr:row>70</xdr:row>
                <xdr:rowOff>0</xdr:rowOff>
              </from>
              <to>
                <xdr:col>8</xdr:col>
                <xdr:colOff>38100</xdr:colOff>
                <xdr:row>71</xdr:row>
                <xdr:rowOff>0</xdr:rowOff>
              </to>
            </anchor>
          </controlPr>
        </control>
      </mc:Choice>
      <mc:Fallback>
        <control shapeId="7050" r:id="rId80" name="cbFormula1041"/>
      </mc:Fallback>
    </mc:AlternateContent>
    <mc:AlternateContent xmlns:mc="http://schemas.openxmlformats.org/markup-compatibility/2006">
      <mc:Choice Requires="x14">
        <control shapeId="7051" r:id="rId82" name="cbFormula1042">
          <controlPr defaultSize="0" linkedCell="D72" listFillRange="SYSDATA!E2:F5" r:id="rId83">
            <anchor moveWithCells="1">
              <from>
                <xdr:col>2</xdr:col>
                <xdr:colOff>0</xdr:colOff>
                <xdr:row>71</xdr:row>
                <xdr:rowOff>0</xdr:rowOff>
              </from>
              <to>
                <xdr:col>8</xdr:col>
                <xdr:colOff>38100</xdr:colOff>
                <xdr:row>75</xdr:row>
                <xdr:rowOff>0</xdr:rowOff>
              </to>
            </anchor>
          </controlPr>
        </control>
      </mc:Choice>
      <mc:Fallback>
        <control shapeId="7051" r:id="rId82" name="cbFormula1042"/>
      </mc:Fallback>
    </mc:AlternateContent>
    <mc:AlternateContent xmlns:mc="http://schemas.openxmlformats.org/markup-compatibility/2006">
      <mc:Choice Requires="x14">
        <control shapeId="7055" r:id="rId84" name="cbFormula1046">
          <controlPr defaultSize="0" linkedCell="D76" listFillRange="SYSDATA!E2:F5" r:id="rId85">
            <anchor moveWithCells="1">
              <from>
                <xdr:col>2</xdr:col>
                <xdr:colOff>0</xdr:colOff>
                <xdr:row>75</xdr:row>
                <xdr:rowOff>0</xdr:rowOff>
              </from>
              <to>
                <xdr:col>8</xdr:col>
                <xdr:colOff>38100</xdr:colOff>
                <xdr:row>76</xdr:row>
                <xdr:rowOff>0</xdr:rowOff>
              </to>
            </anchor>
          </controlPr>
        </control>
      </mc:Choice>
      <mc:Fallback>
        <control shapeId="7055" r:id="rId84" name="cbFormula1046"/>
      </mc:Fallback>
    </mc:AlternateContent>
    <mc:AlternateContent xmlns:mc="http://schemas.openxmlformats.org/markup-compatibility/2006">
      <mc:Choice Requires="x14">
        <control shapeId="7056" r:id="rId86" name="cbFormula1047">
          <controlPr defaultSize="0" linkedCell="D77" listFillRange="SYSDATA!E2:F5" r:id="rId87">
            <anchor moveWithCells="1">
              <from>
                <xdr:col>2</xdr:col>
                <xdr:colOff>0</xdr:colOff>
                <xdr:row>76</xdr:row>
                <xdr:rowOff>0</xdr:rowOff>
              </from>
              <to>
                <xdr:col>8</xdr:col>
                <xdr:colOff>38100</xdr:colOff>
                <xdr:row>77</xdr:row>
                <xdr:rowOff>0</xdr:rowOff>
              </to>
            </anchor>
          </controlPr>
        </control>
      </mc:Choice>
      <mc:Fallback>
        <control shapeId="7056" r:id="rId86" name="cbFormula1047"/>
      </mc:Fallback>
    </mc:AlternateContent>
    <mc:AlternateContent xmlns:mc="http://schemas.openxmlformats.org/markup-compatibility/2006">
      <mc:Choice Requires="x14">
        <control shapeId="7057" r:id="rId88" name="cbFormula1049">
          <controlPr defaultSize="0" linkedCell="D80" listFillRange="SYSDATA!E2:F5" r:id="rId89">
            <anchor moveWithCells="1">
              <from>
                <xdr:col>2</xdr:col>
                <xdr:colOff>0</xdr:colOff>
                <xdr:row>79</xdr:row>
                <xdr:rowOff>0</xdr:rowOff>
              </from>
              <to>
                <xdr:col>8</xdr:col>
                <xdr:colOff>38100</xdr:colOff>
                <xdr:row>80</xdr:row>
                <xdr:rowOff>0</xdr:rowOff>
              </to>
            </anchor>
          </controlPr>
        </control>
      </mc:Choice>
      <mc:Fallback>
        <control shapeId="7057" r:id="rId88" name="cbFormula1049"/>
      </mc:Fallback>
    </mc:AlternateContent>
    <mc:AlternateContent xmlns:mc="http://schemas.openxmlformats.org/markup-compatibility/2006">
      <mc:Choice Requires="x14">
        <control shapeId="7058" r:id="rId90" name="cbFormula1050">
          <controlPr defaultSize="0" linkedCell="D81" listFillRange="SYSDATA!E2:F5" r:id="rId91">
            <anchor moveWithCells="1">
              <from>
                <xdr:col>2</xdr:col>
                <xdr:colOff>0</xdr:colOff>
                <xdr:row>80</xdr:row>
                <xdr:rowOff>0</xdr:rowOff>
              </from>
              <to>
                <xdr:col>8</xdr:col>
                <xdr:colOff>38100</xdr:colOff>
                <xdr:row>81</xdr:row>
                <xdr:rowOff>0</xdr:rowOff>
              </to>
            </anchor>
          </controlPr>
        </control>
      </mc:Choice>
      <mc:Fallback>
        <control shapeId="7058" r:id="rId90" name="cbFormula1050"/>
      </mc:Fallback>
    </mc:AlternateContent>
    <mc:AlternateContent xmlns:mc="http://schemas.openxmlformats.org/markup-compatibility/2006">
      <mc:Choice Requires="x14">
        <control shapeId="7059" r:id="rId92" name="cbFormula1051">
          <controlPr defaultSize="0" linkedCell="D82" listFillRange="SYSDATA!E2:F5" r:id="rId93">
            <anchor moveWithCells="1">
              <from>
                <xdr:col>2</xdr:col>
                <xdr:colOff>0</xdr:colOff>
                <xdr:row>81</xdr:row>
                <xdr:rowOff>0</xdr:rowOff>
              </from>
              <to>
                <xdr:col>8</xdr:col>
                <xdr:colOff>38100</xdr:colOff>
                <xdr:row>82</xdr:row>
                <xdr:rowOff>0</xdr:rowOff>
              </to>
            </anchor>
          </controlPr>
        </control>
      </mc:Choice>
      <mc:Fallback>
        <control shapeId="7059" r:id="rId92" name="cbFormula1051"/>
      </mc:Fallback>
    </mc:AlternateContent>
    <mc:AlternateContent xmlns:mc="http://schemas.openxmlformats.org/markup-compatibility/2006">
      <mc:Choice Requires="x14">
        <control shapeId="7060" r:id="rId94" name="cbFormula1052">
          <controlPr defaultSize="0" linkedCell="D83" listFillRange="SYSDATA!E2:F5" r:id="rId95">
            <anchor moveWithCells="1">
              <from>
                <xdr:col>2</xdr:col>
                <xdr:colOff>0</xdr:colOff>
                <xdr:row>82</xdr:row>
                <xdr:rowOff>0</xdr:rowOff>
              </from>
              <to>
                <xdr:col>8</xdr:col>
                <xdr:colOff>38100</xdr:colOff>
                <xdr:row>83</xdr:row>
                <xdr:rowOff>0</xdr:rowOff>
              </to>
            </anchor>
          </controlPr>
        </control>
      </mc:Choice>
      <mc:Fallback>
        <control shapeId="7060" r:id="rId94" name="cbFormula1052"/>
      </mc:Fallback>
    </mc:AlternateContent>
    <mc:AlternateContent xmlns:mc="http://schemas.openxmlformats.org/markup-compatibility/2006">
      <mc:Choice Requires="x14">
        <control shapeId="7061" r:id="rId96" name="cbFormula1053">
          <controlPr defaultSize="0" linkedCell="D84" listFillRange="SYSDATA!E2:F5" r:id="rId97">
            <anchor moveWithCells="1">
              <from>
                <xdr:col>2</xdr:col>
                <xdr:colOff>0</xdr:colOff>
                <xdr:row>83</xdr:row>
                <xdr:rowOff>0</xdr:rowOff>
              </from>
              <to>
                <xdr:col>8</xdr:col>
                <xdr:colOff>38100</xdr:colOff>
                <xdr:row>84</xdr:row>
                <xdr:rowOff>0</xdr:rowOff>
              </to>
            </anchor>
          </controlPr>
        </control>
      </mc:Choice>
      <mc:Fallback>
        <control shapeId="7061" r:id="rId96" name="cbFormula1053"/>
      </mc:Fallback>
    </mc:AlternateContent>
    <mc:AlternateContent xmlns:mc="http://schemas.openxmlformats.org/markup-compatibility/2006">
      <mc:Choice Requires="x14">
        <control shapeId="7062" r:id="rId98" name="cbFormula1054">
          <controlPr defaultSize="0" linkedCell="D85" listFillRange="SYSDATA!E2:F5" r:id="rId99">
            <anchor moveWithCells="1">
              <from>
                <xdr:col>2</xdr:col>
                <xdr:colOff>0</xdr:colOff>
                <xdr:row>84</xdr:row>
                <xdr:rowOff>0</xdr:rowOff>
              </from>
              <to>
                <xdr:col>8</xdr:col>
                <xdr:colOff>38100</xdr:colOff>
                <xdr:row>85</xdr:row>
                <xdr:rowOff>0</xdr:rowOff>
              </to>
            </anchor>
          </controlPr>
        </control>
      </mc:Choice>
      <mc:Fallback>
        <control shapeId="7062" r:id="rId98" name="cbFormula1054"/>
      </mc:Fallback>
    </mc:AlternateContent>
    <mc:AlternateContent xmlns:mc="http://schemas.openxmlformats.org/markup-compatibility/2006">
      <mc:Choice Requires="x14">
        <control shapeId="7063" r:id="rId100" name="cbFormula1055">
          <controlPr defaultSize="0" linkedCell="D86" listFillRange="SYSDATA!E2:F5" r:id="rId101">
            <anchor moveWithCells="1">
              <from>
                <xdr:col>2</xdr:col>
                <xdr:colOff>0</xdr:colOff>
                <xdr:row>85</xdr:row>
                <xdr:rowOff>0</xdr:rowOff>
              </from>
              <to>
                <xdr:col>8</xdr:col>
                <xdr:colOff>38100</xdr:colOff>
                <xdr:row>100</xdr:row>
                <xdr:rowOff>0</xdr:rowOff>
              </to>
            </anchor>
          </controlPr>
        </control>
      </mc:Choice>
      <mc:Fallback>
        <control shapeId="7063" r:id="rId100" name="cbFormula1055"/>
      </mc:Fallback>
    </mc:AlternateContent>
    <mc:AlternateContent xmlns:mc="http://schemas.openxmlformats.org/markup-compatibility/2006">
      <mc:Choice Requires="x14">
        <control shapeId="7073" r:id="rId102" name="cbFormula1102">
          <controlPr defaultSize="0" linkedCell="D102" listFillRange="SYSDATA!B2:C8" r:id="rId103">
            <anchor moveWithCells="1">
              <from>
                <xdr:col>2</xdr:col>
                <xdr:colOff>9525</xdr:colOff>
                <xdr:row>101</xdr:row>
                <xdr:rowOff>0</xdr:rowOff>
              </from>
              <to>
                <xdr:col>8</xdr:col>
                <xdr:colOff>47625</xdr:colOff>
                <xdr:row>102</xdr:row>
                <xdr:rowOff>0</xdr:rowOff>
              </to>
            </anchor>
          </controlPr>
        </control>
      </mc:Choice>
      <mc:Fallback>
        <control shapeId="7073" r:id="rId102" name="cbFormula1102"/>
      </mc:Fallback>
    </mc:AlternateContent>
    <mc:AlternateContent xmlns:mc="http://schemas.openxmlformats.org/markup-compatibility/2006">
      <mc:Choice Requires="x14">
        <control shapeId="7075" r:id="rId104" name="cbFormula1101">
          <controlPr defaultSize="0" linkedCell="D101" listFillRange="SYSDATA!E2:F5" r:id="rId105">
            <anchor moveWithCells="1">
              <from>
                <xdr:col>2</xdr:col>
                <xdr:colOff>0</xdr:colOff>
                <xdr:row>100</xdr:row>
                <xdr:rowOff>0</xdr:rowOff>
              </from>
              <to>
                <xdr:col>8</xdr:col>
                <xdr:colOff>38100</xdr:colOff>
                <xdr:row>101</xdr:row>
                <xdr:rowOff>0</xdr:rowOff>
              </to>
            </anchor>
          </controlPr>
        </control>
      </mc:Choice>
      <mc:Fallback>
        <control shapeId="7075" r:id="rId104" name="cbFormula1101"/>
      </mc:Fallback>
    </mc:AlternateContent>
    <mc:AlternateContent xmlns:mc="http://schemas.openxmlformats.org/markup-compatibility/2006">
      <mc:Choice Requires="x14">
        <control shapeId="7076" r:id="rId106" name="cbFormula1103">
          <controlPr defaultSize="0" linkedCell="D105" listFillRange="SYSDATA!E2:F5" r:id="rId107">
            <anchor moveWithCells="1">
              <from>
                <xdr:col>2</xdr:col>
                <xdr:colOff>0</xdr:colOff>
                <xdr:row>104</xdr:row>
                <xdr:rowOff>0</xdr:rowOff>
              </from>
              <to>
                <xdr:col>8</xdr:col>
                <xdr:colOff>38100</xdr:colOff>
                <xdr:row>105</xdr:row>
                <xdr:rowOff>0</xdr:rowOff>
              </to>
            </anchor>
          </controlPr>
        </control>
      </mc:Choice>
      <mc:Fallback>
        <control shapeId="7076" r:id="rId106" name="cbFormula1103"/>
      </mc:Fallback>
    </mc:AlternateContent>
    <mc:AlternateContent xmlns:mc="http://schemas.openxmlformats.org/markup-compatibility/2006">
      <mc:Choice Requires="x14">
        <control shapeId="7077" r:id="rId108" name="cbFormula1104">
          <controlPr defaultSize="0" linkedCell="D106" listFillRange="SYSDATA!E2:F5" r:id="rId109">
            <anchor moveWithCells="1">
              <from>
                <xdr:col>2</xdr:col>
                <xdr:colOff>0</xdr:colOff>
                <xdr:row>105</xdr:row>
                <xdr:rowOff>0</xdr:rowOff>
              </from>
              <to>
                <xdr:col>8</xdr:col>
                <xdr:colOff>38100</xdr:colOff>
                <xdr:row>106</xdr:row>
                <xdr:rowOff>0</xdr:rowOff>
              </to>
            </anchor>
          </controlPr>
        </control>
      </mc:Choice>
      <mc:Fallback>
        <control shapeId="7077" r:id="rId108" name="cbFormula1104"/>
      </mc:Fallback>
    </mc:AlternateContent>
    <mc:AlternateContent xmlns:mc="http://schemas.openxmlformats.org/markup-compatibility/2006">
      <mc:Choice Requires="x14">
        <control shapeId="7078" r:id="rId110" name="cbFormula1105">
          <controlPr defaultSize="0" linkedCell="D107" listFillRange="SYSDATA!E2:F5" r:id="rId111">
            <anchor moveWithCells="1">
              <from>
                <xdr:col>2</xdr:col>
                <xdr:colOff>0</xdr:colOff>
                <xdr:row>106</xdr:row>
                <xdr:rowOff>0</xdr:rowOff>
              </from>
              <to>
                <xdr:col>8</xdr:col>
                <xdr:colOff>38100</xdr:colOff>
                <xdr:row>107</xdr:row>
                <xdr:rowOff>0</xdr:rowOff>
              </to>
            </anchor>
          </controlPr>
        </control>
      </mc:Choice>
      <mc:Fallback>
        <control shapeId="7078" r:id="rId110" name="cbFormula1105"/>
      </mc:Fallback>
    </mc:AlternateContent>
    <mc:AlternateContent xmlns:mc="http://schemas.openxmlformats.org/markup-compatibility/2006">
      <mc:Choice Requires="x14">
        <control shapeId="7080" r:id="rId112" name="cbFormula1107">
          <controlPr defaultSize="0" linkedCell="D108" listFillRange="SYSDATA!E2:F5" r:id="rId113">
            <anchor moveWithCells="1">
              <from>
                <xdr:col>2</xdr:col>
                <xdr:colOff>0</xdr:colOff>
                <xdr:row>107</xdr:row>
                <xdr:rowOff>0</xdr:rowOff>
              </from>
              <to>
                <xdr:col>8</xdr:col>
                <xdr:colOff>38100</xdr:colOff>
                <xdr:row>108</xdr:row>
                <xdr:rowOff>0</xdr:rowOff>
              </to>
            </anchor>
          </controlPr>
        </control>
      </mc:Choice>
      <mc:Fallback>
        <control shapeId="7080" r:id="rId112" name="cbFormula1107"/>
      </mc:Fallback>
    </mc:AlternateContent>
    <mc:AlternateContent xmlns:mc="http://schemas.openxmlformats.org/markup-compatibility/2006">
      <mc:Choice Requires="x14">
        <control shapeId="7081" r:id="rId114" name="cbFormula1108">
          <controlPr defaultSize="0" linkedCell="D109" listFillRange="SYSDATA!E2:F5" r:id="rId115">
            <anchor moveWithCells="1">
              <from>
                <xdr:col>2</xdr:col>
                <xdr:colOff>0</xdr:colOff>
                <xdr:row>108</xdr:row>
                <xdr:rowOff>0</xdr:rowOff>
              </from>
              <to>
                <xdr:col>8</xdr:col>
                <xdr:colOff>38100</xdr:colOff>
                <xdr:row>109</xdr:row>
                <xdr:rowOff>0</xdr:rowOff>
              </to>
            </anchor>
          </controlPr>
        </control>
      </mc:Choice>
      <mc:Fallback>
        <control shapeId="7081" r:id="rId114" name="cbFormula1108"/>
      </mc:Fallback>
    </mc:AlternateContent>
    <mc:AlternateContent xmlns:mc="http://schemas.openxmlformats.org/markup-compatibility/2006">
      <mc:Choice Requires="x14">
        <control shapeId="7082" r:id="rId116" name="cbFormula1109">
          <controlPr defaultSize="0" linkedCell="D110" listFillRange="SYSDATA!E2:F5" r:id="rId117">
            <anchor moveWithCells="1">
              <from>
                <xdr:col>2</xdr:col>
                <xdr:colOff>0</xdr:colOff>
                <xdr:row>109</xdr:row>
                <xdr:rowOff>0</xdr:rowOff>
              </from>
              <to>
                <xdr:col>8</xdr:col>
                <xdr:colOff>38100</xdr:colOff>
                <xdr:row>110</xdr:row>
                <xdr:rowOff>0</xdr:rowOff>
              </to>
            </anchor>
          </controlPr>
        </control>
      </mc:Choice>
      <mc:Fallback>
        <control shapeId="7082" r:id="rId116" name="cbFormula1109"/>
      </mc:Fallback>
    </mc:AlternateContent>
    <mc:AlternateContent xmlns:mc="http://schemas.openxmlformats.org/markup-compatibility/2006">
      <mc:Choice Requires="x14">
        <control shapeId="7083" r:id="rId118" name="cbFormula1110">
          <controlPr defaultSize="0" linkedCell="D111" listFillRange="SYSDATA!E2:F5" r:id="rId119">
            <anchor moveWithCells="1">
              <from>
                <xdr:col>2</xdr:col>
                <xdr:colOff>0</xdr:colOff>
                <xdr:row>110</xdr:row>
                <xdr:rowOff>0</xdr:rowOff>
              </from>
              <to>
                <xdr:col>8</xdr:col>
                <xdr:colOff>38100</xdr:colOff>
                <xdr:row>111</xdr:row>
                <xdr:rowOff>0</xdr:rowOff>
              </to>
            </anchor>
          </controlPr>
        </control>
      </mc:Choice>
      <mc:Fallback>
        <control shapeId="7083" r:id="rId118" name="cbFormula1110"/>
      </mc:Fallback>
    </mc:AlternateContent>
    <mc:AlternateContent xmlns:mc="http://schemas.openxmlformats.org/markup-compatibility/2006">
      <mc:Choice Requires="x14">
        <control shapeId="7084" r:id="rId120" name="cbFormula1111">
          <controlPr defaultSize="0" linkedCell="D112" listFillRange="SYSDATA!E2:F5" r:id="rId121">
            <anchor moveWithCells="1">
              <from>
                <xdr:col>2</xdr:col>
                <xdr:colOff>0</xdr:colOff>
                <xdr:row>111</xdr:row>
                <xdr:rowOff>0</xdr:rowOff>
              </from>
              <to>
                <xdr:col>8</xdr:col>
                <xdr:colOff>38100</xdr:colOff>
                <xdr:row>112</xdr:row>
                <xdr:rowOff>0</xdr:rowOff>
              </to>
            </anchor>
          </controlPr>
        </control>
      </mc:Choice>
      <mc:Fallback>
        <control shapeId="7084" r:id="rId120" name="cbFormula1111"/>
      </mc:Fallback>
    </mc:AlternateContent>
    <mc:AlternateContent xmlns:mc="http://schemas.openxmlformats.org/markup-compatibility/2006">
      <mc:Choice Requires="x14">
        <control shapeId="7085" r:id="rId122" name="cbFormula1112">
          <controlPr defaultSize="0" linkedCell="D113" listFillRange="SYSDATA!E2:F5" r:id="rId123">
            <anchor moveWithCells="1">
              <from>
                <xdr:col>2</xdr:col>
                <xdr:colOff>0</xdr:colOff>
                <xdr:row>112</xdr:row>
                <xdr:rowOff>0</xdr:rowOff>
              </from>
              <to>
                <xdr:col>8</xdr:col>
                <xdr:colOff>38100</xdr:colOff>
                <xdr:row>113</xdr:row>
                <xdr:rowOff>0</xdr:rowOff>
              </to>
            </anchor>
          </controlPr>
        </control>
      </mc:Choice>
      <mc:Fallback>
        <control shapeId="7085" r:id="rId122" name="cbFormula1112"/>
      </mc:Fallback>
    </mc:AlternateContent>
    <mc:AlternateContent xmlns:mc="http://schemas.openxmlformats.org/markup-compatibility/2006">
      <mc:Choice Requires="x14">
        <control shapeId="7086" r:id="rId124" name="cbFormula1113">
          <controlPr defaultSize="0" linkedCell="D114" listFillRange="SYSDATA!E2:F5" r:id="rId125">
            <anchor moveWithCells="1">
              <from>
                <xdr:col>2</xdr:col>
                <xdr:colOff>0</xdr:colOff>
                <xdr:row>113</xdr:row>
                <xdr:rowOff>0</xdr:rowOff>
              </from>
              <to>
                <xdr:col>8</xdr:col>
                <xdr:colOff>38100</xdr:colOff>
                <xdr:row>114</xdr:row>
                <xdr:rowOff>0</xdr:rowOff>
              </to>
            </anchor>
          </controlPr>
        </control>
      </mc:Choice>
      <mc:Fallback>
        <control shapeId="7086" r:id="rId124" name="cbFormula1113"/>
      </mc:Fallback>
    </mc:AlternateContent>
    <mc:AlternateContent xmlns:mc="http://schemas.openxmlformats.org/markup-compatibility/2006">
      <mc:Choice Requires="x14">
        <control shapeId="7087" r:id="rId126" name="cbFormula1114">
          <controlPr defaultSize="0" linkedCell="D115" listFillRange="SYSDATA!E2:F5" r:id="rId127">
            <anchor moveWithCells="1">
              <from>
                <xdr:col>2</xdr:col>
                <xdr:colOff>0</xdr:colOff>
                <xdr:row>114</xdr:row>
                <xdr:rowOff>0</xdr:rowOff>
              </from>
              <to>
                <xdr:col>8</xdr:col>
                <xdr:colOff>38100</xdr:colOff>
                <xdr:row>127</xdr:row>
                <xdr:rowOff>0</xdr:rowOff>
              </to>
            </anchor>
          </controlPr>
        </control>
      </mc:Choice>
      <mc:Fallback>
        <control shapeId="7087" r:id="rId126" name="cbFormula1114"/>
      </mc:Fallback>
    </mc:AlternateContent>
    <mc:AlternateContent xmlns:mc="http://schemas.openxmlformats.org/markup-compatibility/2006">
      <mc:Choice Requires="x14">
        <control shapeId="7096" r:id="rId128" name="cbFormula1130">
          <controlPr defaultSize="0" linkedCell="D138" listFillRange="SYSDATA!B2:C8" r:id="rId129">
            <anchor moveWithCells="1">
              <from>
                <xdr:col>2</xdr:col>
                <xdr:colOff>9525</xdr:colOff>
                <xdr:row>137</xdr:row>
                <xdr:rowOff>0</xdr:rowOff>
              </from>
              <to>
                <xdr:col>8</xdr:col>
                <xdr:colOff>47625</xdr:colOff>
                <xdr:row>138</xdr:row>
                <xdr:rowOff>0</xdr:rowOff>
              </to>
            </anchor>
          </controlPr>
        </control>
      </mc:Choice>
      <mc:Fallback>
        <control shapeId="7096" r:id="rId128" name="cbFormula1130"/>
      </mc:Fallback>
    </mc:AlternateContent>
    <mc:AlternateContent xmlns:mc="http://schemas.openxmlformats.org/markup-compatibility/2006">
      <mc:Choice Requires="x14">
        <control shapeId="7097" r:id="rId130" name="cbFormula1120">
          <controlPr defaultSize="0" linkedCell="D128" listFillRange="SYSDATA!E2:F5" r:id="rId131">
            <anchor moveWithCells="1">
              <from>
                <xdr:col>2</xdr:col>
                <xdr:colOff>0</xdr:colOff>
                <xdr:row>127</xdr:row>
                <xdr:rowOff>0</xdr:rowOff>
              </from>
              <to>
                <xdr:col>8</xdr:col>
                <xdr:colOff>38100</xdr:colOff>
                <xdr:row>128</xdr:row>
                <xdr:rowOff>0</xdr:rowOff>
              </to>
            </anchor>
          </controlPr>
        </control>
      </mc:Choice>
      <mc:Fallback>
        <control shapeId="7097" r:id="rId130" name="cbFormula1120"/>
      </mc:Fallback>
    </mc:AlternateContent>
    <mc:AlternateContent xmlns:mc="http://schemas.openxmlformats.org/markup-compatibility/2006">
      <mc:Choice Requires="x14">
        <control shapeId="7098" r:id="rId132" name="cbFormula1121">
          <controlPr defaultSize="0" linkedCell="D129" listFillRange="SYSDATA!E2:F5" r:id="rId133">
            <anchor moveWithCells="1">
              <from>
                <xdr:col>2</xdr:col>
                <xdr:colOff>0</xdr:colOff>
                <xdr:row>128</xdr:row>
                <xdr:rowOff>0</xdr:rowOff>
              </from>
              <to>
                <xdr:col>8</xdr:col>
                <xdr:colOff>38100</xdr:colOff>
                <xdr:row>129</xdr:row>
                <xdr:rowOff>0</xdr:rowOff>
              </to>
            </anchor>
          </controlPr>
        </control>
      </mc:Choice>
      <mc:Fallback>
        <control shapeId="7098" r:id="rId132" name="cbFormula1121"/>
      </mc:Fallback>
    </mc:AlternateContent>
    <mc:AlternateContent xmlns:mc="http://schemas.openxmlformats.org/markup-compatibility/2006">
      <mc:Choice Requires="x14">
        <control shapeId="7099" r:id="rId134" name="cbFormula1122">
          <controlPr defaultSize="0" linkedCell="D130" listFillRange="SYSDATA!E2:F5" r:id="rId135">
            <anchor moveWithCells="1">
              <from>
                <xdr:col>2</xdr:col>
                <xdr:colOff>0</xdr:colOff>
                <xdr:row>129</xdr:row>
                <xdr:rowOff>0</xdr:rowOff>
              </from>
              <to>
                <xdr:col>8</xdr:col>
                <xdr:colOff>38100</xdr:colOff>
                <xdr:row>130</xdr:row>
                <xdr:rowOff>0</xdr:rowOff>
              </to>
            </anchor>
          </controlPr>
        </control>
      </mc:Choice>
      <mc:Fallback>
        <control shapeId="7099" r:id="rId134" name="cbFormula1122"/>
      </mc:Fallback>
    </mc:AlternateContent>
    <mc:AlternateContent xmlns:mc="http://schemas.openxmlformats.org/markup-compatibility/2006">
      <mc:Choice Requires="x14">
        <control shapeId="7100" r:id="rId136" name="cbFormula1123">
          <controlPr defaultSize="0" linkedCell="D131" listFillRange="SYSDATA!E2:F5" r:id="rId137">
            <anchor moveWithCells="1">
              <from>
                <xdr:col>2</xdr:col>
                <xdr:colOff>0</xdr:colOff>
                <xdr:row>130</xdr:row>
                <xdr:rowOff>0</xdr:rowOff>
              </from>
              <to>
                <xdr:col>8</xdr:col>
                <xdr:colOff>38100</xdr:colOff>
                <xdr:row>131</xdr:row>
                <xdr:rowOff>0</xdr:rowOff>
              </to>
            </anchor>
          </controlPr>
        </control>
      </mc:Choice>
      <mc:Fallback>
        <control shapeId="7100" r:id="rId136" name="cbFormula1123"/>
      </mc:Fallback>
    </mc:AlternateContent>
    <mc:AlternateContent xmlns:mc="http://schemas.openxmlformats.org/markup-compatibility/2006">
      <mc:Choice Requires="x14">
        <control shapeId="7101" r:id="rId138" name="cbFormula1124">
          <controlPr defaultSize="0" linkedCell="D132" listFillRange="SYSDATA!E2:F5" r:id="rId139">
            <anchor moveWithCells="1">
              <from>
                <xdr:col>2</xdr:col>
                <xdr:colOff>0</xdr:colOff>
                <xdr:row>131</xdr:row>
                <xdr:rowOff>0</xdr:rowOff>
              </from>
              <to>
                <xdr:col>8</xdr:col>
                <xdr:colOff>38100</xdr:colOff>
                <xdr:row>132</xdr:row>
                <xdr:rowOff>0</xdr:rowOff>
              </to>
            </anchor>
          </controlPr>
        </control>
      </mc:Choice>
      <mc:Fallback>
        <control shapeId="7101" r:id="rId138" name="cbFormula1124"/>
      </mc:Fallback>
    </mc:AlternateContent>
    <mc:AlternateContent xmlns:mc="http://schemas.openxmlformats.org/markup-compatibility/2006">
      <mc:Choice Requires="x14">
        <control shapeId="7102" r:id="rId140" name="cbFormula1125">
          <controlPr defaultSize="0" linkedCell="D133" listFillRange="SYSDATA!E2:F5" r:id="rId141">
            <anchor moveWithCells="1">
              <from>
                <xdr:col>2</xdr:col>
                <xdr:colOff>0</xdr:colOff>
                <xdr:row>132</xdr:row>
                <xdr:rowOff>0</xdr:rowOff>
              </from>
              <to>
                <xdr:col>8</xdr:col>
                <xdr:colOff>38100</xdr:colOff>
                <xdr:row>133</xdr:row>
                <xdr:rowOff>0</xdr:rowOff>
              </to>
            </anchor>
          </controlPr>
        </control>
      </mc:Choice>
      <mc:Fallback>
        <control shapeId="7102" r:id="rId140" name="cbFormula1125"/>
      </mc:Fallback>
    </mc:AlternateContent>
    <mc:AlternateContent xmlns:mc="http://schemas.openxmlformats.org/markup-compatibility/2006">
      <mc:Choice Requires="x14">
        <control shapeId="7103" r:id="rId142" name="cbFormula1126">
          <controlPr defaultSize="0" linkedCell="D134" listFillRange="SYSDATA!E2:F5" r:id="rId143">
            <anchor moveWithCells="1">
              <from>
                <xdr:col>2</xdr:col>
                <xdr:colOff>0</xdr:colOff>
                <xdr:row>133</xdr:row>
                <xdr:rowOff>0</xdr:rowOff>
              </from>
              <to>
                <xdr:col>8</xdr:col>
                <xdr:colOff>38100</xdr:colOff>
                <xdr:row>135</xdr:row>
                <xdr:rowOff>0</xdr:rowOff>
              </to>
            </anchor>
          </controlPr>
        </control>
      </mc:Choice>
      <mc:Fallback>
        <control shapeId="7103" r:id="rId142" name="cbFormula1126"/>
      </mc:Fallback>
    </mc:AlternateContent>
    <mc:AlternateContent xmlns:mc="http://schemas.openxmlformats.org/markup-compatibility/2006">
      <mc:Choice Requires="x14">
        <control shapeId="7105" r:id="rId144" name="cbFormula1128">
          <controlPr defaultSize="0" linkedCell="D136" listFillRange="SYSDATA!E2:F5" r:id="rId145">
            <anchor moveWithCells="1">
              <from>
                <xdr:col>2</xdr:col>
                <xdr:colOff>0</xdr:colOff>
                <xdr:row>135</xdr:row>
                <xdr:rowOff>0</xdr:rowOff>
              </from>
              <to>
                <xdr:col>8</xdr:col>
                <xdr:colOff>38100</xdr:colOff>
                <xdr:row>136</xdr:row>
                <xdr:rowOff>0</xdr:rowOff>
              </to>
            </anchor>
          </controlPr>
        </control>
      </mc:Choice>
      <mc:Fallback>
        <control shapeId="7105" r:id="rId144" name="cbFormula1128"/>
      </mc:Fallback>
    </mc:AlternateContent>
    <mc:AlternateContent xmlns:mc="http://schemas.openxmlformats.org/markup-compatibility/2006">
      <mc:Choice Requires="x14">
        <control shapeId="7106" r:id="rId146" name="cbFormula1129">
          <controlPr defaultSize="0" linkedCell="D137" listFillRange="SYSDATA!E2:F5" r:id="rId147">
            <anchor moveWithCells="1">
              <from>
                <xdr:col>2</xdr:col>
                <xdr:colOff>0</xdr:colOff>
                <xdr:row>136</xdr:row>
                <xdr:rowOff>0</xdr:rowOff>
              </from>
              <to>
                <xdr:col>8</xdr:col>
                <xdr:colOff>38100</xdr:colOff>
                <xdr:row>137</xdr:row>
                <xdr:rowOff>0</xdr:rowOff>
              </to>
            </anchor>
          </controlPr>
        </control>
      </mc:Choice>
      <mc:Fallback>
        <control shapeId="7106" r:id="rId146" name="cbFormula1129"/>
      </mc:Fallback>
    </mc:AlternateContent>
    <mc:AlternateContent xmlns:mc="http://schemas.openxmlformats.org/markup-compatibility/2006">
      <mc:Choice Requires="x14">
        <control shapeId="7108" r:id="rId148" name="cbFormula1132">
          <controlPr defaultSize="0" linkedCell="D141" listFillRange="SYSDATA!E2:F5" r:id="rId149">
            <anchor moveWithCells="1">
              <from>
                <xdr:col>2</xdr:col>
                <xdr:colOff>0</xdr:colOff>
                <xdr:row>140</xdr:row>
                <xdr:rowOff>0</xdr:rowOff>
              </from>
              <to>
                <xdr:col>8</xdr:col>
                <xdr:colOff>38100</xdr:colOff>
                <xdr:row>149</xdr:row>
                <xdr:rowOff>0</xdr:rowOff>
              </to>
            </anchor>
          </controlPr>
        </control>
      </mc:Choice>
      <mc:Fallback>
        <control shapeId="7108" r:id="rId148" name="cbFormula1132"/>
      </mc:Fallback>
    </mc:AlternateContent>
    <mc:AlternateContent xmlns:mc="http://schemas.openxmlformats.org/markup-compatibility/2006">
      <mc:Choice Requires="x14">
        <control shapeId="7120" r:id="rId150" name="cbFormula1207">
          <controlPr defaultSize="0" linkedCell="D159" listFillRange="SYSDATA!E2:F5" r:id="rId151">
            <anchor moveWithCells="1">
              <from>
                <xdr:col>2</xdr:col>
                <xdr:colOff>9525</xdr:colOff>
                <xdr:row>158</xdr:row>
                <xdr:rowOff>9525</xdr:rowOff>
              </from>
              <to>
                <xdr:col>8</xdr:col>
                <xdr:colOff>47625</xdr:colOff>
                <xdr:row>159</xdr:row>
                <xdr:rowOff>9525</xdr:rowOff>
              </to>
            </anchor>
          </controlPr>
        </control>
      </mc:Choice>
      <mc:Fallback>
        <control shapeId="7120" r:id="rId150" name="cbFormula1207"/>
      </mc:Fallback>
    </mc:AlternateContent>
    <mc:AlternateContent xmlns:mc="http://schemas.openxmlformats.org/markup-compatibility/2006">
      <mc:Choice Requires="x14">
        <control shapeId="7121" r:id="rId152" name="cbFormula1208">
          <controlPr defaultSize="0" linkedCell="D160" listFillRange="SYSDATA!E2:F5" r:id="rId153">
            <anchor moveWithCells="1">
              <from>
                <xdr:col>2</xdr:col>
                <xdr:colOff>9525</xdr:colOff>
                <xdr:row>159</xdr:row>
                <xdr:rowOff>9525</xdr:rowOff>
              </from>
              <to>
                <xdr:col>8</xdr:col>
                <xdr:colOff>47625</xdr:colOff>
                <xdr:row>160</xdr:row>
                <xdr:rowOff>9525</xdr:rowOff>
              </to>
            </anchor>
          </controlPr>
        </control>
      </mc:Choice>
      <mc:Fallback>
        <control shapeId="7121" r:id="rId152" name="cbFormula1208"/>
      </mc:Fallback>
    </mc:AlternateContent>
    <mc:AlternateContent xmlns:mc="http://schemas.openxmlformats.org/markup-compatibility/2006">
      <mc:Choice Requires="x14">
        <control shapeId="7122" r:id="rId154" name="cbNewYearSheets">
          <controlPr defaultSize="0" r:id="rId155">
            <anchor moveWithCells="1">
              <from>
                <xdr:col>15</xdr:col>
                <xdr:colOff>0</xdr:colOff>
                <xdr:row>0</xdr:row>
                <xdr:rowOff>85725</xdr:rowOff>
              </from>
              <to>
                <xdr:col>16</xdr:col>
                <xdr:colOff>514350</xdr:colOff>
                <xdr:row>0</xdr:row>
                <xdr:rowOff>333375</xdr:rowOff>
              </to>
            </anchor>
          </controlPr>
        </control>
      </mc:Choice>
      <mc:Fallback>
        <control shapeId="7122" r:id="rId154" name="cbNewYearSheets"/>
      </mc:Fallback>
    </mc:AlternateContent>
    <mc:AlternateContent xmlns:mc="http://schemas.openxmlformats.org/markup-compatibility/2006">
      <mc:Choice Requires="x14">
        <control shapeId="7163" r:id="rId156" name="cbFormula1209">
          <controlPr defaultSize="0" linkedCell="D52" listFillRange="SYSDATA!E2:F5" r:id="rId157">
            <anchor moveWithCells="1">
              <from>
                <xdr:col>2</xdr:col>
                <xdr:colOff>0</xdr:colOff>
                <xdr:row>51</xdr:row>
                <xdr:rowOff>0</xdr:rowOff>
              </from>
              <to>
                <xdr:col>8</xdr:col>
                <xdr:colOff>38100</xdr:colOff>
                <xdr:row>52</xdr:row>
                <xdr:rowOff>0</xdr:rowOff>
              </to>
            </anchor>
          </controlPr>
        </control>
      </mc:Choice>
      <mc:Fallback>
        <control shapeId="7163" r:id="rId156" name="cbFormula1209"/>
      </mc:Fallback>
    </mc:AlternateContent>
    <mc:AlternateContent xmlns:mc="http://schemas.openxmlformats.org/markup-compatibility/2006">
      <mc:Choice Requires="x14">
        <control shapeId="7164" r:id="rId158" name="cbFormula210">
          <controlPr defaultSize="0" linkedCell="D104" listFillRange="SYSDATA!E2:F5" r:id="rId159">
            <anchor moveWithCells="1">
              <from>
                <xdr:col>2</xdr:col>
                <xdr:colOff>0</xdr:colOff>
                <xdr:row>103</xdr:row>
                <xdr:rowOff>0</xdr:rowOff>
              </from>
              <to>
                <xdr:col>8</xdr:col>
                <xdr:colOff>38100</xdr:colOff>
                <xdr:row>104</xdr:row>
                <xdr:rowOff>0</xdr:rowOff>
              </to>
            </anchor>
          </controlPr>
        </control>
      </mc:Choice>
      <mc:Fallback>
        <control shapeId="7164" r:id="rId158" name="cbFormula210"/>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59999389629810485"/>
  </sheetPr>
  <dimension ref="A1:P36"/>
  <sheetViews>
    <sheetView workbookViewId="0">
      <selection activeCell="R15" sqref="R15"/>
    </sheetView>
  </sheetViews>
  <sheetFormatPr defaultRowHeight="14.25"/>
  <cols>
    <col min="1" max="1" width="9" style="1695"/>
    <col min="2" max="2" width="13.125" style="1695" customWidth="1"/>
    <col min="3" max="3" width="10.5" style="1695" customWidth="1"/>
    <col min="4" max="4" width="11.375" style="1695" bestFit="1" customWidth="1"/>
    <col min="5" max="5" width="9" style="1695"/>
    <col min="6" max="6" width="11.75" style="1695" customWidth="1"/>
    <col min="7" max="7" width="9" style="1695"/>
    <col min="8" max="8" width="10.75" style="1695" customWidth="1"/>
    <col min="9" max="9" width="9" style="1695"/>
    <col min="10" max="10" width="11.5" style="1695" customWidth="1"/>
    <col min="11" max="11" width="8.75" style="1695" customWidth="1"/>
    <col min="12" max="12" width="0" style="1695" hidden="1" customWidth="1"/>
    <col min="13" max="13" width="9" style="1695" customWidth="1"/>
    <col min="14" max="14" width="10.125" style="1695" customWidth="1"/>
    <col min="15" max="15" width="10.75" style="1695" customWidth="1"/>
    <col min="16" max="16384" width="9" style="1695"/>
  </cols>
  <sheetData>
    <row r="1" spans="1:15" ht="15" thickBot="1">
      <c r="A1" s="1693" t="s">
        <v>1092</v>
      </c>
      <c r="B1" s="1694"/>
      <c r="C1" s="1694"/>
      <c r="D1" s="1694"/>
      <c r="E1" s="1694"/>
      <c r="F1" s="1694"/>
      <c r="G1" s="1694"/>
      <c r="H1" s="1694"/>
      <c r="I1" s="1694"/>
      <c r="J1" s="1694"/>
      <c r="K1" s="1694"/>
      <c r="L1" s="1694"/>
      <c r="M1" s="1694"/>
    </row>
    <row r="2" spans="1:15" ht="42.75">
      <c r="A2" s="1717" t="s">
        <v>1093</v>
      </c>
      <c r="B2" s="1718" t="s">
        <v>1094</v>
      </c>
      <c r="C2" s="1718" t="s">
        <v>1095</v>
      </c>
      <c r="D2" s="1719" t="s">
        <v>1096</v>
      </c>
      <c r="E2" s="1719" t="s">
        <v>1097</v>
      </c>
      <c r="F2" s="1719" t="s">
        <v>1098</v>
      </c>
      <c r="G2" s="1719" t="s">
        <v>1099</v>
      </c>
      <c r="H2" s="1719" t="s">
        <v>78</v>
      </c>
      <c r="I2" s="1719" t="s">
        <v>620</v>
      </c>
      <c r="J2" s="1718" t="s">
        <v>1100</v>
      </c>
      <c r="K2" s="1718" t="s">
        <v>1101</v>
      </c>
      <c r="L2" s="1718" t="s">
        <v>1120</v>
      </c>
      <c r="M2" s="1718"/>
      <c r="N2" s="1718" t="s">
        <v>1119</v>
      </c>
      <c r="O2" s="1720" t="s">
        <v>1102</v>
      </c>
    </row>
    <row r="3" spans="1:15" ht="15">
      <c r="A3" s="1709">
        <v>1</v>
      </c>
      <c r="B3" s="1703" t="s">
        <v>1112</v>
      </c>
      <c r="C3" s="1703" t="s">
        <v>1105</v>
      </c>
      <c r="D3" s="1704">
        <v>100</v>
      </c>
      <c r="E3" s="1704"/>
      <c r="F3" s="1704">
        <v>100</v>
      </c>
      <c r="G3" s="1704">
        <v>100</v>
      </c>
      <c r="H3" s="1704">
        <v>100</v>
      </c>
      <c r="I3" s="1705">
        <v>10</v>
      </c>
      <c r="J3" s="1703" t="s">
        <v>1113</v>
      </c>
      <c r="K3" s="1703" t="s">
        <v>1107</v>
      </c>
      <c r="L3" s="1706"/>
      <c r="M3" s="1706"/>
      <c r="N3" s="1707">
        <f>H3*IF($K3="是",100,0)/100*IF($K3="是",1,0)</f>
        <v>100</v>
      </c>
      <c r="O3" s="1710">
        <f>I3*$D3/100*IF($K3="是",1,0)</f>
        <v>10</v>
      </c>
    </row>
    <row r="4" spans="1:15" ht="15">
      <c r="A4" s="1709">
        <v>2</v>
      </c>
      <c r="B4" s="1703" t="s">
        <v>1104</v>
      </c>
      <c r="C4" s="1703" t="s">
        <v>1105</v>
      </c>
      <c r="D4" s="1704">
        <v>100</v>
      </c>
      <c r="E4" s="1704"/>
      <c r="F4" s="1704">
        <v>100</v>
      </c>
      <c r="G4" s="1704">
        <v>100</v>
      </c>
      <c r="H4" s="1704">
        <v>100</v>
      </c>
      <c r="I4" s="1705">
        <v>10</v>
      </c>
      <c r="J4" s="1703" t="s">
        <v>1114</v>
      </c>
      <c r="K4" s="1703" t="s">
        <v>1107</v>
      </c>
      <c r="L4" s="1706"/>
      <c r="M4" s="1706"/>
      <c r="N4" s="1707">
        <f t="shared" ref="N4:N32" si="0">H4*IF($K4="是",100,0)/100*IF($K4="是",1,0)</f>
        <v>100</v>
      </c>
      <c r="O4" s="1710">
        <f t="shared" ref="O4:O27" si="1">I4*$D4/100*IF($K4="是",1,0)</f>
        <v>10</v>
      </c>
    </row>
    <row r="5" spans="1:15" ht="15">
      <c r="A5" s="1709">
        <v>3</v>
      </c>
      <c r="B5" s="1703" t="s">
        <v>1115</v>
      </c>
      <c r="C5" s="1703" t="s">
        <v>1105</v>
      </c>
      <c r="D5" s="1704">
        <v>100</v>
      </c>
      <c r="E5" s="1704"/>
      <c r="F5" s="1704">
        <v>100</v>
      </c>
      <c r="G5" s="1704">
        <v>100</v>
      </c>
      <c r="H5" s="1704">
        <v>100</v>
      </c>
      <c r="I5" s="1705">
        <v>10</v>
      </c>
      <c r="J5" s="1703" t="s">
        <v>1106</v>
      </c>
      <c r="K5" s="1703" t="s">
        <v>1107</v>
      </c>
      <c r="L5" s="1706"/>
      <c r="M5" s="1706"/>
      <c r="N5" s="1707">
        <f t="shared" si="0"/>
        <v>100</v>
      </c>
      <c r="O5" s="1710">
        <f t="shared" si="1"/>
        <v>10</v>
      </c>
    </row>
    <row r="6" spans="1:15" ht="15">
      <c r="A6" s="1709">
        <v>4</v>
      </c>
      <c r="B6" s="1703" t="s">
        <v>1108</v>
      </c>
      <c r="C6" s="1703" t="s">
        <v>1105</v>
      </c>
      <c r="D6" s="1704">
        <v>100</v>
      </c>
      <c r="E6" s="1704"/>
      <c r="F6" s="1704">
        <v>100</v>
      </c>
      <c r="G6" s="1704">
        <v>100</v>
      </c>
      <c r="H6" s="1704">
        <v>100</v>
      </c>
      <c r="I6" s="1705">
        <v>10</v>
      </c>
      <c r="J6" s="1703" t="s">
        <v>1109</v>
      </c>
      <c r="K6" s="1703" t="s">
        <v>1107</v>
      </c>
      <c r="L6" s="1706"/>
      <c r="M6" s="1706"/>
      <c r="N6" s="1707">
        <f t="shared" si="0"/>
        <v>100</v>
      </c>
      <c r="O6" s="1710">
        <f t="shared" si="1"/>
        <v>10</v>
      </c>
    </row>
    <row r="7" spans="1:15" ht="15">
      <c r="A7" s="1709">
        <v>5</v>
      </c>
      <c r="B7" s="1703" t="s">
        <v>1116</v>
      </c>
      <c r="C7" s="1703" t="s">
        <v>1105</v>
      </c>
      <c r="D7" s="1704">
        <v>100</v>
      </c>
      <c r="E7" s="1704"/>
      <c r="F7" s="1704">
        <v>100</v>
      </c>
      <c r="G7" s="1704">
        <v>100</v>
      </c>
      <c r="H7" s="1704">
        <v>100</v>
      </c>
      <c r="I7" s="1705">
        <v>10</v>
      </c>
      <c r="J7" s="1703" t="s">
        <v>1109</v>
      </c>
      <c r="K7" s="1703" t="s">
        <v>1107</v>
      </c>
      <c r="L7" s="1706"/>
      <c r="M7" s="1706"/>
      <c r="N7" s="1707">
        <f t="shared" si="0"/>
        <v>100</v>
      </c>
      <c r="O7" s="1710">
        <f>I7*$D7/100*IF($K7="是",1,0)</f>
        <v>10</v>
      </c>
    </row>
    <row r="8" spans="1:15" ht="15">
      <c r="A8" s="1709">
        <v>6</v>
      </c>
      <c r="B8" s="1703" t="s">
        <v>1110</v>
      </c>
      <c r="C8" s="1703" t="s">
        <v>1105</v>
      </c>
      <c r="D8" s="1704">
        <v>100</v>
      </c>
      <c r="E8" s="1704"/>
      <c r="F8" s="1704">
        <v>100</v>
      </c>
      <c r="G8" s="1704">
        <v>100</v>
      </c>
      <c r="H8" s="1704">
        <v>100</v>
      </c>
      <c r="I8" s="1705">
        <v>10</v>
      </c>
      <c r="J8" s="1703" t="s">
        <v>1117</v>
      </c>
      <c r="K8" s="1703" t="s">
        <v>1107</v>
      </c>
      <c r="L8" s="1706"/>
      <c r="M8" s="1706"/>
      <c r="N8" s="1707">
        <f t="shared" si="0"/>
        <v>100</v>
      </c>
      <c r="O8" s="1710">
        <f t="shared" si="1"/>
        <v>10</v>
      </c>
    </row>
    <row r="9" spans="1:15" ht="15">
      <c r="A9" s="1709">
        <v>7</v>
      </c>
      <c r="B9" s="1703" t="s">
        <v>1108</v>
      </c>
      <c r="C9" s="1703" t="s">
        <v>1105</v>
      </c>
      <c r="D9" s="1704">
        <v>100</v>
      </c>
      <c r="E9" s="1704"/>
      <c r="F9" s="1704">
        <v>100</v>
      </c>
      <c r="G9" s="1704">
        <v>100</v>
      </c>
      <c r="H9" s="1704">
        <v>100</v>
      </c>
      <c r="I9" s="1705">
        <v>10</v>
      </c>
      <c r="J9" s="1703" t="s">
        <v>1111</v>
      </c>
      <c r="K9" s="1703" t="s">
        <v>1107</v>
      </c>
      <c r="L9" s="1706"/>
      <c r="M9" s="1706"/>
      <c r="N9" s="1707">
        <f t="shared" si="0"/>
        <v>100</v>
      </c>
      <c r="O9" s="1710">
        <f t="shared" si="1"/>
        <v>10</v>
      </c>
    </row>
    <row r="10" spans="1:15" ht="15">
      <c r="A10" s="1709">
        <v>8</v>
      </c>
      <c r="B10" s="1703" t="s">
        <v>1108</v>
      </c>
      <c r="C10" s="1703" t="s">
        <v>1105</v>
      </c>
      <c r="D10" s="1704">
        <v>100</v>
      </c>
      <c r="E10" s="1704"/>
      <c r="F10" s="1704">
        <v>100</v>
      </c>
      <c r="G10" s="1704">
        <v>100</v>
      </c>
      <c r="H10" s="1704">
        <v>100</v>
      </c>
      <c r="I10" s="1705">
        <v>10</v>
      </c>
      <c r="J10" s="1703" t="s">
        <v>1109</v>
      </c>
      <c r="K10" s="1703" t="s">
        <v>1107</v>
      </c>
      <c r="L10" s="1706"/>
      <c r="M10" s="1706"/>
      <c r="N10" s="1707">
        <f t="shared" si="0"/>
        <v>100</v>
      </c>
      <c r="O10" s="1710">
        <f t="shared" si="1"/>
        <v>10</v>
      </c>
    </row>
    <row r="11" spans="1:15" ht="15">
      <c r="A11" s="1709">
        <v>9</v>
      </c>
      <c r="B11" s="1703" t="s">
        <v>1110</v>
      </c>
      <c r="C11" s="1703" t="s">
        <v>1105</v>
      </c>
      <c r="D11" s="1704">
        <v>100</v>
      </c>
      <c r="E11" s="1704"/>
      <c r="F11" s="1704">
        <v>100</v>
      </c>
      <c r="G11" s="1704">
        <v>100</v>
      </c>
      <c r="H11" s="1704">
        <v>100</v>
      </c>
      <c r="I11" s="1705">
        <v>10</v>
      </c>
      <c r="J11" s="1703" t="s">
        <v>1109</v>
      </c>
      <c r="K11" s="1703" t="s">
        <v>1107</v>
      </c>
      <c r="L11" s="1706"/>
      <c r="M11" s="1706"/>
      <c r="N11" s="1707">
        <f t="shared" si="0"/>
        <v>100</v>
      </c>
      <c r="O11" s="1710">
        <f t="shared" si="1"/>
        <v>10</v>
      </c>
    </row>
    <row r="12" spans="1:15" ht="15">
      <c r="A12" s="1709">
        <v>10</v>
      </c>
      <c r="B12" s="1703" t="s">
        <v>1118</v>
      </c>
      <c r="C12" s="1703" t="s">
        <v>1105</v>
      </c>
      <c r="D12" s="1704">
        <v>100</v>
      </c>
      <c r="E12" s="1704"/>
      <c r="F12" s="1704">
        <v>100</v>
      </c>
      <c r="G12" s="1704">
        <v>100</v>
      </c>
      <c r="H12" s="1704">
        <v>100</v>
      </c>
      <c r="I12" s="1705">
        <v>10</v>
      </c>
      <c r="J12" s="1703" t="s">
        <v>1111</v>
      </c>
      <c r="K12" s="1703" t="s">
        <v>1107</v>
      </c>
      <c r="L12" s="1706"/>
      <c r="M12" s="1706"/>
      <c r="N12" s="1707">
        <f t="shared" si="0"/>
        <v>100</v>
      </c>
      <c r="O12" s="1710">
        <f t="shared" si="1"/>
        <v>10</v>
      </c>
    </row>
    <row r="13" spans="1:15" ht="15">
      <c r="A13" s="1709">
        <v>11</v>
      </c>
      <c r="B13" s="1703" t="s">
        <v>1108</v>
      </c>
      <c r="C13" s="1703" t="s">
        <v>1105</v>
      </c>
      <c r="D13" s="1704">
        <v>100</v>
      </c>
      <c r="E13" s="1704"/>
      <c r="F13" s="1704">
        <v>100</v>
      </c>
      <c r="G13" s="1704">
        <v>100</v>
      </c>
      <c r="H13" s="1704">
        <v>100</v>
      </c>
      <c r="I13" s="1705">
        <v>10</v>
      </c>
      <c r="J13" s="1703" t="s">
        <v>1106</v>
      </c>
      <c r="K13" s="1703" t="s">
        <v>1107</v>
      </c>
      <c r="L13" s="1706"/>
      <c r="M13" s="1706"/>
      <c r="N13" s="1707">
        <f t="shared" si="0"/>
        <v>100</v>
      </c>
      <c r="O13" s="1710">
        <f t="shared" si="1"/>
        <v>10</v>
      </c>
    </row>
    <row r="14" spans="1:15" ht="15">
      <c r="A14" s="1709">
        <v>12</v>
      </c>
      <c r="B14" s="1703" t="s">
        <v>1108</v>
      </c>
      <c r="C14" s="1703" t="s">
        <v>1105</v>
      </c>
      <c r="D14" s="1704">
        <v>100</v>
      </c>
      <c r="E14" s="1704"/>
      <c r="F14" s="1704">
        <v>100</v>
      </c>
      <c r="G14" s="1704">
        <v>100</v>
      </c>
      <c r="H14" s="1704">
        <v>100</v>
      </c>
      <c r="I14" s="1705">
        <v>10</v>
      </c>
      <c r="J14" s="1703" t="s">
        <v>1111</v>
      </c>
      <c r="K14" s="1703" t="s">
        <v>1107</v>
      </c>
      <c r="L14" s="1706"/>
      <c r="M14" s="1706"/>
      <c r="N14" s="1707">
        <f t="shared" si="0"/>
        <v>100</v>
      </c>
      <c r="O14" s="1710">
        <f t="shared" si="1"/>
        <v>10</v>
      </c>
    </row>
    <row r="15" spans="1:15" ht="15">
      <c r="A15" s="1709">
        <v>13</v>
      </c>
      <c r="B15" s="1703" t="s">
        <v>1110</v>
      </c>
      <c r="C15" s="1703" t="s">
        <v>1105</v>
      </c>
      <c r="D15" s="1704">
        <v>100</v>
      </c>
      <c r="E15" s="1704"/>
      <c r="F15" s="1704">
        <v>100</v>
      </c>
      <c r="G15" s="1704">
        <v>100</v>
      </c>
      <c r="H15" s="1704">
        <v>100</v>
      </c>
      <c r="I15" s="1705">
        <v>10</v>
      </c>
      <c r="J15" s="1703" t="s">
        <v>1109</v>
      </c>
      <c r="K15" s="1703" t="s">
        <v>1107</v>
      </c>
      <c r="L15" s="1706"/>
      <c r="M15" s="1706"/>
      <c r="N15" s="1707">
        <f t="shared" si="0"/>
        <v>100</v>
      </c>
      <c r="O15" s="1710">
        <f t="shared" si="1"/>
        <v>10</v>
      </c>
    </row>
    <row r="16" spans="1:15" ht="15">
      <c r="A16" s="1709">
        <v>14</v>
      </c>
      <c r="B16" s="1703" t="s">
        <v>1110</v>
      </c>
      <c r="C16" s="1703" t="s">
        <v>1105</v>
      </c>
      <c r="D16" s="1704">
        <v>100</v>
      </c>
      <c r="E16" s="1704"/>
      <c r="F16" s="1704">
        <v>100</v>
      </c>
      <c r="G16" s="1704">
        <v>100</v>
      </c>
      <c r="H16" s="1704">
        <v>100</v>
      </c>
      <c r="I16" s="1705">
        <v>10</v>
      </c>
      <c r="J16" s="1703" t="s">
        <v>1106</v>
      </c>
      <c r="K16" s="1703" t="s">
        <v>1107</v>
      </c>
      <c r="L16" s="1706"/>
      <c r="M16" s="1706"/>
      <c r="N16" s="1707">
        <f t="shared" si="0"/>
        <v>100</v>
      </c>
      <c r="O16" s="1710">
        <f t="shared" si="1"/>
        <v>10</v>
      </c>
    </row>
    <row r="17" spans="1:16" ht="15">
      <c r="A17" s="1709">
        <v>15</v>
      </c>
      <c r="B17" s="1703" t="s">
        <v>1110</v>
      </c>
      <c r="C17" s="1703" t="s">
        <v>1105</v>
      </c>
      <c r="D17" s="1704">
        <v>100</v>
      </c>
      <c r="E17" s="1704"/>
      <c r="F17" s="1704">
        <v>100</v>
      </c>
      <c r="G17" s="1704">
        <v>100</v>
      </c>
      <c r="H17" s="1704">
        <v>100</v>
      </c>
      <c r="I17" s="1705">
        <v>10</v>
      </c>
      <c r="J17" s="1703" t="s">
        <v>1111</v>
      </c>
      <c r="K17" s="1703" t="s">
        <v>1107</v>
      </c>
      <c r="L17" s="1706"/>
      <c r="M17" s="1706"/>
      <c r="N17" s="1707">
        <f t="shared" si="0"/>
        <v>100</v>
      </c>
      <c r="O17" s="1710">
        <f t="shared" si="1"/>
        <v>10</v>
      </c>
    </row>
    <row r="18" spans="1:16" ht="15">
      <c r="A18" s="1709">
        <v>16</v>
      </c>
      <c r="B18" s="1703" t="s">
        <v>1110</v>
      </c>
      <c r="C18" s="1703" t="s">
        <v>1105</v>
      </c>
      <c r="D18" s="1704">
        <v>100</v>
      </c>
      <c r="E18" s="1704"/>
      <c r="F18" s="1704">
        <v>100</v>
      </c>
      <c r="G18" s="1704">
        <v>100</v>
      </c>
      <c r="H18" s="1704">
        <v>100</v>
      </c>
      <c r="I18" s="1705">
        <v>10</v>
      </c>
      <c r="J18" s="1703" t="s">
        <v>1109</v>
      </c>
      <c r="K18" s="1703" t="s">
        <v>1107</v>
      </c>
      <c r="L18" s="1706"/>
      <c r="M18" s="1706"/>
      <c r="N18" s="1707">
        <f t="shared" si="0"/>
        <v>100</v>
      </c>
      <c r="O18" s="1710">
        <f t="shared" si="1"/>
        <v>10</v>
      </c>
    </row>
    <row r="19" spans="1:16" ht="15">
      <c r="A19" s="1709">
        <v>17</v>
      </c>
      <c r="B19" s="1703" t="s">
        <v>1108</v>
      </c>
      <c r="C19" s="1703" t="s">
        <v>1105</v>
      </c>
      <c r="D19" s="1704">
        <v>100</v>
      </c>
      <c r="E19" s="1704"/>
      <c r="F19" s="1704">
        <v>100</v>
      </c>
      <c r="G19" s="1704">
        <v>100</v>
      </c>
      <c r="H19" s="1704">
        <v>100</v>
      </c>
      <c r="I19" s="1705">
        <v>10</v>
      </c>
      <c r="J19" s="1703" t="s">
        <v>1109</v>
      </c>
      <c r="K19" s="1703" t="s">
        <v>1107</v>
      </c>
      <c r="L19" s="1706"/>
      <c r="M19" s="1706"/>
      <c r="N19" s="1707">
        <f t="shared" si="0"/>
        <v>100</v>
      </c>
      <c r="O19" s="1710">
        <f t="shared" si="1"/>
        <v>10</v>
      </c>
    </row>
    <row r="20" spans="1:16" ht="15">
      <c r="A20" s="1709">
        <v>18</v>
      </c>
      <c r="B20" s="1703" t="s">
        <v>1110</v>
      </c>
      <c r="C20" s="1703" t="s">
        <v>1105</v>
      </c>
      <c r="D20" s="1704">
        <v>100</v>
      </c>
      <c r="E20" s="1704"/>
      <c r="F20" s="1704">
        <v>100</v>
      </c>
      <c r="G20" s="1704">
        <v>100</v>
      </c>
      <c r="H20" s="1704">
        <v>100</v>
      </c>
      <c r="I20" s="1705">
        <v>10</v>
      </c>
      <c r="J20" s="1703" t="s">
        <v>1111</v>
      </c>
      <c r="K20" s="1703" t="s">
        <v>1107</v>
      </c>
      <c r="L20" s="1706"/>
      <c r="M20" s="1706"/>
      <c r="N20" s="1707">
        <f t="shared" si="0"/>
        <v>100</v>
      </c>
      <c r="O20" s="1710">
        <f t="shared" si="1"/>
        <v>10</v>
      </c>
    </row>
    <row r="21" spans="1:16" ht="15">
      <c r="A21" s="1709">
        <v>19</v>
      </c>
      <c r="B21" s="1703" t="s">
        <v>1110</v>
      </c>
      <c r="C21" s="1703" t="s">
        <v>1105</v>
      </c>
      <c r="D21" s="1704">
        <v>100</v>
      </c>
      <c r="E21" s="1704"/>
      <c r="F21" s="1704">
        <v>100</v>
      </c>
      <c r="G21" s="1704">
        <v>100</v>
      </c>
      <c r="H21" s="1704">
        <v>100</v>
      </c>
      <c r="I21" s="1705">
        <v>10</v>
      </c>
      <c r="J21" s="1703" t="s">
        <v>1109</v>
      </c>
      <c r="K21" s="1703" t="s">
        <v>1107</v>
      </c>
      <c r="L21" s="1706"/>
      <c r="M21" s="1706"/>
      <c r="N21" s="1707">
        <f t="shared" si="0"/>
        <v>100</v>
      </c>
      <c r="O21" s="1710">
        <f t="shared" si="1"/>
        <v>10</v>
      </c>
    </row>
    <row r="22" spans="1:16" ht="15">
      <c r="A22" s="1709">
        <v>20</v>
      </c>
      <c r="B22" s="1703" t="s">
        <v>1110</v>
      </c>
      <c r="C22" s="1703" t="s">
        <v>1105</v>
      </c>
      <c r="D22" s="1704">
        <v>100</v>
      </c>
      <c r="E22" s="1704"/>
      <c r="F22" s="1704">
        <v>100</v>
      </c>
      <c r="G22" s="1704">
        <v>100</v>
      </c>
      <c r="H22" s="1704">
        <v>100</v>
      </c>
      <c r="I22" s="1705">
        <v>10</v>
      </c>
      <c r="J22" s="1703" t="s">
        <v>1111</v>
      </c>
      <c r="K22" s="1703" t="s">
        <v>1107</v>
      </c>
      <c r="L22" s="1706"/>
      <c r="M22" s="1706"/>
      <c r="N22" s="1707">
        <f t="shared" si="0"/>
        <v>100</v>
      </c>
      <c r="O22" s="1710">
        <f t="shared" si="1"/>
        <v>10</v>
      </c>
    </row>
    <row r="23" spans="1:16" ht="15">
      <c r="A23" s="1709">
        <v>21</v>
      </c>
      <c r="B23" s="1703" t="s">
        <v>1108</v>
      </c>
      <c r="C23" s="1703" t="s">
        <v>1105</v>
      </c>
      <c r="D23" s="1704">
        <v>100</v>
      </c>
      <c r="E23" s="1704"/>
      <c r="F23" s="1704">
        <v>100</v>
      </c>
      <c r="G23" s="1704">
        <v>100</v>
      </c>
      <c r="H23" s="1704">
        <v>100</v>
      </c>
      <c r="I23" s="1705">
        <v>10</v>
      </c>
      <c r="J23" s="1703" t="s">
        <v>1111</v>
      </c>
      <c r="K23" s="1703" t="s">
        <v>1107</v>
      </c>
      <c r="L23" s="1706"/>
      <c r="M23" s="1706"/>
      <c r="N23" s="1707">
        <f t="shared" si="0"/>
        <v>100</v>
      </c>
      <c r="O23" s="1710">
        <f t="shared" si="1"/>
        <v>10</v>
      </c>
    </row>
    <row r="24" spans="1:16" ht="15">
      <c r="A24" s="1709">
        <v>22</v>
      </c>
      <c r="B24" s="1703" t="s">
        <v>1108</v>
      </c>
      <c r="C24" s="1703" t="s">
        <v>1105</v>
      </c>
      <c r="D24" s="1704">
        <v>100</v>
      </c>
      <c r="E24" s="1704"/>
      <c r="F24" s="1704">
        <v>100</v>
      </c>
      <c r="G24" s="1704">
        <v>100</v>
      </c>
      <c r="H24" s="1704">
        <v>100</v>
      </c>
      <c r="I24" s="1705">
        <v>10</v>
      </c>
      <c r="J24" s="1703" t="s">
        <v>1111</v>
      </c>
      <c r="K24" s="1703" t="s">
        <v>1107</v>
      </c>
      <c r="L24" s="1706"/>
      <c r="M24" s="1706"/>
      <c r="N24" s="1707">
        <f t="shared" si="0"/>
        <v>100</v>
      </c>
      <c r="O24" s="1710">
        <f t="shared" si="1"/>
        <v>10</v>
      </c>
    </row>
    <row r="25" spans="1:16" ht="15">
      <c r="A25" s="1709">
        <v>23</v>
      </c>
      <c r="B25" s="1703" t="s">
        <v>1108</v>
      </c>
      <c r="C25" s="1703" t="s">
        <v>1105</v>
      </c>
      <c r="D25" s="1704">
        <v>100</v>
      </c>
      <c r="E25" s="1704"/>
      <c r="F25" s="1704">
        <v>100</v>
      </c>
      <c r="G25" s="1704">
        <v>100</v>
      </c>
      <c r="H25" s="1704">
        <v>100</v>
      </c>
      <c r="I25" s="1705">
        <v>10</v>
      </c>
      <c r="J25" s="1703" t="s">
        <v>1111</v>
      </c>
      <c r="K25" s="1703" t="s">
        <v>1107</v>
      </c>
      <c r="L25" s="1706"/>
      <c r="M25" s="1706"/>
      <c r="N25" s="1707">
        <f t="shared" si="0"/>
        <v>100</v>
      </c>
      <c r="O25" s="1710">
        <f t="shared" si="1"/>
        <v>10</v>
      </c>
    </row>
    <row r="26" spans="1:16" ht="15">
      <c r="A26" s="1709">
        <v>24</v>
      </c>
      <c r="B26" s="1703" t="s">
        <v>1110</v>
      </c>
      <c r="C26" s="1703" t="s">
        <v>1105</v>
      </c>
      <c r="D26" s="1704">
        <v>100</v>
      </c>
      <c r="E26" s="1704"/>
      <c r="F26" s="1704">
        <v>100</v>
      </c>
      <c r="G26" s="1704">
        <v>100</v>
      </c>
      <c r="H26" s="1704">
        <v>100</v>
      </c>
      <c r="I26" s="1705">
        <v>10</v>
      </c>
      <c r="J26" s="1703" t="s">
        <v>1111</v>
      </c>
      <c r="K26" s="1703" t="s">
        <v>1107</v>
      </c>
      <c r="L26" s="1706"/>
      <c r="M26" s="1706"/>
      <c r="N26" s="1707">
        <f t="shared" si="0"/>
        <v>100</v>
      </c>
      <c r="O26" s="1710">
        <f t="shared" si="1"/>
        <v>10</v>
      </c>
    </row>
    <row r="27" spans="1:16" ht="15">
      <c r="A27" s="1709">
        <v>25</v>
      </c>
      <c r="B27" s="1703" t="s">
        <v>1110</v>
      </c>
      <c r="C27" s="1703" t="s">
        <v>1105</v>
      </c>
      <c r="D27" s="1704">
        <v>100</v>
      </c>
      <c r="E27" s="1704"/>
      <c r="F27" s="1704">
        <v>100</v>
      </c>
      <c r="G27" s="1704">
        <v>100</v>
      </c>
      <c r="H27" s="1704">
        <v>100</v>
      </c>
      <c r="I27" s="1705">
        <v>10</v>
      </c>
      <c r="J27" s="1703" t="s">
        <v>1109</v>
      </c>
      <c r="K27" s="1703" t="s">
        <v>1107</v>
      </c>
      <c r="L27" s="1706"/>
      <c r="M27" s="1706"/>
      <c r="N27" s="1707">
        <f t="shared" si="0"/>
        <v>100</v>
      </c>
      <c r="O27" s="1710">
        <f t="shared" si="1"/>
        <v>10</v>
      </c>
    </row>
    <row r="28" spans="1:16" ht="15">
      <c r="A28" s="1709">
        <v>26</v>
      </c>
      <c r="B28" s="1703" t="s">
        <v>1108</v>
      </c>
      <c r="C28" s="1703" t="s">
        <v>1105</v>
      </c>
      <c r="D28" s="1704">
        <v>100</v>
      </c>
      <c r="E28" s="1704"/>
      <c r="F28" s="1704">
        <v>100</v>
      </c>
      <c r="G28" s="1704"/>
      <c r="H28" s="1704">
        <v>100</v>
      </c>
      <c r="I28" s="1705">
        <v>10</v>
      </c>
      <c r="J28" s="1703" t="s">
        <v>1111</v>
      </c>
      <c r="K28" s="1703" t="s">
        <v>1107</v>
      </c>
      <c r="L28" s="1708"/>
      <c r="M28" s="1708"/>
      <c r="N28" s="1707">
        <f t="shared" si="0"/>
        <v>100</v>
      </c>
      <c r="O28" s="1710">
        <f>I28*$D28/100*IF($K28="是",1,0)</f>
        <v>10</v>
      </c>
    </row>
    <row r="29" spans="1:16" ht="15">
      <c r="A29" s="1709">
        <v>27</v>
      </c>
      <c r="B29" s="1703" t="s">
        <v>1108</v>
      </c>
      <c r="C29" s="1703" t="s">
        <v>1105</v>
      </c>
      <c r="D29" s="1704">
        <v>100</v>
      </c>
      <c r="E29" s="1704"/>
      <c r="F29" s="1704">
        <v>100</v>
      </c>
      <c r="G29" s="1704">
        <v>100</v>
      </c>
      <c r="H29" s="1704">
        <v>100</v>
      </c>
      <c r="I29" s="1705">
        <v>10</v>
      </c>
      <c r="J29" s="1703" t="s">
        <v>1111</v>
      </c>
      <c r="K29" s="1703" t="s">
        <v>1107</v>
      </c>
      <c r="L29" s="1708"/>
      <c r="M29" s="1708"/>
      <c r="N29" s="1707">
        <f t="shared" si="0"/>
        <v>100</v>
      </c>
      <c r="O29" s="1710">
        <f>I29*$D29/100*IF($K29="是",1,0)</f>
        <v>10</v>
      </c>
    </row>
    <row r="30" spans="1:16" ht="15">
      <c r="A30" s="1709">
        <v>28</v>
      </c>
      <c r="B30" s="1703" t="s">
        <v>1110</v>
      </c>
      <c r="C30" s="1703" t="s">
        <v>1105</v>
      </c>
      <c r="D30" s="1704">
        <v>100</v>
      </c>
      <c r="E30" s="1704"/>
      <c r="F30" s="1704">
        <v>100</v>
      </c>
      <c r="G30" s="1704">
        <v>100</v>
      </c>
      <c r="H30" s="1704">
        <v>100</v>
      </c>
      <c r="I30" s="1705">
        <v>10</v>
      </c>
      <c r="J30" s="1703" t="s">
        <v>1109</v>
      </c>
      <c r="K30" s="1703" t="s">
        <v>1107</v>
      </c>
      <c r="L30" s="1708"/>
      <c r="M30" s="1708"/>
      <c r="N30" s="1707">
        <f t="shared" si="0"/>
        <v>100</v>
      </c>
      <c r="O30" s="1710">
        <f>I30*$D30/100*IF($K30="是",1,0)</f>
        <v>10</v>
      </c>
      <c r="P30" s="1694"/>
    </row>
    <row r="31" spans="1:16" ht="15">
      <c r="A31" s="1709">
        <v>29</v>
      </c>
      <c r="B31" s="1703" t="s">
        <v>1110</v>
      </c>
      <c r="C31" s="1703" t="s">
        <v>1105</v>
      </c>
      <c r="D31" s="1704">
        <v>100</v>
      </c>
      <c r="E31" s="1704"/>
      <c r="F31" s="1704">
        <v>100</v>
      </c>
      <c r="G31" s="1704">
        <v>100</v>
      </c>
      <c r="H31" s="1704">
        <v>100</v>
      </c>
      <c r="I31" s="1705">
        <v>10</v>
      </c>
      <c r="J31" s="1703" t="s">
        <v>1111</v>
      </c>
      <c r="K31" s="1703" t="s">
        <v>1107</v>
      </c>
      <c r="L31" s="1706"/>
      <c r="M31" s="1708"/>
      <c r="N31" s="1707">
        <f t="shared" si="0"/>
        <v>100</v>
      </c>
      <c r="O31" s="1710">
        <f>I31*$D31/100*IF($K31="是",1,0)</f>
        <v>10</v>
      </c>
    </row>
    <row r="32" spans="1:16" ht="15.75" thickBot="1">
      <c r="A32" s="1711">
        <v>30</v>
      </c>
      <c r="B32" s="1712" t="s">
        <v>1108</v>
      </c>
      <c r="C32" s="1712" t="s">
        <v>1105</v>
      </c>
      <c r="D32" s="1713">
        <v>100</v>
      </c>
      <c r="E32" s="1713"/>
      <c r="F32" s="1713">
        <v>100</v>
      </c>
      <c r="G32" s="1713">
        <v>100</v>
      </c>
      <c r="H32" s="1713">
        <v>100</v>
      </c>
      <c r="I32" s="1714">
        <v>10</v>
      </c>
      <c r="J32" s="1712" t="s">
        <v>1109</v>
      </c>
      <c r="K32" s="1712" t="s">
        <v>1107</v>
      </c>
      <c r="L32" s="1715"/>
      <c r="M32" s="1715"/>
      <c r="N32" s="1707">
        <f t="shared" si="0"/>
        <v>100</v>
      </c>
      <c r="O32" s="1716">
        <f>I32*$D32/100*IF($K32="是",1,0)</f>
        <v>10</v>
      </c>
    </row>
    <row r="33" spans="13:15">
      <c r="M33" s="1721" t="s">
        <v>1123</v>
      </c>
      <c r="N33" s="1722">
        <f>SUM(N3:N32)</f>
        <v>3000</v>
      </c>
      <c r="O33" s="1723">
        <f>SUM(O3:O32)</f>
        <v>300</v>
      </c>
    </row>
    <row r="34" spans="13:15">
      <c r="M34" s="1721" t="s">
        <v>1121</v>
      </c>
      <c r="N34" s="1722"/>
      <c r="O34" s="1723"/>
    </row>
    <row r="35" spans="13:15" ht="15">
      <c r="M35" s="1702" t="s">
        <v>1122</v>
      </c>
      <c r="N35" s="1724" t="e">
        <f>N33/N34</f>
        <v>#DIV/0!</v>
      </c>
      <c r="O35" s="1725" t="e">
        <f>O33/O34</f>
        <v>#DIV/0!</v>
      </c>
    </row>
    <row r="36" spans="13:15" ht="15.75" thickBot="1">
      <c r="M36" s="1726" t="s">
        <v>1124</v>
      </c>
      <c r="N36" s="1727">
        <f>N34-N33</f>
        <v>-3000</v>
      </c>
      <c r="O36" s="1728">
        <f>O34-O33</f>
        <v>-300</v>
      </c>
    </row>
  </sheetData>
  <phoneticPr fontId="21"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AZ300"/>
  <sheetViews>
    <sheetView workbookViewId="0">
      <pane xSplit="2" ySplit="3" topLeftCell="C4" activePane="bottomRight" state="frozen"/>
      <selection pane="topRight"/>
      <selection pane="bottomLeft"/>
      <selection pane="bottomRight" activeCell="L56" sqref="L56"/>
    </sheetView>
  </sheetViews>
  <sheetFormatPr defaultRowHeight="17.100000000000001" customHeight="1"/>
  <cols>
    <col min="1" max="1" width="1" style="292" customWidth="1"/>
    <col min="2" max="2" width="30.125" style="292" customWidth="1"/>
    <col min="3" max="17" width="9" style="291" bestFit="1" customWidth="1"/>
    <col min="18" max="18" width="9.5" style="291" bestFit="1" customWidth="1"/>
    <col min="19" max="20" width="9" style="291" bestFit="1" customWidth="1"/>
    <col min="21" max="22" width="9.5" style="291" bestFit="1" customWidth="1"/>
    <col min="23" max="25" width="9" style="291" bestFit="1" customWidth="1"/>
    <col min="26" max="26" width="9.5" style="291" bestFit="1" customWidth="1"/>
    <col min="27" max="30" width="9" style="291" bestFit="1" customWidth="1"/>
    <col min="31" max="31" width="9" style="292" bestFit="1"/>
    <col min="32" max="16384" width="9" style="292"/>
  </cols>
  <sheetData>
    <row r="1" spans="1:52" ht="17.100000000000001" customHeight="1">
      <c r="A1" s="304"/>
      <c r="B1" s="304"/>
      <c r="C1" s="305"/>
      <c r="D1" s="305"/>
      <c r="E1" s="305"/>
      <c r="F1" s="305"/>
      <c r="G1" s="305"/>
      <c r="H1" s="305"/>
      <c r="I1" s="305"/>
      <c r="J1" s="305"/>
      <c r="K1" s="305"/>
      <c r="L1" s="305"/>
      <c r="M1" s="305"/>
      <c r="N1" s="305"/>
      <c r="O1" s="305"/>
      <c r="P1" s="305"/>
      <c r="Q1" s="305"/>
      <c r="R1" s="305"/>
      <c r="S1" s="305"/>
      <c r="T1" s="305"/>
      <c r="U1" s="305"/>
      <c r="V1" s="305"/>
      <c r="W1" s="305"/>
      <c r="X1" s="305"/>
      <c r="Y1" s="305"/>
      <c r="Z1" s="305"/>
      <c r="AA1" s="305"/>
      <c r="AB1" s="305"/>
      <c r="AC1" s="305"/>
      <c r="AD1" s="305"/>
      <c r="AE1" s="304"/>
      <c r="AF1" s="304"/>
      <c r="AG1" s="304"/>
      <c r="AH1" s="304"/>
      <c r="AI1" s="304"/>
      <c r="AJ1" s="304"/>
      <c r="AK1" s="304"/>
      <c r="AL1" s="304"/>
      <c r="AM1" s="304"/>
      <c r="AN1" s="304"/>
      <c r="AO1" s="304"/>
      <c r="AP1" s="304"/>
      <c r="AQ1" s="304"/>
      <c r="AR1" s="304"/>
      <c r="AS1" s="304"/>
      <c r="AT1" s="304"/>
      <c r="AU1" s="304"/>
      <c r="AV1" s="304"/>
      <c r="AW1" s="304"/>
      <c r="AX1" s="304"/>
      <c r="AY1" s="304"/>
      <c r="AZ1" s="304"/>
    </row>
    <row r="2" spans="1:52" ht="17.100000000000001" customHeight="1">
      <c r="A2" s="306"/>
      <c r="B2" s="428" t="s">
        <v>662</v>
      </c>
      <c r="C2" s="307"/>
      <c r="D2" s="307"/>
      <c r="E2" s="307"/>
      <c r="F2" s="307"/>
      <c r="G2" s="307"/>
      <c r="H2" s="307"/>
      <c r="I2" s="307"/>
      <c r="J2" s="307"/>
      <c r="K2" s="307"/>
      <c r="L2" s="307"/>
      <c r="M2" s="307"/>
      <c r="N2" s="307"/>
      <c r="O2" s="307"/>
      <c r="P2" s="307"/>
      <c r="Q2" s="307"/>
      <c r="R2" s="307"/>
      <c r="S2" s="307"/>
      <c r="T2" s="307"/>
      <c r="U2" s="307"/>
      <c r="V2" s="307"/>
      <c r="W2" s="307"/>
      <c r="X2" s="307"/>
      <c r="Y2" s="307"/>
      <c r="Z2" s="307"/>
      <c r="AA2" s="307"/>
      <c r="AB2" s="307"/>
      <c r="AC2" s="307"/>
      <c r="AD2" s="307"/>
      <c r="AE2" s="306"/>
      <c r="AF2" s="306"/>
      <c r="AG2" s="306"/>
      <c r="AH2" s="306"/>
      <c r="AI2" s="306"/>
      <c r="AJ2" s="306"/>
      <c r="AK2" s="306"/>
      <c r="AL2" s="306"/>
      <c r="AM2" s="306"/>
      <c r="AN2" s="306"/>
      <c r="AO2" s="306"/>
      <c r="AP2" s="306"/>
      <c r="AQ2" s="306"/>
      <c r="AR2" s="306"/>
      <c r="AS2" s="306"/>
      <c r="AT2" s="306"/>
      <c r="AU2" s="306"/>
      <c r="AV2" s="306"/>
      <c r="AW2" s="306"/>
      <c r="AX2" s="306"/>
      <c r="AY2" s="306"/>
      <c r="AZ2" s="306"/>
    </row>
    <row r="3" spans="1:52" s="294" customFormat="1" ht="17.100000000000001" customHeight="1">
      <c r="A3" s="308"/>
      <c r="B3" s="309" t="s">
        <v>663</v>
      </c>
      <c r="C3" s="310" t="str">
        <f>"1Q" &amp; RIGHT($F$52,2)</f>
        <v>1Q15</v>
      </c>
      <c r="D3" s="311" t="str">
        <f>"2Q" &amp; RIGHT($F$52,2)</f>
        <v>2Q15</v>
      </c>
      <c r="E3" s="311" t="str">
        <f>"3Q" &amp; RIGHT($F$52,2)</f>
        <v>3Q15</v>
      </c>
      <c r="F3" s="312" t="str">
        <f>"4Q" &amp; RIGHT($F$52,2)</f>
        <v>4Q15</v>
      </c>
      <c r="G3" s="310" t="str">
        <f>"1Q" &amp; RIGHT($J$52,2)</f>
        <v>1Q16</v>
      </c>
      <c r="H3" s="311" t="str">
        <f>"2Q" &amp; RIGHT($J$52,2)</f>
        <v>2Q16</v>
      </c>
      <c r="I3" s="311" t="str">
        <f>"3Q" &amp; RIGHT($J$52,2)</f>
        <v>3Q16</v>
      </c>
      <c r="J3" s="312" t="str">
        <f>"4Q" &amp; RIGHT($J$52,2)</f>
        <v>4Q16</v>
      </c>
      <c r="K3" s="310" t="str">
        <f>"1Q" &amp; RIGHT($N$52,2)</f>
        <v>1Q17</v>
      </c>
      <c r="L3" s="311" t="str">
        <f>"2Q" &amp; RIGHT($N$52,2)</f>
        <v>2Q17</v>
      </c>
      <c r="M3" s="311" t="str">
        <f>"3Q" &amp; RIGHT($N$52,2)</f>
        <v>3Q17</v>
      </c>
      <c r="N3" s="312" t="str">
        <f>"4Q" &amp; RIGHT($N$52,2)</f>
        <v>4Q17</v>
      </c>
      <c r="O3" s="310" t="str">
        <f>"1Q" &amp; RIGHT($R$52,2)</f>
        <v>1Q18</v>
      </c>
      <c r="P3" s="311" t="str">
        <f>"2Q" &amp; RIGHT($R$52,2)</f>
        <v>2Q18</v>
      </c>
      <c r="Q3" s="311" t="str">
        <f>"3Q" &amp; RIGHT($R$52,2)</f>
        <v>3Q18</v>
      </c>
      <c r="R3" s="312" t="str">
        <f>"4Q" &amp; RIGHT($R$52,2)</f>
        <v>4Q18</v>
      </c>
      <c r="S3" s="310" t="str">
        <f>"1Q" &amp; RIGHT($V$52,2)</f>
        <v>1Q19</v>
      </c>
      <c r="T3" s="311" t="str">
        <f>"2Q" &amp; RIGHT($V$52,2)</f>
        <v>2Q19</v>
      </c>
      <c r="U3" s="311" t="str">
        <f>"3Q" &amp; RIGHT($V$52,2)</f>
        <v>3Q19</v>
      </c>
      <c r="V3" s="312" t="str">
        <f>"4Q" &amp; RIGHT($V$52,2)</f>
        <v>4Q19</v>
      </c>
      <c r="W3" s="310" t="str">
        <f>"1Q" &amp; RIGHT($Z$52,2)</f>
        <v>1Q20</v>
      </c>
      <c r="X3" s="311" t="str">
        <f>"2Q" &amp; RIGHT($Z$52,2)</f>
        <v>2Q20</v>
      </c>
      <c r="Y3" s="311" t="str">
        <f>"3Q" &amp; RIGHT($Z$52,2)</f>
        <v>3Q20</v>
      </c>
      <c r="Z3" s="312" t="str">
        <f>"4Q" &amp; RIGHT($Z$52,2)&amp;"E"</f>
        <v>4Q20E</v>
      </c>
      <c r="AA3" s="310" t="str">
        <f>"1Q" &amp; RIGHT($Z$52+1,2)&amp;"E"</f>
        <v>1Q21E</v>
      </c>
      <c r="AB3" s="311" t="str">
        <f>"2Q" &amp; RIGHT($Z$52+1,2)&amp;"E"</f>
        <v>2Q21E</v>
      </c>
      <c r="AC3" s="311" t="str">
        <f>"3Q" &amp; RIGHT($Z$52+1,2)&amp;"E"</f>
        <v>3Q21E</v>
      </c>
      <c r="AD3" s="312" t="str">
        <f>"4Q" &amp; RIGHT($Z$52+1,2)&amp;"E"</f>
        <v>4Q21E</v>
      </c>
      <c r="AE3" s="308"/>
      <c r="AF3" s="308"/>
      <c r="AG3" s="308"/>
      <c r="AH3" s="308"/>
      <c r="AI3" s="308"/>
      <c r="AJ3" s="308"/>
      <c r="AK3" s="308"/>
      <c r="AL3" s="308"/>
      <c r="AM3" s="308"/>
      <c r="AN3" s="308"/>
      <c r="AO3" s="308"/>
      <c r="AP3" s="308"/>
      <c r="AQ3" s="308"/>
      <c r="AR3" s="308"/>
      <c r="AS3" s="308"/>
      <c r="AT3" s="308"/>
      <c r="AU3" s="308"/>
      <c r="AV3" s="308"/>
      <c r="AW3" s="308"/>
      <c r="AX3" s="308"/>
      <c r="AY3" s="308"/>
      <c r="AZ3" s="308"/>
    </row>
    <row r="4" spans="1:52" s="295" customFormat="1" ht="17.100000000000001" customHeight="1">
      <c r="A4" s="314"/>
      <c r="B4" s="315" t="s">
        <v>664</v>
      </c>
      <c r="C4" s="316">
        <f>C53</f>
        <v>738.35379853999996</v>
      </c>
      <c r="D4" s="317">
        <f>D53-C53</f>
        <v>779.94461754999986</v>
      </c>
      <c r="E4" s="317">
        <f>E53-D53</f>
        <v>918.83185989000026</v>
      </c>
      <c r="F4" s="318">
        <f>F53-E53</f>
        <v>895.6744954400001</v>
      </c>
      <c r="G4" s="316">
        <f>G53</f>
        <v>896.75065635999999</v>
      </c>
      <c r="H4" s="317">
        <f>H53-G53</f>
        <v>1038.5088220500002</v>
      </c>
      <c r="I4" s="317">
        <f>I53-H53</f>
        <v>1011.7350534100001</v>
      </c>
      <c r="J4" s="317">
        <f>J53-I53</f>
        <v>1004.6127334099997</v>
      </c>
      <c r="K4" s="319">
        <f>K53</f>
        <v>1001.51223724</v>
      </c>
      <c r="L4" s="317">
        <f>L53-K53</f>
        <v>1254.2316235899998</v>
      </c>
      <c r="M4" s="317">
        <f>M53-L53</f>
        <v>1143.4801405600001</v>
      </c>
      <c r="N4" s="317">
        <f>N53-M53</f>
        <v>1185.6957601900003</v>
      </c>
      <c r="O4" s="316">
        <f>O53</f>
        <v>1059.51187323</v>
      </c>
      <c r="P4" s="317">
        <f>P53-O53</f>
        <v>1129.3096335399998</v>
      </c>
      <c r="Q4" s="317">
        <f>Q53-P53</f>
        <v>1221.8727568300001</v>
      </c>
      <c r="R4" s="317">
        <f>R53-Q53</f>
        <v>1399.0418342600001</v>
      </c>
      <c r="S4" s="319">
        <f>S53</f>
        <v>1614.58962206</v>
      </c>
      <c r="T4" s="317">
        <f>T53-S53</f>
        <v>1364.0113791699998</v>
      </c>
      <c r="U4" s="317">
        <f>U53-T53</f>
        <v>1612.0666869700003</v>
      </c>
      <c r="V4" s="317">
        <f>V53-U53</f>
        <v>1787.4836677200001</v>
      </c>
      <c r="W4" s="319" t="e">
        <f>W53</f>
        <v>#VALUE!</v>
      </c>
      <c r="X4" s="317" t="e">
        <f>X53-W53</f>
        <v>#VALUE!</v>
      </c>
      <c r="Y4" s="317" t="e">
        <f>Y53-X53</f>
        <v>#VALUE!</v>
      </c>
      <c r="Z4" s="317" t="e">
        <f>Z53-Y53</f>
        <v>#VALUE!</v>
      </c>
      <c r="AA4" s="320"/>
      <c r="AB4" s="321"/>
      <c r="AC4" s="321"/>
      <c r="AD4" s="322"/>
      <c r="AE4" s="314"/>
      <c r="AF4" s="314"/>
      <c r="AG4" s="314"/>
      <c r="AH4" s="314"/>
      <c r="AI4" s="314"/>
      <c r="AJ4" s="314"/>
      <c r="AK4" s="314"/>
      <c r="AL4" s="314"/>
      <c r="AM4" s="314"/>
      <c r="AN4" s="314"/>
      <c r="AO4" s="314"/>
      <c r="AP4" s="314"/>
      <c r="AQ4" s="314"/>
      <c r="AR4" s="314"/>
      <c r="AS4" s="314"/>
      <c r="AT4" s="314"/>
      <c r="AU4" s="314"/>
      <c r="AV4" s="314"/>
      <c r="AW4" s="314"/>
      <c r="AX4" s="314"/>
      <c r="AY4" s="314"/>
      <c r="AZ4" s="314"/>
    </row>
    <row r="5" spans="1:52" s="295" customFormat="1" ht="17.100000000000001" customHeight="1">
      <c r="A5" s="314"/>
      <c r="B5" s="323" t="s">
        <v>665</v>
      </c>
      <c r="C5" s="324"/>
      <c r="D5" s="325"/>
      <c r="E5" s="325"/>
      <c r="F5" s="326"/>
      <c r="G5" s="324"/>
      <c r="H5" s="325"/>
      <c r="I5" s="325"/>
      <c r="J5" s="327"/>
      <c r="K5" s="328"/>
      <c r="L5" s="325"/>
      <c r="M5" s="325"/>
      <c r="N5" s="326"/>
      <c r="O5" s="324"/>
      <c r="P5" s="325"/>
      <c r="Q5" s="325"/>
      <c r="R5" s="327"/>
      <c r="S5" s="328"/>
      <c r="T5" s="325"/>
      <c r="U5" s="325"/>
      <c r="V5" s="327"/>
      <c r="W5" s="328"/>
      <c r="X5" s="325"/>
      <c r="Y5" s="325"/>
      <c r="Z5" s="329"/>
      <c r="AA5" s="330"/>
      <c r="AB5" s="331"/>
      <c r="AC5" s="331"/>
      <c r="AD5" s="332"/>
      <c r="AE5" s="314"/>
      <c r="AF5" s="314"/>
      <c r="AG5" s="314"/>
      <c r="AH5" s="314"/>
      <c r="AI5" s="314"/>
      <c r="AJ5" s="314"/>
      <c r="AK5" s="314"/>
      <c r="AL5" s="314"/>
      <c r="AM5" s="314"/>
      <c r="AN5" s="314"/>
      <c r="AO5" s="314"/>
      <c r="AP5" s="314"/>
      <c r="AQ5" s="314"/>
      <c r="AR5" s="314"/>
      <c r="AS5" s="314"/>
      <c r="AT5" s="314"/>
      <c r="AU5" s="314"/>
      <c r="AV5" s="314"/>
      <c r="AW5" s="314"/>
      <c r="AX5" s="314"/>
      <c r="AY5" s="314"/>
      <c r="AZ5" s="314"/>
    </row>
    <row r="6" spans="1:52" s="295" customFormat="1" ht="17.100000000000001" customHeight="1">
      <c r="A6" s="314"/>
      <c r="B6" s="333"/>
      <c r="C6" s="334"/>
      <c r="D6" s="335"/>
      <c r="E6" s="335"/>
      <c r="F6" s="336"/>
      <c r="G6" s="334"/>
      <c r="H6" s="335"/>
      <c r="I6" s="335"/>
      <c r="J6" s="337"/>
      <c r="K6" s="338"/>
      <c r="L6" s="335"/>
      <c r="M6" s="335"/>
      <c r="N6" s="336"/>
      <c r="O6" s="334"/>
      <c r="P6" s="335"/>
      <c r="Q6" s="335"/>
      <c r="R6" s="337"/>
      <c r="S6" s="338"/>
      <c r="T6" s="335"/>
      <c r="U6" s="335"/>
      <c r="V6" s="337"/>
      <c r="W6" s="338"/>
      <c r="X6" s="335"/>
      <c r="Y6" s="335"/>
      <c r="Z6" s="332"/>
      <c r="AA6" s="330"/>
      <c r="AB6" s="331"/>
      <c r="AC6" s="331"/>
      <c r="AD6" s="332"/>
      <c r="AE6" s="314"/>
      <c r="AF6" s="314"/>
      <c r="AG6" s="314"/>
      <c r="AH6" s="314"/>
      <c r="AI6" s="314"/>
      <c r="AJ6" s="314"/>
      <c r="AK6" s="314"/>
      <c r="AL6" s="314"/>
      <c r="AM6" s="314"/>
      <c r="AN6" s="314"/>
      <c r="AO6" s="314"/>
      <c r="AP6" s="314"/>
      <c r="AQ6" s="314"/>
      <c r="AR6" s="314"/>
      <c r="AS6" s="314"/>
      <c r="AT6" s="314"/>
      <c r="AU6" s="314"/>
      <c r="AV6" s="314"/>
      <c r="AW6" s="314"/>
      <c r="AX6" s="314"/>
      <c r="AY6" s="314"/>
      <c r="AZ6" s="314"/>
    </row>
    <row r="7" spans="1:52" s="295" customFormat="1" ht="17.100000000000001" customHeight="1">
      <c r="A7" s="314"/>
      <c r="B7" s="333"/>
      <c r="C7" s="334"/>
      <c r="D7" s="335"/>
      <c r="E7" s="335"/>
      <c r="F7" s="336"/>
      <c r="G7" s="334"/>
      <c r="H7" s="335"/>
      <c r="I7" s="335"/>
      <c r="J7" s="337"/>
      <c r="K7" s="338"/>
      <c r="L7" s="335"/>
      <c r="M7" s="335"/>
      <c r="N7" s="336"/>
      <c r="O7" s="334"/>
      <c r="P7" s="335"/>
      <c r="Q7" s="335"/>
      <c r="R7" s="337"/>
      <c r="S7" s="338"/>
      <c r="T7" s="335"/>
      <c r="U7" s="335"/>
      <c r="V7" s="337"/>
      <c r="W7" s="338"/>
      <c r="X7" s="335"/>
      <c r="Y7" s="335"/>
      <c r="Z7" s="332"/>
      <c r="AA7" s="330"/>
      <c r="AB7" s="331"/>
      <c r="AC7" s="331"/>
      <c r="AD7" s="332"/>
      <c r="AE7" s="314"/>
      <c r="AF7" s="314"/>
      <c r="AG7" s="314"/>
      <c r="AH7" s="314"/>
      <c r="AI7" s="314"/>
      <c r="AJ7" s="314"/>
      <c r="AK7" s="314"/>
      <c r="AL7" s="314"/>
      <c r="AM7" s="314"/>
      <c r="AN7" s="314"/>
      <c r="AO7" s="314"/>
      <c r="AP7" s="314"/>
      <c r="AQ7" s="314"/>
      <c r="AR7" s="314"/>
      <c r="AS7" s="314"/>
      <c r="AT7" s="314"/>
      <c r="AU7" s="314"/>
      <c r="AV7" s="314"/>
      <c r="AW7" s="314"/>
      <c r="AX7" s="314"/>
      <c r="AY7" s="314"/>
      <c r="AZ7" s="314"/>
    </row>
    <row r="8" spans="1:52" s="295" customFormat="1" ht="17.100000000000001" customHeight="1">
      <c r="A8" s="314"/>
      <c r="B8" s="333"/>
      <c r="C8" s="334"/>
      <c r="D8" s="335"/>
      <c r="E8" s="335"/>
      <c r="F8" s="336"/>
      <c r="G8" s="334"/>
      <c r="H8" s="335"/>
      <c r="I8" s="335"/>
      <c r="J8" s="337"/>
      <c r="K8" s="338"/>
      <c r="L8" s="335"/>
      <c r="M8" s="335"/>
      <c r="N8" s="336"/>
      <c r="O8" s="334"/>
      <c r="P8" s="335"/>
      <c r="Q8" s="335"/>
      <c r="R8" s="337"/>
      <c r="S8" s="338"/>
      <c r="T8" s="335"/>
      <c r="U8" s="335"/>
      <c r="V8" s="337"/>
      <c r="W8" s="338"/>
      <c r="X8" s="335"/>
      <c r="Y8" s="335"/>
      <c r="Z8" s="332"/>
      <c r="AA8" s="330"/>
      <c r="AB8" s="331"/>
      <c r="AC8" s="331"/>
      <c r="AD8" s="332"/>
      <c r="AE8" s="314"/>
      <c r="AF8" s="314"/>
      <c r="AG8" s="314"/>
      <c r="AH8" s="314"/>
      <c r="AI8" s="314"/>
      <c r="AJ8" s="314"/>
      <c r="AK8" s="314"/>
      <c r="AL8" s="314"/>
      <c r="AM8" s="314"/>
      <c r="AN8" s="314"/>
      <c r="AO8" s="314"/>
      <c r="AP8" s="314"/>
      <c r="AQ8" s="314"/>
      <c r="AR8" s="314"/>
      <c r="AS8" s="314"/>
      <c r="AT8" s="314"/>
      <c r="AU8" s="314"/>
      <c r="AV8" s="314"/>
      <c r="AW8" s="314"/>
      <c r="AX8" s="314"/>
      <c r="AY8" s="314"/>
      <c r="AZ8" s="314"/>
    </row>
    <row r="9" spans="1:52" s="295" customFormat="1" ht="17.100000000000001" customHeight="1">
      <c r="A9" s="314"/>
      <c r="B9" s="339"/>
      <c r="C9" s="340"/>
      <c r="D9" s="341"/>
      <c r="E9" s="341"/>
      <c r="F9" s="342"/>
      <c r="G9" s="340"/>
      <c r="H9" s="341"/>
      <c r="I9" s="341"/>
      <c r="J9" s="343"/>
      <c r="K9" s="344"/>
      <c r="L9" s="341"/>
      <c r="M9" s="341"/>
      <c r="N9" s="342"/>
      <c r="O9" s="340"/>
      <c r="P9" s="341"/>
      <c r="Q9" s="341"/>
      <c r="R9" s="343"/>
      <c r="S9" s="344"/>
      <c r="T9" s="341"/>
      <c r="U9" s="341"/>
      <c r="V9" s="343"/>
      <c r="W9" s="344"/>
      <c r="X9" s="341"/>
      <c r="Y9" s="341"/>
      <c r="Z9" s="345"/>
      <c r="AA9" s="346"/>
      <c r="AB9" s="347"/>
      <c r="AC9" s="347"/>
      <c r="AD9" s="345"/>
      <c r="AE9" s="314"/>
      <c r="AF9" s="314"/>
      <c r="AG9" s="314"/>
      <c r="AH9" s="314"/>
      <c r="AI9" s="314"/>
      <c r="AJ9" s="314"/>
      <c r="AK9" s="314"/>
      <c r="AL9" s="314"/>
      <c r="AM9" s="314"/>
      <c r="AN9" s="314"/>
      <c r="AO9" s="314"/>
      <c r="AP9" s="314"/>
      <c r="AQ9" s="314"/>
      <c r="AR9" s="314"/>
      <c r="AS9" s="314"/>
      <c r="AT9" s="314"/>
      <c r="AU9" s="314"/>
      <c r="AV9" s="314"/>
      <c r="AW9" s="314"/>
      <c r="AX9" s="314"/>
      <c r="AY9" s="314"/>
      <c r="AZ9" s="314"/>
    </row>
    <row r="10" spans="1:52" s="295" customFormat="1" ht="17.100000000000001" customHeight="1">
      <c r="A10" s="314"/>
      <c r="B10" s="315" t="s">
        <v>94</v>
      </c>
      <c r="C10" s="348">
        <f>C54</f>
        <v>625.85041575000002</v>
      </c>
      <c r="D10" s="317">
        <f>D54-C54</f>
        <v>614.59528435999994</v>
      </c>
      <c r="E10" s="317">
        <f>E54-D54</f>
        <v>770.97664897999994</v>
      </c>
      <c r="F10" s="318">
        <f>F54-E54</f>
        <v>653.62376541000003</v>
      </c>
      <c r="G10" s="348">
        <f>G54</f>
        <v>730.87574573000006</v>
      </c>
      <c r="H10" s="317">
        <f>H54-G54</f>
        <v>726.82740790000003</v>
      </c>
      <c r="I10" s="317">
        <f>I54-H54</f>
        <v>832.08426375999989</v>
      </c>
      <c r="J10" s="317">
        <f>J54-I54</f>
        <v>739.45963262000032</v>
      </c>
      <c r="K10" s="349">
        <f>K54</f>
        <v>899.70538217000001</v>
      </c>
      <c r="L10" s="317">
        <f>L54-K54</f>
        <v>1093.0550670399998</v>
      </c>
      <c r="M10" s="317">
        <f>M54-L54</f>
        <v>1019.1358389000002</v>
      </c>
      <c r="N10" s="317">
        <f>N54-M54</f>
        <v>949.34576296000023</v>
      </c>
      <c r="O10" s="348">
        <f>O54</f>
        <v>950.60466094000003</v>
      </c>
      <c r="P10" s="317">
        <f>P54-O54</f>
        <v>1014.58278496</v>
      </c>
      <c r="Q10" s="317">
        <f>Q54-P54</f>
        <v>1096.7927897099999</v>
      </c>
      <c r="R10" s="317">
        <f>R54-Q54</f>
        <v>1269.7787866799999</v>
      </c>
      <c r="S10" s="349">
        <f>S54</f>
        <v>1448.96389802</v>
      </c>
      <c r="T10" s="317">
        <f>T54-S54</f>
        <v>1175.2438835800001</v>
      </c>
      <c r="U10" s="317">
        <f>U54-T54</f>
        <v>1391.3270623499998</v>
      </c>
      <c r="V10" s="317">
        <f>V54-U54</f>
        <v>1498.5357479700001</v>
      </c>
      <c r="W10" s="349" t="e">
        <f>W54</f>
        <v>#VALUE!</v>
      </c>
      <c r="X10" s="317" t="e">
        <f>X54-W54</f>
        <v>#VALUE!</v>
      </c>
      <c r="Y10" s="317" t="e">
        <f>Y54-X54</f>
        <v>#VALUE!</v>
      </c>
      <c r="Z10" s="317" t="e">
        <f ca="1">Z54-Y54</f>
        <v>#VALUE!</v>
      </c>
      <c r="AA10" s="350"/>
      <c r="AB10" s="351"/>
      <c r="AC10" s="351"/>
      <c r="AD10" s="352"/>
      <c r="AE10" s="314"/>
      <c r="AF10" s="314"/>
      <c r="AG10" s="314"/>
      <c r="AH10" s="314"/>
      <c r="AI10" s="314"/>
      <c r="AJ10" s="314"/>
      <c r="AK10" s="314"/>
      <c r="AL10" s="314"/>
      <c r="AM10" s="314"/>
      <c r="AN10" s="314"/>
      <c r="AO10" s="314"/>
      <c r="AP10" s="314"/>
      <c r="AQ10" s="314"/>
      <c r="AR10" s="314"/>
      <c r="AS10" s="314"/>
      <c r="AT10" s="314"/>
      <c r="AU10" s="314"/>
      <c r="AV10" s="314"/>
      <c r="AW10" s="314"/>
      <c r="AX10" s="314"/>
      <c r="AY10" s="314"/>
      <c r="AZ10" s="314"/>
    </row>
    <row r="11" spans="1:52" s="295" customFormat="1" ht="17.100000000000001" customHeight="1">
      <c r="A11" s="314"/>
      <c r="B11" s="323" t="s">
        <v>666</v>
      </c>
      <c r="C11" s="324"/>
      <c r="D11" s="325"/>
      <c r="E11" s="325"/>
      <c r="F11" s="326"/>
      <c r="G11" s="324"/>
      <c r="H11" s="325"/>
      <c r="I11" s="325"/>
      <c r="J11" s="327"/>
      <c r="K11" s="328"/>
      <c r="L11" s="325"/>
      <c r="M11" s="325"/>
      <c r="N11" s="326"/>
      <c r="O11" s="324"/>
      <c r="P11" s="325"/>
      <c r="Q11" s="325"/>
      <c r="R11" s="327"/>
      <c r="S11" s="328"/>
      <c r="T11" s="325"/>
      <c r="U11" s="325"/>
      <c r="V11" s="327"/>
      <c r="W11" s="328"/>
      <c r="X11" s="325"/>
      <c r="Y11" s="325"/>
      <c r="Z11" s="329"/>
      <c r="AA11" s="330"/>
      <c r="AB11" s="331"/>
      <c r="AC11" s="331"/>
      <c r="AD11" s="332"/>
      <c r="AE11" s="314"/>
      <c r="AF11" s="314"/>
      <c r="AG11" s="314"/>
      <c r="AH11" s="314"/>
      <c r="AI11" s="314"/>
      <c r="AJ11" s="314"/>
      <c r="AK11" s="314"/>
      <c r="AL11" s="314"/>
      <c r="AM11" s="314"/>
      <c r="AN11" s="314"/>
      <c r="AO11" s="314"/>
      <c r="AP11" s="314"/>
      <c r="AQ11" s="314"/>
      <c r="AR11" s="314"/>
      <c r="AS11" s="314"/>
      <c r="AT11" s="314"/>
      <c r="AU11" s="314"/>
      <c r="AV11" s="314"/>
      <c r="AW11" s="314"/>
      <c r="AX11" s="314"/>
      <c r="AY11" s="314"/>
      <c r="AZ11" s="314"/>
    </row>
    <row r="12" spans="1:52" s="295" customFormat="1" ht="17.100000000000001" customHeight="1">
      <c r="A12" s="314"/>
      <c r="B12" s="333"/>
      <c r="C12" s="334"/>
      <c r="D12" s="335"/>
      <c r="E12" s="335"/>
      <c r="F12" s="336"/>
      <c r="G12" s="334"/>
      <c r="H12" s="335"/>
      <c r="I12" s="335"/>
      <c r="J12" s="337"/>
      <c r="K12" s="338"/>
      <c r="L12" s="335"/>
      <c r="M12" s="335"/>
      <c r="N12" s="336"/>
      <c r="O12" s="334"/>
      <c r="P12" s="335"/>
      <c r="Q12" s="335"/>
      <c r="R12" s="337"/>
      <c r="S12" s="338"/>
      <c r="T12" s="335"/>
      <c r="U12" s="335"/>
      <c r="V12" s="337"/>
      <c r="W12" s="338"/>
      <c r="X12" s="335"/>
      <c r="Y12" s="335"/>
      <c r="Z12" s="332"/>
      <c r="AA12" s="330"/>
      <c r="AB12" s="331"/>
      <c r="AC12" s="331"/>
      <c r="AD12" s="332"/>
      <c r="AE12" s="314"/>
      <c r="AF12" s="314"/>
      <c r="AG12" s="314"/>
      <c r="AH12" s="314"/>
      <c r="AI12" s="314"/>
      <c r="AJ12" s="314"/>
      <c r="AK12" s="314"/>
      <c r="AL12" s="314"/>
      <c r="AM12" s="314"/>
      <c r="AN12" s="314"/>
      <c r="AO12" s="314"/>
      <c r="AP12" s="314"/>
      <c r="AQ12" s="314"/>
      <c r="AR12" s="314"/>
      <c r="AS12" s="314"/>
      <c r="AT12" s="314"/>
      <c r="AU12" s="314"/>
      <c r="AV12" s="314"/>
      <c r="AW12" s="314"/>
      <c r="AX12" s="314"/>
      <c r="AY12" s="314"/>
      <c r="AZ12" s="314"/>
    </row>
    <row r="13" spans="1:52" s="295" customFormat="1" ht="17.100000000000001" customHeight="1">
      <c r="A13" s="314"/>
      <c r="B13" s="333"/>
      <c r="C13" s="334"/>
      <c r="D13" s="335"/>
      <c r="E13" s="335"/>
      <c r="F13" s="336"/>
      <c r="G13" s="334"/>
      <c r="H13" s="335"/>
      <c r="I13" s="335"/>
      <c r="J13" s="337"/>
      <c r="K13" s="338"/>
      <c r="L13" s="335"/>
      <c r="M13" s="335"/>
      <c r="N13" s="336"/>
      <c r="O13" s="334"/>
      <c r="P13" s="335"/>
      <c r="Q13" s="335"/>
      <c r="R13" s="337"/>
      <c r="S13" s="338"/>
      <c r="T13" s="335"/>
      <c r="U13" s="335"/>
      <c r="V13" s="337"/>
      <c r="W13" s="338"/>
      <c r="X13" s="335"/>
      <c r="Y13" s="335"/>
      <c r="Z13" s="332"/>
      <c r="AA13" s="330"/>
      <c r="AB13" s="331"/>
      <c r="AC13" s="331"/>
      <c r="AD13" s="332"/>
      <c r="AE13" s="314"/>
      <c r="AF13" s="314"/>
      <c r="AG13" s="314"/>
      <c r="AH13" s="314"/>
      <c r="AI13" s="314"/>
      <c r="AJ13" s="314"/>
      <c r="AK13" s="314"/>
      <c r="AL13" s="314"/>
      <c r="AM13" s="314"/>
      <c r="AN13" s="314"/>
      <c r="AO13" s="314"/>
      <c r="AP13" s="314"/>
      <c r="AQ13" s="314"/>
      <c r="AR13" s="314"/>
      <c r="AS13" s="314"/>
      <c r="AT13" s="314"/>
      <c r="AU13" s="314"/>
      <c r="AV13" s="314"/>
      <c r="AW13" s="314"/>
      <c r="AX13" s="314"/>
      <c r="AY13" s="314"/>
      <c r="AZ13" s="314"/>
    </row>
    <row r="14" spans="1:52" s="295" customFormat="1" ht="17.100000000000001" customHeight="1">
      <c r="A14" s="314"/>
      <c r="B14" s="333"/>
      <c r="C14" s="334"/>
      <c r="D14" s="335"/>
      <c r="E14" s="335"/>
      <c r="F14" s="336"/>
      <c r="G14" s="334"/>
      <c r="H14" s="335"/>
      <c r="I14" s="335"/>
      <c r="J14" s="337"/>
      <c r="K14" s="338"/>
      <c r="L14" s="335"/>
      <c r="M14" s="335"/>
      <c r="N14" s="336"/>
      <c r="O14" s="334"/>
      <c r="P14" s="335"/>
      <c r="Q14" s="335"/>
      <c r="R14" s="337"/>
      <c r="S14" s="338"/>
      <c r="T14" s="335"/>
      <c r="U14" s="335"/>
      <c r="V14" s="337"/>
      <c r="W14" s="338"/>
      <c r="X14" s="335"/>
      <c r="Y14" s="335"/>
      <c r="Z14" s="332"/>
      <c r="AA14" s="330"/>
      <c r="AB14" s="331"/>
      <c r="AC14" s="331"/>
      <c r="AD14" s="332"/>
      <c r="AE14" s="314"/>
      <c r="AF14" s="314"/>
      <c r="AG14" s="314"/>
      <c r="AH14" s="314"/>
      <c r="AI14" s="314"/>
      <c r="AJ14" s="314"/>
      <c r="AK14" s="314"/>
      <c r="AL14" s="314"/>
      <c r="AM14" s="314"/>
      <c r="AN14" s="314"/>
      <c r="AO14" s="314"/>
      <c r="AP14" s="314"/>
      <c r="AQ14" s="314"/>
      <c r="AR14" s="314"/>
      <c r="AS14" s="314"/>
      <c r="AT14" s="314"/>
      <c r="AU14" s="314"/>
      <c r="AV14" s="314"/>
      <c r="AW14" s="314"/>
      <c r="AX14" s="314"/>
      <c r="AY14" s="314"/>
      <c r="AZ14" s="314"/>
    </row>
    <row r="15" spans="1:52" s="295" customFormat="1" ht="17.100000000000001" customHeight="1">
      <c r="A15" s="314"/>
      <c r="B15" s="339"/>
      <c r="C15" s="340"/>
      <c r="D15" s="341"/>
      <c r="E15" s="341"/>
      <c r="F15" s="342"/>
      <c r="G15" s="340"/>
      <c r="H15" s="341"/>
      <c r="I15" s="341"/>
      <c r="J15" s="343"/>
      <c r="K15" s="344"/>
      <c r="L15" s="341"/>
      <c r="M15" s="341"/>
      <c r="N15" s="342"/>
      <c r="O15" s="340"/>
      <c r="P15" s="341"/>
      <c r="Q15" s="341"/>
      <c r="R15" s="343"/>
      <c r="S15" s="344"/>
      <c r="T15" s="341"/>
      <c r="U15" s="341"/>
      <c r="V15" s="343"/>
      <c r="W15" s="344"/>
      <c r="X15" s="341"/>
      <c r="Y15" s="341"/>
      <c r="Z15" s="345"/>
      <c r="AA15" s="346"/>
      <c r="AB15" s="347"/>
      <c r="AC15" s="347"/>
      <c r="AD15" s="345"/>
      <c r="AE15" s="314"/>
      <c r="AF15" s="314"/>
      <c r="AG15" s="314"/>
      <c r="AH15" s="314"/>
      <c r="AI15" s="314"/>
      <c r="AJ15" s="314"/>
      <c r="AK15" s="314"/>
      <c r="AL15" s="314"/>
      <c r="AM15" s="314"/>
      <c r="AN15" s="314"/>
      <c r="AO15" s="314"/>
      <c r="AP15" s="314"/>
      <c r="AQ15" s="314"/>
      <c r="AR15" s="314"/>
      <c r="AS15" s="314"/>
      <c r="AT15" s="314"/>
      <c r="AU15" s="314"/>
      <c r="AV15" s="314"/>
      <c r="AW15" s="314"/>
      <c r="AX15" s="314"/>
      <c r="AY15" s="314"/>
      <c r="AZ15" s="314"/>
    </row>
    <row r="16" spans="1:52" s="295" customFormat="1" ht="17.100000000000001" customHeight="1">
      <c r="A16" s="314"/>
      <c r="B16" s="353" t="s">
        <v>667</v>
      </c>
      <c r="C16" s="354">
        <f t="shared" ref="C16:C21" si="0">C55</f>
        <v>506.40815720000001</v>
      </c>
      <c r="D16" s="355">
        <f t="shared" ref="D16:F21" si="1">D55-C55</f>
        <v>512.07821932999991</v>
      </c>
      <c r="E16" s="355">
        <f t="shared" si="1"/>
        <v>640.02837928000008</v>
      </c>
      <c r="F16" s="356">
        <f t="shared" si="1"/>
        <v>579.77118267999981</v>
      </c>
      <c r="G16" s="354">
        <f t="shared" ref="G16:G21" si="2">G55</f>
        <v>591.56410825</v>
      </c>
      <c r="H16" s="355">
        <f t="shared" ref="H16:J21" si="3">H55-G55</f>
        <v>685.68244306999998</v>
      </c>
      <c r="I16" s="355">
        <f t="shared" si="3"/>
        <v>719.2979140299999</v>
      </c>
      <c r="J16" s="356">
        <f t="shared" si="3"/>
        <v>758.63655609000034</v>
      </c>
      <c r="K16" s="357">
        <f t="shared" ref="K16:K21" si="4">K55</f>
        <v>798.75209599000004</v>
      </c>
      <c r="L16" s="355">
        <f t="shared" ref="L16:N19" si="5">L55-K55</f>
        <v>973.87344482999993</v>
      </c>
      <c r="M16" s="355">
        <f t="shared" si="5"/>
        <v>883.8576870500001</v>
      </c>
      <c r="N16" s="356">
        <f t="shared" si="5"/>
        <v>969.42594372999974</v>
      </c>
      <c r="O16" s="354">
        <f t="shared" ref="O16:O21" si="6">O55</f>
        <v>851.52179154999999</v>
      </c>
      <c r="P16" s="355">
        <f t="shared" ref="P16:R19" si="7">P55-O55</f>
        <v>905.06253731999982</v>
      </c>
      <c r="Q16" s="355">
        <f t="shared" si="7"/>
        <v>980.20178289000023</v>
      </c>
      <c r="R16" s="356">
        <f t="shared" si="7"/>
        <v>1127.00112945</v>
      </c>
      <c r="S16" s="354">
        <f t="shared" ref="S16:S21" si="8">S55</f>
        <v>1315.60956571</v>
      </c>
      <c r="T16" s="355">
        <f t="shared" ref="T16:V19" si="9">T55-S55</f>
        <v>1083.12337591</v>
      </c>
      <c r="U16" s="355">
        <f t="shared" si="9"/>
        <v>1286.64939121</v>
      </c>
      <c r="V16" s="356">
        <f t="shared" si="9"/>
        <v>1393.8882037500002</v>
      </c>
      <c r="W16" s="354" t="e">
        <f t="shared" ref="W16:W21" si="10">W55</f>
        <v>#VALUE!</v>
      </c>
      <c r="X16" s="355" t="e">
        <f t="shared" ref="X16:Z19" si="11">X55-W55</f>
        <v>#VALUE!</v>
      </c>
      <c r="Y16" s="355" t="e">
        <f t="shared" si="11"/>
        <v>#VALUE!</v>
      </c>
      <c r="Z16" s="356" t="e">
        <f t="shared" si="11"/>
        <v>#VALUE!</v>
      </c>
      <c r="AA16" s="330"/>
      <c r="AB16" s="331"/>
      <c r="AC16" s="331"/>
      <c r="AD16" s="332"/>
      <c r="AE16" s="314"/>
      <c r="AF16" s="314"/>
      <c r="AG16" s="314"/>
      <c r="AH16" s="314"/>
      <c r="AI16" s="314"/>
      <c r="AJ16" s="314"/>
      <c r="AK16" s="314"/>
      <c r="AL16" s="314"/>
      <c r="AM16" s="314"/>
      <c r="AN16" s="314"/>
      <c r="AO16" s="314"/>
      <c r="AP16" s="314"/>
      <c r="AQ16" s="314"/>
      <c r="AR16" s="314"/>
      <c r="AS16" s="314"/>
      <c r="AT16" s="314"/>
      <c r="AU16" s="314"/>
      <c r="AV16" s="314"/>
      <c r="AW16" s="314"/>
      <c r="AX16" s="314"/>
      <c r="AY16" s="314"/>
      <c r="AZ16" s="314"/>
    </row>
    <row r="17" spans="1:52" s="295" customFormat="1" ht="17.100000000000001" customHeight="1">
      <c r="A17" s="314"/>
      <c r="B17" s="358" t="s">
        <v>668</v>
      </c>
      <c r="C17" s="359">
        <f t="shared" si="0"/>
        <v>2.95679151</v>
      </c>
      <c r="D17" s="360">
        <f t="shared" si="1"/>
        <v>4.9452137999999994</v>
      </c>
      <c r="E17" s="360">
        <f t="shared" si="1"/>
        <v>4.2044639799999999</v>
      </c>
      <c r="F17" s="361">
        <f t="shared" si="1"/>
        <v>4.7588953399999987</v>
      </c>
      <c r="G17" s="359">
        <f t="shared" si="2"/>
        <v>6.8581773500000001</v>
      </c>
      <c r="H17" s="360">
        <f t="shared" si="3"/>
        <v>4.6402839999999994</v>
      </c>
      <c r="I17" s="360">
        <f t="shared" si="3"/>
        <v>2.4063645300000012</v>
      </c>
      <c r="J17" s="361">
        <f t="shared" si="3"/>
        <v>9.0769272900000004</v>
      </c>
      <c r="K17" s="362">
        <f t="shared" si="4"/>
        <v>6.5206670899999999</v>
      </c>
      <c r="L17" s="360">
        <f t="shared" si="5"/>
        <v>8.343701359999999</v>
      </c>
      <c r="M17" s="360">
        <f t="shared" si="5"/>
        <v>3.0253414299999992</v>
      </c>
      <c r="N17" s="361">
        <f t="shared" si="5"/>
        <v>9.009353940000004</v>
      </c>
      <c r="O17" s="359">
        <f t="shared" si="6"/>
        <v>5.9456981900000008</v>
      </c>
      <c r="P17" s="360">
        <f t="shared" si="7"/>
        <v>4.6128049599999992</v>
      </c>
      <c r="Q17" s="360">
        <f t="shared" si="7"/>
        <v>2.9649541999999993</v>
      </c>
      <c r="R17" s="361">
        <f t="shared" si="7"/>
        <v>5.8920492800000002</v>
      </c>
      <c r="S17" s="359">
        <f t="shared" si="8"/>
        <v>7.9006421399999995</v>
      </c>
      <c r="T17" s="360">
        <f t="shared" si="9"/>
        <v>1.8949991099999997</v>
      </c>
      <c r="U17" s="360">
        <f t="shared" si="9"/>
        <v>4.7611941700000013</v>
      </c>
      <c r="V17" s="361">
        <f t="shared" si="9"/>
        <v>7.24665699</v>
      </c>
      <c r="W17" s="359" t="e">
        <f t="shared" si="10"/>
        <v>#VALUE!</v>
      </c>
      <c r="X17" s="360" t="e">
        <f t="shared" si="11"/>
        <v>#VALUE!</v>
      </c>
      <c r="Y17" s="360" t="e">
        <f t="shared" si="11"/>
        <v>#VALUE!</v>
      </c>
      <c r="Z17" s="361" t="e">
        <f t="shared" si="11"/>
        <v>#VALUE!</v>
      </c>
      <c r="AA17" s="330"/>
      <c r="AB17" s="331"/>
      <c r="AC17" s="331"/>
      <c r="AD17" s="332"/>
      <c r="AE17" s="314"/>
      <c r="AF17" s="314"/>
      <c r="AG17" s="314"/>
      <c r="AH17" s="314"/>
      <c r="AI17" s="314"/>
      <c r="AJ17" s="314"/>
      <c r="AK17" s="314"/>
      <c r="AL17" s="314"/>
      <c r="AM17" s="314"/>
      <c r="AN17" s="314"/>
      <c r="AO17" s="314"/>
      <c r="AP17" s="314"/>
      <c r="AQ17" s="314"/>
      <c r="AR17" s="314"/>
      <c r="AS17" s="314"/>
      <c r="AT17" s="314"/>
      <c r="AU17" s="314"/>
      <c r="AV17" s="314"/>
      <c r="AW17" s="314"/>
      <c r="AX17" s="314"/>
      <c r="AY17" s="314"/>
      <c r="AZ17" s="314"/>
    </row>
    <row r="18" spans="1:52" s="295" customFormat="1" ht="17.100000000000001" customHeight="1">
      <c r="A18" s="314"/>
      <c r="B18" s="353" t="s">
        <v>669</v>
      </c>
      <c r="C18" s="359">
        <f t="shared" si="0"/>
        <v>8.4863909</v>
      </c>
      <c r="D18" s="360">
        <f t="shared" si="1"/>
        <v>14.897712720000001</v>
      </c>
      <c r="E18" s="360">
        <f t="shared" si="1"/>
        <v>15.420536179999996</v>
      </c>
      <c r="F18" s="361">
        <f t="shared" si="1"/>
        <v>17.009933850000003</v>
      </c>
      <c r="G18" s="359">
        <f t="shared" si="2"/>
        <v>14.29180854</v>
      </c>
      <c r="H18" s="360">
        <f t="shared" si="3"/>
        <v>18.402436380000005</v>
      </c>
      <c r="I18" s="360">
        <f t="shared" si="3"/>
        <v>16.069348199999993</v>
      </c>
      <c r="J18" s="361">
        <f t="shared" si="3"/>
        <v>15.227262760000009</v>
      </c>
      <c r="K18" s="362">
        <f t="shared" si="4"/>
        <v>16.4412001</v>
      </c>
      <c r="L18" s="360">
        <f t="shared" si="5"/>
        <v>20.875840829999998</v>
      </c>
      <c r="M18" s="360">
        <f t="shared" si="5"/>
        <v>18.48237657</v>
      </c>
      <c r="N18" s="361">
        <f t="shared" si="5"/>
        <v>22.356463699999999</v>
      </c>
      <c r="O18" s="359">
        <f t="shared" si="6"/>
        <v>19.6752617</v>
      </c>
      <c r="P18" s="360">
        <f t="shared" si="7"/>
        <v>16.916684680000003</v>
      </c>
      <c r="Q18" s="360">
        <f t="shared" si="7"/>
        <v>21.597514939999996</v>
      </c>
      <c r="R18" s="361">
        <f t="shared" si="7"/>
        <v>28.796850169999992</v>
      </c>
      <c r="S18" s="359">
        <f t="shared" si="8"/>
        <v>24.266272050000001</v>
      </c>
      <c r="T18" s="360">
        <f t="shared" si="9"/>
        <v>26.383614959999999</v>
      </c>
      <c r="U18" s="360">
        <f t="shared" si="9"/>
        <v>30.480828280000011</v>
      </c>
      <c r="V18" s="361">
        <f t="shared" si="9"/>
        <v>31.718375759999986</v>
      </c>
      <c r="W18" s="359" t="e">
        <f t="shared" si="10"/>
        <v>#VALUE!</v>
      </c>
      <c r="X18" s="360" t="e">
        <f t="shared" si="11"/>
        <v>#VALUE!</v>
      </c>
      <c r="Y18" s="360" t="e">
        <f t="shared" si="11"/>
        <v>#VALUE!</v>
      </c>
      <c r="Z18" s="361" t="e">
        <f t="shared" si="11"/>
        <v>#VALUE!</v>
      </c>
      <c r="AA18" s="330"/>
      <c r="AB18" s="331"/>
      <c r="AC18" s="331"/>
      <c r="AD18" s="332"/>
      <c r="AE18" s="314"/>
      <c r="AF18" s="314"/>
      <c r="AG18" s="314"/>
      <c r="AH18" s="314"/>
      <c r="AI18" s="314"/>
      <c r="AJ18" s="314"/>
      <c r="AK18" s="314"/>
      <c r="AL18" s="314"/>
      <c r="AM18" s="314"/>
      <c r="AN18" s="314"/>
      <c r="AO18" s="314"/>
      <c r="AP18" s="314"/>
      <c r="AQ18" s="314"/>
      <c r="AR18" s="314"/>
      <c r="AS18" s="314"/>
      <c r="AT18" s="314"/>
      <c r="AU18" s="314"/>
      <c r="AV18" s="314"/>
      <c r="AW18" s="314"/>
      <c r="AX18" s="314"/>
      <c r="AY18" s="314"/>
      <c r="AZ18" s="314"/>
    </row>
    <row r="19" spans="1:52" s="295" customFormat="1" ht="17.100000000000001" customHeight="1">
      <c r="A19" s="314"/>
      <c r="B19" s="353" t="s">
        <v>670</v>
      </c>
      <c r="C19" s="359">
        <f t="shared" si="0"/>
        <v>35.790106479999999</v>
      </c>
      <c r="D19" s="360">
        <f t="shared" si="1"/>
        <v>37.074112339999992</v>
      </c>
      <c r="E19" s="360">
        <f t="shared" si="1"/>
        <v>66.773299439999988</v>
      </c>
      <c r="F19" s="361">
        <f t="shared" si="1"/>
        <v>54.120054400000015</v>
      </c>
      <c r="G19" s="359">
        <f t="shared" si="2"/>
        <v>48.513474939999995</v>
      </c>
      <c r="H19" s="360">
        <f t="shared" si="3"/>
        <v>42.957020510000007</v>
      </c>
      <c r="I19" s="360">
        <f t="shared" si="3"/>
        <v>54.965303189999972</v>
      </c>
      <c r="J19" s="361">
        <f t="shared" si="3"/>
        <v>62.931368720000052</v>
      </c>
      <c r="K19" s="362">
        <f t="shared" si="4"/>
        <v>57.907515670000002</v>
      </c>
      <c r="L19" s="360">
        <f t="shared" si="5"/>
        <v>58.777970219999993</v>
      </c>
      <c r="M19" s="360">
        <f t="shared" si="5"/>
        <v>-59.457889019999996</v>
      </c>
      <c r="N19" s="361">
        <f t="shared" si="5"/>
        <v>22.111165099999994</v>
      </c>
      <c r="O19" s="359">
        <f t="shared" si="6"/>
        <v>19.137221199999999</v>
      </c>
      <c r="P19" s="360">
        <f t="shared" si="7"/>
        <v>24.251026949999996</v>
      </c>
      <c r="Q19" s="360">
        <f t="shared" si="7"/>
        <v>15.601466560000006</v>
      </c>
      <c r="R19" s="361">
        <f t="shared" si="7"/>
        <v>25.276385300000001</v>
      </c>
      <c r="S19" s="359">
        <f t="shared" si="8"/>
        <v>28.18056576</v>
      </c>
      <c r="T19" s="360">
        <f t="shared" si="9"/>
        <v>23.608667019999999</v>
      </c>
      <c r="U19" s="360">
        <f t="shared" si="9"/>
        <v>20.828814230000013</v>
      </c>
      <c r="V19" s="361">
        <f t="shared" si="9"/>
        <v>24.931246959999982</v>
      </c>
      <c r="W19" s="359" t="e">
        <f t="shared" si="10"/>
        <v>#VALUE!</v>
      </c>
      <c r="X19" s="360" t="e">
        <f t="shared" si="11"/>
        <v>#VALUE!</v>
      </c>
      <c r="Y19" s="360" t="e">
        <f t="shared" si="11"/>
        <v>#VALUE!</v>
      </c>
      <c r="Z19" s="361" t="e">
        <f t="shared" si="11"/>
        <v>#VALUE!</v>
      </c>
      <c r="AA19" s="330"/>
      <c r="AB19" s="331"/>
      <c r="AC19" s="331"/>
      <c r="AD19" s="332"/>
      <c r="AE19" s="314"/>
      <c r="AF19" s="314"/>
      <c r="AG19" s="314"/>
      <c r="AH19" s="314"/>
      <c r="AI19" s="314"/>
      <c r="AJ19" s="314"/>
      <c r="AK19" s="314"/>
      <c r="AL19" s="314"/>
      <c r="AM19" s="314"/>
      <c r="AN19" s="314"/>
      <c r="AO19" s="314"/>
      <c r="AP19" s="314"/>
      <c r="AQ19" s="314"/>
      <c r="AR19" s="314"/>
      <c r="AS19" s="314"/>
      <c r="AT19" s="314"/>
      <c r="AU19" s="314"/>
      <c r="AV19" s="314"/>
      <c r="AW19" s="314"/>
      <c r="AX19" s="314"/>
      <c r="AY19" s="314"/>
      <c r="AZ19" s="314"/>
    </row>
    <row r="20" spans="1:52" s="295" customFormat="1" ht="17.100000000000001" customHeight="1">
      <c r="A20" s="314"/>
      <c r="B20" s="353" t="s">
        <v>671</v>
      </c>
      <c r="C20" s="359">
        <f t="shared" si="0"/>
        <v>5.3848646900000006</v>
      </c>
      <c r="D20" s="360">
        <f t="shared" si="1"/>
        <v>-0.70415987000000069</v>
      </c>
      <c r="E20" s="360">
        <f t="shared" si="1"/>
        <v>7.4978701299999999</v>
      </c>
      <c r="F20" s="361">
        <f t="shared" si="1"/>
        <v>17.912390190000004</v>
      </c>
      <c r="G20" s="359">
        <f t="shared" si="2"/>
        <v>0.95146657999999995</v>
      </c>
      <c r="H20" s="360">
        <f t="shared" si="3"/>
        <v>7.3304875700000007</v>
      </c>
      <c r="I20" s="360">
        <f t="shared" si="3"/>
        <v>0.69279096999999901</v>
      </c>
      <c r="J20" s="361">
        <f t="shared" si="3"/>
        <v>1.6469234400000001</v>
      </c>
      <c r="K20" s="362">
        <f t="shared" si="4"/>
        <v>4.3905420099999999</v>
      </c>
      <c r="L20" s="360">
        <f t="shared" ref="L20:N21" si="12">L59-K59</f>
        <v>0.3295363</v>
      </c>
      <c r="M20" s="360">
        <f t="shared" si="12"/>
        <v>7.4297812699999994</v>
      </c>
      <c r="N20" s="361">
        <f t="shared" si="12"/>
        <v>2.0699060199999995</v>
      </c>
      <c r="O20" s="359">
        <f t="shared" si="6"/>
        <v>9.737257640000001</v>
      </c>
      <c r="P20" s="360">
        <f t="shared" ref="P20:R21" si="13">P59-O59</f>
        <v>-2.958542200000001</v>
      </c>
      <c r="Q20" s="360">
        <f t="shared" si="13"/>
        <v>-3.36352852</v>
      </c>
      <c r="R20" s="361">
        <f t="shared" si="13"/>
        <v>-8.9000064499999993</v>
      </c>
      <c r="S20" s="359">
        <f t="shared" si="8"/>
        <v>9.391059910000001</v>
      </c>
      <c r="T20" s="360">
        <f t="shared" ref="T20:V21" si="14">T59-S59</f>
        <v>0.32094341999999898</v>
      </c>
      <c r="U20" s="360">
        <f t="shared" si="14"/>
        <v>1.101629560000001</v>
      </c>
      <c r="V20" s="361">
        <f t="shared" si="14"/>
        <v>-11.091166490000001</v>
      </c>
      <c r="W20" s="359" t="e">
        <f t="shared" si="10"/>
        <v>#VALUE!</v>
      </c>
      <c r="X20" s="360" t="e">
        <f t="shared" ref="X20:Z21" si="15">X59-W59</f>
        <v>#VALUE!</v>
      </c>
      <c r="Y20" s="360" t="e">
        <f t="shared" si="15"/>
        <v>#VALUE!</v>
      </c>
      <c r="Z20" s="361" t="e">
        <f t="shared" ca="1" si="15"/>
        <v>#VALUE!</v>
      </c>
      <c r="AA20" s="330"/>
      <c r="AB20" s="331"/>
      <c r="AC20" s="331"/>
      <c r="AD20" s="332"/>
      <c r="AE20" s="314"/>
      <c r="AF20" s="314"/>
      <c r="AG20" s="314"/>
      <c r="AH20" s="314"/>
      <c r="AI20" s="314"/>
      <c r="AJ20" s="314"/>
      <c r="AK20" s="314"/>
      <c r="AL20" s="314"/>
      <c r="AM20" s="314"/>
      <c r="AN20" s="314"/>
      <c r="AO20" s="314"/>
      <c r="AP20" s="314"/>
      <c r="AQ20" s="314"/>
      <c r="AR20" s="314"/>
      <c r="AS20" s="314"/>
      <c r="AT20" s="314"/>
      <c r="AU20" s="314"/>
      <c r="AV20" s="314"/>
      <c r="AW20" s="314"/>
      <c r="AX20" s="314"/>
      <c r="AY20" s="314"/>
      <c r="AZ20" s="314"/>
    </row>
    <row r="21" spans="1:52" s="295" customFormat="1" ht="17.100000000000001" customHeight="1">
      <c r="A21" s="314"/>
      <c r="B21" s="363" t="s">
        <v>672</v>
      </c>
      <c r="C21" s="364">
        <f t="shared" si="0"/>
        <v>66.824104969999993</v>
      </c>
      <c r="D21" s="365">
        <f t="shared" si="1"/>
        <v>46.304186040000019</v>
      </c>
      <c r="E21" s="365">
        <f t="shared" si="1"/>
        <v>37.052099969999986</v>
      </c>
      <c r="F21" s="366">
        <f t="shared" si="1"/>
        <v>-19.948691049999979</v>
      </c>
      <c r="G21" s="364">
        <f t="shared" si="2"/>
        <v>68.696710069999995</v>
      </c>
      <c r="H21" s="365">
        <f t="shared" si="3"/>
        <v>-32.185263629999994</v>
      </c>
      <c r="I21" s="365">
        <f t="shared" si="3"/>
        <v>38.652542839999995</v>
      </c>
      <c r="J21" s="366">
        <f t="shared" si="3"/>
        <v>-108.05940568</v>
      </c>
      <c r="K21" s="367">
        <f t="shared" si="4"/>
        <v>15.69336131</v>
      </c>
      <c r="L21" s="365">
        <f t="shared" si="12"/>
        <v>30.854573500000001</v>
      </c>
      <c r="M21" s="365">
        <f t="shared" si="12"/>
        <v>50.754060480000007</v>
      </c>
      <c r="N21" s="366">
        <f t="shared" si="12"/>
        <v>-113.42213074</v>
      </c>
      <c r="O21" s="364">
        <f t="shared" si="6"/>
        <v>9.0939106300000017</v>
      </c>
      <c r="P21" s="365">
        <f t="shared" si="13"/>
        <v>21.770580459999998</v>
      </c>
      <c r="Q21" s="365">
        <f t="shared" si="13"/>
        <v>33.937323430000006</v>
      </c>
      <c r="R21" s="366">
        <f t="shared" si="13"/>
        <v>38.508684349999996</v>
      </c>
      <c r="S21" s="364">
        <f t="shared" si="8"/>
        <v>16.457227029999999</v>
      </c>
      <c r="T21" s="365">
        <f t="shared" si="14"/>
        <v>-16.457227029999999</v>
      </c>
      <c r="U21" s="365">
        <f t="shared" si="14"/>
        <v>-4.1264825099999998</v>
      </c>
      <c r="V21" s="366">
        <f t="shared" si="14"/>
        <v>-0.5014375400000004</v>
      </c>
      <c r="W21" s="364" t="e">
        <f t="shared" si="10"/>
        <v>#VALUE!</v>
      </c>
      <c r="X21" s="365" t="e">
        <f t="shared" si="15"/>
        <v>#VALUE!</v>
      </c>
      <c r="Y21" s="365" t="e">
        <f t="shared" si="15"/>
        <v>#VALUE!</v>
      </c>
      <c r="Z21" s="366" t="e">
        <f t="shared" si="15"/>
        <v>#VALUE!</v>
      </c>
      <c r="AA21" s="346"/>
      <c r="AB21" s="347"/>
      <c r="AC21" s="347"/>
      <c r="AD21" s="345"/>
      <c r="AE21" s="314"/>
      <c r="AF21" s="314"/>
      <c r="AG21" s="314"/>
      <c r="AH21" s="314"/>
      <c r="AI21" s="314"/>
      <c r="AJ21" s="314"/>
      <c r="AK21" s="314"/>
      <c r="AL21" s="314"/>
      <c r="AM21" s="314"/>
      <c r="AN21" s="314"/>
      <c r="AO21" s="314"/>
      <c r="AP21" s="314"/>
      <c r="AQ21" s="314"/>
      <c r="AR21" s="314"/>
      <c r="AS21" s="314"/>
      <c r="AT21" s="314"/>
      <c r="AU21" s="314"/>
      <c r="AV21" s="314"/>
      <c r="AW21" s="314"/>
      <c r="AX21" s="314"/>
      <c r="AY21" s="314"/>
      <c r="AZ21" s="314"/>
    </row>
    <row r="22" spans="1:52" s="295" customFormat="1" ht="17.100000000000001" customHeight="1">
      <c r="A22" s="314"/>
      <c r="B22" s="368" t="s">
        <v>673</v>
      </c>
      <c r="C22" s="354">
        <f t="shared" ref="C22:C33" si="16">C66</f>
        <v>0</v>
      </c>
      <c r="D22" s="355">
        <f t="shared" ref="D22:F33" si="17">D66-C66</f>
        <v>0</v>
      </c>
      <c r="E22" s="355">
        <f t="shared" si="17"/>
        <v>0</v>
      </c>
      <c r="F22" s="356">
        <f t="shared" si="17"/>
        <v>0</v>
      </c>
      <c r="G22" s="354">
        <f t="shared" ref="G22:G33" si="18">G66</f>
        <v>0</v>
      </c>
      <c r="H22" s="355">
        <f t="shared" ref="H22:J33" si="19">H66-G66</f>
        <v>0</v>
      </c>
      <c r="I22" s="355">
        <f t="shared" si="19"/>
        <v>0</v>
      </c>
      <c r="J22" s="356">
        <f t="shared" si="19"/>
        <v>0</v>
      </c>
      <c r="K22" s="354">
        <f t="shared" ref="K22:K33" si="20">K66</f>
        <v>0</v>
      </c>
      <c r="L22" s="355">
        <f t="shared" ref="L22:N33" si="21">L66-K66</f>
        <v>0</v>
      </c>
      <c r="M22" s="355">
        <f t="shared" si="21"/>
        <v>0</v>
      </c>
      <c r="N22" s="356">
        <f t="shared" si="21"/>
        <v>0</v>
      </c>
      <c r="O22" s="354">
        <f t="shared" ref="O22:O33" si="22">O66</f>
        <v>0</v>
      </c>
      <c r="P22" s="355">
        <f t="shared" ref="P22:R33" si="23">P66-O66</f>
        <v>0</v>
      </c>
      <c r="Q22" s="355">
        <f t="shared" si="23"/>
        <v>0</v>
      </c>
      <c r="R22" s="356">
        <f t="shared" si="23"/>
        <v>0</v>
      </c>
      <c r="S22" s="354">
        <f t="shared" ref="S22:S33" si="24">S66</f>
        <v>0</v>
      </c>
      <c r="T22" s="355">
        <f t="shared" ref="T22:T33" si="25">T66-S66</f>
        <v>0</v>
      </c>
      <c r="U22" s="355"/>
      <c r="V22" s="356"/>
      <c r="W22" s="354"/>
      <c r="X22" s="355"/>
      <c r="Y22" s="355"/>
      <c r="Z22" s="356"/>
      <c r="AA22" s="369"/>
      <c r="AB22" s="370"/>
      <c r="AC22" s="370"/>
      <c r="AD22" s="371"/>
      <c r="AE22" s="314"/>
      <c r="AF22" s="314"/>
      <c r="AG22" s="314"/>
      <c r="AH22" s="314"/>
      <c r="AI22" s="314"/>
      <c r="AJ22" s="314"/>
      <c r="AK22" s="314"/>
      <c r="AL22" s="314"/>
      <c r="AM22" s="314"/>
      <c r="AN22" s="314"/>
      <c r="AO22" s="314"/>
      <c r="AP22" s="314"/>
      <c r="AQ22" s="314"/>
      <c r="AR22" s="314"/>
      <c r="AS22" s="314"/>
      <c r="AT22" s="314"/>
      <c r="AU22" s="314"/>
      <c r="AV22" s="314"/>
      <c r="AW22" s="314"/>
      <c r="AX22" s="314"/>
      <c r="AY22" s="314"/>
      <c r="AZ22" s="314"/>
    </row>
    <row r="23" spans="1:52" s="295" customFormat="1" ht="17.100000000000001" customHeight="1">
      <c r="A23" s="314"/>
      <c r="B23" s="353" t="s">
        <v>674</v>
      </c>
      <c r="C23" s="359">
        <f t="shared" si="16"/>
        <v>0</v>
      </c>
      <c r="D23" s="360">
        <f t="shared" si="17"/>
        <v>0</v>
      </c>
      <c r="E23" s="360">
        <f t="shared" si="17"/>
        <v>0</v>
      </c>
      <c r="F23" s="361">
        <f t="shared" si="17"/>
        <v>0</v>
      </c>
      <c r="G23" s="359">
        <f t="shared" si="18"/>
        <v>-0.78036268000000009</v>
      </c>
      <c r="H23" s="360">
        <f t="shared" si="19"/>
        <v>0.78036268000000009</v>
      </c>
      <c r="I23" s="360">
        <f t="shared" si="19"/>
        <v>0</v>
      </c>
      <c r="J23" s="361">
        <f t="shared" si="19"/>
        <v>0</v>
      </c>
      <c r="K23" s="359">
        <f t="shared" si="20"/>
        <v>0</v>
      </c>
      <c r="L23" s="360">
        <f t="shared" si="21"/>
        <v>0</v>
      </c>
      <c r="M23" s="360">
        <f t="shared" si="21"/>
        <v>0</v>
      </c>
      <c r="N23" s="361">
        <f t="shared" si="21"/>
        <v>1.0483</v>
      </c>
      <c r="O23" s="359">
        <f t="shared" si="22"/>
        <v>-6.5345000000000004</v>
      </c>
      <c r="P23" s="360">
        <f t="shared" si="23"/>
        <v>8.0098000000000003</v>
      </c>
      <c r="Q23" s="360">
        <f t="shared" si="23"/>
        <v>-2.5236000000000001</v>
      </c>
      <c r="R23" s="361">
        <f t="shared" si="23"/>
        <v>0.78477416</v>
      </c>
      <c r="S23" s="359">
        <f t="shared" si="24"/>
        <v>1.8728698899999998</v>
      </c>
      <c r="T23" s="360">
        <f t="shared" si="25"/>
        <v>-2.71484857</v>
      </c>
      <c r="U23" s="360">
        <f t="shared" ref="U23:V33" si="26">U67-T67</f>
        <v>5.7204520000000092E-2</v>
      </c>
      <c r="V23" s="361">
        <f t="shared" si="26"/>
        <v>0.48169802</v>
      </c>
      <c r="W23" s="359" t="e">
        <f t="shared" ref="W23:W33" si="27">W67</f>
        <v>#VALUE!</v>
      </c>
      <c r="X23" s="360" t="e">
        <f t="shared" ref="X23:Z33" si="28">X67-W67</f>
        <v>#VALUE!</v>
      </c>
      <c r="Y23" s="360" t="e">
        <f t="shared" si="28"/>
        <v>#VALUE!</v>
      </c>
      <c r="Z23" s="361" t="e">
        <f t="shared" si="28"/>
        <v>#VALUE!</v>
      </c>
      <c r="AA23" s="330"/>
      <c r="AB23" s="331"/>
      <c r="AC23" s="331"/>
      <c r="AD23" s="332"/>
      <c r="AE23" s="314"/>
      <c r="AF23" s="314"/>
      <c r="AG23" s="314"/>
      <c r="AH23" s="314"/>
      <c r="AI23" s="314"/>
      <c r="AJ23" s="314"/>
      <c r="AK23" s="314"/>
      <c r="AL23" s="314"/>
      <c r="AM23" s="314"/>
      <c r="AN23" s="314"/>
      <c r="AO23" s="314"/>
      <c r="AP23" s="314"/>
      <c r="AQ23" s="314"/>
      <c r="AR23" s="314"/>
      <c r="AS23" s="314"/>
      <c r="AT23" s="314"/>
      <c r="AU23" s="314"/>
      <c r="AV23" s="314"/>
      <c r="AW23" s="314"/>
      <c r="AX23" s="314"/>
      <c r="AY23" s="314"/>
      <c r="AZ23" s="314"/>
    </row>
    <row r="24" spans="1:52" s="295" customFormat="1" ht="17.100000000000001" customHeight="1">
      <c r="A24" s="314"/>
      <c r="B24" s="353" t="s">
        <v>675</v>
      </c>
      <c r="C24" s="364">
        <f t="shared" si="16"/>
        <v>10.533890490000001</v>
      </c>
      <c r="D24" s="365">
        <f t="shared" si="17"/>
        <v>26.455253750000001</v>
      </c>
      <c r="E24" s="365">
        <f t="shared" si="17"/>
        <v>15.876743679999997</v>
      </c>
      <c r="F24" s="366">
        <f t="shared" si="17"/>
        <v>22.906190510000009</v>
      </c>
      <c r="G24" s="372">
        <f t="shared" si="18"/>
        <v>16.087824770000001</v>
      </c>
      <c r="H24" s="373">
        <f t="shared" si="19"/>
        <v>11.38881507</v>
      </c>
      <c r="I24" s="373">
        <f t="shared" si="19"/>
        <v>12.394551769999996</v>
      </c>
      <c r="J24" s="374">
        <f t="shared" si="19"/>
        <v>8.0108100499999964</v>
      </c>
      <c r="K24" s="364">
        <f t="shared" si="20"/>
        <v>14.27334214</v>
      </c>
      <c r="L24" s="365">
        <f t="shared" si="21"/>
        <v>10.902874799999999</v>
      </c>
      <c r="M24" s="365">
        <f t="shared" si="21"/>
        <v>13.853675260000006</v>
      </c>
      <c r="N24" s="366">
        <f t="shared" si="21"/>
        <v>8.800738729999992</v>
      </c>
      <c r="O24" s="364">
        <f t="shared" si="22"/>
        <v>14.3790786</v>
      </c>
      <c r="P24" s="365">
        <f t="shared" si="23"/>
        <v>14.370278459999998</v>
      </c>
      <c r="Q24" s="365">
        <f t="shared" si="23"/>
        <v>15.289845230000001</v>
      </c>
      <c r="R24" s="366">
        <f t="shared" si="23"/>
        <v>17.64674806</v>
      </c>
      <c r="S24" s="364">
        <f t="shared" si="24"/>
        <v>11.77574308</v>
      </c>
      <c r="T24" s="365">
        <f t="shared" si="25"/>
        <v>12.00698854</v>
      </c>
      <c r="U24" s="365">
        <f t="shared" si="26"/>
        <v>4.7164295900000006</v>
      </c>
      <c r="V24" s="366">
        <f t="shared" si="26"/>
        <v>-1.5811395300000015</v>
      </c>
      <c r="W24" s="364" t="e">
        <f t="shared" si="27"/>
        <v>#VALUE!</v>
      </c>
      <c r="X24" s="365" t="e">
        <f t="shared" si="28"/>
        <v>#VALUE!</v>
      </c>
      <c r="Y24" s="365" t="e">
        <f t="shared" si="28"/>
        <v>#VALUE!</v>
      </c>
      <c r="Z24" s="366" t="e">
        <f t="shared" si="28"/>
        <v>#VALUE!</v>
      </c>
      <c r="AA24" s="330"/>
      <c r="AB24" s="331"/>
      <c r="AC24" s="331"/>
      <c r="AD24" s="332"/>
      <c r="AE24" s="314"/>
      <c r="AF24" s="314"/>
      <c r="AG24" s="314"/>
      <c r="AH24" s="314"/>
      <c r="AI24" s="314"/>
      <c r="AJ24" s="314"/>
      <c r="AK24" s="314"/>
      <c r="AL24" s="314"/>
      <c r="AM24" s="314"/>
      <c r="AN24" s="314"/>
      <c r="AO24" s="314"/>
      <c r="AP24" s="314"/>
      <c r="AQ24" s="314"/>
      <c r="AR24" s="314"/>
      <c r="AS24" s="314"/>
      <c r="AT24" s="314"/>
      <c r="AU24" s="314"/>
      <c r="AV24" s="314"/>
      <c r="AW24" s="314"/>
      <c r="AX24" s="314"/>
      <c r="AY24" s="314"/>
      <c r="AZ24" s="314"/>
    </row>
    <row r="25" spans="1:52" s="295" customFormat="1" ht="17.100000000000001" customHeight="1">
      <c r="A25" s="314"/>
      <c r="B25" s="375" t="s">
        <v>676</v>
      </c>
      <c r="C25" s="354">
        <f t="shared" si="16"/>
        <v>123.03727328000001</v>
      </c>
      <c r="D25" s="355">
        <f t="shared" si="17"/>
        <v>191.80458693999998</v>
      </c>
      <c r="E25" s="355">
        <f t="shared" si="17"/>
        <v>163.73195458999999</v>
      </c>
      <c r="F25" s="356">
        <f t="shared" si="17"/>
        <v>264.95692054</v>
      </c>
      <c r="G25" s="354">
        <f t="shared" si="18"/>
        <v>181.18237271999999</v>
      </c>
      <c r="H25" s="355">
        <f t="shared" si="19"/>
        <v>323.85059190000004</v>
      </c>
      <c r="I25" s="355">
        <f t="shared" si="19"/>
        <v>192.04534141999989</v>
      </c>
      <c r="J25" s="356">
        <f t="shared" si="19"/>
        <v>272.40282392000017</v>
      </c>
      <c r="K25" s="354">
        <f t="shared" si="20"/>
        <v>116.14862734</v>
      </c>
      <c r="L25" s="355">
        <f t="shared" si="21"/>
        <v>170.29909286999998</v>
      </c>
      <c r="M25" s="355">
        <f t="shared" si="21"/>
        <v>138.27375277000004</v>
      </c>
      <c r="N25" s="356">
        <f t="shared" si="21"/>
        <v>252.21366773</v>
      </c>
      <c r="O25" s="354">
        <f t="shared" si="22"/>
        <v>120.54188777</v>
      </c>
      <c r="P25" s="355">
        <f t="shared" si="23"/>
        <v>143.47452425</v>
      </c>
      <c r="Q25" s="355">
        <f t="shared" si="23"/>
        <v>142.34975195999999</v>
      </c>
      <c r="R25" s="356">
        <f t="shared" si="23"/>
        <v>452.00374969999996</v>
      </c>
      <c r="S25" s="354">
        <f t="shared" si="24"/>
        <v>252.62080749</v>
      </c>
      <c r="T25" s="355">
        <f t="shared" si="25"/>
        <v>214.00829313999998</v>
      </c>
      <c r="U25" s="355">
        <f t="shared" si="26"/>
        <v>226.87512004000001</v>
      </c>
      <c r="V25" s="356">
        <f t="shared" si="26"/>
        <v>400.75800503999994</v>
      </c>
      <c r="W25" s="354" t="e">
        <f t="shared" si="27"/>
        <v>#VALUE!</v>
      </c>
      <c r="X25" s="355" t="e">
        <f t="shared" si="28"/>
        <v>#VALUE!</v>
      </c>
      <c r="Y25" s="355" t="e">
        <f t="shared" si="28"/>
        <v>#VALUE!</v>
      </c>
      <c r="Z25" s="356" t="e">
        <f t="shared" ca="1" si="28"/>
        <v>#VALUE!</v>
      </c>
      <c r="AA25" s="376"/>
      <c r="AB25" s="377"/>
      <c r="AC25" s="377"/>
      <c r="AD25" s="378"/>
      <c r="AE25" s="314"/>
      <c r="AF25" s="314"/>
      <c r="AG25" s="314"/>
      <c r="AH25" s="314"/>
      <c r="AI25" s="314"/>
      <c r="AJ25" s="314"/>
      <c r="AK25" s="314"/>
      <c r="AL25" s="314"/>
      <c r="AM25" s="314"/>
      <c r="AN25" s="314"/>
      <c r="AO25" s="314"/>
      <c r="AP25" s="314"/>
      <c r="AQ25" s="314"/>
      <c r="AR25" s="314"/>
      <c r="AS25" s="314"/>
      <c r="AT25" s="314"/>
      <c r="AU25" s="314"/>
      <c r="AV25" s="314"/>
      <c r="AW25" s="314"/>
      <c r="AX25" s="314"/>
      <c r="AY25" s="314"/>
      <c r="AZ25" s="314"/>
    </row>
    <row r="26" spans="1:52" s="295" customFormat="1" ht="17.100000000000001" customHeight="1">
      <c r="A26" s="314"/>
      <c r="B26" s="353" t="s">
        <v>677</v>
      </c>
      <c r="C26" s="359">
        <f t="shared" si="16"/>
        <v>1.35044286</v>
      </c>
      <c r="D26" s="360">
        <f t="shared" si="17"/>
        <v>1.0282997199999999</v>
      </c>
      <c r="E26" s="360">
        <f t="shared" si="17"/>
        <v>13.8048346</v>
      </c>
      <c r="F26" s="361">
        <f t="shared" si="17"/>
        <v>6.1961175900000001</v>
      </c>
      <c r="G26" s="359">
        <f t="shared" si="18"/>
        <v>4.4987930999999994</v>
      </c>
      <c r="H26" s="360">
        <f t="shared" si="19"/>
        <v>8.0749753700000007</v>
      </c>
      <c r="I26" s="360">
        <f t="shared" si="19"/>
        <v>1.4353781499999982</v>
      </c>
      <c r="J26" s="361">
        <f t="shared" si="19"/>
        <v>2.3330297700000031</v>
      </c>
      <c r="K26" s="359">
        <f t="shared" si="20"/>
        <v>1.57666225</v>
      </c>
      <c r="L26" s="360">
        <f t="shared" si="21"/>
        <v>3.3376416100000004</v>
      </c>
      <c r="M26" s="360">
        <f t="shared" si="21"/>
        <v>2.1737228199999992</v>
      </c>
      <c r="N26" s="361">
        <f t="shared" si="21"/>
        <v>-6.7608952299999991</v>
      </c>
      <c r="O26" s="359">
        <f t="shared" si="22"/>
        <v>0.15752015</v>
      </c>
      <c r="P26" s="360">
        <f t="shared" si="23"/>
        <v>0.40482559000000007</v>
      </c>
      <c r="Q26" s="360">
        <f t="shared" si="23"/>
        <v>0.51677120999999993</v>
      </c>
      <c r="R26" s="361">
        <f t="shared" si="23"/>
        <v>-0.86953727999999997</v>
      </c>
      <c r="S26" s="359">
        <f t="shared" si="24"/>
        <v>0.45197709999999996</v>
      </c>
      <c r="T26" s="360">
        <f t="shared" si="25"/>
        <v>-4.9999989999999994E-2</v>
      </c>
      <c r="U26" s="360">
        <f t="shared" si="26"/>
        <v>1.5544950000000002E-2</v>
      </c>
      <c r="V26" s="361">
        <f t="shared" si="26"/>
        <v>1.4272398100000001</v>
      </c>
      <c r="W26" s="359" t="e">
        <f t="shared" si="27"/>
        <v>#VALUE!</v>
      </c>
      <c r="X26" s="360" t="e">
        <f t="shared" si="28"/>
        <v>#VALUE!</v>
      </c>
      <c r="Y26" s="360" t="e">
        <f t="shared" si="28"/>
        <v>#VALUE!</v>
      </c>
      <c r="Z26" s="361" t="e">
        <f t="shared" si="28"/>
        <v>#VALUE!</v>
      </c>
      <c r="AA26" s="330"/>
      <c r="AB26" s="331"/>
      <c r="AC26" s="331"/>
      <c r="AD26" s="332"/>
      <c r="AE26" s="314"/>
      <c r="AF26" s="314"/>
      <c r="AG26" s="314"/>
      <c r="AH26" s="314"/>
      <c r="AI26" s="314"/>
      <c r="AJ26" s="314"/>
      <c r="AK26" s="314"/>
      <c r="AL26" s="314"/>
      <c r="AM26" s="314"/>
      <c r="AN26" s="314"/>
      <c r="AO26" s="314"/>
      <c r="AP26" s="314"/>
      <c r="AQ26" s="314"/>
      <c r="AR26" s="314"/>
      <c r="AS26" s="314"/>
      <c r="AT26" s="314"/>
      <c r="AU26" s="314"/>
      <c r="AV26" s="314"/>
      <c r="AW26" s="314"/>
      <c r="AX26" s="314"/>
      <c r="AY26" s="314"/>
      <c r="AZ26" s="314"/>
    </row>
    <row r="27" spans="1:52" s="295" customFormat="1" ht="17.100000000000001" customHeight="1">
      <c r="A27" s="314"/>
      <c r="B27" s="353" t="s">
        <v>678</v>
      </c>
      <c r="C27" s="359">
        <f t="shared" si="16"/>
        <v>0.25519681</v>
      </c>
      <c r="D27" s="360">
        <f t="shared" si="17"/>
        <v>9.6941856000000008</v>
      </c>
      <c r="E27" s="360">
        <f t="shared" si="17"/>
        <v>0.88023395999999821</v>
      </c>
      <c r="F27" s="361">
        <f t="shared" si="17"/>
        <v>1.319008270000003</v>
      </c>
      <c r="G27" s="359">
        <f t="shared" si="18"/>
        <v>0.27719881000000002</v>
      </c>
      <c r="H27" s="360">
        <f t="shared" si="19"/>
        <v>2.8710485800000001</v>
      </c>
      <c r="I27" s="360">
        <f t="shared" si="19"/>
        <v>-0.23468964999999997</v>
      </c>
      <c r="J27" s="361">
        <f t="shared" si="19"/>
        <v>-0.90943512000000037</v>
      </c>
      <c r="K27" s="359">
        <f t="shared" si="20"/>
        <v>0.48366070999999999</v>
      </c>
      <c r="L27" s="360">
        <f t="shared" si="21"/>
        <v>0.40288254000000001</v>
      </c>
      <c r="M27" s="360">
        <f t="shared" si="21"/>
        <v>0.29954523</v>
      </c>
      <c r="N27" s="361">
        <f t="shared" si="21"/>
        <v>0.93352099000000033</v>
      </c>
      <c r="O27" s="359">
        <f t="shared" si="22"/>
        <v>1.5062881100000001</v>
      </c>
      <c r="P27" s="360">
        <f t="shared" si="23"/>
        <v>-0.15387896000000012</v>
      </c>
      <c r="Q27" s="360">
        <f t="shared" si="23"/>
        <v>1.54120126</v>
      </c>
      <c r="R27" s="361">
        <f t="shared" si="23"/>
        <v>-7.4361899999999981E-2</v>
      </c>
      <c r="S27" s="359">
        <f t="shared" si="24"/>
        <v>0.97030970999999999</v>
      </c>
      <c r="T27" s="360">
        <f t="shared" si="25"/>
        <v>0.61965277000000007</v>
      </c>
      <c r="U27" s="360">
        <f t="shared" si="26"/>
        <v>0.20373536000000003</v>
      </c>
      <c r="V27" s="361">
        <f t="shared" si="26"/>
        <v>2.0199390399999997</v>
      </c>
      <c r="W27" s="359" t="e">
        <f t="shared" si="27"/>
        <v>#VALUE!</v>
      </c>
      <c r="X27" s="360" t="e">
        <f t="shared" si="28"/>
        <v>#VALUE!</v>
      </c>
      <c r="Y27" s="360" t="e">
        <f t="shared" si="28"/>
        <v>#VALUE!</v>
      </c>
      <c r="Z27" s="361" t="e">
        <f t="shared" si="28"/>
        <v>#VALUE!</v>
      </c>
      <c r="AA27" s="330"/>
      <c r="AB27" s="331"/>
      <c r="AC27" s="331"/>
      <c r="AD27" s="332"/>
      <c r="AE27" s="314"/>
      <c r="AF27" s="314"/>
      <c r="AG27" s="314"/>
      <c r="AH27" s="314"/>
      <c r="AI27" s="314"/>
      <c r="AJ27" s="314"/>
      <c r="AK27" s="314"/>
      <c r="AL27" s="314"/>
      <c r="AM27" s="314"/>
      <c r="AN27" s="314"/>
      <c r="AO27" s="314"/>
      <c r="AP27" s="314"/>
      <c r="AQ27" s="314"/>
      <c r="AR27" s="314"/>
      <c r="AS27" s="314"/>
      <c r="AT27" s="314"/>
      <c r="AU27" s="314"/>
      <c r="AV27" s="314"/>
      <c r="AW27" s="314"/>
      <c r="AX27" s="314"/>
      <c r="AY27" s="314"/>
      <c r="AZ27" s="314"/>
    </row>
    <row r="28" spans="1:52" s="295" customFormat="1" ht="17.100000000000001" customHeight="1">
      <c r="A28" s="314"/>
      <c r="B28" s="368" t="s">
        <v>679</v>
      </c>
      <c r="C28" s="359">
        <f t="shared" si="16"/>
        <v>124.13251932999999</v>
      </c>
      <c r="D28" s="360">
        <f t="shared" si="17"/>
        <v>183.13870106000002</v>
      </c>
      <c r="E28" s="360">
        <f t="shared" si="17"/>
        <v>176.65655522999998</v>
      </c>
      <c r="F28" s="361">
        <f t="shared" si="17"/>
        <v>269.83402986000004</v>
      </c>
      <c r="G28" s="359">
        <f t="shared" si="18"/>
        <v>185.40396701</v>
      </c>
      <c r="H28" s="360">
        <f t="shared" si="19"/>
        <v>329.05451869000001</v>
      </c>
      <c r="I28" s="360">
        <f t="shared" si="19"/>
        <v>193.71540921999997</v>
      </c>
      <c r="J28" s="361">
        <f t="shared" si="19"/>
        <v>275.64528881000001</v>
      </c>
      <c r="K28" s="359">
        <f t="shared" si="20"/>
        <v>117.24162887999999</v>
      </c>
      <c r="L28" s="360">
        <f t="shared" si="21"/>
        <v>173.23385193999997</v>
      </c>
      <c r="M28" s="360">
        <f t="shared" si="21"/>
        <v>140.14793036000003</v>
      </c>
      <c r="N28" s="361">
        <f t="shared" si="21"/>
        <v>244.51925151000006</v>
      </c>
      <c r="O28" s="359">
        <f t="shared" si="22"/>
        <v>119.19311981</v>
      </c>
      <c r="P28" s="360">
        <f t="shared" si="23"/>
        <v>144.03322880000002</v>
      </c>
      <c r="Q28" s="360">
        <f t="shared" si="23"/>
        <v>141.32532190999996</v>
      </c>
      <c r="R28" s="361">
        <f t="shared" si="23"/>
        <v>451.20857432000008</v>
      </c>
      <c r="S28" s="359">
        <f t="shared" si="24"/>
        <v>252.10247487999999</v>
      </c>
      <c r="T28" s="360">
        <f t="shared" si="25"/>
        <v>213.33864038000002</v>
      </c>
      <c r="U28" s="360">
        <f t="shared" si="26"/>
        <v>226.68692962999995</v>
      </c>
      <c r="V28" s="361">
        <f t="shared" si="26"/>
        <v>400.16530581000006</v>
      </c>
      <c r="W28" s="359" t="e">
        <f t="shared" si="27"/>
        <v>#VALUE!</v>
      </c>
      <c r="X28" s="360" t="e">
        <f t="shared" si="28"/>
        <v>#VALUE!</v>
      </c>
      <c r="Y28" s="360" t="e">
        <f t="shared" si="28"/>
        <v>#VALUE!</v>
      </c>
      <c r="Z28" s="361" t="e">
        <f t="shared" ca="1" si="28"/>
        <v>#VALUE!</v>
      </c>
      <c r="AA28" s="379"/>
      <c r="AB28" s="380"/>
      <c r="AC28" s="380"/>
      <c r="AD28" s="381"/>
      <c r="AE28" s="314"/>
      <c r="AF28" s="314"/>
      <c r="AG28" s="314"/>
      <c r="AH28" s="314"/>
      <c r="AI28" s="314"/>
      <c r="AJ28" s="314"/>
      <c r="AK28" s="314"/>
      <c r="AL28" s="314"/>
      <c r="AM28" s="314"/>
      <c r="AN28" s="314"/>
      <c r="AO28" s="314"/>
      <c r="AP28" s="314"/>
      <c r="AQ28" s="314"/>
      <c r="AR28" s="314"/>
      <c r="AS28" s="314"/>
      <c r="AT28" s="314"/>
      <c r="AU28" s="314"/>
      <c r="AV28" s="314"/>
      <c r="AW28" s="314"/>
      <c r="AX28" s="314"/>
      <c r="AY28" s="314"/>
      <c r="AZ28" s="314"/>
    </row>
    <row r="29" spans="1:52" s="295" customFormat="1" ht="17.100000000000001" customHeight="1">
      <c r="A29" s="314"/>
      <c r="B29" s="353" t="s">
        <v>680</v>
      </c>
      <c r="C29" s="364">
        <f t="shared" si="16"/>
        <v>15.82110052</v>
      </c>
      <c r="D29" s="365">
        <f t="shared" si="17"/>
        <v>21.972682169999999</v>
      </c>
      <c r="E29" s="365">
        <f t="shared" si="17"/>
        <v>32.418816969999995</v>
      </c>
      <c r="F29" s="366">
        <f t="shared" si="17"/>
        <v>36.256539020000005</v>
      </c>
      <c r="G29" s="364">
        <f t="shared" si="18"/>
        <v>25.339008710000002</v>
      </c>
      <c r="H29" s="365">
        <f t="shared" si="19"/>
        <v>47.276132940000011</v>
      </c>
      <c r="I29" s="365">
        <f t="shared" si="19"/>
        <v>23.26398322999998</v>
      </c>
      <c r="J29" s="366">
        <f t="shared" si="19"/>
        <v>40.184644840000018</v>
      </c>
      <c r="K29" s="364">
        <f t="shared" si="20"/>
        <v>16.905085270000001</v>
      </c>
      <c r="L29" s="365">
        <f t="shared" si="21"/>
        <v>23.737984919999995</v>
      </c>
      <c r="M29" s="365">
        <f t="shared" si="21"/>
        <v>19.995554840000004</v>
      </c>
      <c r="N29" s="366">
        <f t="shared" si="21"/>
        <v>29.304667090000009</v>
      </c>
      <c r="O29" s="364">
        <f t="shared" si="22"/>
        <v>17.09361577</v>
      </c>
      <c r="P29" s="365">
        <f t="shared" si="23"/>
        <v>20.937188889999995</v>
      </c>
      <c r="Q29" s="365">
        <f t="shared" si="23"/>
        <v>19.072637200000003</v>
      </c>
      <c r="R29" s="366">
        <f t="shared" si="23"/>
        <v>48.6016665</v>
      </c>
      <c r="S29" s="364">
        <f t="shared" si="24"/>
        <v>36.824345170000001</v>
      </c>
      <c r="T29" s="365">
        <f t="shared" si="25"/>
        <v>31.489701199999999</v>
      </c>
      <c r="U29" s="365">
        <f t="shared" si="26"/>
        <v>33.03702457</v>
      </c>
      <c r="V29" s="366">
        <f t="shared" si="26"/>
        <v>35.906467979999974</v>
      </c>
      <c r="W29" s="364" t="e">
        <f t="shared" si="27"/>
        <v>#VALUE!</v>
      </c>
      <c r="X29" s="365" t="e">
        <f t="shared" si="28"/>
        <v>#VALUE!</v>
      </c>
      <c r="Y29" s="365" t="e">
        <f t="shared" si="28"/>
        <v>#VALUE!</v>
      </c>
      <c r="Z29" s="366" t="e">
        <f t="shared" ca="1" si="28"/>
        <v>#VALUE!</v>
      </c>
      <c r="AA29" s="330"/>
      <c r="AB29" s="331"/>
      <c r="AC29" s="331"/>
      <c r="AD29" s="332"/>
      <c r="AE29" s="314"/>
      <c r="AF29" s="314"/>
      <c r="AG29" s="314"/>
      <c r="AH29" s="314"/>
      <c r="AI29" s="314"/>
      <c r="AJ29" s="314"/>
      <c r="AK29" s="314"/>
      <c r="AL29" s="314"/>
      <c r="AM29" s="314"/>
      <c r="AN29" s="314"/>
      <c r="AO29" s="314"/>
      <c r="AP29" s="314"/>
      <c r="AQ29" s="314"/>
      <c r="AR29" s="314"/>
      <c r="AS29" s="314"/>
      <c r="AT29" s="314"/>
      <c r="AU29" s="314"/>
      <c r="AV29" s="314"/>
      <c r="AW29" s="314"/>
      <c r="AX29" s="314"/>
      <c r="AY29" s="314"/>
      <c r="AZ29" s="314"/>
    </row>
    <row r="30" spans="1:52" s="295" customFormat="1" ht="17.100000000000001" customHeight="1">
      <c r="A30" s="314"/>
      <c r="B30" s="375" t="s">
        <v>620</v>
      </c>
      <c r="C30" s="354">
        <f t="shared" si="16"/>
        <v>108.31141881000001</v>
      </c>
      <c r="D30" s="355">
        <f t="shared" si="17"/>
        <v>161.16601888999998</v>
      </c>
      <c r="E30" s="355">
        <f t="shared" si="17"/>
        <v>144.23773825999996</v>
      </c>
      <c r="F30" s="356">
        <f t="shared" si="17"/>
        <v>233.57749084000005</v>
      </c>
      <c r="G30" s="354">
        <f t="shared" si="18"/>
        <v>160.0649583</v>
      </c>
      <c r="H30" s="355">
        <f t="shared" si="19"/>
        <v>281.77838574999998</v>
      </c>
      <c r="I30" s="355">
        <f t="shared" si="19"/>
        <v>170.45142599000002</v>
      </c>
      <c r="J30" s="356">
        <f t="shared" si="19"/>
        <v>235.46064396999998</v>
      </c>
      <c r="K30" s="354">
        <f t="shared" si="20"/>
        <v>100.33654360999999</v>
      </c>
      <c r="L30" s="355">
        <f t="shared" si="21"/>
        <v>149.49586701999999</v>
      </c>
      <c r="M30" s="355">
        <f t="shared" si="21"/>
        <v>120.15237551999999</v>
      </c>
      <c r="N30" s="356">
        <f t="shared" si="21"/>
        <v>215.21458442000005</v>
      </c>
      <c r="O30" s="354">
        <f t="shared" si="22"/>
        <v>102.09950404000001</v>
      </c>
      <c r="P30" s="355">
        <f t="shared" si="23"/>
        <v>123.09603990999999</v>
      </c>
      <c r="Q30" s="355">
        <f t="shared" si="23"/>
        <v>122.25268471000004</v>
      </c>
      <c r="R30" s="356">
        <f t="shared" si="23"/>
        <v>402.60690781999995</v>
      </c>
      <c r="S30" s="354">
        <f t="shared" si="24"/>
        <v>215.27812971</v>
      </c>
      <c r="T30" s="355">
        <f t="shared" si="25"/>
        <v>181.84893917999997</v>
      </c>
      <c r="U30" s="355">
        <f t="shared" si="26"/>
        <v>193.64990506000009</v>
      </c>
      <c r="V30" s="356">
        <f t="shared" si="26"/>
        <v>364.25883782999995</v>
      </c>
      <c r="W30" s="354" t="e">
        <f t="shared" si="27"/>
        <v>#VALUE!</v>
      </c>
      <c r="X30" s="355" t="e">
        <f t="shared" si="28"/>
        <v>#VALUE!</v>
      </c>
      <c r="Y30" s="355" t="e">
        <f t="shared" si="28"/>
        <v>#VALUE!</v>
      </c>
      <c r="Z30" s="356" t="e">
        <f t="shared" ca="1" si="28"/>
        <v>#VALUE!</v>
      </c>
      <c r="AA30" s="376"/>
      <c r="AB30" s="377"/>
      <c r="AC30" s="377"/>
      <c r="AD30" s="378"/>
      <c r="AE30" s="314"/>
      <c r="AF30" s="314"/>
      <c r="AG30" s="314"/>
      <c r="AH30" s="314"/>
      <c r="AI30" s="314"/>
      <c r="AJ30" s="314"/>
      <c r="AK30" s="314"/>
      <c r="AL30" s="314"/>
      <c r="AM30" s="314"/>
      <c r="AN30" s="314"/>
      <c r="AO30" s="314"/>
      <c r="AP30" s="314"/>
      <c r="AQ30" s="314"/>
      <c r="AR30" s="314"/>
      <c r="AS30" s="314"/>
      <c r="AT30" s="314"/>
      <c r="AU30" s="314"/>
      <c r="AV30" s="314"/>
      <c r="AW30" s="314"/>
      <c r="AX30" s="314"/>
      <c r="AY30" s="314"/>
      <c r="AZ30" s="314"/>
    </row>
    <row r="31" spans="1:52" s="295" customFormat="1" ht="17.100000000000001" customHeight="1">
      <c r="A31" s="314"/>
      <c r="B31" s="363" t="s">
        <v>681</v>
      </c>
      <c r="C31" s="364">
        <f t="shared" si="16"/>
        <v>0</v>
      </c>
      <c r="D31" s="365">
        <f t="shared" si="17"/>
        <v>0</v>
      </c>
      <c r="E31" s="365">
        <f t="shared" si="17"/>
        <v>0</v>
      </c>
      <c r="F31" s="366">
        <f t="shared" si="17"/>
        <v>-1.9081500000000002E-3</v>
      </c>
      <c r="G31" s="364">
        <f t="shared" si="18"/>
        <v>0.34355112999999998</v>
      </c>
      <c r="H31" s="365">
        <f t="shared" si="19"/>
        <v>-0.36033130999999996</v>
      </c>
      <c r="I31" s="365">
        <f t="shared" si="19"/>
        <v>1.0538719999999998E-2</v>
      </c>
      <c r="J31" s="366">
        <f t="shared" si="19"/>
        <v>2.5760149999999999E-2</v>
      </c>
      <c r="K31" s="364">
        <f t="shared" si="20"/>
        <v>2.1943750000000001E-2</v>
      </c>
      <c r="L31" s="365">
        <f t="shared" si="21"/>
        <v>9.3762609999999996E-2</v>
      </c>
      <c r="M31" s="365">
        <f t="shared" si="21"/>
        <v>-5.9553679999999991E-2</v>
      </c>
      <c r="N31" s="366">
        <f t="shared" si="21"/>
        <v>-4.8794520000000001E-2</v>
      </c>
      <c r="O31" s="364">
        <f t="shared" si="22"/>
        <v>0.48942777000000004</v>
      </c>
      <c r="P31" s="365">
        <f t="shared" si="23"/>
        <v>5.6485039999999986E-2</v>
      </c>
      <c r="Q31" s="365">
        <f t="shared" si="23"/>
        <v>1.2917399999999968E-2</v>
      </c>
      <c r="R31" s="366">
        <f t="shared" si="23"/>
        <v>-1.761185</v>
      </c>
      <c r="S31" s="364">
        <f t="shared" si="24"/>
        <v>-0.70738473000000002</v>
      </c>
      <c r="T31" s="365">
        <f t="shared" si="25"/>
        <v>-0.30660215999999996</v>
      </c>
      <c r="U31" s="365">
        <f t="shared" si="26"/>
        <v>-0.68661497000000016</v>
      </c>
      <c r="V31" s="366">
        <f t="shared" si="26"/>
        <v>-0.32638166999999974</v>
      </c>
      <c r="W31" s="364" t="e">
        <f t="shared" si="27"/>
        <v>#VALUE!</v>
      </c>
      <c r="X31" s="365" t="e">
        <f t="shared" si="28"/>
        <v>#VALUE!</v>
      </c>
      <c r="Y31" s="365" t="e">
        <f t="shared" si="28"/>
        <v>#VALUE!</v>
      </c>
      <c r="Z31" s="366" t="e">
        <f t="shared" ca="1" si="28"/>
        <v>#VALUE!</v>
      </c>
      <c r="AA31" s="346"/>
      <c r="AB31" s="347"/>
      <c r="AC31" s="347"/>
      <c r="AD31" s="345"/>
      <c r="AE31" s="314"/>
      <c r="AF31" s="314"/>
      <c r="AG31" s="314"/>
      <c r="AH31" s="314"/>
      <c r="AI31" s="314"/>
      <c r="AJ31" s="314"/>
      <c r="AK31" s="314"/>
      <c r="AL31" s="314"/>
      <c r="AM31" s="314"/>
      <c r="AN31" s="314"/>
      <c r="AO31" s="314"/>
      <c r="AP31" s="314"/>
      <c r="AQ31" s="314"/>
      <c r="AR31" s="314"/>
      <c r="AS31" s="314"/>
      <c r="AT31" s="314"/>
      <c r="AU31" s="314"/>
      <c r="AV31" s="314"/>
      <c r="AW31" s="314"/>
      <c r="AX31" s="314"/>
      <c r="AY31" s="314"/>
      <c r="AZ31" s="314"/>
    </row>
    <row r="32" spans="1:52" s="295" customFormat="1" ht="17.100000000000001" customHeight="1">
      <c r="A32" s="314"/>
      <c r="B32" s="368" t="s">
        <v>106</v>
      </c>
      <c r="C32" s="382">
        <f t="shared" si="16"/>
        <v>108.31141881000001</v>
      </c>
      <c r="D32" s="382">
        <f t="shared" si="17"/>
        <v>161.16601888999998</v>
      </c>
      <c r="E32" s="382">
        <f t="shared" si="17"/>
        <v>144.23773825999996</v>
      </c>
      <c r="F32" s="382">
        <f t="shared" si="17"/>
        <v>233.57939899000013</v>
      </c>
      <c r="G32" s="382">
        <f t="shared" si="18"/>
        <v>159.72140716999999</v>
      </c>
      <c r="H32" s="382">
        <f t="shared" si="19"/>
        <v>282.13871705999998</v>
      </c>
      <c r="I32" s="382">
        <f t="shared" si="19"/>
        <v>170.44088726999996</v>
      </c>
      <c r="J32" s="382">
        <f t="shared" si="19"/>
        <v>235.4348838200001</v>
      </c>
      <c r="K32" s="382">
        <f t="shared" si="20"/>
        <v>100.31459986</v>
      </c>
      <c r="L32" s="382">
        <f t="shared" si="21"/>
        <v>149.40210440999999</v>
      </c>
      <c r="M32" s="382">
        <f t="shared" si="21"/>
        <v>120.21192920000001</v>
      </c>
      <c r="N32" s="382">
        <f t="shared" si="21"/>
        <v>215.26337893999994</v>
      </c>
      <c r="O32" s="382">
        <f t="shared" si="22"/>
        <v>101.61007626999999</v>
      </c>
      <c r="P32" s="382">
        <f t="shared" si="23"/>
        <v>123.03955487</v>
      </c>
      <c r="Q32" s="382">
        <f t="shared" si="23"/>
        <v>122.23976730999999</v>
      </c>
      <c r="R32" s="382">
        <f t="shared" si="23"/>
        <v>404.36809281999996</v>
      </c>
      <c r="S32" s="382">
        <f t="shared" si="24"/>
        <v>215.98551444</v>
      </c>
      <c r="T32" s="382">
        <f t="shared" si="25"/>
        <v>182.15554133999998</v>
      </c>
      <c r="U32" s="382">
        <f t="shared" si="26"/>
        <v>194.33652002999997</v>
      </c>
      <c r="V32" s="382">
        <f t="shared" si="26"/>
        <v>364.58521949999999</v>
      </c>
      <c r="W32" s="382" t="e">
        <f t="shared" si="27"/>
        <v>#VALUE!</v>
      </c>
      <c r="X32" s="382" t="e">
        <f t="shared" si="28"/>
        <v>#VALUE!</v>
      </c>
      <c r="Y32" s="382" t="e">
        <f t="shared" si="28"/>
        <v>#VALUE!</v>
      </c>
      <c r="Z32" s="382" t="e">
        <f t="shared" ca="1" si="28"/>
        <v>#VALUE!</v>
      </c>
      <c r="AA32" s="379"/>
      <c r="AB32" s="380"/>
      <c r="AC32" s="380"/>
      <c r="AD32" s="381"/>
      <c r="AE32" s="314"/>
      <c r="AF32" s="314"/>
      <c r="AG32" s="314"/>
      <c r="AH32" s="314"/>
      <c r="AI32" s="314"/>
      <c r="AJ32" s="314"/>
      <c r="AK32" s="314"/>
      <c r="AL32" s="314"/>
      <c r="AM32" s="314"/>
      <c r="AN32" s="314"/>
      <c r="AO32" s="314"/>
      <c r="AP32" s="314"/>
      <c r="AQ32" s="314"/>
      <c r="AR32" s="314"/>
      <c r="AS32" s="314"/>
      <c r="AT32" s="314"/>
      <c r="AU32" s="314"/>
      <c r="AV32" s="314"/>
      <c r="AW32" s="314"/>
      <c r="AX32" s="314"/>
      <c r="AY32" s="314"/>
      <c r="AZ32" s="314"/>
    </row>
    <row r="33" spans="1:52" ht="17.100000000000001" customHeight="1">
      <c r="A33" s="306"/>
      <c r="B33" s="383" t="s">
        <v>682</v>
      </c>
      <c r="C33" s="382">
        <f t="shared" si="16"/>
        <v>0.27</v>
      </c>
      <c r="D33" s="382">
        <f t="shared" si="17"/>
        <v>-0.27</v>
      </c>
      <c r="E33" s="382">
        <f t="shared" si="17"/>
        <v>1.03</v>
      </c>
      <c r="F33" s="382">
        <f t="shared" si="17"/>
        <v>0.58000000000000007</v>
      </c>
      <c r="G33" s="382">
        <f t="shared" si="18"/>
        <v>0</v>
      </c>
      <c r="H33" s="382">
        <f t="shared" si="19"/>
        <v>0</v>
      </c>
      <c r="I33" s="382">
        <f t="shared" si="19"/>
        <v>0</v>
      </c>
      <c r="J33" s="382">
        <f t="shared" si="19"/>
        <v>2.11</v>
      </c>
      <c r="K33" s="382">
        <f t="shared" si="20"/>
        <v>0</v>
      </c>
      <c r="L33" s="382">
        <f t="shared" si="21"/>
        <v>0.48</v>
      </c>
      <c r="M33" s="382">
        <f t="shared" si="21"/>
        <v>-0.48</v>
      </c>
      <c r="N33" s="382">
        <f t="shared" si="21"/>
        <v>1.1200000000000001</v>
      </c>
      <c r="O33" s="382">
        <f t="shared" si="22"/>
        <v>0</v>
      </c>
      <c r="P33" s="382">
        <f t="shared" si="23"/>
        <v>0.43</v>
      </c>
      <c r="Q33" s="382">
        <f t="shared" si="23"/>
        <v>0.23000000000000004</v>
      </c>
      <c r="R33" s="382">
        <f t="shared" si="23"/>
        <v>0.77999999999999992</v>
      </c>
      <c r="S33" s="382">
        <f t="shared" si="24"/>
        <v>0.41</v>
      </c>
      <c r="T33" s="382">
        <f t="shared" si="25"/>
        <v>0.35000000000000003</v>
      </c>
      <c r="U33" s="382">
        <f t="shared" si="26"/>
        <v>0.36999999999999988</v>
      </c>
      <c r="V33" s="382">
        <f t="shared" si="26"/>
        <v>0.70000000000000018</v>
      </c>
      <c r="W33" s="382" t="e">
        <f t="shared" si="27"/>
        <v>#VALUE!</v>
      </c>
      <c r="X33" s="382" t="e">
        <f t="shared" si="28"/>
        <v>#VALUE!</v>
      </c>
      <c r="Y33" s="382" t="e">
        <f t="shared" si="28"/>
        <v>#VALUE!</v>
      </c>
      <c r="Z33" s="382" t="e">
        <f t="shared" ca="1" si="28"/>
        <v>#VALUE!</v>
      </c>
      <c r="AA33" s="384"/>
      <c r="AB33" s="385"/>
      <c r="AC33" s="385"/>
      <c r="AD33" s="386"/>
      <c r="AE33" s="306"/>
      <c r="AF33" s="306"/>
      <c r="AG33" s="306"/>
      <c r="AH33" s="306"/>
      <c r="AI33" s="306"/>
      <c r="AJ33" s="306"/>
      <c r="AK33" s="306"/>
      <c r="AL33" s="306"/>
      <c r="AM33" s="306"/>
      <c r="AN33" s="306"/>
      <c r="AO33" s="306"/>
      <c r="AP33" s="306"/>
      <c r="AQ33" s="306"/>
      <c r="AR33" s="306"/>
      <c r="AS33" s="306"/>
      <c r="AT33" s="306"/>
      <c r="AU33" s="306"/>
      <c r="AV33" s="306"/>
      <c r="AW33" s="306"/>
      <c r="AX33" s="306"/>
      <c r="AY33" s="306"/>
      <c r="AZ33" s="306"/>
    </row>
    <row r="34" spans="1:52" ht="17.100000000000001" customHeight="1">
      <c r="A34" s="306"/>
      <c r="B34" s="387"/>
      <c r="C34" s="388"/>
      <c r="D34" s="389"/>
      <c r="E34" s="389"/>
      <c r="F34" s="390"/>
      <c r="G34" s="388"/>
      <c r="H34" s="389"/>
      <c r="I34" s="389"/>
      <c r="J34" s="390"/>
      <c r="K34" s="388"/>
      <c r="L34" s="389"/>
      <c r="M34" s="389"/>
      <c r="N34" s="390"/>
      <c r="O34" s="388"/>
      <c r="P34" s="389"/>
      <c r="Q34" s="389"/>
      <c r="R34" s="390"/>
      <c r="S34" s="388"/>
      <c r="T34" s="389"/>
      <c r="U34" s="389"/>
      <c r="V34" s="391"/>
      <c r="W34" s="388"/>
      <c r="X34" s="389"/>
      <c r="Y34" s="389"/>
      <c r="Z34" s="390"/>
      <c r="AA34" s="388"/>
      <c r="AB34" s="389"/>
      <c r="AC34" s="389"/>
      <c r="AD34" s="390"/>
      <c r="AE34" s="306"/>
      <c r="AF34" s="306"/>
      <c r="AG34" s="306"/>
      <c r="AH34" s="306"/>
      <c r="AI34" s="306"/>
      <c r="AJ34" s="306"/>
      <c r="AK34" s="306"/>
      <c r="AL34" s="306"/>
      <c r="AM34" s="306"/>
      <c r="AN34" s="306"/>
      <c r="AO34" s="306"/>
      <c r="AP34" s="306"/>
      <c r="AQ34" s="306"/>
      <c r="AR34" s="306"/>
      <c r="AS34" s="306"/>
      <c r="AT34" s="306"/>
      <c r="AU34" s="306"/>
      <c r="AV34" s="306"/>
      <c r="AW34" s="306"/>
      <c r="AX34" s="306"/>
      <c r="AY34" s="306"/>
      <c r="AZ34" s="306"/>
    </row>
    <row r="35" spans="1:52" ht="17.100000000000001" customHeight="1">
      <c r="A35" s="306"/>
      <c r="B35" s="313" t="s">
        <v>683</v>
      </c>
      <c r="C35" s="311" t="str">
        <f t="shared" ref="C35:AC35" si="29">C3</f>
        <v>1Q15</v>
      </c>
      <c r="D35" s="311" t="str">
        <f t="shared" si="29"/>
        <v>2Q15</v>
      </c>
      <c r="E35" s="311" t="str">
        <f t="shared" si="29"/>
        <v>3Q15</v>
      </c>
      <c r="F35" s="312" t="str">
        <f t="shared" si="29"/>
        <v>4Q15</v>
      </c>
      <c r="G35" s="310" t="str">
        <f t="shared" si="29"/>
        <v>1Q16</v>
      </c>
      <c r="H35" s="311" t="str">
        <f t="shared" si="29"/>
        <v>2Q16</v>
      </c>
      <c r="I35" s="311" t="str">
        <f t="shared" si="29"/>
        <v>3Q16</v>
      </c>
      <c r="J35" s="312" t="str">
        <f t="shared" si="29"/>
        <v>4Q16</v>
      </c>
      <c r="K35" s="310" t="str">
        <f t="shared" si="29"/>
        <v>1Q17</v>
      </c>
      <c r="L35" s="311" t="str">
        <f t="shared" si="29"/>
        <v>2Q17</v>
      </c>
      <c r="M35" s="311" t="str">
        <f t="shared" si="29"/>
        <v>3Q17</v>
      </c>
      <c r="N35" s="312" t="str">
        <f t="shared" si="29"/>
        <v>4Q17</v>
      </c>
      <c r="O35" s="310" t="str">
        <f t="shared" si="29"/>
        <v>1Q18</v>
      </c>
      <c r="P35" s="311" t="str">
        <f t="shared" si="29"/>
        <v>2Q18</v>
      </c>
      <c r="Q35" s="311" t="str">
        <f t="shared" si="29"/>
        <v>3Q18</v>
      </c>
      <c r="R35" s="312" t="str">
        <f t="shared" si="29"/>
        <v>4Q18</v>
      </c>
      <c r="S35" s="310" t="str">
        <f t="shared" si="29"/>
        <v>1Q19</v>
      </c>
      <c r="T35" s="311" t="str">
        <f t="shared" si="29"/>
        <v>2Q19</v>
      </c>
      <c r="U35" s="311" t="str">
        <f t="shared" si="29"/>
        <v>3Q19</v>
      </c>
      <c r="V35" s="312" t="str">
        <f t="shared" si="29"/>
        <v>4Q19</v>
      </c>
      <c r="W35" s="310" t="str">
        <f t="shared" si="29"/>
        <v>1Q20</v>
      </c>
      <c r="X35" s="311" t="str">
        <f t="shared" si="29"/>
        <v>2Q20</v>
      </c>
      <c r="Y35" s="312" t="str">
        <f t="shared" si="29"/>
        <v>3Q20</v>
      </c>
      <c r="Z35" s="310" t="str">
        <f t="shared" si="29"/>
        <v>4Q20E</v>
      </c>
      <c r="AA35" s="311" t="str">
        <f t="shared" si="29"/>
        <v>1Q21E</v>
      </c>
      <c r="AB35" s="311" t="str">
        <f t="shared" si="29"/>
        <v>2Q21E</v>
      </c>
      <c r="AC35" s="311" t="str">
        <f t="shared" si="29"/>
        <v>3Q21E</v>
      </c>
      <c r="AD35" s="312" t="str">
        <f>AD3</f>
        <v>4Q21E</v>
      </c>
      <c r="AE35" s="306"/>
      <c r="AF35" s="306"/>
      <c r="AG35" s="306"/>
      <c r="AH35" s="306"/>
      <c r="AI35" s="306"/>
      <c r="AJ35" s="306"/>
      <c r="AK35" s="306"/>
      <c r="AL35" s="306"/>
      <c r="AM35" s="306"/>
      <c r="AN35" s="306"/>
      <c r="AO35" s="306"/>
      <c r="AP35" s="306"/>
      <c r="AQ35" s="306"/>
      <c r="AR35" s="306"/>
      <c r="AS35" s="306"/>
      <c r="AT35" s="306"/>
      <c r="AU35" s="306"/>
      <c r="AV35" s="306"/>
      <c r="AW35" s="306"/>
      <c r="AX35" s="306"/>
      <c r="AY35" s="306"/>
      <c r="AZ35" s="306"/>
    </row>
    <row r="36" spans="1:52" ht="17.100000000000001" customHeight="1">
      <c r="A36" s="306"/>
      <c r="B36" s="392" t="s">
        <v>684</v>
      </c>
      <c r="C36" s="393"/>
      <c r="D36" s="394"/>
      <c r="E36" s="394"/>
      <c r="F36" s="395"/>
      <c r="G36" s="396">
        <f t="shared" ref="G36:AD36" si="30">G4/C4-1</f>
        <v>0.21452704399057687</v>
      </c>
      <c r="H36" s="394">
        <f t="shared" si="30"/>
        <v>0.33151610855680347</v>
      </c>
      <c r="I36" s="394">
        <f t="shared" si="30"/>
        <v>0.10111011336842624</v>
      </c>
      <c r="J36" s="397">
        <f t="shared" si="30"/>
        <v>0.12162704031946747</v>
      </c>
      <c r="K36" s="396">
        <f t="shared" si="30"/>
        <v>0.11682353409724588</v>
      </c>
      <c r="L36" s="394">
        <f t="shared" si="30"/>
        <v>0.20772361000666928</v>
      </c>
      <c r="M36" s="394">
        <f t="shared" si="30"/>
        <v>0.13021698388917158</v>
      </c>
      <c r="N36" s="397">
        <f t="shared" si="30"/>
        <v>0.18025157432092542</v>
      </c>
      <c r="O36" s="396">
        <f t="shared" si="30"/>
        <v>5.7912059217406275E-2</v>
      </c>
      <c r="P36" s="394">
        <f t="shared" si="30"/>
        <v>-9.9600414867896947E-2</v>
      </c>
      <c r="Q36" s="394">
        <f t="shared" si="30"/>
        <v>6.8556167693134107E-2</v>
      </c>
      <c r="R36" s="397">
        <f t="shared" si="30"/>
        <v>0.17993323517983439</v>
      </c>
      <c r="S36" s="396">
        <f t="shared" si="30"/>
        <v>0.52389950774011118</v>
      </c>
      <c r="T36" s="394">
        <f t="shared" si="30"/>
        <v>0.20782763084583822</v>
      </c>
      <c r="U36" s="394">
        <f t="shared" si="30"/>
        <v>0.31934088714139985</v>
      </c>
      <c r="V36" s="397">
        <f t="shared" si="30"/>
        <v>0.27764847622691691</v>
      </c>
      <c r="W36" s="393" t="e">
        <f t="shared" si="30"/>
        <v>#VALUE!</v>
      </c>
      <c r="X36" s="394" t="e">
        <f t="shared" si="30"/>
        <v>#VALUE!</v>
      </c>
      <c r="Y36" s="394" t="e">
        <f t="shared" si="30"/>
        <v>#VALUE!</v>
      </c>
      <c r="Z36" s="397" t="e">
        <f t="shared" si="30"/>
        <v>#VALUE!</v>
      </c>
      <c r="AA36" s="396" t="e">
        <f t="shared" si="30"/>
        <v>#VALUE!</v>
      </c>
      <c r="AB36" s="394" t="e">
        <f t="shared" si="30"/>
        <v>#VALUE!</v>
      </c>
      <c r="AC36" s="394" t="e">
        <f t="shared" si="30"/>
        <v>#VALUE!</v>
      </c>
      <c r="AD36" s="397" t="e">
        <f t="shared" si="30"/>
        <v>#VALUE!</v>
      </c>
      <c r="AE36" s="306"/>
      <c r="AF36" s="306"/>
      <c r="AG36" s="306"/>
      <c r="AH36" s="306"/>
      <c r="AI36" s="306"/>
      <c r="AJ36" s="306"/>
      <c r="AK36" s="306"/>
      <c r="AL36" s="306"/>
      <c r="AM36" s="306"/>
      <c r="AN36" s="306"/>
      <c r="AO36" s="306"/>
      <c r="AP36" s="306"/>
      <c r="AQ36" s="306"/>
      <c r="AR36" s="306"/>
      <c r="AS36" s="306"/>
      <c r="AT36" s="306"/>
      <c r="AU36" s="306"/>
      <c r="AV36" s="306"/>
      <c r="AW36" s="306"/>
      <c r="AX36" s="306"/>
      <c r="AY36" s="306"/>
      <c r="AZ36" s="306"/>
    </row>
    <row r="37" spans="1:52" ht="17.100000000000001" customHeight="1">
      <c r="A37" s="306"/>
      <c r="B37" s="363" t="s">
        <v>685</v>
      </c>
      <c r="C37" s="398"/>
      <c r="D37" s="399"/>
      <c r="E37" s="399"/>
      <c r="F37" s="400"/>
      <c r="G37" s="401">
        <f t="shared" ref="G37:AD37" si="31">G10/F10-1</f>
        <v>0.11819028684114929</v>
      </c>
      <c r="H37" s="399">
        <f t="shared" si="31"/>
        <v>-5.5390233615654205E-3</v>
      </c>
      <c r="I37" s="399">
        <f t="shared" si="31"/>
        <v>0.14481685021223289</v>
      </c>
      <c r="J37" s="402">
        <f t="shared" si="31"/>
        <v>-0.11131640769343465</v>
      </c>
      <c r="K37" s="401">
        <f t="shared" si="31"/>
        <v>0.21670655500453551</v>
      </c>
      <c r="L37" s="399">
        <f t="shared" si="31"/>
        <v>0.21490333247052451</v>
      </c>
      <c r="M37" s="399">
        <f t="shared" si="31"/>
        <v>-6.762626181329856E-2</v>
      </c>
      <c r="N37" s="402">
        <f t="shared" si="31"/>
        <v>-6.8479660194589509E-2</v>
      </c>
      <c r="O37" s="401">
        <f t="shared" si="31"/>
        <v>1.3260689931080538E-3</v>
      </c>
      <c r="P37" s="399">
        <f t="shared" si="31"/>
        <v>6.7302556624049714E-2</v>
      </c>
      <c r="Q37" s="399">
        <f t="shared" si="31"/>
        <v>8.1028385232498223E-2</v>
      </c>
      <c r="R37" s="402">
        <f t="shared" si="31"/>
        <v>0.15771985245794595</v>
      </c>
      <c r="S37" s="401">
        <f t="shared" si="31"/>
        <v>0.14111521882366818</v>
      </c>
      <c r="T37" s="399">
        <f t="shared" si="31"/>
        <v>-0.18890740812385776</v>
      </c>
      <c r="U37" s="399">
        <f t="shared" si="31"/>
        <v>0.18386241510295909</v>
      </c>
      <c r="V37" s="402">
        <f t="shared" si="31"/>
        <v>7.7054984784757252E-2</v>
      </c>
      <c r="W37" s="398" t="e">
        <f t="shared" si="31"/>
        <v>#VALUE!</v>
      </c>
      <c r="X37" s="399" t="e">
        <f t="shared" si="31"/>
        <v>#VALUE!</v>
      </c>
      <c r="Y37" s="399" t="e">
        <f t="shared" si="31"/>
        <v>#VALUE!</v>
      </c>
      <c r="Z37" s="402" t="e">
        <f t="shared" ca="1" si="31"/>
        <v>#VALUE!</v>
      </c>
      <c r="AA37" s="401" t="e">
        <f t="shared" ca="1" si="31"/>
        <v>#VALUE!</v>
      </c>
      <c r="AB37" s="399" t="e">
        <f t="shared" si="31"/>
        <v>#DIV/0!</v>
      </c>
      <c r="AC37" s="399" t="e">
        <f t="shared" si="31"/>
        <v>#DIV/0!</v>
      </c>
      <c r="AD37" s="402" t="e">
        <f t="shared" si="31"/>
        <v>#DIV/0!</v>
      </c>
      <c r="AE37" s="306"/>
      <c r="AF37" s="306"/>
      <c r="AG37" s="306"/>
      <c r="AH37" s="306"/>
      <c r="AI37" s="306"/>
      <c r="AJ37" s="306"/>
      <c r="AK37" s="306"/>
      <c r="AL37" s="306"/>
      <c r="AM37" s="306"/>
      <c r="AN37" s="306"/>
      <c r="AO37" s="306"/>
      <c r="AP37" s="306"/>
      <c r="AQ37" s="306"/>
      <c r="AR37" s="306"/>
      <c r="AS37" s="306"/>
      <c r="AT37" s="306"/>
      <c r="AU37" s="306"/>
      <c r="AV37" s="306"/>
      <c r="AW37" s="306"/>
      <c r="AX37" s="306"/>
      <c r="AY37" s="306"/>
      <c r="AZ37" s="306"/>
    </row>
    <row r="38" spans="1:52" ht="17.100000000000001" customHeight="1">
      <c r="A38" s="306"/>
      <c r="B38" s="358" t="s">
        <v>686</v>
      </c>
      <c r="C38" s="403"/>
      <c r="D38" s="404"/>
      <c r="E38" s="404"/>
      <c r="F38" s="405"/>
      <c r="G38" s="406">
        <f t="shared" ref="G38:AD38" si="32">G32/C32-1</f>
        <v>0.47464975461343961</v>
      </c>
      <c r="H38" s="404">
        <f t="shared" si="32"/>
        <v>0.75060921032346806</v>
      </c>
      <c r="I38" s="404">
        <f t="shared" si="32"/>
        <v>0.18166638860328455</v>
      </c>
      <c r="J38" s="407">
        <f t="shared" si="32"/>
        <v>7.9437006774703001E-3</v>
      </c>
      <c r="K38" s="406">
        <f t="shared" si="32"/>
        <v>-0.37194016984066613</v>
      </c>
      <c r="L38" s="404">
        <f t="shared" si="32"/>
        <v>-0.47046578375761183</v>
      </c>
      <c r="M38" s="404">
        <f t="shared" si="32"/>
        <v>-0.29470016775042318</v>
      </c>
      <c r="N38" s="407">
        <f t="shared" si="32"/>
        <v>-8.5677638558532943E-2</v>
      </c>
      <c r="O38" s="406">
        <f t="shared" si="32"/>
        <v>1.2914136245451457E-2</v>
      </c>
      <c r="P38" s="404">
        <f t="shared" si="32"/>
        <v>-0.17645366940517782</v>
      </c>
      <c r="Q38" s="404">
        <f t="shared" si="32"/>
        <v>1.6868859218008181E-2</v>
      </c>
      <c r="R38" s="407">
        <f t="shared" si="32"/>
        <v>0.87848065384455798</v>
      </c>
      <c r="S38" s="406">
        <f t="shared" si="32"/>
        <v>1.1256308662349559</v>
      </c>
      <c r="T38" s="404">
        <f t="shared" si="32"/>
        <v>0.48046326673125739</v>
      </c>
      <c r="U38" s="404">
        <f t="shared" si="32"/>
        <v>0.58979785634868431</v>
      </c>
      <c r="V38" s="407">
        <f t="shared" si="32"/>
        <v>-9.8382820075047062E-2</v>
      </c>
      <c r="W38" s="403" t="e">
        <f t="shared" si="32"/>
        <v>#VALUE!</v>
      </c>
      <c r="X38" s="404" t="e">
        <f t="shared" si="32"/>
        <v>#VALUE!</v>
      </c>
      <c r="Y38" s="404" t="e">
        <f t="shared" si="32"/>
        <v>#VALUE!</v>
      </c>
      <c r="Z38" s="407" t="e">
        <f t="shared" ca="1" si="32"/>
        <v>#VALUE!</v>
      </c>
      <c r="AA38" s="406" t="e">
        <f t="shared" si="32"/>
        <v>#VALUE!</v>
      </c>
      <c r="AB38" s="404" t="e">
        <f t="shared" si="32"/>
        <v>#VALUE!</v>
      </c>
      <c r="AC38" s="404" t="e">
        <f t="shared" si="32"/>
        <v>#VALUE!</v>
      </c>
      <c r="AD38" s="407" t="e">
        <f t="shared" ca="1" si="32"/>
        <v>#VALUE!</v>
      </c>
      <c r="AE38" s="306"/>
      <c r="AF38" s="306"/>
      <c r="AG38" s="306"/>
      <c r="AH38" s="306"/>
      <c r="AI38" s="306"/>
      <c r="AJ38" s="306"/>
      <c r="AK38" s="306"/>
      <c r="AL38" s="306"/>
      <c r="AM38" s="306"/>
      <c r="AN38" s="306"/>
      <c r="AO38" s="306"/>
      <c r="AP38" s="306"/>
      <c r="AQ38" s="306"/>
      <c r="AR38" s="306"/>
      <c r="AS38" s="306"/>
      <c r="AT38" s="306"/>
      <c r="AU38" s="306"/>
      <c r="AV38" s="306"/>
      <c r="AW38" s="306"/>
      <c r="AX38" s="306"/>
      <c r="AY38" s="306"/>
      <c r="AZ38" s="306"/>
    </row>
    <row r="39" spans="1:52" ht="17.100000000000001" customHeight="1">
      <c r="A39" s="306"/>
      <c r="B39" s="353" t="s">
        <v>687</v>
      </c>
      <c r="C39" s="403"/>
      <c r="D39" s="404"/>
      <c r="E39" s="404"/>
      <c r="F39" s="405"/>
      <c r="G39" s="406">
        <f t="shared" ref="G39:AD39" si="33">G32/F32-1</f>
        <v>-0.31620079570100312</v>
      </c>
      <c r="H39" s="404">
        <f t="shared" si="33"/>
        <v>0.76644272085397258</v>
      </c>
      <c r="I39" s="404">
        <f t="shared" si="33"/>
        <v>-0.39589685156981202</v>
      </c>
      <c r="J39" s="407">
        <f t="shared" si="33"/>
        <v>0.3813286682029613</v>
      </c>
      <c r="K39" s="406">
        <f t="shared" si="33"/>
        <v>-0.57391785689373565</v>
      </c>
      <c r="L39" s="404">
        <f t="shared" si="33"/>
        <v>0.48933559639879909</v>
      </c>
      <c r="M39" s="404">
        <f t="shared" si="33"/>
        <v>-0.1953799467904026</v>
      </c>
      <c r="N39" s="407">
        <f t="shared" si="33"/>
        <v>0.79069897948197898</v>
      </c>
      <c r="O39" s="406">
        <f t="shared" si="33"/>
        <v>-0.52797323552966424</v>
      </c>
      <c r="P39" s="404">
        <f t="shared" si="33"/>
        <v>0.21089914885072258</v>
      </c>
      <c r="Q39" s="404">
        <f t="shared" si="33"/>
        <v>-6.5002475085759182E-3</v>
      </c>
      <c r="R39" s="407">
        <f t="shared" si="33"/>
        <v>2.3079913494478657</v>
      </c>
      <c r="S39" s="406">
        <f t="shared" si="33"/>
        <v>-0.46586904784264571</v>
      </c>
      <c r="T39" s="404">
        <f t="shared" si="33"/>
        <v>-0.15663074992650894</v>
      </c>
      <c r="U39" s="404">
        <f t="shared" si="33"/>
        <v>6.6871304602607484E-2</v>
      </c>
      <c r="V39" s="407">
        <f t="shared" si="33"/>
        <v>0.8760509833340564</v>
      </c>
      <c r="W39" s="403" t="e">
        <f t="shared" si="33"/>
        <v>#VALUE!</v>
      </c>
      <c r="X39" s="404" t="e">
        <f t="shared" si="33"/>
        <v>#VALUE!</v>
      </c>
      <c r="Y39" s="404" t="e">
        <f t="shared" si="33"/>
        <v>#VALUE!</v>
      </c>
      <c r="Z39" s="407" t="e">
        <f t="shared" ca="1" si="33"/>
        <v>#VALUE!</v>
      </c>
      <c r="AA39" s="406" t="e">
        <f t="shared" ca="1" si="33"/>
        <v>#VALUE!</v>
      </c>
      <c r="AB39" s="404" t="e">
        <f t="shared" si="33"/>
        <v>#DIV/0!</v>
      </c>
      <c r="AC39" s="404" t="e">
        <f t="shared" si="33"/>
        <v>#DIV/0!</v>
      </c>
      <c r="AD39" s="407" t="e">
        <f t="shared" si="33"/>
        <v>#DIV/0!</v>
      </c>
      <c r="AE39" s="306"/>
      <c r="AF39" s="306"/>
      <c r="AG39" s="306"/>
      <c r="AH39" s="306"/>
      <c r="AI39" s="306"/>
      <c r="AJ39" s="306"/>
      <c r="AK39" s="306"/>
      <c r="AL39" s="306"/>
      <c r="AM39" s="306"/>
      <c r="AN39" s="306"/>
      <c r="AO39" s="306"/>
      <c r="AP39" s="306"/>
      <c r="AQ39" s="306"/>
      <c r="AR39" s="306"/>
      <c r="AS39" s="306"/>
      <c r="AT39" s="306"/>
      <c r="AU39" s="306"/>
      <c r="AV39" s="306"/>
      <c r="AW39" s="306"/>
      <c r="AX39" s="306"/>
      <c r="AY39" s="306"/>
      <c r="AZ39" s="306"/>
    </row>
    <row r="40" spans="1:52" ht="17.100000000000001" customHeight="1">
      <c r="A40" s="306"/>
      <c r="B40" s="408" t="s">
        <v>82</v>
      </c>
      <c r="C40" s="396">
        <f t="shared" ref="C40:AD40" si="34">(C4-C16-C17)/C4</f>
        <v>0.31013431539567626</v>
      </c>
      <c r="D40" s="394">
        <f t="shared" si="34"/>
        <v>0.33710237689170913</v>
      </c>
      <c r="E40" s="394">
        <f t="shared" si="34"/>
        <v>0.29885665551788149</v>
      </c>
      <c r="F40" s="397">
        <f t="shared" si="34"/>
        <v>0.34738559488305026</v>
      </c>
      <c r="G40" s="396">
        <f t="shared" si="34"/>
        <v>0.33267705871657177</v>
      </c>
      <c r="H40" s="394">
        <f t="shared" si="34"/>
        <v>0.33527504782548334</v>
      </c>
      <c r="I40" s="394">
        <f t="shared" si="34"/>
        <v>0.28666672551520933</v>
      </c>
      <c r="J40" s="397">
        <f t="shared" si="34"/>
        <v>0.23581151437915995</v>
      </c>
      <c r="K40" s="396">
        <f t="shared" si="34"/>
        <v>0.19594316161408382</v>
      </c>
      <c r="L40" s="394">
        <f t="shared" si="34"/>
        <v>0.21687738714593249</v>
      </c>
      <c r="M40" s="394">
        <f t="shared" si="34"/>
        <v>0.22440014739069791</v>
      </c>
      <c r="N40" s="397">
        <f t="shared" si="34"/>
        <v>0.17480071151370938</v>
      </c>
      <c r="O40" s="396">
        <f t="shared" si="34"/>
        <v>0.19069572375253599</v>
      </c>
      <c r="P40" s="394">
        <f t="shared" si="34"/>
        <v>0.19448544910709878</v>
      </c>
      <c r="Q40" s="394">
        <f t="shared" si="34"/>
        <v>0.19536078401428109</v>
      </c>
      <c r="R40" s="397">
        <f t="shared" si="34"/>
        <v>0.19023638108060936</v>
      </c>
      <c r="S40" s="396">
        <f t="shared" si="34"/>
        <v>0.18028074145467485</v>
      </c>
      <c r="T40" s="394">
        <f t="shared" si="34"/>
        <v>0.20453861925973582</v>
      </c>
      <c r="U40" s="394">
        <f t="shared" si="34"/>
        <v>0.19890994844183363</v>
      </c>
      <c r="V40" s="397">
        <f t="shared" si="34"/>
        <v>0.21614116758493335</v>
      </c>
      <c r="W40" s="393" t="e">
        <f t="shared" si="34"/>
        <v>#VALUE!</v>
      </c>
      <c r="X40" s="394" t="e">
        <f t="shared" si="34"/>
        <v>#VALUE!</v>
      </c>
      <c r="Y40" s="394" t="e">
        <f t="shared" si="34"/>
        <v>#VALUE!</v>
      </c>
      <c r="Z40" s="397" t="e">
        <f t="shared" si="34"/>
        <v>#VALUE!</v>
      </c>
      <c r="AA40" s="396" t="e">
        <f t="shared" si="34"/>
        <v>#DIV/0!</v>
      </c>
      <c r="AB40" s="394" t="e">
        <f t="shared" si="34"/>
        <v>#DIV/0!</v>
      </c>
      <c r="AC40" s="394" t="e">
        <f t="shared" si="34"/>
        <v>#DIV/0!</v>
      </c>
      <c r="AD40" s="397" t="e">
        <f t="shared" si="34"/>
        <v>#DIV/0!</v>
      </c>
      <c r="AE40" s="306"/>
      <c r="AF40" s="306"/>
      <c r="AG40" s="306"/>
      <c r="AH40" s="306"/>
      <c r="AI40" s="306"/>
      <c r="AJ40" s="306"/>
      <c r="AK40" s="306"/>
      <c r="AL40" s="306"/>
      <c r="AM40" s="306"/>
      <c r="AN40" s="306"/>
      <c r="AO40" s="306"/>
      <c r="AP40" s="306"/>
      <c r="AQ40" s="306"/>
      <c r="AR40" s="306"/>
      <c r="AS40" s="306"/>
      <c r="AT40" s="306"/>
      <c r="AU40" s="306"/>
      <c r="AV40" s="306"/>
      <c r="AW40" s="306"/>
      <c r="AX40" s="306"/>
      <c r="AY40" s="306"/>
      <c r="AZ40" s="306"/>
    </row>
    <row r="41" spans="1:52" ht="17.100000000000001" customHeight="1">
      <c r="A41" s="306"/>
      <c r="B41" s="409" t="s">
        <v>688</v>
      </c>
      <c r="C41" s="406">
        <f t="shared" ref="C41:AD41" si="35">(C18+C19+C20)/C4</f>
        <v>6.7259574161057989E-2</v>
      </c>
      <c r="D41" s="404">
        <f t="shared" si="35"/>
        <v>6.5732443094542389E-2</v>
      </c>
      <c r="E41" s="404">
        <f t="shared" si="35"/>
        <v>9.7614927894138975E-2</v>
      </c>
      <c r="F41" s="407">
        <f t="shared" si="35"/>
        <v>9.9413770173569532E-2</v>
      </c>
      <c r="G41" s="406">
        <f t="shared" si="35"/>
        <v>7.1097522603211658E-2</v>
      </c>
      <c r="H41" s="404">
        <f t="shared" si="35"/>
        <v>6.614286080344231E-2</v>
      </c>
      <c r="I41" s="404">
        <f t="shared" si="35"/>
        <v>7.0895480114330695E-2</v>
      </c>
      <c r="J41" s="407">
        <f t="shared" si="35"/>
        <v>7.9439123421333371E-2</v>
      </c>
      <c r="K41" s="406">
        <f t="shared" si="35"/>
        <v>7.8620365136018916E-2</v>
      </c>
      <c r="L41" s="404">
        <f t="shared" si="35"/>
        <v>6.3770794680700876E-2</v>
      </c>
      <c r="M41" s="404">
        <f t="shared" si="35"/>
        <v>-2.9336522769491686E-2</v>
      </c>
      <c r="N41" s="407">
        <f t="shared" si="35"/>
        <v>3.9249136568172124E-2</v>
      </c>
      <c r="O41" s="406">
        <f t="shared" si="35"/>
        <v>4.5822743252506029E-2</v>
      </c>
      <c r="P41" s="404">
        <f t="shared" si="35"/>
        <v>3.3834095003889508E-2</v>
      </c>
      <c r="Q41" s="404">
        <f t="shared" si="35"/>
        <v>2.7691470155846633E-2</v>
      </c>
      <c r="R41" s="407">
        <f t="shared" si="35"/>
        <v>3.2288690669420632E-2</v>
      </c>
      <c r="S41" s="406">
        <f t="shared" si="35"/>
        <v>3.8299451993939575E-2</v>
      </c>
      <c r="T41" s="404">
        <f t="shared" si="35"/>
        <v>3.6886221162330458E-2</v>
      </c>
      <c r="U41" s="404">
        <f t="shared" si="35"/>
        <v>3.2511851087569411E-2</v>
      </c>
      <c r="V41" s="407">
        <f t="shared" si="35"/>
        <v>2.5487481118141586E-2</v>
      </c>
      <c r="W41" s="403" t="e">
        <f t="shared" si="35"/>
        <v>#VALUE!</v>
      </c>
      <c r="X41" s="404" t="e">
        <f t="shared" si="35"/>
        <v>#VALUE!</v>
      </c>
      <c r="Y41" s="404" t="e">
        <f t="shared" si="35"/>
        <v>#VALUE!</v>
      </c>
      <c r="Z41" s="407" t="e">
        <f t="shared" ca="1" si="35"/>
        <v>#VALUE!</v>
      </c>
      <c r="AA41" s="406" t="e">
        <f t="shared" si="35"/>
        <v>#DIV/0!</v>
      </c>
      <c r="AB41" s="404" t="e">
        <f t="shared" si="35"/>
        <v>#DIV/0!</v>
      </c>
      <c r="AC41" s="404" t="e">
        <f t="shared" si="35"/>
        <v>#DIV/0!</v>
      </c>
      <c r="AD41" s="407" t="e">
        <f t="shared" si="35"/>
        <v>#DIV/0!</v>
      </c>
      <c r="AE41" s="306"/>
      <c r="AF41" s="306"/>
      <c r="AG41" s="306"/>
      <c r="AH41" s="306"/>
      <c r="AI41" s="306"/>
      <c r="AJ41" s="306"/>
      <c r="AK41" s="306"/>
      <c r="AL41" s="306"/>
      <c r="AM41" s="306"/>
      <c r="AN41" s="306"/>
      <c r="AO41" s="306"/>
      <c r="AP41" s="306"/>
      <c r="AQ41" s="306"/>
      <c r="AR41" s="306"/>
      <c r="AS41" s="306"/>
      <c r="AT41" s="306"/>
      <c r="AU41" s="306"/>
      <c r="AV41" s="306"/>
      <c r="AW41" s="306"/>
      <c r="AX41" s="306"/>
      <c r="AY41" s="306"/>
      <c r="AZ41" s="306"/>
    </row>
    <row r="42" spans="1:52" ht="17.100000000000001" customHeight="1">
      <c r="A42" s="306"/>
      <c r="B42" s="410" t="s">
        <v>689</v>
      </c>
      <c r="C42" s="406">
        <f t="shared" ref="C42:AD42" si="36">C18/C4</f>
        <v>1.1493664577578866E-2</v>
      </c>
      <c r="D42" s="404">
        <f t="shared" si="36"/>
        <v>1.9100987922446883E-2</v>
      </c>
      <c r="E42" s="404">
        <f t="shared" si="36"/>
        <v>1.6782761736022188E-2</v>
      </c>
      <c r="F42" s="407">
        <f t="shared" si="36"/>
        <v>1.8991200415552609E-2</v>
      </c>
      <c r="G42" s="406">
        <f t="shared" si="36"/>
        <v>1.5937327102733184E-2</v>
      </c>
      <c r="H42" s="404">
        <f t="shared" si="36"/>
        <v>1.7720057826445694E-2</v>
      </c>
      <c r="I42" s="404">
        <f t="shared" si="36"/>
        <v>1.5882960806625306E-2</v>
      </c>
      <c r="J42" s="407">
        <f t="shared" si="36"/>
        <v>1.5157345963865563E-2</v>
      </c>
      <c r="K42" s="406">
        <f t="shared" si="36"/>
        <v>1.6416374646913146E-2</v>
      </c>
      <c r="L42" s="404">
        <f t="shared" si="36"/>
        <v>1.6644326643787587E-2</v>
      </c>
      <c r="M42" s="404">
        <f t="shared" si="36"/>
        <v>1.6163268529481033E-2</v>
      </c>
      <c r="N42" s="407">
        <f t="shared" si="36"/>
        <v>1.8855143495172418E-2</v>
      </c>
      <c r="O42" s="406">
        <f t="shared" si="36"/>
        <v>1.8570119124780089E-2</v>
      </c>
      <c r="P42" s="404">
        <f t="shared" si="36"/>
        <v>1.4979669151472636E-2</v>
      </c>
      <c r="Q42" s="404">
        <f t="shared" si="36"/>
        <v>1.7675748001806765E-2</v>
      </c>
      <c r="R42" s="407">
        <f t="shared" si="36"/>
        <v>2.0583265964474611E-2</v>
      </c>
      <c r="S42" s="406">
        <f t="shared" si="36"/>
        <v>1.502937447290135E-2</v>
      </c>
      <c r="T42" s="404">
        <f t="shared" si="36"/>
        <v>1.9342664850827283E-2</v>
      </c>
      <c r="U42" s="404">
        <f t="shared" si="36"/>
        <v>1.8907920203531409E-2</v>
      </c>
      <c r="V42" s="407">
        <f t="shared" si="36"/>
        <v>1.7744708012050213E-2</v>
      </c>
      <c r="W42" s="403" t="e">
        <f t="shared" si="36"/>
        <v>#VALUE!</v>
      </c>
      <c r="X42" s="404" t="e">
        <f t="shared" si="36"/>
        <v>#VALUE!</v>
      </c>
      <c r="Y42" s="404" t="e">
        <f t="shared" si="36"/>
        <v>#VALUE!</v>
      </c>
      <c r="Z42" s="407" t="e">
        <f t="shared" si="36"/>
        <v>#VALUE!</v>
      </c>
      <c r="AA42" s="406" t="e">
        <f t="shared" si="36"/>
        <v>#DIV/0!</v>
      </c>
      <c r="AB42" s="404" t="e">
        <f t="shared" si="36"/>
        <v>#DIV/0!</v>
      </c>
      <c r="AC42" s="404" t="e">
        <f t="shared" si="36"/>
        <v>#DIV/0!</v>
      </c>
      <c r="AD42" s="407" t="e">
        <f t="shared" si="36"/>
        <v>#DIV/0!</v>
      </c>
      <c r="AE42" s="306"/>
      <c r="AF42" s="306"/>
      <c r="AG42" s="306"/>
      <c r="AH42" s="306"/>
      <c r="AI42" s="306"/>
      <c r="AJ42" s="306"/>
      <c r="AK42" s="306"/>
      <c r="AL42" s="306"/>
      <c r="AM42" s="306"/>
      <c r="AN42" s="306"/>
      <c r="AO42" s="306"/>
      <c r="AP42" s="306"/>
      <c r="AQ42" s="306"/>
      <c r="AR42" s="306"/>
      <c r="AS42" s="306"/>
      <c r="AT42" s="306"/>
      <c r="AU42" s="306"/>
      <c r="AV42" s="306"/>
      <c r="AW42" s="306"/>
      <c r="AX42" s="306"/>
      <c r="AY42" s="306"/>
      <c r="AZ42" s="306"/>
    </row>
    <row r="43" spans="1:52" ht="17.100000000000001" customHeight="1">
      <c r="A43" s="306"/>
      <c r="B43" s="410" t="s">
        <v>187</v>
      </c>
      <c r="C43" s="406">
        <f t="shared" ref="C43:AD43" si="37">C19/C4</f>
        <v>4.8472841273073081E-2</v>
      </c>
      <c r="D43" s="404">
        <f t="shared" si="37"/>
        <v>4.7534288340188829E-2</v>
      </c>
      <c r="E43" s="404">
        <f t="shared" si="37"/>
        <v>7.2671946146919505E-2</v>
      </c>
      <c r="F43" s="407">
        <f t="shared" si="37"/>
        <v>6.0423797568795949E-2</v>
      </c>
      <c r="G43" s="406">
        <f t="shared" si="37"/>
        <v>5.409917973957333E-2</v>
      </c>
      <c r="H43" s="404">
        <f t="shared" si="37"/>
        <v>4.1364136344266694E-2</v>
      </c>
      <c r="I43" s="404">
        <f t="shared" si="37"/>
        <v>5.4327763978071424E-2</v>
      </c>
      <c r="J43" s="407">
        <f t="shared" si="37"/>
        <v>6.2642415955041136E-2</v>
      </c>
      <c r="K43" s="406">
        <f t="shared" si="37"/>
        <v>5.7820077994836509E-2</v>
      </c>
      <c r="L43" s="404">
        <f t="shared" si="37"/>
        <v>4.6863728448944077E-2</v>
      </c>
      <c r="M43" s="404">
        <f t="shared" si="37"/>
        <v>-5.1997307964510429E-2</v>
      </c>
      <c r="N43" s="407">
        <f t="shared" si="37"/>
        <v>1.8648261925518581E-2</v>
      </c>
      <c r="O43" s="406">
        <f t="shared" si="37"/>
        <v>1.8062299898215176E-2</v>
      </c>
      <c r="P43" s="404">
        <f t="shared" si="37"/>
        <v>2.1474205328419375E-2</v>
      </c>
      <c r="Q43" s="404">
        <f t="shared" si="37"/>
        <v>1.2768487121749165E-2</v>
      </c>
      <c r="R43" s="407">
        <f t="shared" si="37"/>
        <v>1.8066926006804884E-2</v>
      </c>
      <c r="S43" s="406">
        <f t="shared" si="37"/>
        <v>1.7453701779679084E-2</v>
      </c>
      <c r="T43" s="404">
        <f t="shared" si="37"/>
        <v>1.7308262511978353E-2</v>
      </c>
      <c r="U43" s="404">
        <f t="shared" si="37"/>
        <v>1.2920566126919553E-2</v>
      </c>
      <c r="V43" s="407">
        <f t="shared" si="37"/>
        <v>1.394767818594991E-2</v>
      </c>
      <c r="W43" s="403" t="e">
        <f t="shared" si="37"/>
        <v>#VALUE!</v>
      </c>
      <c r="X43" s="404" t="e">
        <f t="shared" si="37"/>
        <v>#VALUE!</v>
      </c>
      <c r="Y43" s="404" t="e">
        <f t="shared" si="37"/>
        <v>#VALUE!</v>
      </c>
      <c r="Z43" s="407" t="e">
        <f t="shared" si="37"/>
        <v>#VALUE!</v>
      </c>
      <c r="AA43" s="406" t="e">
        <f t="shared" si="37"/>
        <v>#DIV/0!</v>
      </c>
      <c r="AB43" s="404" t="e">
        <f t="shared" si="37"/>
        <v>#DIV/0!</v>
      </c>
      <c r="AC43" s="404" t="e">
        <f t="shared" si="37"/>
        <v>#DIV/0!</v>
      </c>
      <c r="AD43" s="407" t="e">
        <f t="shared" si="37"/>
        <v>#DIV/0!</v>
      </c>
      <c r="AE43" s="306"/>
      <c r="AF43" s="306"/>
      <c r="AG43" s="306"/>
      <c r="AH43" s="306"/>
      <c r="AI43" s="306"/>
      <c r="AJ43" s="306"/>
      <c r="AK43" s="306"/>
      <c r="AL43" s="306"/>
      <c r="AM43" s="306"/>
      <c r="AN43" s="306"/>
      <c r="AO43" s="306"/>
      <c r="AP43" s="306"/>
      <c r="AQ43" s="306"/>
      <c r="AR43" s="306"/>
      <c r="AS43" s="306"/>
      <c r="AT43" s="306"/>
      <c r="AU43" s="306"/>
      <c r="AV43" s="306"/>
      <c r="AW43" s="306"/>
      <c r="AX43" s="306"/>
      <c r="AY43" s="306"/>
      <c r="AZ43" s="306"/>
    </row>
    <row r="44" spans="1:52" ht="17.100000000000001" customHeight="1">
      <c r="A44" s="306"/>
      <c r="B44" s="410" t="s">
        <v>690</v>
      </c>
      <c r="C44" s="406">
        <f t="shared" ref="C44:AD44" si="38">C20/C4</f>
        <v>7.2930683104060418E-3</v>
      </c>
      <c r="D44" s="404">
        <f t="shared" si="38"/>
        <v>-9.0283316809332194E-4</v>
      </c>
      <c r="E44" s="404">
        <f t="shared" si="38"/>
        <v>8.1602200111972854E-3</v>
      </c>
      <c r="F44" s="407">
        <f t="shared" si="38"/>
        <v>1.9998772189220977E-2</v>
      </c>
      <c r="G44" s="406">
        <f t="shared" si="38"/>
        <v>1.061015760905152E-3</v>
      </c>
      <c r="H44" s="404">
        <f t="shared" si="38"/>
        <v>7.05866663272993E-3</v>
      </c>
      <c r="I44" s="404">
        <f t="shared" si="38"/>
        <v>6.8475532963396227E-4</v>
      </c>
      <c r="J44" s="407">
        <f t="shared" si="38"/>
        <v>1.6393615024266892E-3</v>
      </c>
      <c r="K44" s="406">
        <f t="shared" si="38"/>
        <v>4.3839124942692646E-3</v>
      </c>
      <c r="L44" s="404">
        <f t="shared" si="38"/>
        <v>2.6273958796921813E-4</v>
      </c>
      <c r="M44" s="404">
        <f t="shared" si="38"/>
        <v>6.4975166655377057E-3</v>
      </c>
      <c r="N44" s="407">
        <f t="shared" si="38"/>
        <v>1.7457311474811295E-3</v>
      </c>
      <c r="O44" s="406">
        <f t="shared" si="38"/>
        <v>9.1903242295107591E-3</v>
      </c>
      <c r="P44" s="404">
        <f t="shared" si="38"/>
        <v>-2.6197794760025044E-3</v>
      </c>
      <c r="Q44" s="404">
        <f t="shared" si="38"/>
        <v>-2.7527649677092929E-3</v>
      </c>
      <c r="R44" s="407">
        <f t="shared" si="38"/>
        <v>-6.3615013018588611E-3</v>
      </c>
      <c r="S44" s="406">
        <f t="shared" si="38"/>
        <v>5.8163757413591368E-3</v>
      </c>
      <c r="T44" s="404">
        <f t="shared" si="38"/>
        <v>2.3529379952481986E-4</v>
      </c>
      <c r="U44" s="404">
        <f t="shared" si="38"/>
        <v>6.8336475711845148E-4</v>
      </c>
      <c r="V44" s="407">
        <f t="shared" si="38"/>
        <v>-6.2049050798585383E-3</v>
      </c>
      <c r="W44" s="403" t="e">
        <f t="shared" si="38"/>
        <v>#VALUE!</v>
      </c>
      <c r="X44" s="404" t="e">
        <f t="shared" si="38"/>
        <v>#VALUE!</v>
      </c>
      <c r="Y44" s="404" t="e">
        <f t="shared" si="38"/>
        <v>#VALUE!</v>
      </c>
      <c r="Z44" s="407" t="e">
        <f t="shared" ca="1" si="38"/>
        <v>#VALUE!</v>
      </c>
      <c r="AA44" s="406" t="e">
        <f t="shared" si="38"/>
        <v>#DIV/0!</v>
      </c>
      <c r="AB44" s="404" t="e">
        <f t="shared" si="38"/>
        <v>#DIV/0!</v>
      </c>
      <c r="AC44" s="404" t="e">
        <f t="shared" si="38"/>
        <v>#DIV/0!</v>
      </c>
      <c r="AD44" s="407" t="e">
        <f t="shared" si="38"/>
        <v>#DIV/0!</v>
      </c>
      <c r="AE44" s="306"/>
      <c r="AF44" s="306"/>
      <c r="AG44" s="306"/>
      <c r="AH44" s="306"/>
      <c r="AI44" s="306"/>
      <c r="AJ44" s="306"/>
      <c r="AK44" s="306"/>
      <c r="AL44" s="306"/>
      <c r="AM44" s="306"/>
      <c r="AN44" s="306"/>
      <c r="AO44" s="306"/>
      <c r="AP44" s="306"/>
      <c r="AQ44" s="306"/>
      <c r="AR44" s="306"/>
      <c r="AS44" s="306"/>
      <c r="AT44" s="306"/>
      <c r="AU44" s="306"/>
      <c r="AV44" s="306"/>
      <c r="AW44" s="306"/>
      <c r="AX44" s="306"/>
      <c r="AY44" s="306"/>
      <c r="AZ44" s="306"/>
    </row>
    <row r="45" spans="1:52" ht="17.100000000000001" customHeight="1">
      <c r="A45" s="306"/>
      <c r="B45" s="411" t="s">
        <v>497</v>
      </c>
      <c r="C45" s="412">
        <f t="shared" ref="C45:AD45" si="39">C32/C10</f>
        <v>0.17306278958080248</v>
      </c>
      <c r="D45" s="413">
        <f t="shared" si="39"/>
        <v>0.26223113484807797</v>
      </c>
      <c r="E45" s="413">
        <f t="shared" si="39"/>
        <v>0.18708444471155658</v>
      </c>
      <c r="F45" s="414">
        <f t="shared" si="39"/>
        <v>0.35736062755227738</v>
      </c>
      <c r="G45" s="412">
        <f t="shared" si="39"/>
        <v>0.21853428315707749</v>
      </c>
      <c r="H45" s="413">
        <f t="shared" si="39"/>
        <v>0.38817842309383277</v>
      </c>
      <c r="I45" s="413">
        <f t="shared" si="39"/>
        <v>0.20483609015728321</v>
      </c>
      <c r="J45" s="414">
        <f t="shared" si="39"/>
        <v>0.31838774347400695</v>
      </c>
      <c r="K45" s="412">
        <f t="shared" si="39"/>
        <v>0.1114971654588207</v>
      </c>
      <c r="L45" s="413">
        <f t="shared" si="39"/>
        <v>0.13668305368601588</v>
      </c>
      <c r="M45" s="413">
        <f t="shared" si="39"/>
        <v>0.11795476580408577</v>
      </c>
      <c r="N45" s="414">
        <f t="shared" si="39"/>
        <v>0.22674918595393767</v>
      </c>
      <c r="O45" s="412">
        <f t="shared" si="39"/>
        <v>0.10688994115547829</v>
      </c>
      <c r="P45" s="413">
        <f t="shared" si="39"/>
        <v>0.12127108471966715</v>
      </c>
      <c r="Q45" s="413">
        <f t="shared" si="39"/>
        <v>0.11145201578351102</v>
      </c>
      <c r="R45" s="414">
        <f t="shared" si="39"/>
        <v>0.31845554285662026</v>
      </c>
      <c r="S45" s="412">
        <f t="shared" si="39"/>
        <v>0.14906203994119027</v>
      </c>
      <c r="T45" s="413">
        <f t="shared" si="39"/>
        <v>0.15499382203557791</v>
      </c>
      <c r="U45" s="413">
        <f t="shared" si="39"/>
        <v>0.13967709339438769</v>
      </c>
      <c r="V45" s="414">
        <f t="shared" si="39"/>
        <v>0.24329430912401484</v>
      </c>
      <c r="W45" s="415" t="e">
        <f t="shared" si="39"/>
        <v>#VALUE!</v>
      </c>
      <c r="X45" s="413" t="e">
        <f t="shared" si="39"/>
        <v>#VALUE!</v>
      </c>
      <c r="Y45" s="413" t="e">
        <f t="shared" si="39"/>
        <v>#VALUE!</v>
      </c>
      <c r="Z45" s="414" t="e">
        <f t="shared" ca="1" si="39"/>
        <v>#VALUE!</v>
      </c>
      <c r="AA45" s="412" t="e">
        <f t="shared" si="39"/>
        <v>#DIV/0!</v>
      </c>
      <c r="AB45" s="413" t="e">
        <f t="shared" si="39"/>
        <v>#DIV/0!</v>
      </c>
      <c r="AC45" s="413" t="e">
        <f t="shared" si="39"/>
        <v>#DIV/0!</v>
      </c>
      <c r="AD45" s="414" t="e">
        <f t="shared" si="39"/>
        <v>#DIV/0!</v>
      </c>
      <c r="AE45" s="306"/>
      <c r="AF45" s="306"/>
      <c r="AG45" s="306"/>
      <c r="AH45" s="306"/>
      <c r="AI45" s="306"/>
      <c r="AJ45" s="306"/>
      <c r="AK45" s="306"/>
      <c r="AL45" s="306"/>
      <c r="AM45" s="306"/>
      <c r="AN45" s="306"/>
      <c r="AO45" s="306"/>
      <c r="AP45" s="306"/>
      <c r="AQ45" s="306"/>
      <c r="AR45" s="306"/>
      <c r="AS45" s="306"/>
      <c r="AT45" s="306"/>
      <c r="AU45" s="306"/>
      <c r="AV45" s="306"/>
      <c r="AW45" s="306"/>
      <c r="AX45" s="306"/>
      <c r="AY45" s="306"/>
      <c r="AZ45" s="306"/>
    </row>
    <row r="46" spans="1:52" ht="17.100000000000001" customHeight="1">
      <c r="A46" s="306"/>
      <c r="B46" s="416" t="s">
        <v>691</v>
      </c>
      <c r="C46" s="401">
        <f t="shared" ref="C46:AD46" si="40">C29/C28</f>
        <v>0.12745331042496938</v>
      </c>
      <c r="D46" s="399">
        <f t="shared" si="40"/>
        <v>0.11997836635742706</v>
      </c>
      <c r="E46" s="399">
        <f t="shared" si="40"/>
        <v>0.18351324086327819</v>
      </c>
      <c r="F46" s="402">
        <f t="shared" si="40"/>
        <v>0.13436607324439861</v>
      </c>
      <c r="G46" s="401">
        <f t="shared" si="40"/>
        <v>0.13666918307434764</v>
      </c>
      <c r="H46" s="399">
        <f t="shared" si="40"/>
        <v>0.14367264466754984</v>
      </c>
      <c r="I46" s="399">
        <f t="shared" si="40"/>
        <v>0.12009361218951554</v>
      </c>
      <c r="J46" s="402">
        <f t="shared" si="40"/>
        <v>0.14578389862378152</v>
      </c>
      <c r="K46" s="401">
        <f t="shared" si="40"/>
        <v>0.14419012625031691</v>
      </c>
      <c r="L46" s="399">
        <f t="shared" si="40"/>
        <v>0.13702855795310556</v>
      </c>
      <c r="M46" s="399">
        <f t="shared" si="40"/>
        <v>0.14267463521321458</v>
      </c>
      <c r="N46" s="402">
        <f t="shared" si="40"/>
        <v>0.11984605264833939</v>
      </c>
      <c r="O46" s="401">
        <f t="shared" si="40"/>
        <v>0.14341109450988537</v>
      </c>
      <c r="P46" s="399">
        <f t="shared" si="40"/>
        <v>0.14536360161079714</v>
      </c>
      <c r="Q46" s="399">
        <f t="shared" si="40"/>
        <v>0.13495555461848521</v>
      </c>
      <c r="R46" s="402">
        <f t="shared" si="40"/>
        <v>0.10771441250478404</v>
      </c>
      <c r="S46" s="401">
        <f t="shared" si="40"/>
        <v>0.14606895544174359</v>
      </c>
      <c r="T46" s="399">
        <f t="shared" si="40"/>
        <v>0.14760430245505626</v>
      </c>
      <c r="U46" s="399">
        <f t="shared" si="40"/>
        <v>0.14573855062540778</v>
      </c>
      <c r="V46" s="402">
        <f t="shared" si="40"/>
        <v>8.9729088101027171E-2</v>
      </c>
      <c r="W46" s="398" t="e">
        <f t="shared" si="40"/>
        <v>#VALUE!</v>
      </c>
      <c r="X46" s="399" t="e">
        <f t="shared" si="40"/>
        <v>#VALUE!</v>
      </c>
      <c r="Y46" s="399" t="e">
        <f t="shared" si="40"/>
        <v>#VALUE!</v>
      </c>
      <c r="Z46" s="402" t="e">
        <f t="shared" ca="1" si="40"/>
        <v>#VALUE!</v>
      </c>
      <c r="AA46" s="401" t="e">
        <f t="shared" si="40"/>
        <v>#DIV/0!</v>
      </c>
      <c r="AB46" s="399" t="e">
        <f t="shared" si="40"/>
        <v>#DIV/0!</v>
      </c>
      <c r="AC46" s="399" t="e">
        <f t="shared" si="40"/>
        <v>#DIV/0!</v>
      </c>
      <c r="AD46" s="402" t="e">
        <f t="shared" si="40"/>
        <v>#DIV/0!</v>
      </c>
      <c r="AE46" s="306"/>
      <c r="AF46" s="306"/>
      <c r="AG46" s="306"/>
      <c r="AH46" s="306"/>
      <c r="AI46" s="306"/>
      <c r="AJ46" s="306"/>
      <c r="AK46" s="306"/>
      <c r="AL46" s="306"/>
      <c r="AM46" s="306"/>
      <c r="AN46" s="306"/>
      <c r="AO46" s="306"/>
      <c r="AP46" s="306"/>
      <c r="AQ46" s="306"/>
      <c r="AR46" s="306"/>
      <c r="AS46" s="306"/>
      <c r="AT46" s="306"/>
      <c r="AU46" s="306"/>
      <c r="AV46" s="306"/>
      <c r="AW46" s="306"/>
      <c r="AX46" s="306"/>
      <c r="AY46" s="306"/>
      <c r="AZ46" s="306"/>
    </row>
    <row r="47" spans="1:52" ht="17.100000000000001" customHeight="1">
      <c r="A47" s="306"/>
      <c r="B47" s="392" t="s">
        <v>692</v>
      </c>
      <c r="C47" s="396">
        <f>C4/($C$4+$D$4+$E$4+$F$4)</f>
        <v>0.22154126904511462</v>
      </c>
      <c r="D47" s="394">
        <f>D4/($C$4+$D$4+$E$4+$F$4)</f>
        <v>0.23402049356095067</v>
      </c>
      <c r="E47" s="394">
        <f>E4/($C$4+$D$4+$E$4+$F$4)</f>
        <v>0.27569327425636031</v>
      </c>
      <c r="F47" s="397">
        <f>F4/($C$4+$D$4+$E$4+$F$4)</f>
        <v>0.2687449631375744</v>
      </c>
      <c r="G47" s="393">
        <f>G4/($G$4+$H$4+$I$4+$J$4)</f>
        <v>0.22693314293919473</v>
      </c>
      <c r="H47" s="394">
        <f>H4/($G$4+$H$4+$I$4+$J$4)</f>
        <v>0.26280668911300692</v>
      </c>
      <c r="I47" s="394">
        <f>I4/($G$4+$H$4+$I$4+$J$4)</f>
        <v>0.25603127676988741</v>
      </c>
      <c r="J47" s="395">
        <f>J4/($G$4+$H$4+$I$4+$J$4)</f>
        <v>0.25422889117791087</v>
      </c>
      <c r="K47" s="396">
        <f>K4/($K$4+$L$4+$M$4+$N$4)</f>
        <v>0.21843615359036747</v>
      </c>
      <c r="L47" s="394">
        <f>L4/($K$4+$L$4+$M$4+$N$4)</f>
        <v>0.27355585022447187</v>
      </c>
      <c r="M47" s="394">
        <f>M4/($K$4+$L$4+$M$4+$N$4)</f>
        <v>0.2494002512632735</v>
      </c>
      <c r="N47" s="397">
        <f>N4/($K$4+$L$4+$M$4+$N$4)</f>
        <v>0.25860774492188715</v>
      </c>
      <c r="O47" s="396">
        <f>O4/($O$4+$P$4+$Q$4+$R$4)</f>
        <v>0.22028482471240149</v>
      </c>
      <c r="P47" s="394">
        <f>P4/($O$4+$P$4+$Q$4+$R$4)</f>
        <v>0.23479658978430532</v>
      </c>
      <c r="Q47" s="394">
        <f>Q4/($O$4+$P$4+$Q$4+$R$4)</f>
        <v>0.2540415382402475</v>
      </c>
      <c r="R47" s="397">
        <f>R4/($O$4+$P$4+$Q$4+$R$4)</f>
        <v>0.2908770472630457</v>
      </c>
      <c r="S47" s="396">
        <f>S4/($S$4+$T$4+$U$4+$V$4)</f>
        <v>0.25314382365062388</v>
      </c>
      <c r="T47" s="394">
        <f>T4/($S$4+$T$4+$U$4+$V$4)</f>
        <v>0.21385685335045668</v>
      </c>
      <c r="U47" s="394">
        <f>U4/($S$4+$T$4+$U$4+$V$4)</f>
        <v>0.25274826466351108</v>
      </c>
      <c r="V47" s="397">
        <f>V4/($S$4+$T$4+$U$4+$V$4)</f>
        <v>0.28025105833540837</v>
      </c>
      <c r="W47" s="393" t="e">
        <f>W4/($W$4+$X$4+$Y$4+$Z$4)</f>
        <v>#VALUE!</v>
      </c>
      <c r="X47" s="394" t="e">
        <f>X4/($W$4+$X$4+$Y$4+$Z$4)</f>
        <v>#VALUE!</v>
      </c>
      <c r="Y47" s="394" t="e">
        <f>Y4/($W$4+$X$4+$Y$4+$Z$4)</f>
        <v>#VALUE!</v>
      </c>
      <c r="Z47" s="397" t="e">
        <f>Z4/($W$4+$X$4+$Y$4+$Z$4)</f>
        <v>#VALUE!</v>
      </c>
      <c r="AA47" s="396" t="e">
        <f>AA4/($AA$4+$AB$4+$AC$4+$AD$4)</f>
        <v>#DIV/0!</v>
      </c>
      <c r="AB47" s="394" t="e">
        <f>AB4/($AA$4+$AB$4+$AC$4+$AD$4)</f>
        <v>#DIV/0!</v>
      </c>
      <c r="AC47" s="394" t="e">
        <f>AC4/($AA$4+$AB$4+$AC$4+$AD$4)</f>
        <v>#DIV/0!</v>
      </c>
      <c r="AD47" s="397" t="e">
        <f>AD4/($AA$4+$AB$4+$AC$4+$AD$4)</f>
        <v>#DIV/0!</v>
      </c>
      <c r="AE47" s="306"/>
      <c r="AF47" s="306"/>
      <c r="AG47" s="306"/>
      <c r="AH47" s="306"/>
      <c r="AI47" s="306"/>
      <c r="AJ47" s="306"/>
      <c r="AK47" s="306"/>
      <c r="AL47" s="306"/>
      <c r="AM47" s="306"/>
      <c r="AN47" s="306"/>
      <c r="AO47" s="306"/>
      <c r="AP47" s="306"/>
      <c r="AQ47" s="306"/>
      <c r="AR47" s="306"/>
      <c r="AS47" s="306"/>
      <c r="AT47" s="306"/>
      <c r="AU47" s="306"/>
      <c r="AV47" s="306"/>
      <c r="AW47" s="306"/>
      <c r="AX47" s="306"/>
      <c r="AY47" s="306"/>
      <c r="AZ47" s="306"/>
    </row>
    <row r="48" spans="1:52" ht="17.100000000000001" customHeight="1">
      <c r="A48" s="306"/>
      <c r="B48" s="417" t="s">
        <v>693</v>
      </c>
      <c r="C48" s="401">
        <f>C32/($C$32+$D$32+$E$32+$F$32)</f>
        <v>0.16732940920811279</v>
      </c>
      <c r="D48" s="399">
        <f>D32/($C$32+$D$32+$E$32+$F$32)</f>
        <v>0.24898404084793876</v>
      </c>
      <c r="E48" s="399">
        <f>E32/($C$32+$D$32+$E$32+$F$32)</f>
        <v>0.22283168103354106</v>
      </c>
      <c r="F48" s="402">
        <f>F32/($C$32+$D$32+$E$32+$F$32)</f>
        <v>0.36085486891040736</v>
      </c>
      <c r="G48" s="398">
        <f>G32/($G$32+$H$32+$I$32+$J$32)</f>
        <v>0.18840939501530601</v>
      </c>
      <c r="H48" s="399">
        <f>H32/($G$32+$H$32+$I$32+$J$32)</f>
        <v>0.33281440436528803</v>
      </c>
      <c r="I48" s="399">
        <f>I32/($G$32+$H$32+$I$32+$J$32)</f>
        <v>0.20105422951998816</v>
      </c>
      <c r="J48" s="400">
        <f>J32/($G$32+$H$32+$I$32+$J$32)</f>
        <v>0.27772197109941776</v>
      </c>
      <c r="K48" s="401">
        <f>K32/($K$32+$L$32+$M$32+$N$32)</f>
        <v>0.17142168336658212</v>
      </c>
      <c r="L48" s="399">
        <f>L32/($K$32+$L$32+$M$32+$N$32)</f>
        <v>0.25530441503245466</v>
      </c>
      <c r="M48" s="399">
        <f>M32/($K$32+$L$32+$M$32+$N$32)</f>
        <v>0.2054230520080588</v>
      </c>
      <c r="N48" s="402">
        <f>N32/($K$32+$L$32+$M$32+$N$32)</f>
        <v>0.36785084959290437</v>
      </c>
      <c r="O48" s="401">
        <f>O32/($O$32+$P$32+$Q$32+$R$32)</f>
        <v>0.13525332852019656</v>
      </c>
      <c r="P48" s="399">
        <f>P32/($O$32+$P$32+$Q$32+$R$32)</f>
        <v>0.16377814038433317</v>
      </c>
      <c r="Q48" s="399">
        <f>Q32/($O$32+$P$32+$Q$32+$R$32)</f>
        <v>0.16271354193534071</v>
      </c>
      <c r="R48" s="402">
        <f>R32/($O$32+$P$32+$Q$32+$R$32)</f>
        <v>0.53825498916012959</v>
      </c>
      <c r="S48" s="401">
        <f>S32/($S$32+$T$32+$U$32+$V$32)</f>
        <v>0.22567538462305459</v>
      </c>
      <c r="T48" s="399">
        <f>T32/($S$32+$T$32+$U$32+$V$32)</f>
        <v>0.19032767988959221</v>
      </c>
      <c r="U48" s="399">
        <f>U32/($S$32+$T$32+$U$32+$V$32)</f>
        <v>0.2030551401457967</v>
      </c>
      <c r="V48" s="402">
        <f>V32/($S$32+$T$32+$U$32+$V$32)</f>
        <v>0.38094179534155653</v>
      </c>
      <c r="W48" s="398" t="e">
        <f ca="1">W32/($W$32+$X$32+$Y$32+$Z$32)</f>
        <v>#VALUE!</v>
      </c>
      <c r="X48" s="399" t="e">
        <f ca="1">X32/($W$32+$X$32+$Y$32+$Z$32)</f>
        <v>#VALUE!</v>
      </c>
      <c r="Y48" s="399" t="e">
        <f ca="1">Y32/($W$32+$X$32+$Y$32+$Z$32)</f>
        <v>#VALUE!</v>
      </c>
      <c r="Z48" s="402" t="e">
        <f ca="1">Z32/($W$32+$X$32+$Y$32+$Z$32)</f>
        <v>#VALUE!</v>
      </c>
      <c r="AA48" s="401" t="e">
        <f>AA32/($AA$32+$AB$32+$AC$32+$AD$32)</f>
        <v>#DIV/0!</v>
      </c>
      <c r="AB48" s="399" t="e">
        <f>AB32/($AA$32+$AB$32+$AC$32+$AD$32)</f>
        <v>#DIV/0!</v>
      </c>
      <c r="AC48" s="399" t="e">
        <f>AC32/($AA$32+$AB$32+$AC$32+$AD$32)</f>
        <v>#DIV/0!</v>
      </c>
      <c r="AD48" s="402" t="e">
        <f>AD32/($AA$32+$AB$32+$AC$32+$AD$32)</f>
        <v>#DIV/0!</v>
      </c>
      <c r="AE48" s="306"/>
      <c r="AF48" s="306"/>
      <c r="AG48" s="306"/>
      <c r="AH48" s="306"/>
      <c r="AI48" s="306"/>
      <c r="AJ48" s="306"/>
      <c r="AK48" s="306"/>
      <c r="AL48" s="306"/>
      <c r="AM48" s="306"/>
      <c r="AN48" s="306"/>
      <c r="AO48" s="306"/>
      <c r="AP48" s="306"/>
      <c r="AQ48" s="306"/>
      <c r="AR48" s="306"/>
      <c r="AS48" s="306"/>
      <c r="AT48" s="306"/>
      <c r="AU48" s="306"/>
      <c r="AV48" s="306"/>
      <c r="AW48" s="306"/>
      <c r="AX48" s="306"/>
      <c r="AY48" s="306"/>
      <c r="AZ48" s="306"/>
    </row>
    <row r="49" spans="1:52" ht="17.100000000000001" customHeight="1">
      <c r="A49" s="306"/>
      <c r="B49" s="306"/>
      <c r="C49" s="418"/>
      <c r="D49" s="418"/>
      <c r="E49" s="418"/>
      <c r="F49" s="418"/>
      <c r="G49" s="418"/>
      <c r="H49" s="418"/>
      <c r="I49" s="418"/>
      <c r="J49" s="418"/>
      <c r="K49" s="418"/>
      <c r="L49" s="418"/>
      <c r="M49" s="418"/>
      <c r="N49" s="418"/>
      <c r="O49" s="418"/>
      <c r="P49" s="418"/>
      <c r="Q49" s="418"/>
      <c r="R49" s="418"/>
      <c r="S49" s="418"/>
      <c r="T49" s="418"/>
      <c r="U49" s="418"/>
      <c r="V49" s="418"/>
      <c r="W49" s="418"/>
      <c r="X49" s="418"/>
      <c r="Y49" s="418"/>
      <c r="Z49" s="418"/>
      <c r="AA49" s="418"/>
      <c r="AB49" s="418"/>
      <c r="AC49" s="418"/>
      <c r="AD49" s="418"/>
      <c r="AE49" s="306"/>
      <c r="AF49" s="306"/>
      <c r="AG49" s="306"/>
      <c r="AH49" s="306"/>
      <c r="AI49" s="306"/>
      <c r="AJ49" s="306"/>
      <c r="AK49" s="306"/>
      <c r="AL49" s="306"/>
      <c r="AM49" s="306"/>
      <c r="AN49" s="306"/>
      <c r="AO49" s="306"/>
      <c r="AP49" s="306"/>
      <c r="AQ49" s="306"/>
      <c r="AR49" s="306"/>
      <c r="AS49" s="306"/>
      <c r="AT49" s="306"/>
      <c r="AU49" s="306"/>
      <c r="AV49" s="306"/>
      <c r="AW49" s="306"/>
      <c r="AX49" s="306"/>
      <c r="AY49" s="306"/>
      <c r="AZ49" s="306"/>
    </row>
    <row r="50" spans="1:52" ht="17.100000000000001" customHeight="1">
      <c r="A50" s="306"/>
      <c r="B50" s="306"/>
      <c r="C50" s="418"/>
      <c r="D50" s="418"/>
      <c r="E50" s="418"/>
      <c r="F50" s="418"/>
      <c r="G50" s="418"/>
      <c r="H50" s="418"/>
      <c r="I50" s="418"/>
      <c r="J50" s="418"/>
      <c r="K50" s="418"/>
      <c r="L50" s="418"/>
      <c r="M50" s="418"/>
      <c r="N50" s="418"/>
      <c r="O50" s="418"/>
      <c r="P50" s="418"/>
      <c r="Q50" s="418"/>
      <c r="R50" s="418"/>
      <c r="S50" s="418"/>
      <c r="T50" s="418"/>
      <c r="U50" s="418"/>
      <c r="V50" s="418"/>
      <c r="W50" s="418"/>
      <c r="X50" s="418"/>
      <c r="Y50" s="418"/>
      <c r="Z50" s="418"/>
      <c r="AA50" s="418"/>
      <c r="AB50" s="418"/>
      <c r="AC50" s="418"/>
      <c r="AD50" s="418"/>
      <c r="AE50" s="306"/>
      <c r="AF50" s="306"/>
      <c r="AG50" s="306"/>
      <c r="AH50" s="306"/>
      <c r="AI50" s="306"/>
      <c r="AJ50" s="306"/>
      <c r="AK50" s="306"/>
      <c r="AL50" s="306"/>
      <c r="AM50" s="306"/>
      <c r="AN50" s="306"/>
      <c r="AO50" s="306"/>
      <c r="AP50" s="306"/>
      <c r="AQ50" s="306"/>
      <c r="AR50" s="306"/>
      <c r="AS50" s="306"/>
      <c r="AT50" s="306"/>
      <c r="AU50" s="306"/>
      <c r="AV50" s="306"/>
      <c r="AW50" s="306"/>
      <c r="AX50" s="306"/>
      <c r="AY50" s="306"/>
      <c r="AZ50" s="306"/>
    </row>
    <row r="51" spans="1:52" ht="17.100000000000001" customHeight="1">
      <c r="A51" s="306"/>
      <c r="B51" s="428" t="s">
        <v>694</v>
      </c>
      <c r="C51" s="307"/>
      <c r="D51" s="307"/>
      <c r="E51" s="307"/>
      <c r="F51" s="307"/>
      <c r="G51" s="307"/>
      <c r="H51" s="307"/>
      <c r="I51" s="307"/>
      <c r="J51" s="307"/>
      <c r="K51" s="307"/>
      <c r="L51" s="307"/>
      <c r="M51" s="307"/>
      <c r="N51" s="307"/>
      <c r="O51" s="307"/>
      <c r="P51" s="307"/>
      <c r="Q51" s="307"/>
      <c r="R51" s="307"/>
      <c r="S51" s="307"/>
      <c r="T51" s="307"/>
      <c r="U51" s="307"/>
      <c r="V51" s="307"/>
      <c r="W51" s="307"/>
      <c r="X51" s="307"/>
      <c r="Y51" s="307"/>
      <c r="Z51" s="307"/>
      <c r="AA51" s="418"/>
      <c r="AB51" s="418"/>
      <c r="AC51" s="418"/>
      <c r="AD51" s="418"/>
      <c r="AE51" s="306"/>
      <c r="AF51" s="306"/>
      <c r="AG51" s="306"/>
      <c r="AH51" s="306"/>
      <c r="AI51" s="306"/>
      <c r="AJ51" s="306"/>
      <c r="AK51" s="306"/>
      <c r="AL51" s="306"/>
      <c r="AM51" s="306"/>
      <c r="AN51" s="306"/>
      <c r="AO51" s="306"/>
      <c r="AP51" s="306"/>
      <c r="AQ51" s="306"/>
      <c r="AR51" s="306"/>
      <c r="AS51" s="306"/>
      <c r="AT51" s="306"/>
      <c r="AU51" s="306"/>
      <c r="AV51" s="306"/>
      <c r="AW51" s="306"/>
      <c r="AX51" s="306"/>
      <c r="AY51" s="306"/>
      <c r="AZ51" s="306"/>
    </row>
    <row r="52" spans="1:52" ht="17.100000000000001" customHeight="1">
      <c r="A52" s="306"/>
      <c r="B52" s="309" t="s">
        <v>663</v>
      </c>
      <c r="C52" s="419" t="str">
        <f>"1Q"&amp;(F52)</f>
        <v>1Q2015</v>
      </c>
      <c r="D52" s="420" t="str">
        <f>"1H"&amp;(F52)</f>
        <v>1H2015</v>
      </c>
      <c r="E52" s="420" t="str">
        <f>"1~3Q"&amp;(F52)</f>
        <v>1~3Q2015</v>
      </c>
      <c r="F52" s="421">
        <f>Z52-5</f>
        <v>2015</v>
      </c>
      <c r="G52" s="419" t="str">
        <f>"1Q"&amp;(J52)</f>
        <v>1Q2016</v>
      </c>
      <c r="H52" s="420" t="str">
        <f>"1H"&amp;(J52)</f>
        <v>1H2016</v>
      </c>
      <c r="I52" s="420" t="str">
        <f>"1~3Q"&amp;(J52)</f>
        <v>1~3Q2016</v>
      </c>
      <c r="J52" s="421">
        <f>Z52-4</f>
        <v>2016</v>
      </c>
      <c r="K52" s="419" t="str">
        <f>"1Q"&amp;(N52)</f>
        <v>1Q2017</v>
      </c>
      <c r="L52" s="420" t="str">
        <f>"1H"&amp;(N52)</f>
        <v>1H2017</v>
      </c>
      <c r="M52" s="420" t="str">
        <f>"1~3Q"&amp;(N52)</f>
        <v>1~3Q2017</v>
      </c>
      <c r="N52" s="421">
        <f>Z52-3</f>
        <v>2017</v>
      </c>
      <c r="O52" s="419" t="str">
        <f>"1Q"&amp;(R52)</f>
        <v>1Q2018</v>
      </c>
      <c r="P52" s="420" t="str">
        <f>"1H"&amp;(R52)</f>
        <v>1H2018</v>
      </c>
      <c r="Q52" s="420" t="str">
        <f>"1~3Q"&amp;(R52)</f>
        <v>1~3Q2018</v>
      </c>
      <c r="R52" s="421">
        <f>Z52-2</f>
        <v>2018</v>
      </c>
      <c r="S52" s="419" t="str">
        <f>"1Q"&amp;(V52)</f>
        <v>1Q2019</v>
      </c>
      <c r="T52" s="420" t="str">
        <f>"1H"&amp;(V52)</f>
        <v>1H2019</v>
      </c>
      <c r="U52" s="420" t="str">
        <f>"1~3Q"&amp;(V52)</f>
        <v>1~3Q2019</v>
      </c>
      <c r="V52" s="421">
        <f>公司说明!B1</f>
        <v>2019</v>
      </c>
      <c r="W52" s="419" t="str">
        <f>"1Q"&amp;(Z52)</f>
        <v>1Q2020</v>
      </c>
      <c r="X52" s="420" t="str">
        <f>"1H"&amp;(Z52)</f>
        <v>1H2020</v>
      </c>
      <c r="Y52" s="420" t="str">
        <f>"1~3Q"&amp;(Z52)</f>
        <v>1~3Q2020</v>
      </c>
      <c r="Z52" s="421">
        <f>V52+1</f>
        <v>2020</v>
      </c>
      <c r="AA52" s="418"/>
      <c r="AB52" s="418"/>
      <c r="AC52" s="418"/>
      <c r="AD52" s="418"/>
      <c r="AE52" s="306"/>
      <c r="AF52" s="306"/>
      <c r="AG52" s="306"/>
      <c r="AH52" s="306"/>
      <c r="AI52" s="306"/>
      <c r="AJ52" s="306"/>
      <c r="AK52" s="306"/>
      <c r="AL52" s="306"/>
      <c r="AM52" s="306"/>
      <c r="AN52" s="306"/>
      <c r="AO52" s="306"/>
      <c r="AP52" s="306"/>
      <c r="AQ52" s="306"/>
      <c r="AR52" s="306"/>
      <c r="AS52" s="306"/>
      <c r="AT52" s="306"/>
      <c r="AU52" s="306"/>
      <c r="AV52" s="306"/>
      <c r="AW52" s="306"/>
      <c r="AX52" s="306"/>
      <c r="AY52" s="306"/>
      <c r="AZ52" s="306"/>
    </row>
    <row r="53" spans="1:52" ht="17.100000000000001" customHeight="1">
      <c r="A53" s="306"/>
      <c r="B53" s="315" t="s">
        <v>664</v>
      </c>
      <c r="C53" s="422">
        <v>738.35379853999996</v>
      </c>
      <c r="D53" s="422">
        <v>1518.2984160899998</v>
      </c>
      <c r="E53" s="422">
        <v>2437.1302759800001</v>
      </c>
      <c r="F53" s="422">
        <v>3332.8047714200002</v>
      </c>
      <c r="G53" s="422">
        <v>896.75065635999999</v>
      </c>
      <c r="H53" s="422">
        <v>1935.2594784100002</v>
      </c>
      <c r="I53" s="422">
        <v>2946.9945318200002</v>
      </c>
      <c r="J53" s="422">
        <v>3951.6072652299999</v>
      </c>
      <c r="K53" s="422">
        <v>1001.51223724</v>
      </c>
      <c r="L53" s="422">
        <v>2255.7438608299999</v>
      </c>
      <c r="M53" s="422">
        <v>3399.22400139</v>
      </c>
      <c r="N53" s="422">
        <v>4584.9197615800003</v>
      </c>
      <c r="O53" s="422">
        <v>1059.51187323</v>
      </c>
      <c r="P53" s="422">
        <v>2188.8215067699998</v>
      </c>
      <c r="Q53" s="422">
        <v>3410.6942635999999</v>
      </c>
      <c r="R53" s="422">
        <v>4809.73609786</v>
      </c>
      <c r="S53" s="422">
        <v>1614.58962206</v>
      </c>
      <c r="T53" s="422">
        <v>2978.6010012299998</v>
      </c>
      <c r="U53" s="422">
        <v>4590.6676882000002</v>
      </c>
      <c r="V53" s="422">
        <v>6378.1513559200002</v>
      </c>
      <c r="W53" s="422" t="e">
        <v>#VALUE!</v>
      </c>
      <c r="X53" s="422" t="e">
        <v>#VALUE!</v>
      </c>
      <c r="Y53" s="422" t="e">
        <v>#VALUE!</v>
      </c>
      <c r="Z53" s="423">
        <f>利润表!N4</f>
        <v>6378.1513559200002</v>
      </c>
      <c r="AA53" s="418"/>
      <c r="AB53" s="418"/>
      <c r="AC53" s="418"/>
      <c r="AD53" s="418"/>
      <c r="AE53" s="306"/>
      <c r="AF53" s="306"/>
      <c r="AG53" s="306"/>
      <c r="AH53" s="306"/>
      <c r="AI53" s="306"/>
      <c r="AJ53" s="306"/>
      <c r="AK53" s="306"/>
      <c r="AL53" s="306"/>
      <c r="AM53" s="306"/>
      <c r="AN53" s="306"/>
      <c r="AO53" s="306"/>
      <c r="AP53" s="306"/>
      <c r="AQ53" s="306"/>
      <c r="AR53" s="306"/>
      <c r="AS53" s="306"/>
      <c r="AT53" s="306"/>
      <c r="AU53" s="306"/>
      <c r="AV53" s="306"/>
      <c r="AW53" s="306"/>
      <c r="AX53" s="306"/>
      <c r="AY53" s="306"/>
      <c r="AZ53" s="306"/>
    </row>
    <row r="54" spans="1:52" ht="17.100000000000001" customHeight="1">
      <c r="A54" s="306"/>
      <c r="B54" s="315" t="s">
        <v>94</v>
      </c>
      <c r="C54" s="422">
        <v>625.85041575000002</v>
      </c>
      <c r="D54" s="422">
        <v>1240.44570011</v>
      </c>
      <c r="E54" s="422">
        <v>2011.4223490899999</v>
      </c>
      <c r="F54" s="422">
        <v>2665.0461144999999</v>
      </c>
      <c r="G54" s="422">
        <v>730.87574573000006</v>
      </c>
      <c r="H54" s="422">
        <v>1457.7031536300001</v>
      </c>
      <c r="I54" s="422">
        <v>2289.78741739</v>
      </c>
      <c r="J54" s="422">
        <v>3029.2470500100003</v>
      </c>
      <c r="K54" s="422">
        <v>899.70538217000001</v>
      </c>
      <c r="L54" s="422">
        <v>1992.7604492099999</v>
      </c>
      <c r="M54" s="422">
        <v>3011.8962881100001</v>
      </c>
      <c r="N54" s="422">
        <v>3961.2420510700003</v>
      </c>
      <c r="O54" s="422">
        <v>950.60466094000003</v>
      </c>
      <c r="P54" s="422">
        <v>1965.1874459000001</v>
      </c>
      <c r="Q54" s="422">
        <v>3061.9802356099999</v>
      </c>
      <c r="R54" s="422">
        <v>4331.7590222899998</v>
      </c>
      <c r="S54" s="422">
        <v>1448.96389802</v>
      </c>
      <c r="T54" s="422">
        <v>2624.2077816000001</v>
      </c>
      <c r="U54" s="422">
        <v>4015.5348439499999</v>
      </c>
      <c r="V54" s="422">
        <v>5514.07059192</v>
      </c>
      <c r="W54" s="422" t="e">
        <v>#VALUE!</v>
      </c>
      <c r="X54" s="422" t="e">
        <v>#VALUE!</v>
      </c>
      <c r="Y54" s="422" t="e">
        <v>#VALUE!</v>
      </c>
      <c r="Z54" s="423">
        <f ca="1">利润表!N7</f>
        <v>7884.1366412316775</v>
      </c>
      <c r="AA54" s="418"/>
      <c r="AB54" s="418"/>
      <c r="AC54" s="418"/>
      <c r="AD54" s="418"/>
      <c r="AE54" s="306"/>
      <c r="AF54" s="306"/>
      <c r="AG54" s="306"/>
      <c r="AH54" s="306"/>
      <c r="AI54" s="306"/>
      <c r="AJ54" s="306"/>
      <c r="AK54" s="306"/>
      <c r="AL54" s="306"/>
      <c r="AM54" s="306"/>
      <c r="AN54" s="306"/>
      <c r="AO54" s="306"/>
      <c r="AP54" s="306"/>
      <c r="AQ54" s="306"/>
      <c r="AR54" s="306"/>
      <c r="AS54" s="306"/>
      <c r="AT54" s="306"/>
      <c r="AU54" s="306"/>
      <c r="AV54" s="306"/>
      <c r="AW54" s="306"/>
      <c r="AX54" s="306"/>
      <c r="AY54" s="306"/>
      <c r="AZ54" s="306"/>
    </row>
    <row r="55" spans="1:52" ht="17.100000000000001" customHeight="1">
      <c r="A55" s="306"/>
      <c r="B55" s="353" t="s">
        <v>667</v>
      </c>
      <c r="C55" s="422">
        <v>506.40815720000001</v>
      </c>
      <c r="D55" s="422">
        <v>1018.4863765299999</v>
      </c>
      <c r="E55" s="422">
        <v>1658.51475581</v>
      </c>
      <c r="F55" s="422">
        <v>2238.2859384899998</v>
      </c>
      <c r="G55" s="422">
        <v>591.56410825</v>
      </c>
      <c r="H55" s="422">
        <v>1277.24655132</v>
      </c>
      <c r="I55" s="422">
        <v>1996.5444653499999</v>
      </c>
      <c r="J55" s="422">
        <v>2755.1810214400002</v>
      </c>
      <c r="K55" s="422">
        <v>798.75209599000004</v>
      </c>
      <c r="L55" s="422">
        <v>1772.62554082</v>
      </c>
      <c r="M55" s="422">
        <v>2656.4832278700001</v>
      </c>
      <c r="N55" s="422">
        <v>3625.9091715999998</v>
      </c>
      <c r="O55" s="422">
        <v>851.52179154999999</v>
      </c>
      <c r="P55" s="422">
        <v>1756.5843288699998</v>
      </c>
      <c r="Q55" s="422">
        <v>2736.78611176</v>
      </c>
      <c r="R55" s="422">
        <v>3863.78724121</v>
      </c>
      <c r="S55" s="422">
        <v>1315.60956571</v>
      </c>
      <c r="T55" s="422">
        <v>2398.73294162</v>
      </c>
      <c r="U55" s="422">
        <v>3685.38233283</v>
      </c>
      <c r="V55" s="422">
        <v>5079.2705365800002</v>
      </c>
      <c r="W55" s="422" t="e">
        <v>#VALUE!</v>
      </c>
      <c r="X55" s="422" t="e">
        <v>#VALUE!</v>
      </c>
      <c r="Y55" s="422" t="e">
        <v>#VALUE!</v>
      </c>
      <c r="Z55" s="423">
        <f>利润表!N8</f>
        <v>5082.3547035464026</v>
      </c>
      <c r="AA55" s="418"/>
      <c r="AB55" s="418"/>
      <c r="AC55" s="418"/>
      <c r="AD55" s="418"/>
      <c r="AE55" s="306"/>
      <c r="AF55" s="306"/>
      <c r="AG55" s="306"/>
      <c r="AH55" s="306"/>
      <c r="AI55" s="306"/>
      <c r="AJ55" s="306"/>
      <c r="AK55" s="306"/>
      <c r="AL55" s="306"/>
      <c r="AM55" s="306"/>
      <c r="AN55" s="306"/>
      <c r="AO55" s="306"/>
      <c r="AP55" s="306"/>
      <c r="AQ55" s="306"/>
      <c r="AR55" s="306"/>
      <c r="AS55" s="306"/>
      <c r="AT55" s="306"/>
      <c r="AU55" s="306"/>
      <c r="AV55" s="306"/>
      <c r="AW55" s="306"/>
      <c r="AX55" s="306"/>
      <c r="AY55" s="306"/>
      <c r="AZ55" s="306"/>
    </row>
    <row r="56" spans="1:52" ht="17.100000000000001" customHeight="1">
      <c r="A56" s="306"/>
      <c r="B56" s="358" t="s">
        <v>668</v>
      </c>
      <c r="C56" s="422">
        <v>2.95679151</v>
      </c>
      <c r="D56" s="422">
        <v>7.9020053099999998</v>
      </c>
      <c r="E56" s="422">
        <v>12.10646929</v>
      </c>
      <c r="F56" s="422">
        <v>16.865364629999998</v>
      </c>
      <c r="G56" s="422">
        <v>6.8581773500000001</v>
      </c>
      <c r="H56" s="422">
        <v>11.498461349999999</v>
      </c>
      <c r="I56" s="422">
        <v>13.904825880000001</v>
      </c>
      <c r="J56" s="422">
        <v>22.981753170000001</v>
      </c>
      <c r="K56" s="422">
        <v>6.5206670899999999</v>
      </c>
      <c r="L56" s="422">
        <v>14.864368449999999</v>
      </c>
      <c r="M56" s="422">
        <v>17.889709879999998</v>
      </c>
      <c r="N56" s="422">
        <v>26.899063820000002</v>
      </c>
      <c r="O56" s="422">
        <v>5.9456981900000008</v>
      </c>
      <c r="P56" s="422">
        <v>10.55850315</v>
      </c>
      <c r="Q56" s="422">
        <v>13.523457349999999</v>
      </c>
      <c r="R56" s="422">
        <v>19.415506629999999</v>
      </c>
      <c r="S56" s="422">
        <v>7.9006421399999995</v>
      </c>
      <c r="T56" s="422">
        <v>9.7956412499999992</v>
      </c>
      <c r="U56" s="422">
        <v>14.556835420000001</v>
      </c>
      <c r="V56" s="422">
        <v>21.80349241</v>
      </c>
      <c r="W56" s="422" t="e">
        <v>#VALUE!</v>
      </c>
      <c r="X56" s="422" t="e">
        <v>#VALUE!</v>
      </c>
      <c r="Y56" s="422" t="e">
        <v>#VALUE!</v>
      </c>
      <c r="Z56" s="423">
        <f>利润表!N10</f>
        <v>21.80349241</v>
      </c>
      <c r="AA56" s="418"/>
      <c r="AB56" s="418"/>
      <c r="AC56" s="418"/>
      <c r="AD56" s="418"/>
      <c r="AE56" s="306"/>
      <c r="AF56" s="306"/>
      <c r="AG56" s="306"/>
      <c r="AH56" s="306"/>
      <c r="AI56" s="306"/>
      <c r="AJ56" s="306"/>
      <c r="AK56" s="306"/>
      <c r="AL56" s="306"/>
      <c r="AM56" s="306"/>
      <c r="AN56" s="306"/>
      <c r="AO56" s="306"/>
      <c r="AP56" s="306"/>
      <c r="AQ56" s="306"/>
      <c r="AR56" s="306"/>
      <c r="AS56" s="306"/>
      <c r="AT56" s="306"/>
      <c r="AU56" s="306"/>
      <c r="AV56" s="306"/>
      <c r="AW56" s="306"/>
      <c r="AX56" s="306"/>
      <c r="AY56" s="306"/>
      <c r="AZ56" s="306"/>
    </row>
    <row r="57" spans="1:52" ht="17.100000000000001" customHeight="1">
      <c r="A57" s="306"/>
      <c r="B57" s="353" t="s">
        <v>669</v>
      </c>
      <c r="C57" s="422">
        <v>8.4863909</v>
      </c>
      <c r="D57" s="422">
        <v>23.384103620000001</v>
      </c>
      <c r="E57" s="422">
        <v>38.804639799999997</v>
      </c>
      <c r="F57" s="422">
        <v>55.81457365</v>
      </c>
      <c r="G57" s="422">
        <v>14.29180854</v>
      </c>
      <c r="H57" s="422">
        <v>32.694244920000003</v>
      </c>
      <c r="I57" s="422">
        <v>48.763593119999996</v>
      </c>
      <c r="J57" s="422">
        <v>63.990855880000005</v>
      </c>
      <c r="K57" s="422">
        <v>16.4412001</v>
      </c>
      <c r="L57" s="422">
        <v>37.317040929999997</v>
      </c>
      <c r="M57" s="422">
        <v>55.799417499999997</v>
      </c>
      <c r="N57" s="422">
        <v>78.155881199999996</v>
      </c>
      <c r="O57" s="422">
        <v>19.6752617</v>
      </c>
      <c r="P57" s="422">
        <v>36.591946380000003</v>
      </c>
      <c r="Q57" s="422">
        <v>58.189461319999999</v>
      </c>
      <c r="R57" s="422">
        <v>86.986311489999991</v>
      </c>
      <c r="S57" s="422">
        <v>24.266272050000001</v>
      </c>
      <c r="T57" s="422">
        <v>50.64988701</v>
      </c>
      <c r="U57" s="422">
        <v>81.130715290000012</v>
      </c>
      <c r="V57" s="422">
        <v>112.84909105</v>
      </c>
      <c r="W57" s="422" t="e">
        <v>#VALUE!</v>
      </c>
      <c r="X57" s="422" t="e">
        <v>#VALUE!</v>
      </c>
      <c r="Y57" s="422" t="e">
        <v>#VALUE!</v>
      </c>
      <c r="Z57" s="423">
        <f>利润表!N11</f>
        <v>112.84909104999998</v>
      </c>
      <c r="AA57" s="418"/>
      <c r="AB57" s="418"/>
      <c r="AC57" s="418"/>
      <c r="AD57" s="418"/>
      <c r="AE57" s="306"/>
      <c r="AF57" s="306"/>
      <c r="AG57" s="306"/>
      <c r="AH57" s="306"/>
      <c r="AI57" s="306"/>
      <c r="AJ57" s="306"/>
      <c r="AK57" s="306"/>
      <c r="AL57" s="306"/>
      <c r="AM57" s="306"/>
      <c r="AN57" s="306"/>
      <c r="AO57" s="306"/>
      <c r="AP57" s="306"/>
      <c r="AQ57" s="306"/>
      <c r="AR57" s="306"/>
      <c r="AS57" s="306"/>
      <c r="AT57" s="306"/>
      <c r="AU57" s="306"/>
      <c r="AV57" s="306"/>
      <c r="AW57" s="306"/>
      <c r="AX57" s="306"/>
      <c r="AY57" s="306"/>
      <c r="AZ57" s="306"/>
    </row>
    <row r="58" spans="1:52" ht="17.100000000000001" customHeight="1">
      <c r="A58" s="306"/>
      <c r="B58" s="353" t="s">
        <v>670</v>
      </c>
      <c r="C58" s="422">
        <v>35.790106479999999</v>
      </c>
      <c r="D58" s="422">
        <v>72.864218819999991</v>
      </c>
      <c r="E58" s="422">
        <v>139.63751825999998</v>
      </c>
      <c r="F58" s="422">
        <v>193.75757265999999</v>
      </c>
      <c r="G58" s="422">
        <v>48.513474939999995</v>
      </c>
      <c r="H58" s="422">
        <v>91.470495450000001</v>
      </c>
      <c r="I58" s="422">
        <v>146.43579863999997</v>
      </c>
      <c r="J58" s="422">
        <v>209.36716736000002</v>
      </c>
      <c r="K58" s="422">
        <v>57.907515670000002</v>
      </c>
      <c r="L58" s="422">
        <v>116.68548589</v>
      </c>
      <c r="M58" s="422">
        <v>57.227596869999999</v>
      </c>
      <c r="N58" s="422">
        <v>79.338761969999993</v>
      </c>
      <c r="O58" s="422">
        <v>19.137221199999999</v>
      </c>
      <c r="P58" s="422">
        <v>43.388248149999995</v>
      </c>
      <c r="Q58" s="422">
        <v>58.989714710000001</v>
      </c>
      <c r="R58" s="422">
        <v>84.266100010000002</v>
      </c>
      <c r="S58" s="422">
        <v>28.18056576</v>
      </c>
      <c r="T58" s="422">
        <v>51.789232779999999</v>
      </c>
      <c r="U58" s="422">
        <v>72.618047010000012</v>
      </c>
      <c r="V58" s="422">
        <v>97.549293969999994</v>
      </c>
      <c r="W58" s="422" t="e">
        <v>#VALUE!</v>
      </c>
      <c r="X58" s="422" t="e">
        <v>#VALUE!</v>
      </c>
      <c r="Y58" s="422" t="e">
        <v>#VALUE!</v>
      </c>
      <c r="Z58" s="423">
        <f>利润表!N12</f>
        <v>97.549293969999994</v>
      </c>
      <c r="AA58" s="418"/>
      <c r="AB58" s="418"/>
      <c r="AC58" s="418"/>
      <c r="AD58" s="418"/>
      <c r="AE58" s="306"/>
      <c r="AF58" s="306"/>
      <c r="AG58" s="306"/>
      <c r="AH58" s="306"/>
      <c r="AI58" s="306"/>
      <c r="AJ58" s="306"/>
      <c r="AK58" s="306"/>
      <c r="AL58" s="306"/>
      <c r="AM58" s="306"/>
      <c r="AN58" s="306"/>
      <c r="AO58" s="306"/>
      <c r="AP58" s="306"/>
      <c r="AQ58" s="306"/>
      <c r="AR58" s="306"/>
      <c r="AS58" s="306"/>
      <c r="AT58" s="306"/>
      <c r="AU58" s="306"/>
      <c r="AV58" s="306"/>
      <c r="AW58" s="306"/>
      <c r="AX58" s="306"/>
      <c r="AY58" s="306"/>
      <c r="AZ58" s="306"/>
    </row>
    <row r="59" spans="1:52" ht="17.100000000000001" customHeight="1">
      <c r="A59" s="306"/>
      <c r="B59" s="353" t="s">
        <v>671</v>
      </c>
      <c r="C59" s="422">
        <v>5.3848646900000006</v>
      </c>
      <c r="D59" s="422">
        <v>4.6807048199999999</v>
      </c>
      <c r="E59" s="422">
        <v>12.17857495</v>
      </c>
      <c r="F59" s="422">
        <v>30.090965140000002</v>
      </c>
      <c r="G59" s="422">
        <v>0.95146657999999995</v>
      </c>
      <c r="H59" s="422">
        <v>8.2819541500000007</v>
      </c>
      <c r="I59" s="422">
        <v>8.9747451199999997</v>
      </c>
      <c r="J59" s="422">
        <v>10.62166856</v>
      </c>
      <c r="K59" s="422">
        <v>4.3905420099999999</v>
      </c>
      <c r="L59" s="422">
        <v>4.7200783099999999</v>
      </c>
      <c r="M59" s="422">
        <v>12.149859579999999</v>
      </c>
      <c r="N59" s="422">
        <v>14.219765599999999</v>
      </c>
      <c r="O59" s="422">
        <v>9.737257640000001</v>
      </c>
      <c r="P59" s="422">
        <v>6.77871544</v>
      </c>
      <c r="Q59" s="422">
        <v>3.41518692</v>
      </c>
      <c r="R59" s="422">
        <v>-5.4848195300000002</v>
      </c>
      <c r="S59" s="422">
        <v>9.391059910000001</v>
      </c>
      <c r="T59" s="422">
        <v>9.7120033299999999</v>
      </c>
      <c r="U59" s="422">
        <v>10.813632890000001</v>
      </c>
      <c r="V59" s="422">
        <v>-0.27753359999999999</v>
      </c>
      <c r="W59" s="422" t="e">
        <v>#VALUE!</v>
      </c>
      <c r="X59" s="422" t="e">
        <v>#VALUE!</v>
      </c>
      <c r="Y59" s="422" t="e">
        <v>#VALUE!</v>
      </c>
      <c r="Z59" s="423">
        <f ca="1">利润表!N14</f>
        <v>2366.7043487452747</v>
      </c>
      <c r="AA59" s="418"/>
      <c r="AB59" s="418"/>
      <c r="AC59" s="418"/>
      <c r="AD59" s="418"/>
      <c r="AE59" s="306"/>
      <c r="AF59" s="306"/>
      <c r="AG59" s="306"/>
      <c r="AH59" s="306"/>
      <c r="AI59" s="306"/>
      <c r="AJ59" s="306"/>
      <c r="AK59" s="306"/>
      <c r="AL59" s="306"/>
      <c r="AM59" s="306"/>
      <c r="AN59" s="306"/>
      <c r="AO59" s="306"/>
      <c r="AP59" s="306"/>
      <c r="AQ59" s="306"/>
      <c r="AR59" s="306"/>
      <c r="AS59" s="306"/>
      <c r="AT59" s="306"/>
      <c r="AU59" s="306"/>
      <c r="AV59" s="306"/>
      <c r="AW59" s="306"/>
      <c r="AX59" s="306"/>
      <c r="AY59" s="306"/>
      <c r="AZ59" s="306"/>
    </row>
    <row r="60" spans="1:52" ht="17.100000000000001" customHeight="1">
      <c r="A60" s="306"/>
      <c r="B60" s="363" t="s">
        <v>672</v>
      </c>
      <c r="C60" s="422">
        <v>66.824104969999993</v>
      </c>
      <c r="D60" s="422">
        <v>113.12829101000001</v>
      </c>
      <c r="E60" s="422">
        <v>150.18039098</v>
      </c>
      <c r="F60" s="422">
        <v>130.23169993000002</v>
      </c>
      <c r="G60" s="422">
        <v>68.696710069999995</v>
      </c>
      <c r="H60" s="422">
        <v>36.51144644</v>
      </c>
      <c r="I60" s="422">
        <v>75.163989279999996</v>
      </c>
      <c r="J60" s="422">
        <v>-32.895416400000002</v>
      </c>
      <c r="K60" s="422">
        <v>15.69336131</v>
      </c>
      <c r="L60" s="422">
        <v>46.547934810000001</v>
      </c>
      <c r="M60" s="422">
        <v>97.301995290000008</v>
      </c>
      <c r="N60" s="422">
        <v>-16.120135449999999</v>
      </c>
      <c r="O60" s="422">
        <v>9.0939106300000017</v>
      </c>
      <c r="P60" s="422">
        <v>30.864491090000001</v>
      </c>
      <c r="Q60" s="422">
        <v>64.801814520000008</v>
      </c>
      <c r="R60" s="422">
        <v>103.31049887</v>
      </c>
      <c r="S60" s="422">
        <v>16.457227029999999</v>
      </c>
      <c r="T60" s="422">
        <v>0</v>
      </c>
      <c r="U60" s="422">
        <v>-4.1264825099999998</v>
      </c>
      <c r="V60" s="422">
        <v>-4.6279200500000002</v>
      </c>
      <c r="W60" s="422" t="e">
        <v>#VALUE!</v>
      </c>
      <c r="X60" s="422" t="e">
        <v>#VALUE!</v>
      </c>
      <c r="Y60" s="422" t="e">
        <v>#VALUE!</v>
      </c>
      <c r="Z60" s="423">
        <f>利润表!N20</f>
        <v>0</v>
      </c>
      <c r="AA60" s="418"/>
      <c r="AB60" s="418"/>
      <c r="AC60" s="418"/>
      <c r="AD60" s="418"/>
      <c r="AE60" s="306"/>
      <c r="AF60" s="306"/>
      <c r="AG60" s="306"/>
      <c r="AH60" s="306"/>
      <c r="AI60" s="306"/>
      <c r="AJ60" s="306"/>
      <c r="AK60" s="306"/>
      <c r="AL60" s="306"/>
      <c r="AM60" s="306"/>
      <c r="AN60" s="306"/>
      <c r="AO60" s="306"/>
      <c r="AP60" s="306"/>
      <c r="AQ60" s="306"/>
      <c r="AR60" s="306"/>
      <c r="AS60" s="306"/>
      <c r="AT60" s="306"/>
      <c r="AU60" s="306"/>
      <c r="AV60" s="306"/>
      <c r="AW60" s="306"/>
      <c r="AX60" s="306"/>
      <c r="AY60" s="306"/>
      <c r="AZ60" s="306"/>
    </row>
    <row r="61" spans="1:52" ht="17.100000000000001" customHeight="1">
      <c r="A61" s="306"/>
      <c r="B61" s="424" t="s">
        <v>695</v>
      </c>
      <c r="C61" s="422"/>
      <c r="D61" s="422"/>
      <c r="E61" s="422"/>
      <c r="F61" s="422"/>
      <c r="G61" s="422"/>
      <c r="H61" s="422"/>
      <c r="I61" s="422"/>
      <c r="J61" s="422"/>
      <c r="K61" s="422"/>
      <c r="L61" s="422"/>
      <c r="M61" s="422"/>
      <c r="N61" s="422"/>
      <c r="O61" s="422"/>
      <c r="P61" s="422"/>
      <c r="Q61" s="422"/>
      <c r="R61" s="422"/>
      <c r="S61" s="422"/>
      <c r="T61" s="422"/>
      <c r="U61" s="422"/>
      <c r="V61" s="422"/>
      <c r="W61" s="422"/>
      <c r="X61" s="422"/>
      <c r="Y61" s="422"/>
      <c r="Z61" s="423"/>
      <c r="AA61" s="418"/>
      <c r="AB61" s="418"/>
      <c r="AC61" s="418"/>
      <c r="AD61" s="418"/>
      <c r="AE61" s="306"/>
      <c r="AF61" s="306"/>
      <c r="AG61" s="306"/>
      <c r="AH61" s="306"/>
      <c r="AI61" s="306"/>
      <c r="AJ61" s="306"/>
      <c r="AK61" s="306"/>
      <c r="AL61" s="306"/>
      <c r="AM61" s="306"/>
      <c r="AN61" s="306"/>
      <c r="AO61" s="306"/>
      <c r="AP61" s="306"/>
      <c r="AQ61" s="306"/>
      <c r="AR61" s="306"/>
      <c r="AS61" s="306"/>
      <c r="AT61" s="306"/>
      <c r="AU61" s="306"/>
      <c r="AV61" s="306"/>
      <c r="AW61" s="306"/>
      <c r="AX61" s="306"/>
      <c r="AY61" s="306"/>
      <c r="AZ61" s="306"/>
    </row>
    <row r="62" spans="1:52" ht="17.100000000000001" customHeight="1">
      <c r="A62" s="306"/>
      <c r="B62" s="353"/>
      <c r="C62" s="422"/>
      <c r="D62" s="422"/>
      <c r="E62" s="422"/>
      <c r="F62" s="422"/>
      <c r="G62" s="422"/>
      <c r="H62" s="422"/>
      <c r="I62" s="422"/>
      <c r="J62" s="422"/>
      <c r="K62" s="422"/>
      <c r="L62" s="422"/>
      <c r="M62" s="422"/>
      <c r="N62" s="422"/>
      <c r="O62" s="422"/>
      <c r="P62" s="422"/>
      <c r="Q62" s="422"/>
      <c r="R62" s="422"/>
      <c r="S62" s="422"/>
      <c r="T62" s="422"/>
      <c r="U62" s="422"/>
      <c r="V62" s="422"/>
      <c r="W62" s="422"/>
      <c r="X62" s="422"/>
      <c r="Y62" s="422"/>
      <c r="Z62" s="423"/>
      <c r="AA62" s="418"/>
      <c r="AB62" s="418"/>
      <c r="AC62" s="418"/>
      <c r="AD62" s="418"/>
      <c r="AE62" s="306"/>
      <c r="AF62" s="306"/>
      <c r="AG62" s="306"/>
      <c r="AH62" s="306"/>
      <c r="AI62" s="306"/>
      <c r="AJ62" s="306"/>
      <c r="AK62" s="306"/>
      <c r="AL62" s="306"/>
      <c r="AM62" s="306"/>
      <c r="AN62" s="306"/>
      <c r="AO62" s="306"/>
      <c r="AP62" s="306"/>
      <c r="AQ62" s="306"/>
      <c r="AR62" s="306"/>
      <c r="AS62" s="306"/>
      <c r="AT62" s="306"/>
      <c r="AU62" s="306"/>
      <c r="AV62" s="306"/>
      <c r="AW62" s="306"/>
      <c r="AX62" s="306"/>
      <c r="AY62" s="306"/>
      <c r="AZ62" s="306"/>
    </row>
    <row r="63" spans="1:52" ht="17.100000000000001" customHeight="1">
      <c r="A63" s="306"/>
      <c r="B63" s="353"/>
      <c r="C63" s="422"/>
      <c r="D63" s="422"/>
      <c r="E63" s="422"/>
      <c r="F63" s="422"/>
      <c r="G63" s="422"/>
      <c r="H63" s="422"/>
      <c r="I63" s="422"/>
      <c r="J63" s="422"/>
      <c r="K63" s="422"/>
      <c r="L63" s="422"/>
      <c r="M63" s="422"/>
      <c r="N63" s="422"/>
      <c r="O63" s="422"/>
      <c r="P63" s="422"/>
      <c r="Q63" s="422"/>
      <c r="R63" s="422"/>
      <c r="S63" s="422"/>
      <c r="T63" s="422"/>
      <c r="U63" s="422"/>
      <c r="V63" s="422"/>
      <c r="W63" s="422"/>
      <c r="X63" s="422"/>
      <c r="Y63" s="422"/>
      <c r="Z63" s="423"/>
      <c r="AA63" s="418"/>
      <c r="AB63" s="418"/>
      <c r="AC63" s="418"/>
      <c r="AD63" s="418"/>
      <c r="AE63" s="306"/>
      <c r="AF63" s="306"/>
      <c r="AG63" s="306"/>
      <c r="AH63" s="306"/>
      <c r="AI63" s="306"/>
      <c r="AJ63" s="306"/>
      <c r="AK63" s="306"/>
      <c r="AL63" s="306"/>
      <c r="AM63" s="306"/>
      <c r="AN63" s="306"/>
      <c r="AO63" s="306"/>
      <c r="AP63" s="306"/>
      <c r="AQ63" s="306"/>
      <c r="AR63" s="306"/>
      <c r="AS63" s="306"/>
      <c r="AT63" s="306"/>
      <c r="AU63" s="306"/>
      <c r="AV63" s="306"/>
      <c r="AW63" s="306"/>
      <c r="AX63" s="306"/>
      <c r="AY63" s="306"/>
      <c r="AZ63" s="306"/>
    </row>
    <row r="64" spans="1:52" ht="17.100000000000001" customHeight="1">
      <c r="A64" s="306"/>
      <c r="B64" s="353"/>
      <c r="C64" s="422"/>
      <c r="D64" s="422"/>
      <c r="E64" s="422"/>
      <c r="F64" s="422"/>
      <c r="G64" s="422"/>
      <c r="H64" s="422"/>
      <c r="I64" s="422"/>
      <c r="J64" s="422"/>
      <c r="K64" s="422"/>
      <c r="L64" s="422"/>
      <c r="M64" s="422"/>
      <c r="N64" s="422"/>
      <c r="O64" s="422"/>
      <c r="P64" s="422"/>
      <c r="Q64" s="422"/>
      <c r="R64" s="422"/>
      <c r="S64" s="422"/>
      <c r="T64" s="422"/>
      <c r="U64" s="422"/>
      <c r="V64" s="422"/>
      <c r="W64" s="422"/>
      <c r="X64" s="422"/>
      <c r="Y64" s="422"/>
      <c r="Z64" s="423"/>
      <c r="AA64" s="418"/>
      <c r="AB64" s="418"/>
      <c r="AC64" s="418"/>
      <c r="AD64" s="418"/>
      <c r="AE64" s="306"/>
      <c r="AF64" s="306"/>
      <c r="AG64" s="306"/>
      <c r="AH64" s="306"/>
      <c r="AI64" s="306"/>
      <c r="AJ64" s="306"/>
      <c r="AK64" s="306"/>
      <c r="AL64" s="306"/>
      <c r="AM64" s="306"/>
      <c r="AN64" s="306"/>
      <c r="AO64" s="306"/>
      <c r="AP64" s="306"/>
      <c r="AQ64" s="306"/>
      <c r="AR64" s="306"/>
      <c r="AS64" s="306"/>
      <c r="AT64" s="306"/>
      <c r="AU64" s="306"/>
      <c r="AV64" s="306"/>
      <c r="AW64" s="306"/>
      <c r="AX64" s="306"/>
      <c r="AY64" s="306"/>
      <c r="AZ64" s="306"/>
    </row>
    <row r="65" spans="1:52" ht="17.100000000000001" customHeight="1">
      <c r="A65" s="306"/>
      <c r="B65" s="363"/>
      <c r="C65" s="422"/>
      <c r="D65" s="422"/>
      <c r="E65" s="422"/>
      <c r="F65" s="422"/>
      <c r="G65" s="422"/>
      <c r="H65" s="422"/>
      <c r="I65" s="422"/>
      <c r="J65" s="422"/>
      <c r="K65" s="422"/>
      <c r="L65" s="422"/>
      <c r="M65" s="422"/>
      <c r="N65" s="422"/>
      <c r="O65" s="422"/>
      <c r="P65" s="422"/>
      <c r="Q65" s="422"/>
      <c r="R65" s="422"/>
      <c r="S65" s="422"/>
      <c r="T65" s="422"/>
      <c r="U65" s="422"/>
      <c r="V65" s="422"/>
      <c r="W65" s="422"/>
      <c r="X65" s="422"/>
      <c r="Y65" s="422"/>
      <c r="Z65" s="423"/>
      <c r="AA65" s="418"/>
      <c r="AB65" s="418"/>
      <c r="AC65" s="418"/>
      <c r="AD65" s="418"/>
      <c r="AE65" s="306"/>
      <c r="AF65" s="306"/>
      <c r="AG65" s="306"/>
      <c r="AH65" s="306"/>
      <c r="AI65" s="306"/>
      <c r="AJ65" s="306"/>
      <c r="AK65" s="306"/>
      <c r="AL65" s="306"/>
      <c r="AM65" s="306"/>
      <c r="AN65" s="306"/>
      <c r="AO65" s="306"/>
      <c r="AP65" s="306"/>
      <c r="AQ65" s="306"/>
      <c r="AR65" s="306"/>
      <c r="AS65" s="306"/>
      <c r="AT65" s="306"/>
      <c r="AU65" s="306"/>
      <c r="AV65" s="306"/>
      <c r="AW65" s="306"/>
      <c r="AX65" s="306"/>
      <c r="AY65" s="306"/>
      <c r="AZ65" s="306"/>
    </row>
    <row r="66" spans="1:52" ht="17.100000000000001" customHeight="1">
      <c r="A66" s="306"/>
      <c r="B66" s="368" t="s">
        <v>673</v>
      </c>
      <c r="C66" s="422">
        <v>0</v>
      </c>
      <c r="D66" s="422">
        <v>0</v>
      </c>
      <c r="E66" s="422">
        <v>0</v>
      </c>
      <c r="F66" s="422">
        <v>0</v>
      </c>
      <c r="G66" s="422">
        <v>0</v>
      </c>
      <c r="H66" s="422">
        <v>0</v>
      </c>
      <c r="I66" s="422">
        <v>0</v>
      </c>
      <c r="J66" s="422">
        <v>0</v>
      </c>
      <c r="K66" s="422">
        <v>0</v>
      </c>
      <c r="L66" s="422">
        <v>0</v>
      </c>
      <c r="M66" s="422">
        <v>0</v>
      </c>
      <c r="N66" s="422">
        <v>0</v>
      </c>
      <c r="O66" s="422">
        <v>0</v>
      </c>
      <c r="P66" s="422">
        <v>0</v>
      </c>
      <c r="Q66" s="422">
        <v>0</v>
      </c>
      <c r="R66" s="422">
        <v>0</v>
      </c>
      <c r="S66" s="422">
        <v>0</v>
      </c>
      <c r="T66" s="422">
        <v>0</v>
      </c>
      <c r="U66" s="425"/>
      <c r="V66" s="425"/>
      <c r="W66" s="425"/>
      <c r="X66" s="425"/>
      <c r="Y66" s="425"/>
      <c r="Z66" s="423"/>
      <c r="AA66" s="418"/>
      <c r="AB66" s="418"/>
      <c r="AC66" s="418"/>
      <c r="AD66" s="418"/>
      <c r="AE66" s="306"/>
      <c r="AF66" s="306"/>
      <c r="AG66" s="306"/>
      <c r="AH66" s="306"/>
      <c r="AI66" s="306"/>
      <c r="AJ66" s="306"/>
      <c r="AK66" s="306"/>
      <c r="AL66" s="306"/>
      <c r="AM66" s="306"/>
      <c r="AN66" s="306"/>
      <c r="AO66" s="306"/>
      <c r="AP66" s="306"/>
      <c r="AQ66" s="306"/>
      <c r="AR66" s="306"/>
      <c r="AS66" s="306"/>
      <c r="AT66" s="306"/>
      <c r="AU66" s="306"/>
      <c r="AV66" s="306"/>
      <c r="AW66" s="306"/>
      <c r="AX66" s="306"/>
      <c r="AY66" s="306"/>
      <c r="AZ66" s="306"/>
    </row>
    <row r="67" spans="1:52" ht="17.100000000000001" customHeight="1">
      <c r="A67" s="306"/>
      <c r="B67" s="353" t="s">
        <v>674</v>
      </c>
      <c r="C67" s="422">
        <v>0</v>
      </c>
      <c r="D67" s="422">
        <v>0</v>
      </c>
      <c r="E67" s="422">
        <v>0</v>
      </c>
      <c r="F67" s="422">
        <v>0</v>
      </c>
      <c r="G67" s="422">
        <v>-0.78036268000000009</v>
      </c>
      <c r="H67" s="422">
        <v>0</v>
      </c>
      <c r="I67" s="422">
        <v>0</v>
      </c>
      <c r="J67" s="422">
        <v>0</v>
      </c>
      <c r="K67" s="422">
        <v>0</v>
      </c>
      <c r="L67" s="422">
        <v>0</v>
      </c>
      <c r="M67" s="422">
        <v>0</v>
      </c>
      <c r="N67" s="422">
        <v>1.0483</v>
      </c>
      <c r="O67" s="422">
        <v>-6.5345000000000004</v>
      </c>
      <c r="P67" s="422">
        <v>1.4753000000000001</v>
      </c>
      <c r="Q67" s="422">
        <v>-1.0483</v>
      </c>
      <c r="R67" s="422">
        <v>-0.26352584000000001</v>
      </c>
      <c r="S67" s="422">
        <v>1.8728698899999998</v>
      </c>
      <c r="T67" s="422">
        <v>-0.84197868000000009</v>
      </c>
      <c r="U67" s="422">
        <v>-0.78477416</v>
      </c>
      <c r="V67" s="422">
        <v>-0.30307613999999999</v>
      </c>
      <c r="W67" s="422" t="e">
        <v>#VALUE!</v>
      </c>
      <c r="X67" s="422" t="e">
        <v>#VALUE!</v>
      </c>
      <c r="Y67" s="422" t="e">
        <v>#VALUE!</v>
      </c>
      <c r="Z67" s="423">
        <f>利润表!N18</f>
        <v>0</v>
      </c>
      <c r="AA67" s="418"/>
      <c r="AB67" s="418"/>
      <c r="AC67" s="418"/>
      <c r="AD67" s="418"/>
      <c r="AE67" s="306"/>
      <c r="AF67" s="306"/>
      <c r="AG67" s="306"/>
      <c r="AH67" s="306"/>
      <c r="AI67" s="306"/>
      <c r="AJ67" s="306"/>
      <c r="AK67" s="306"/>
      <c r="AL67" s="306"/>
      <c r="AM67" s="306"/>
      <c r="AN67" s="306"/>
      <c r="AO67" s="306"/>
      <c r="AP67" s="306"/>
      <c r="AQ67" s="306"/>
      <c r="AR67" s="306"/>
      <c r="AS67" s="306"/>
      <c r="AT67" s="306"/>
      <c r="AU67" s="306"/>
      <c r="AV67" s="306"/>
      <c r="AW67" s="306"/>
      <c r="AX67" s="306"/>
      <c r="AY67" s="306"/>
      <c r="AZ67" s="306"/>
    </row>
    <row r="68" spans="1:52" ht="17.100000000000001" customHeight="1">
      <c r="A68" s="306"/>
      <c r="B68" s="353" t="s">
        <v>675</v>
      </c>
      <c r="C68" s="422">
        <v>10.533890490000001</v>
      </c>
      <c r="D68" s="422">
        <v>36.989144240000002</v>
      </c>
      <c r="E68" s="422">
        <v>52.865887919999999</v>
      </c>
      <c r="F68" s="422">
        <v>75.772078430000008</v>
      </c>
      <c r="G68" s="422">
        <v>16.087824770000001</v>
      </c>
      <c r="H68" s="422">
        <v>27.476639840000001</v>
      </c>
      <c r="I68" s="422">
        <v>39.871191609999997</v>
      </c>
      <c r="J68" s="422">
        <v>47.882001659999993</v>
      </c>
      <c r="K68" s="422">
        <v>14.27334214</v>
      </c>
      <c r="L68" s="422">
        <v>25.17621694</v>
      </c>
      <c r="M68" s="422">
        <v>39.029892200000006</v>
      </c>
      <c r="N68" s="422">
        <v>47.830630929999998</v>
      </c>
      <c r="O68" s="422">
        <v>14.3790786</v>
      </c>
      <c r="P68" s="422">
        <v>28.749357059999998</v>
      </c>
      <c r="Q68" s="422">
        <v>44.039202289999999</v>
      </c>
      <c r="R68" s="422">
        <v>61.685950349999999</v>
      </c>
      <c r="S68" s="422">
        <v>11.77574308</v>
      </c>
      <c r="T68" s="422">
        <v>23.78273162</v>
      </c>
      <c r="U68" s="422">
        <v>28.49916121</v>
      </c>
      <c r="V68" s="422">
        <v>26.918021679999999</v>
      </c>
      <c r="W68" s="422" t="e">
        <v>#VALUE!</v>
      </c>
      <c r="X68" s="422" t="e">
        <v>#VALUE!</v>
      </c>
      <c r="Y68" s="422" t="e">
        <v>#VALUE!</v>
      </c>
      <c r="Z68" s="423">
        <f>利润表!N16</f>
        <v>26.918021679999999</v>
      </c>
      <c r="AA68" s="418"/>
      <c r="AB68" s="418"/>
      <c r="AC68" s="418"/>
      <c r="AD68" s="418"/>
      <c r="AE68" s="306"/>
      <c r="AF68" s="306"/>
      <c r="AG68" s="306"/>
      <c r="AH68" s="306"/>
      <c r="AI68" s="306"/>
      <c r="AJ68" s="306"/>
      <c r="AK68" s="306"/>
      <c r="AL68" s="306"/>
      <c r="AM68" s="306"/>
      <c r="AN68" s="306"/>
      <c r="AO68" s="306"/>
      <c r="AP68" s="306"/>
      <c r="AQ68" s="306"/>
      <c r="AR68" s="306"/>
      <c r="AS68" s="306"/>
      <c r="AT68" s="306"/>
      <c r="AU68" s="306"/>
      <c r="AV68" s="306"/>
      <c r="AW68" s="306"/>
      <c r="AX68" s="306"/>
      <c r="AY68" s="306"/>
      <c r="AZ68" s="306"/>
    </row>
    <row r="69" spans="1:52" ht="17.100000000000001" customHeight="1">
      <c r="A69" s="306"/>
      <c r="B69" s="375" t="s">
        <v>676</v>
      </c>
      <c r="C69" s="422">
        <v>123.03727328000001</v>
      </c>
      <c r="D69" s="422">
        <v>314.84186022</v>
      </c>
      <c r="E69" s="422">
        <v>478.57381480999999</v>
      </c>
      <c r="F69" s="422">
        <v>743.53073534999999</v>
      </c>
      <c r="G69" s="422">
        <v>181.18237271999999</v>
      </c>
      <c r="H69" s="422">
        <v>505.03296462000003</v>
      </c>
      <c r="I69" s="422">
        <v>697.07830603999992</v>
      </c>
      <c r="J69" s="422">
        <v>969.48112996000009</v>
      </c>
      <c r="K69" s="422">
        <v>116.14862734</v>
      </c>
      <c r="L69" s="422">
        <v>286.44772021</v>
      </c>
      <c r="M69" s="422">
        <v>424.72147298000004</v>
      </c>
      <c r="N69" s="422">
        <v>676.93514071000004</v>
      </c>
      <c r="O69" s="422">
        <v>120.54188777</v>
      </c>
      <c r="P69" s="422">
        <v>264.01641202000002</v>
      </c>
      <c r="Q69" s="422">
        <v>406.36616398000001</v>
      </c>
      <c r="R69" s="422">
        <v>858.36991367999997</v>
      </c>
      <c r="S69" s="422">
        <v>252.62080749</v>
      </c>
      <c r="T69" s="422">
        <v>466.62910062999998</v>
      </c>
      <c r="U69" s="422">
        <v>693.50422067</v>
      </c>
      <c r="V69" s="422">
        <v>1094.2622257099999</v>
      </c>
      <c r="W69" s="422" t="e">
        <v>#VALUE!</v>
      </c>
      <c r="X69" s="422" t="e">
        <v>#VALUE!</v>
      </c>
      <c r="Y69" s="422" t="e">
        <v>#VALUE!</v>
      </c>
      <c r="Z69" s="423">
        <f ca="1">利润表!N23</f>
        <v>-1382.242562561677</v>
      </c>
      <c r="AA69" s="418"/>
      <c r="AB69" s="418"/>
      <c r="AC69" s="418"/>
      <c r="AD69" s="418"/>
      <c r="AE69" s="306"/>
      <c r="AF69" s="306"/>
      <c r="AG69" s="306"/>
      <c r="AH69" s="306"/>
      <c r="AI69" s="306"/>
      <c r="AJ69" s="306"/>
      <c r="AK69" s="306"/>
      <c r="AL69" s="306"/>
      <c r="AM69" s="306"/>
      <c r="AN69" s="306"/>
      <c r="AO69" s="306"/>
      <c r="AP69" s="306"/>
      <c r="AQ69" s="306"/>
      <c r="AR69" s="306"/>
      <c r="AS69" s="306"/>
      <c r="AT69" s="306"/>
      <c r="AU69" s="306"/>
      <c r="AV69" s="306"/>
      <c r="AW69" s="306"/>
      <c r="AX69" s="306"/>
      <c r="AY69" s="306"/>
      <c r="AZ69" s="306"/>
    </row>
    <row r="70" spans="1:52" ht="17.100000000000001" customHeight="1">
      <c r="A70" s="306"/>
      <c r="B70" s="353" t="s">
        <v>677</v>
      </c>
      <c r="C70" s="422">
        <v>1.35044286</v>
      </c>
      <c r="D70" s="422">
        <v>2.3787425799999999</v>
      </c>
      <c r="E70" s="422">
        <v>16.18357718</v>
      </c>
      <c r="F70" s="422">
        <v>22.37969477</v>
      </c>
      <c r="G70" s="422">
        <v>4.4987930999999994</v>
      </c>
      <c r="H70" s="422">
        <v>12.573768470000001</v>
      </c>
      <c r="I70" s="422">
        <v>14.009146619999999</v>
      </c>
      <c r="J70" s="422">
        <v>16.342176390000002</v>
      </c>
      <c r="K70" s="422">
        <v>1.57666225</v>
      </c>
      <c r="L70" s="422">
        <v>4.9143038600000004</v>
      </c>
      <c r="M70" s="422">
        <v>7.0880266799999996</v>
      </c>
      <c r="N70" s="422">
        <v>0.32713144999999999</v>
      </c>
      <c r="O70" s="422">
        <v>0.15752015</v>
      </c>
      <c r="P70" s="422">
        <v>0.56234574000000004</v>
      </c>
      <c r="Q70" s="422">
        <v>1.07911695</v>
      </c>
      <c r="R70" s="422">
        <v>0.20957967000000002</v>
      </c>
      <c r="S70" s="422">
        <v>0.45197709999999996</v>
      </c>
      <c r="T70" s="422">
        <v>0.40197710999999997</v>
      </c>
      <c r="U70" s="422">
        <v>0.41752205999999997</v>
      </c>
      <c r="V70" s="422">
        <v>1.8447618700000001</v>
      </c>
      <c r="W70" s="422" t="e">
        <v>#VALUE!</v>
      </c>
      <c r="X70" s="422" t="e">
        <v>#VALUE!</v>
      </c>
      <c r="Y70" s="422" t="e">
        <v>#VALUE!</v>
      </c>
      <c r="Z70" s="423">
        <f>利润表!N24</f>
        <v>0</v>
      </c>
      <c r="AA70" s="418"/>
      <c r="AB70" s="418"/>
      <c r="AC70" s="418"/>
      <c r="AD70" s="418"/>
      <c r="AE70" s="306"/>
      <c r="AF70" s="306"/>
      <c r="AG70" s="306"/>
      <c r="AH70" s="306"/>
      <c r="AI70" s="306"/>
      <c r="AJ70" s="306"/>
      <c r="AK70" s="306"/>
      <c r="AL70" s="306"/>
      <c r="AM70" s="306"/>
      <c r="AN70" s="306"/>
      <c r="AO70" s="306"/>
      <c r="AP70" s="306"/>
      <c r="AQ70" s="306"/>
      <c r="AR70" s="306"/>
      <c r="AS70" s="306"/>
      <c r="AT70" s="306"/>
      <c r="AU70" s="306"/>
      <c r="AV70" s="306"/>
      <c r="AW70" s="306"/>
      <c r="AX70" s="306"/>
      <c r="AY70" s="306"/>
      <c r="AZ70" s="306"/>
    </row>
    <row r="71" spans="1:52" ht="17.100000000000001" customHeight="1">
      <c r="A71" s="306"/>
      <c r="B71" s="353" t="s">
        <v>678</v>
      </c>
      <c r="C71" s="422">
        <v>0.25519681</v>
      </c>
      <c r="D71" s="422">
        <v>9.9493824100000001</v>
      </c>
      <c r="E71" s="422">
        <v>10.829616369999998</v>
      </c>
      <c r="F71" s="422">
        <v>12.148624640000001</v>
      </c>
      <c r="G71" s="422">
        <v>0.27719881000000002</v>
      </c>
      <c r="H71" s="422">
        <v>3.1482473900000003</v>
      </c>
      <c r="I71" s="422">
        <v>2.9135577400000003</v>
      </c>
      <c r="J71" s="422">
        <v>2.00412262</v>
      </c>
      <c r="K71" s="422">
        <v>0.48366070999999999</v>
      </c>
      <c r="L71" s="422">
        <v>0.88654325</v>
      </c>
      <c r="M71" s="422">
        <v>1.18608848</v>
      </c>
      <c r="N71" s="422">
        <v>2.1196094700000003</v>
      </c>
      <c r="O71" s="422">
        <v>1.5062881100000001</v>
      </c>
      <c r="P71" s="422">
        <v>1.3524091499999999</v>
      </c>
      <c r="Q71" s="422">
        <v>2.89361041</v>
      </c>
      <c r="R71" s="422">
        <v>2.81924851</v>
      </c>
      <c r="S71" s="422">
        <v>0.97030970999999999</v>
      </c>
      <c r="T71" s="422">
        <v>1.5899624800000001</v>
      </c>
      <c r="U71" s="422">
        <v>1.7936978400000001</v>
      </c>
      <c r="V71" s="422">
        <v>3.8136368799999998</v>
      </c>
      <c r="W71" s="422" t="e">
        <v>#VALUE!</v>
      </c>
      <c r="X71" s="422" t="e">
        <v>#VALUE!</v>
      </c>
      <c r="Y71" s="422" t="e">
        <v>#VALUE!</v>
      </c>
      <c r="Z71" s="423">
        <f>利润表!N25</f>
        <v>0</v>
      </c>
      <c r="AA71" s="418"/>
      <c r="AB71" s="418"/>
      <c r="AC71" s="418"/>
      <c r="AD71" s="418"/>
      <c r="AE71" s="306"/>
      <c r="AF71" s="306"/>
      <c r="AG71" s="306"/>
      <c r="AH71" s="306"/>
      <c r="AI71" s="306"/>
      <c r="AJ71" s="306"/>
      <c r="AK71" s="306"/>
      <c r="AL71" s="306"/>
      <c r="AM71" s="306"/>
      <c r="AN71" s="306"/>
      <c r="AO71" s="306"/>
      <c r="AP71" s="306"/>
      <c r="AQ71" s="306"/>
      <c r="AR71" s="306"/>
      <c r="AS71" s="306"/>
      <c r="AT71" s="306"/>
      <c r="AU71" s="306"/>
      <c r="AV71" s="306"/>
      <c r="AW71" s="306"/>
      <c r="AX71" s="306"/>
      <c r="AY71" s="306"/>
      <c r="AZ71" s="306"/>
    </row>
    <row r="72" spans="1:52" ht="17.100000000000001" customHeight="1">
      <c r="A72" s="306"/>
      <c r="B72" s="368" t="s">
        <v>679</v>
      </c>
      <c r="C72" s="422">
        <v>124.13251932999999</v>
      </c>
      <c r="D72" s="422">
        <v>307.27122039</v>
      </c>
      <c r="E72" s="422">
        <v>483.92777561999998</v>
      </c>
      <c r="F72" s="422">
        <v>753.76180548000002</v>
      </c>
      <c r="G72" s="422">
        <v>185.40396701</v>
      </c>
      <c r="H72" s="422">
        <v>514.45848569999998</v>
      </c>
      <c r="I72" s="422">
        <v>708.17389491999995</v>
      </c>
      <c r="J72" s="422">
        <v>983.81918372999996</v>
      </c>
      <c r="K72" s="422">
        <v>117.24162887999999</v>
      </c>
      <c r="L72" s="422">
        <v>290.47548081999997</v>
      </c>
      <c r="M72" s="422">
        <v>430.62341118000001</v>
      </c>
      <c r="N72" s="422">
        <v>675.14266269000007</v>
      </c>
      <c r="O72" s="422">
        <v>119.19311981</v>
      </c>
      <c r="P72" s="422">
        <v>263.22634861</v>
      </c>
      <c r="Q72" s="422">
        <v>404.55167051999996</v>
      </c>
      <c r="R72" s="422">
        <v>855.76024484000004</v>
      </c>
      <c r="S72" s="422">
        <v>252.10247487999999</v>
      </c>
      <c r="T72" s="422">
        <v>465.44111526</v>
      </c>
      <c r="U72" s="422">
        <v>692.12804488999996</v>
      </c>
      <c r="V72" s="422">
        <v>1092.2933507</v>
      </c>
      <c r="W72" s="422" t="e">
        <v>#VALUE!</v>
      </c>
      <c r="X72" s="422" t="e">
        <v>#VALUE!</v>
      </c>
      <c r="Y72" s="422" t="e">
        <v>#VALUE!</v>
      </c>
      <c r="Z72" s="423">
        <f ca="1">利润表!N26</f>
        <v>-1382.242562561677</v>
      </c>
      <c r="AA72" s="418"/>
      <c r="AB72" s="418"/>
      <c r="AC72" s="418"/>
      <c r="AD72" s="418"/>
      <c r="AE72" s="306"/>
      <c r="AF72" s="306"/>
      <c r="AG72" s="306"/>
      <c r="AH72" s="306"/>
      <c r="AI72" s="306"/>
      <c r="AJ72" s="306"/>
      <c r="AK72" s="306"/>
      <c r="AL72" s="306"/>
      <c r="AM72" s="306"/>
      <c r="AN72" s="306"/>
      <c r="AO72" s="306"/>
      <c r="AP72" s="306"/>
      <c r="AQ72" s="306"/>
      <c r="AR72" s="306"/>
      <c r="AS72" s="306"/>
      <c r="AT72" s="306"/>
      <c r="AU72" s="306"/>
      <c r="AV72" s="306"/>
      <c r="AW72" s="306"/>
      <c r="AX72" s="306"/>
      <c r="AY72" s="306"/>
      <c r="AZ72" s="306"/>
    </row>
    <row r="73" spans="1:52" ht="17.100000000000001" customHeight="1">
      <c r="A73" s="306"/>
      <c r="B73" s="353" t="s">
        <v>680</v>
      </c>
      <c r="C73" s="422">
        <v>15.82110052</v>
      </c>
      <c r="D73" s="422">
        <v>37.79378269</v>
      </c>
      <c r="E73" s="422">
        <v>70.212599659999995</v>
      </c>
      <c r="F73" s="422">
        <v>106.46913868</v>
      </c>
      <c r="G73" s="422">
        <v>25.339008710000002</v>
      </c>
      <c r="H73" s="422">
        <v>72.615141650000012</v>
      </c>
      <c r="I73" s="422">
        <v>95.879124879999992</v>
      </c>
      <c r="J73" s="422">
        <v>136.06376972000001</v>
      </c>
      <c r="K73" s="422">
        <v>16.905085270000001</v>
      </c>
      <c r="L73" s="422">
        <v>40.643070189999996</v>
      </c>
      <c r="M73" s="422">
        <v>60.63862503</v>
      </c>
      <c r="N73" s="422">
        <v>89.94329212000001</v>
      </c>
      <c r="O73" s="422">
        <v>17.09361577</v>
      </c>
      <c r="P73" s="422">
        <v>38.030804659999994</v>
      </c>
      <c r="Q73" s="422">
        <v>57.103441859999997</v>
      </c>
      <c r="R73" s="422">
        <v>105.70510836</v>
      </c>
      <c r="S73" s="422">
        <v>36.824345170000001</v>
      </c>
      <c r="T73" s="422">
        <v>68.31404637</v>
      </c>
      <c r="U73" s="422">
        <v>101.35107094</v>
      </c>
      <c r="V73" s="422">
        <v>137.25753891999997</v>
      </c>
      <c r="W73" s="422" t="e">
        <v>#VALUE!</v>
      </c>
      <c r="X73" s="422" t="e">
        <v>#VALUE!</v>
      </c>
      <c r="Y73" s="422" t="e">
        <v>#VALUE!</v>
      </c>
      <c r="Z73" s="423">
        <f ca="1">利润表!N27</f>
        <v>0</v>
      </c>
      <c r="AA73" s="418"/>
      <c r="AB73" s="418"/>
      <c r="AC73" s="418"/>
      <c r="AD73" s="418"/>
      <c r="AE73" s="306"/>
      <c r="AF73" s="306"/>
      <c r="AG73" s="306"/>
      <c r="AH73" s="306"/>
      <c r="AI73" s="306"/>
      <c r="AJ73" s="306"/>
      <c r="AK73" s="306"/>
      <c r="AL73" s="306"/>
      <c r="AM73" s="306"/>
      <c r="AN73" s="306"/>
      <c r="AO73" s="306"/>
      <c r="AP73" s="306"/>
      <c r="AQ73" s="306"/>
      <c r="AR73" s="306"/>
      <c r="AS73" s="306"/>
      <c r="AT73" s="306"/>
      <c r="AU73" s="306"/>
      <c r="AV73" s="306"/>
      <c r="AW73" s="306"/>
      <c r="AX73" s="306"/>
      <c r="AY73" s="306"/>
      <c r="AZ73" s="306"/>
    </row>
    <row r="74" spans="1:52" ht="17.100000000000001" customHeight="1">
      <c r="A74" s="306"/>
      <c r="B74" s="375" t="s">
        <v>620</v>
      </c>
      <c r="C74" s="422">
        <v>108.31141881000001</v>
      </c>
      <c r="D74" s="422">
        <v>269.4774377</v>
      </c>
      <c r="E74" s="422">
        <v>413.71517595999995</v>
      </c>
      <c r="F74" s="422">
        <v>647.29266680000001</v>
      </c>
      <c r="G74" s="422">
        <v>160.0649583</v>
      </c>
      <c r="H74" s="422">
        <v>441.84334404999998</v>
      </c>
      <c r="I74" s="422">
        <v>612.29477004</v>
      </c>
      <c r="J74" s="422">
        <v>847.75541400999998</v>
      </c>
      <c r="K74" s="422">
        <v>100.33654360999999</v>
      </c>
      <c r="L74" s="422">
        <v>249.83241063</v>
      </c>
      <c r="M74" s="422">
        <v>369.98478614999999</v>
      </c>
      <c r="N74" s="422">
        <v>585.19937057000004</v>
      </c>
      <c r="O74" s="422">
        <v>102.09950404000001</v>
      </c>
      <c r="P74" s="422">
        <v>225.19554395</v>
      </c>
      <c r="Q74" s="422">
        <v>347.44822866000004</v>
      </c>
      <c r="R74" s="422">
        <v>750.05513647999999</v>
      </c>
      <c r="S74" s="422">
        <v>215.27812971</v>
      </c>
      <c r="T74" s="422">
        <v>397.12706888999998</v>
      </c>
      <c r="U74" s="422">
        <v>590.77697395000007</v>
      </c>
      <c r="V74" s="422">
        <v>955.03581178000002</v>
      </c>
      <c r="W74" s="422" t="e">
        <v>#VALUE!</v>
      </c>
      <c r="X74" s="422" t="e">
        <v>#VALUE!</v>
      </c>
      <c r="Y74" s="422" t="e">
        <v>#VALUE!</v>
      </c>
      <c r="Z74" s="423">
        <f ca="1">利润表!N28</f>
        <v>-1382.242562561677</v>
      </c>
      <c r="AA74" s="418"/>
      <c r="AB74" s="418"/>
      <c r="AC74" s="418"/>
      <c r="AD74" s="418"/>
      <c r="AE74" s="306"/>
      <c r="AF74" s="306"/>
      <c r="AG74" s="306"/>
      <c r="AH74" s="306"/>
      <c r="AI74" s="306"/>
      <c r="AJ74" s="306"/>
      <c r="AK74" s="306"/>
      <c r="AL74" s="306"/>
      <c r="AM74" s="306"/>
      <c r="AN74" s="306"/>
      <c r="AO74" s="306"/>
      <c r="AP74" s="306"/>
      <c r="AQ74" s="306"/>
      <c r="AR74" s="306"/>
      <c r="AS74" s="306"/>
      <c r="AT74" s="306"/>
      <c r="AU74" s="306"/>
      <c r="AV74" s="306"/>
      <c r="AW74" s="306"/>
      <c r="AX74" s="306"/>
      <c r="AY74" s="306"/>
      <c r="AZ74" s="306"/>
    </row>
    <row r="75" spans="1:52" ht="17.100000000000001" customHeight="1">
      <c r="A75" s="306"/>
      <c r="B75" s="363" t="s">
        <v>681</v>
      </c>
      <c r="C75" s="422">
        <v>0</v>
      </c>
      <c r="D75" s="422">
        <v>0</v>
      </c>
      <c r="E75" s="422">
        <v>0</v>
      </c>
      <c r="F75" s="422">
        <v>-1.9081500000000002E-3</v>
      </c>
      <c r="G75" s="422">
        <v>0.34355112999999998</v>
      </c>
      <c r="H75" s="422">
        <v>-1.6780179999999999E-2</v>
      </c>
      <c r="I75" s="422">
        <v>-6.2414599999999999E-3</v>
      </c>
      <c r="J75" s="422">
        <v>1.9518689999999998E-2</v>
      </c>
      <c r="K75" s="422">
        <v>2.1943750000000001E-2</v>
      </c>
      <c r="L75" s="422">
        <v>0.11570635999999999</v>
      </c>
      <c r="M75" s="422">
        <v>5.6152680000000003E-2</v>
      </c>
      <c r="N75" s="422">
        <v>7.3581599999999999E-3</v>
      </c>
      <c r="O75" s="422">
        <v>0.48942777000000004</v>
      </c>
      <c r="P75" s="422">
        <v>0.54591281000000003</v>
      </c>
      <c r="Q75" s="422">
        <v>0.55883020999999999</v>
      </c>
      <c r="R75" s="422">
        <v>-1.20235479</v>
      </c>
      <c r="S75" s="422">
        <v>-0.70738473000000002</v>
      </c>
      <c r="T75" s="422">
        <v>-1.01398689</v>
      </c>
      <c r="U75" s="422">
        <v>-1.7006018600000001</v>
      </c>
      <c r="V75" s="422">
        <v>-2.0269835299999999</v>
      </c>
      <c r="W75" s="422" t="e">
        <v>#VALUE!</v>
      </c>
      <c r="X75" s="422" t="e">
        <v>#VALUE!</v>
      </c>
      <c r="Y75" s="422" t="e">
        <v>#VALUE!</v>
      </c>
      <c r="Z75" s="423">
        <f ca="1">利润表!N31</f>
        <v>2.9336940816444761</v>
      </c>
      <c r="AA75" s="418"/>
      <c r="AB75" s="418"/>
      <c r="AC75" s="418"/>
      <c r="AD75" s="418"/>
      <c r="AE75" s="306"/>
      <c r="AF75" s="306"/>
      <c r="AG75" s="306"/>
      <c r="AH75" s="306"/>
      <c r="AI75" s="306"/>
      <c r="AJ75" s="306"/>
      <c r="AK75" s="306"/>
      <c r="AL75" s="306"/>
      <c r="AM75" s="306"/>
      <c r="AN75" s="306"/>
      <c r="AO75" s="306"/>
      <c r="AP75" s="306"/>
      <c r="AQ75" s="306"/>
      <c r="AR75" s="306"/>
      <c r="AS75" s="306"/>
      <c r="AT75" s="306"/>
      <c r="AU75" s="306"/>
      <c r="AV75" s="306"/>
      <c r="AW75" s="306"/>
      <c r="AX75" s="306"/>
      <c r="AY75" s="306"/>
      <c r="AZ75" s="306"/>
    </row>
    <row r="76" spans="1:52" ht="17.100000000000001" customHeight="1">
      <c r="A76" s="306"/>
      <c r="B76" s="368" t="s">
        <v>106</v>
      </c>
      <c r="C76" s="422">
        <v>108.31141881000001</v>
      </c>
      <c r="D76" s="422">
        <v>269.4774377</v>
      </c>
      <c r="E76" s="422">
        <v>413.71517595999995</v>
      </c>
      <c r="F76" s="422">
        <v>647.29457495000008</v>
      </c>
      <c r="G76" s="422">
        <v>159.72140716999999</v>
      </c>
      <c r="H76" s="422">
        <v>441.86012423</v>
      </c>
      <c r="I76" s="422">
        <v>612.30101149999996</v>
      </c>
      <c r="J76" s="422">
        <v>847.73589532000005</v>
      </c>
      <c r="K76" s="422">
        <v>100.31459986</v>
      </c>
      <c r="L76" s="422">
        <v>249.71670427000001</v>
      </c>
      <c r="M76" s="422">
        <v>369.92863347000002</v>
      </c>
      <c r="N76" s="422">
        <v>585.19201240999996</v>
      </c>
      <c r="O76" s="422">
        <v>101.61007626999999</v>
      </c>
      <c r="P76" s="422">
        <v>224.64963114</v>
      </c>
      <c r="Q76" s="422">
        <v>346.88939844999999</v>
      </c>
      <c r="R76" s="422">
        <v>751.25749126999995</v>
      </c>
      <c r="S76" s="422">
        <v>215.98551444</v>
      </c>
      <c r="T76" s="422">
        <v>398.14105577999999</v>
      </c>
      <c r="U76" s="422">
        <v>592.47757580999996</v>
      </c>
      <c r="V76" s="422">
        <v>957.06279530999996</v>
      </c>
      <c r="W76" s="422" t="e">
        <v>#VALUE!</v>
      </c>
      <c r="X76" s="422" t="e">
        <v>#VALUE!</v>
      </c>
      <c r="Y76" s="422" t="e">
        <v>#VALUE!</v>
      </c>
      <c r="Z76" s="423">
        <f ca="1">利润表!N32</f>
        <v>-1385.1762566433215</v>
      </c>
      <c r="AA76" s="418"/>
      <c r="AB76" s="418"/>
      <c r="AC76" s="418"/>
      <c r="AD76" s="418"/>
      <c r="AE76" s="306"/>
      <c r="AF76" s="306"/>
      <c r="AG76" s="306"/>
      <c r="AH76" s="306"/>
      <c r="AI76" s="306"/>
      <c r="AJ76" s="306"/>
      <c r="AK76" s="306"/>
      <c r="AL76" s="306"/>
      <c r="AM76" s="306"/>
      <c r="AN76" s="306"/>
      <c r="AO76" s="306"/>
      <c r="AP76" s="306"/>
      <c r="AQ76" s="306"/>
      <c r="AR76" s="306"/>
      <c r="AS76" s="306"/>
      <c r="AT76" s="306"/>
      <c r="AU76" s="306"/>
      <c r="AV76" s="306"/>
      <c r="AW76" s="306"/>
      <c r="AX76" s="306"/>
      <c r="AY76" s="306"/>
      <c r="AZ76" s="306"/>
    </row>
    <row r="77" spans="1:52" ht="17.100000000000001" customHeight="1">
      <c r="A77" s="306"/>
      <c r="B77" s="383" t="s">
        <v>682</v>
      </c>
      <c r="C77" s="422">
        <v>0.27</v>
      </c>
      <c r="D77" s="422">
        <v>0</v>
      </c>
      <c r="E77" s="422">
        <v>1.03</v>
      </c>
      <c r="F77" s="422">
        <v>1.61</v>
      </c>
      <c r="G77" s="422">
        <v>0</v>
      </c>
      <c r="H77" s="422">
        <v>0</v>
      </c>
      <c r="I77" s="422">
        <v>0</v>
      </c>
      <c r="J77" s="422">
        <v>2.11</v>
      </c>
      <c r="K77" s="422">
        <v>0</v>
      </c>
      <c r="L77" s="422">
        <v>0.48</v>
      </c>
      <c r="M77" s="422">
        <v>0</v>
      </c>
      <c r="N77" s="422">
        <v>1.1200000000000001</v>
      </c>
      <c r="O77" s="422">
        <v>0</v>
      </c>
      <c r="P77" s="422">
        <v>0.43</v>
      </c>
      <c r="Q77" s="422">
        <v>0.66</v>
      </c>
      <c r="R77" s="422">
        <v>1.44</v>
      </c>
      <c r="S77" s="422">
        <v>0.41</v>
      </c>
      <c r="T77" s="422">
        <v>0.76</v>
      </c>
      <c r="U77" s="422">
        <v>1.1299999999999999</v>
      </c>
      <c r="V77" s="422">
        <v>1.83</v>
      </c>
      <c r="W77" s="422" t="e">
        <v>#VALUE!</v>
      </c>
      <c r="X77" s="422" t="e">
        <v>#VALUE!</v>
      </c>
      <c r="Y77" s="422" t="e">
        <v>#VALUE!</v>
      </c>
      <c r="Z77" s="423">
        <f ca="1">利润表!N36</f>
        <v>-2.6505477547709941</v>
      </c>
      <c r="AA77" s="418"/>
      <c r="AB77" s="418"/>
      <c r="AC77" s="418"/>
      <c r="AD77" s="418"/>
      <c r="AE77" s="306"/>
      <c r="AF77" s="306"/>
      <c r="AG77" s="306"/>
      <c r="AH77" s="306"/>
      <c r="AI77" s="306"/>
      <c r="AJ77" s="306"/>
      <c r="AK77" s="306"/>
      <c r="AL77" s="306"/>
      <c r="AM77" s="306"/>
      <c r="AN77" s="306"/>
      <c r="AO77" s="306"/>
      <c r="AP77" s="306"/>
      <c r="AQ77" s="306"/>
      <c r="AR77" s="306"/>
      <c r="AS77" s="306"/>
      <c r="AT77" s="306"/>
      <c r="AU77" s="306"/>
      <c r="AV77" s="306"/>
      <c r="AW77" s="306"/>
      <c r="AX77" s="306"/>
      <c r="AY77" s="306"/>
      <c r="AZ77" s="306"/>
    </row>
    <row r="78" spans="1:52" ht="17.100000000000001" customHeight="1">
      <c r="A78" s="306"/>
      <c r="B78" s="383" t="s">
        <v>696</v>
      </c>
      <c r="C78" s="422">
        <v>3910.4587640300001</v>
      </c>
      <c r="D78" s="422">
        <v>3890.7247829200001</v>
      </c>
      <c r="E78" s="422">
        <v>4034.9625211799998</v>
      </c>
      <c r="F78" s="422">
        <v>4268.5400120200002</v>
      </c>
      <c r="G78" s="422">
        <v>4428.6049703199997</v>
      </c>
      <c r="H78" s="422">
        <v>4431.9481609700006</v>
      </c>
      <c r="I78" s="422">
        <v>4600.6871291000007</v>
      </c>
      <c r="J78" s="422">
        <v>4841.4509641200002</v>
      </c>
      <c r="K78" s="422">
        <v>4946.7356510399995</v>
      </c>
      <c r="L78" s="422">
        <v>4693.1043516400005</v>
      </c>
      <c r="M78" s="422">
        <v>4813.3033115799999</v>
      </c>
      <c r="N78" s="422">
        <v>5028.8405170299993</v>
      </c>
      <c r="O78" s="422">
        <v>5132.0180427799996</v>
      </c>
      <c r="P78" s="422">
        <v>5012.8100991299998</v>
      </c>
      <c r="Q78" s="422">
        <v>5153.9556987899996</v>
      </c>
      <c r="R78" s="422">
        <v>5555.7247047800001</v>
      </c>
      <c r="S78" s="422">
        <v>5773.7410181400001</v>
      </c>
      <c r="T78" s="422">
        <v>5743.0005922500004</v>
      </c>
      <c r="U78" s="422">
        <v>5954.5047591599996</v>
      </c>
      <c r="V78" s="422">
        <v>6529.2435064900001</v>
      </c>
      <c r="W78" s="422" t="e">
        <v>#VALUE!</v>
      </c>
      <c r="X78" s="422" t="e">
        <v>#VALUE!</v>
      </c>
      <c r="Y78" s="422" t="e">
        <v>#VALUE!</v>
      </c>
      <c r="Z78" s="418">
        <f ca="1">资产负债!N77</f>
        <v>4939.5538592283228</v>
      </c>
      <c r="AA78" s="418"/>
      <c r="AB78" s="418"/>
      <c r="AC78" s="418"/>
      <c r="AD78" s="418"/>
      <c r="AE78" s="306"/>
      <c r="AF78" s="306"/>
      <c r="AG78" s="306"/>
      <c r="AH78" s="306"/>
      <c r="AI78" s="306"/>
      <c r="AJ78" s="306"/>
      <c r="AK78" s="306"/>
      <c r="AL78" s="306"/>
      <c r="AM78" s="306"/>
      <c r="AN78" s="306"/>
      <c r="AO78" s="306"/>
      <c r="AP78" s="306"/>
      <c r="AQ78" s="306"/>
      <c r="AR78" s="306"/>
      <c r="AS78" s="306"/>
      <c r="AT78" s="306"/>
      <c r="AU78" s="306"/>
      <c r="AV78" s="306"/>
      <c r="AW78" s="306"/>
      <c r="AX78" s="306"/>
      <c r="AY78" s="306"/>
      <c r="AZ78" s="306"/>
    </row>
    <row r="79" spans="1:52" ht="17.100000000000001" customHeight="1">
      <c r="A79" s="306"/>
      <c r="B79" s="306"/>
      <c r="C79" s="418"/>
      <c r="D79" s="418"/>
      <c r="E79" s="418"/>
      <c r="F79" s="418"/>
      <c r="G79" s="418"/>
      <c r="H79" s="418"/>
      <c r="I79" s="418"/>
      <c r="J79" s="418"/>
      <c r="K79" s="418"/>
      <c r="L79" s="418"/>
      <c r="M79" s="418"/>
      <c r="N79" s="418"/>
      <c r="O79" s="418"/>
      <c r="P79" s="418"/>
      <c r="Q79" s="418"/>
      <c r="R79" s="418"/>
      <c r="S79" s="418"/>
      <c r="T79" s="418"/>
      <c r="U79" s="418"/>
      <c r="V79" s="418"/>
      <c r="W79" s="418"/>
      <c r="X79" s="418"/>
      <c r="Y79" s="418"/>
      <c r="Z79" s="418"/>
      <c r="AA79" s="418"/>
      <c r="AB79" s="418"/>
      <c r="AC79" s="418"/>
      <c r="AD79" s="418"/>
      <c r="AE79" s="306"/>
      <c r="AF79" s="306"/>
      <c r="AG79" s="306"/>
      <c r="AH79" s="306"/>
      <c r="AI79" s="306"/>
      <c r="AJ79" s="306"/>
      <c r="AK79" s="306"/>
      <c r="AL79" s="306"/>
      <c r="AM79" s="306"/>
      <c r="AN79" s="306"/>
      <c r="AO79" s="306"/>
      <c r="AP79" s="306"/>
      <c r="AQ79" s="306"/>
      <c r="AR79" s="306"/>
      <c r="AS79" s="306"/>
      <c r="AT79" s="306"/>
      <c r="AU79" s="306"/>
      <c r="AV79" s="306"/>
      <c r="AW79" s="306"/>
      <c r="AX79" s="306"/>
      <c r="AY79" s="306"/>
      <c r="AZ79" s="306"/>
    </row>
    <row r="80" spans="1:52" ht="17.100000000000001" customHeight="1">
      <c r="A80" s="14"/>
      <c r="B80" s="19"/>
      <c r="C80" s="19"/>
      <c r="D80" s="19"/>
      <c r="E80" s="19"/>
      <c r="F80" s="19"/>
      <c r="G80" s="19"/>
      <c r="H80" s="19"/>
      <c r="I80" s="18"/>
      <c r="J80" s="18"/>
      <c r="K80" s="18"/>
      <c r="L80" s="18"/>
      <c r="M80" s="18"/>
      <c r="N80" s="18"/>
      <c r="O80" s="18"/>
      <c r="P80" s="18"/>
      <c r="Q80" s="18"/>
      <c r="R80" s="18"/>
      <c r="S80" s="16"/>
      <c r="T80" s="418"/>
      <c r="U80" s="418"/>
      <c r="V80" s="418"/>
      <c r="W80" s="418"/>
      <c r="X80" s="418"/>
      <c r="Y80" s="418"/>
      <c r="Z80" s="418"/>
      <c r="AA80" s="418"/>
      <c r="AB80" s="418"/>
      <c r="AC80" s="418"/>
      <c r="AD80" s="418"/>
      <c r="AE80" s="306"/>
      <c r="AF80" s="306"/>
      <c r="AG80" s="306"/>
      <c r="AH80" s="306"/>
      <c r="AI80" s="306"/>
      <c r="AJ80" s="306"/>
      <c r="AK80" s="306"/>
      <c r="AL80" s="306"/>
      <c r="AM80" s="306"/>
      <c r="AN80" s="306"/>
      <c r="AO80" s="306"/>
      <c r="AP80" s="306"/>
      <c r="AQ80" s="306"/>
      <c r="AR80" s="306"/>
      <c r="AS80" s="306"/>
      <c r="AT80" s="306"/>
      <c r="AU80" s="306"/>
      <c r="AV80" s="306"/>
      <c r="AW80" s="306"/>
      <c r="AX80" s="306"/>
      <c r="AY80" s="306"/>
      <c r="AZ80" s="306"/>
    </row>
    <row r="81" spans="1:52" ht="17.100000000000001" customHeight="1">
      <c r="A81" s="14"/>
      <c r="B81" s="192" t="s">
        <v>697</v>
      </c>
      <c r="C81" s="296"/>
      <c r="D81" s="296"/>
      <c r="E81" s="296"/>
      <c r="F81" s="296"/>
      <c r="G81" s="296"/>
      <c r="H81" s="185">
        <v>1</v>
      </c>
      <c r="I81" s="177">
        <v>7</v>
      </c>
      <c r="J81" s="176"/>
      <c r="K81" s="176"/>
      <c r="L81" s="176"/>
      <c r="M81" s="176"/>
      <c r="N81" s="177">
        <v>1</v>
      </c>
      <c r="O81" s="177">
        <v>14</v>
      </c>
      <c r="P81" s="176"/>
      <c r="Q81" s="176"/>
      <c r="R81" s="176"/>
      <c r="S81" s="176"/>
      <c r="T81" s="176"/>
      <c r="U81" s="176"/>
      <c r="V81" s="176"/>
      <c r="W81" s="176"/>
      <c r="X81" s="176"/>
      <c r="Y81" s="176"/>
      <c r="Z81" s="176"/>
      <c r="AA81" s="176"/>
      <c r="AB81" s="176"/>
      <c r="AC81" s="176"/>
      <c r="AD81" s="178"/>
      <c r="AE81" s="306"/>
      <c r="AF81" s="306"/>
      <c r="AG81" s="306"/>
      <c r="AH81" s="306"/>
      <c r="AI81" s="306"/>
      <c r="AJ81" s="306"/>
      <c r="AK81" s="306"/>
      <c r="AL81" s="306"/>
      <c r="AM81" s="306"/>
      <c r="AN81" s="306"/>
      <c r="AO81" s="306"/>
      <c r="AP81" s="306"/>
      <c r="AQ81" s="306"/>
      <c r="AR81" s="306"/>
      <c r="AS81" s="306"/>
      <c r="AT81" s="306"/>
      <c r="AU81" s="306"/>
      <c r="AV81" s="306"/>
      <c r="AW81" s="306"/>
      <c r="AX81" s="306"/>
      <c r="AY81" s="306"/>
      <c r="AZ81" s="306"/>
    </row>
    <row r="82" spans="1:52" ht="17.100000000000001" customHeight="1">
      <c r="A82" s="14"/>
      <c r="B82" s="122"/>
      <c r="C82" s="429" t="str">
        <f>C3</f>
        <v>1Q15</v>
      </c>
      <c r="D82" s="441" t="str">
        <f t="shared" ref="D82:AD82" si="41">D3</f>
        <v>2Q15</v>
      </c>
      <c r="E82" s="441" t="str">
        <f t="shared" si="41"/>
        <v>3Q15</v>
      </c>
      <c r="F82" s="441" t="str">
        <f t="shared" si="41"/>
        <v>4Q15</v>
      </c>
      <c r="G82" s="441" t="str">
        <f t="shared" si="41"/>
        <v>1Q16</v>
      </c>
      <c r="H82" s="441" t="str">
        <f t="shared" si="41"/>
        <v>2Q16</v>
      </c>
      <c r="I82" s="441" t="str">
        <f t="shared" si="41"/>
        <v>3Q16</v>
      </c>
      <c r="J82" s="441" t="str">
        <f t="shared" si="41"/>
        <v>4Q16</v>
      </c>
      <c r="K82" s="441" t="str">
        <f t="shared" si="41"/>
        <v>1Q17</v>
      </c>
      <c r="L82" s="441" t="str">
        <f t="shared" si="41"/>
        <v>2Q17</v>
      </c>
      <c r="M82" s="441" t="str">
        <f t="shared" si="41"/>
        <v>3Q17</v>
      </c>
      <c r="N82" s="441" t="str">
        <f t="shared" si="41"/>
        <v>4Q17</v>
      </c>
      <c r="O82" s="441" t="str">
        <f t="shared" si="41"/>
        <v>1Q18</v>
      </c>
      <c r="P82" s="441" t="str">
        <f t="shared" si="41"/>
        <v>2Q18</v>
      </c>
      <c r="Q82" s="441" t="str">
        <f t="shared" si="41"/>
        <v>3Q18</v>
      </c>
      <c r="R82" s="441" t="str">
        <f t="shared" si="41"/>
        <v>4Q18</v>
      </c>
      <c r="S82" s="441" t="str">
        <f t="shared" si="41"/>
        <v>1Q19</v>
      </c>
      <c r="T82" s="441" t="str">
        <f t="shared" si="41"/>
        <v>2Q19</v>
      </c>
      <c r="U82" s="441" t="str">
        <f t="shared" si="41"/>
        <v>3Q19</v>
      </c>
      <c r="V82" s="441" t="str">
        <f t="shared" si="41"/>
        <v>4Q19</v>
      </c>
      <c r="W82" s="441" t="str">
        <f t="shared" si="41"/>
        <v>1Q20</v>
      </c>
      <c r="X82" s="441" t="str">
        <f t="shared" si="41"/>
        <v>2Q20</v>
      </c>
      <c r="Y82" s="441" t="str">
        <f t="shared" si="41"/>
        <v>3Q20</v>
      </c>
      <c r="Z82" s="441" t="str">
        <f t="shared" si="41"/>
        <v>4Q20E</v>
      </c>
      <c r="AA82" s="441" t="str">
        <f t="shared" si="41"/>
        <v>1Q21E</v>
      </c>
      <c r="AB82" s="441" t="str">
        <f t="shared" si="41"/>
        <v>2Q21E</v>
      </c>
      <c r="AC82" s="441" t="str">
        <f t="shared" si="41"/>
        <v>3Q21E</v>
      </c>
      <c r="AD82" s="442" t="str">
        <f t="shared" si="41"/>
        <v>4Q21E</v>
      </c>
      <c r="AE82" s="306"/>
      <c r="AF82" s="306"/>
      <c r="AG82" s="306"/>
      <c r="AH82" s="306"/>
      <c r="AI82" s="306"/>
      <c r="AJ82" s="306"/>
      <c r="AK82" s="306"/>
      <c r="AL82" s="306"/>
      <c r="AM82" s="306"/>
      <c r="AN82" s="306"/>
      <c r="AO82" s="306"/>
      <c r="AP82" s="306"/>
      <c r="AQ82" s="306"/>
      <c r="AR82" s="306"/>
      <c r="AS82" s="306"/>
      <c r="AT82" s="306"/>
    </row>
    <row r="83" spans="1:52" ht="17.100000000000001" customHeight="1">
      <c r="A83" s="14"/>
      <c r="B83" s="123" t="str">
        <f ca="1">OFFSET($B$3,$H$81,0)</f>
        <v>营业总收入</v>
      </c>
      <c r="C83" s="430">
        <f ca="1">OFFSET(C$3,$H$81,0)</f>
        <v>738.35379853999996</v>
      </c>
      <c r="D83" s="443">
        <f t="shared" ref="D83:AD83" ca="1" si="42">OFFSET(D$3,$H$81,0)</f>
        <v>779.94461754999986</v>
      </c>
      <c r="E83" s="443">
        <f t="shared" ca="1" si="42"/>
        <v>918.83185989000026</v>
      </c>
      <c r="F83" s="443">
        <f t="shared" ca="1" si="42"/>
        <v>895.6744954400001</v>
      </c>
      <c r="G83" s="443">
        <f t="shared" ca="1" si="42"/>
        <v>896.75065635999999</v>
      </c>
      <c r="H83" s="443">
        <f t="shared" ca="1" si="42"/>
        <v>1038.5088220500002</v>
      </c>
      <c r="I83" s="443">
        <f t="shared" ca="1" si="42"/>
        <v>1011.7350534100001</v>
      </c>
      <c r="J83" s="443">
        <f t="shared" ca="1" si="42"/>
        <v>1004.6127334099997</v>
      </c>
      <c r="K83" s="443">
        <f t="shared" ca="1" si="42"/>
        <v>1001.51223724</v>
      </c>
      <c r="L83" s="443">
        <f t="shared" ca="1" si="42"/>
        <v>1254.2316235899998</v>
      </c>
      <c r="M83" s="443">
        <f t="shared" ca="1" si="42"/>
        <v>1143.4801405600001</v>
      </c>
      <c r="N83" s="443">
        <f t="shared" ca="1" si="42"/>
        <v>1185.6957601900003</v>
      </c>
      <c r="O83" s="443">
        <f t="shared" ca="1" si="42"/>
        <v>1059.51187323</v>
      </c>
      <c r="P83" s="443">
        <f t="shared" ca="1" si="42"/>
        <v>1129.3096335399998</v>
      </c>
      <c r="Q83" s="443">
        <f t="shared" ca="1" si="42"/>
        <v>1221.8727568300001</v>
      </c>
      <c r="R83" s="443">
        <f t="shared" ca="1" si="42"/>
        <v>1399.0418342600001</v>
      </c>
      <c r="S83" s="443">
        <f t="shared" ca="1" si="42"/>
        <v>1614.58962206</v>
      </c>
      <c r="T83" s="443">
        <f t="shared" ca="1" si="42"/>
        <v>1364.0113791699998</v>
      </c>
      <c r="U83" s="443">
        <f t="shared" ca="1" si="42"/>
        <v>1612.0666869700003</v>
      </c>
      <c r="V83" s="443">
        <f t="shared" ca="1" si="42"/>
        <v>1787.4836677200001</v>
      </c>
      <c r="W83" s="443" t="e">
        <f t="shared" ca="1" si="42"/>
        <v>#VALUE!</v>
      </c>
      <c r="X83" s="443" t="e">
        <f t="shared" ca="1" si="42"/>
        <v>#VALUE!</v>
      </c>
      <c r="Y83" s="443" t="e">
        <f t="shared" ca="1" si="42"/>
        <v>#VALUE!</v>
      </c>
      <c r="Z83" s="443" t="e">
        <f t="shared" ca="1" si="42"/>
        <v>#VALUE!</v>
      </c>
      <c r="AA83" s="443">
        <f t="shared" ca="1" si="42"/>
        <v>0</v>
      </c>
      <c r="AB83" s="443">
        <f t="shared" ca="1" si="42"/>
        <v>0</v>
      </c>
      <c r="AC83" s="443">
        <f t="shared" ca="1" si="42"/>
        <v>0</v>
      </c>
      <c r="AD83" s="444">
        <f t="shared" ca="1" si="42"/>
        <v>0</v>
      </c>
      <c r="AE83" s="306"/>
      <c r="AF83" s="306"/>
      <c r="AG83" s="306"/>
      <c r="AH83" s="306"/>
      <c r="AI83" s="306"/>
      <c r="AJ83" s="306"/>
      <c r="AK83" s="306"/>
      <c r="AL83" s="306"/>
      <c r="AM83" s="306"/>
      <c r="AN83" s="306"/>
      <c r="AO83" s="306"/>
      <c r="AP83" s="306"/>
      <c r="AQ83" s="306"/>
      <c r="AR83" s="306"/>
      <c r="AS83" s="306"/>
      <c r="AT83" s="306"/>
    </row>
    <row r="84" spans="1:52" ht="17.100000000000001" customHeight="1">
      <c r="A84" s="14"/>
      <c r="B84" s="431" t="str">
        <f ca="1">OFFSET($B$3,$I$81,0)</f>
        <v>营业总成本</v>
      </c>
      <c r="C84" s="445">
        <f ca="1">OFFSET(C$3,$I$81,0)</f>
        <v>625.85041575000002</v>
      </c>
      <c r="D84" s="446">
        <f t="shared" ref="D84:AD84" ca="1" si="43">OFFSET(D$3,$I$81,0)</f>
        <v>614.59528435999994</v>
      </c>
      <c r="E84" s="446">
        <f t="shared" ca="1" si="43"/>
        <v>770.97664897999994</v>
      </c>
      <c r="F84" s="446">
        <f t="shared" ca="1" si="43"/>
        <v>653.62376541000003</v>
      </c>
      <c r="G84" s="446">
        <f t="shared" ca="1" si="43"/>
        <v>730.87574573000006</v>
      </c>
      <c r="H84" s="446">
        <f t="shared" ca="1" si="43"/>
        <v>726.82740790000003</v>
      </c>
      <c r="I84" s="446">
        <f t="shared" ca="1" si="43"/>
        <v>832.08426375999989</v>
      </c>
      <c r="J84" s="446">
        <f t="shared" ca="1" si="43"/>
        <v>739.45963262000032</v>
      </c>
      <c r="K84" s="446">
        <f t="shared" ca="1" si="43"/>
        <v>899.70538217000001</v>
      </c>
      <c r="L84" s="446">
        <f t="shared" ca="1" si="43"/>
        <v>1093.0550670399998</v>
      </c>
      <c r="M84" s="446">
        <f t="shared" ca="1" si="43"/>
        <v>1019.1358389000002</v>
      </c>
      <c r="N84" s="446">
        <f t="shared" ca="1" si="43"/>
        <v>949.34576296000023</v>
      </c>
      <c r="O84" s="446">
        <f t="shared" ca="1" si="43"/>
        <v>950.60466094000003</v>
      </c>
      <c r="P84" s="446">
        <f t="shared" ca="1" si="43"/>
        <v>1014.58278496</v>
      </c>
      <c r="Q84" s="446">
        <f t="shared" ca="1" si="43"/>
        <v>1096.7927897099999</v>
      </c>
      <c r="R84" s="446">
        <f t="shared" ca="1" si="43"/>
        <v>1269.7787866799999</v>
      </c>
      <c r="S84" s="446">
        <f t="shared" ca="1" si="43"/>
        <v>1448.96389802</v>
      </c>
      <c r="T84" s="446">
        <f t="shared" ca="1" si="43"/>
        <v>1175.2438835800001</v>
      </c>
      <c r="U84" s="446">
        <f t="shared" ca="1" si="43"/>
        <v>1391.3270623499998</v>
      </c>
      <c r="V84" s="446">
        <f t="shared" ca="1" si="43"/>
        <v>1498.5357479700001</v>
      </c>
      <c r="W84" s="446" t="e">
        <f t="shared" ca="1" si="43"/>
        <v>#VALUE!</v>
      </c>
      <c r="X84" s="446" t="e">
        <f t="shared" ca="1" si="43"/>
        <v>#VALUE!</v>
      </c>
      <c r="Y84" s="446" t="e">
        <f t="shared" ca="1" si="43"/>
        <v>#VALUE!</v>
      </c>
      <c r="Z84" s="446" t="e">
        <f t="shared" ca="1" si="43"/>
        <v>#VALUE!</v>
      </c>
      <c r="AA84" s="446">
        <f t="shared" ca="1" si="43"/>
        <v>0</v>
      </c>
      <c r="AB84" s="446">
        <f t="shared" ca="1" si="43"/>
        <v>0</v>
      </c>
      <c r="AC84" s="446">
        <f t="shared" ca="1" si="43"/>
        <v>0</v>
      </c>
      <c r="AD84" s="447">
        <f t="shared" ca="1" si="43"/>
        <v>0</v>
      </c>
      <c r="AE84" s="306"/>
      <c r="AF84" s="306"/>
      <c r="AG84" s="306"/>
      <c r="AH84" s="306"/>
      <c r="AI84" s="306"/>
      <c r="AJ84" s="306"/>
      <c r="AK84" s="306"/>
      <c r="AL84" s="306"/>
      <c r="AM84" s="306"/>
      <c r="AN84" s="306"/>
      <c r="AO84" s="306"/>
      <c r="AP84" s="306"/>
      <c r="AQ84" s="306"/>
      <c r="AR84" s="306"/>
      <c r="AS84" s="306"/>
      <c r="AT84" s="306"/>
    </row>
    <row r="85" spans="1:52" ht="17.100000000000001" customHeight="1">
      <c r="A85" s="14"/>
      <c r="B85" s="34"/>
      <c r="C85" s="35"/>
      <c r="D85" s="35"/>
      <c r="E85" s="35"/>
      <c r="F85" s="35"/>
      <c r="G85" s="35"/>
      <c r="H85" s="35"/>
      <c r="I85" s="35"/>
      <c r="J85" s="35"/>
      <c r="K85" s="35"/>
      <c r="L85" s="35"/>
      <c r="M85" s="300"/>
      <c r="N85" s="432"/>
      <c r="O85" s="432"/>
      <c r="P85" s="432"/>
      <c r="Q85" s="432"/>
      <c r="R85" s="432"/>
      <c r="S85" s="432"/>
      <c r="T85" s="432"/>
      <c r="U85" s="432"/>
      <c r="V85" s="432"/>
      <c r="W85" s="432"/>
      <c r="X85" s="432"/>
      <c r="Y85" s="433"/>
      <c r="Z85" s="433"/>
      <c r="AA85" s="433"/>
      <c r="AB85" s="433"/>
      <c r="AC85" s="433"/>
      <c r="AD85" s="434"/>
      <c r="AE85" s="306"/>
      <c r="AF85" s="306"/>
      <c r="AG85" s="306"/>
      <c r="AH85" s="306"/>
      <c r="AI85" s="306"/>
      <c r="AJ85" s="306"/>
      <c r="AK85" s="306"/>
      <c r="AL85" s="306"/>
      <c r="AM85" s="306"/>
      <c r="AN85" s="306"/>
      <c r="AO85" s="306"/>
      <c r="AP85" s="306"/>
      <c r="AQ85" s="306"/>
      <c r="AR85" s="306"/>
      <c r="AS85" s="306"/>
      <c r="AT85" s="306"/>
    </row>
    <row r="86" spans="1:52" ht="17.100000000000001" customHeight="1">
      <c r="A86" s="14"/>
      <c r="B86" s="36"/>
      <c r="C86" s="18"/>
      <c r="D86" s="18"/>
      <c r="E86" s="18"/>
      <c r="F86" s="18"/>
      <c r="G86" s="18"/>
      <c r="H86" s="18"/>
      <c r="I86" s="18"/>
      <c r="J86" s="18"/>
      <c r="K86" s="18"/>
      <c r="L86" s="18"/>
      <c r="M86" s="16"/>
      <c r="N86" s="435"/>
      <c r="O86" s="435"/>
      <c r="P86" s="435"/>
      <c r="Q86" s="435"/>
      <c r="R86" s="435"/>
      <c r="S86" s="435"/>
      <c r="T86" s="435"/>
      <c r="U86" s="435"/>
      <c r="V86" s="435"/>
      <c r="W86" s="435"/>
      <c r="X86" s="435"/>
      <c r="Y86" s="436"/>
      <c r="Z86" s="436"/>
      <c r="AA86" s="436"/>
      <c r="AB86" s="436"/>
      <c r="AC86" s="436"/>
      <c r="AD86" s="437"/>
      <c r="AE86" s="306"/>
      <c r="AF86" s="306"/>
      <c r="AG86" s="306"/>
      <c r="AH86" s="306"/>
      <c r="AI86" s="306"/>
      <c r="AJ86" s="306"/>
      <c r="AK86" s="306"/>
      <c r="AL86" s="306"/>
      <c r="AM86" s="306"/>
      <c r="AN86" s="306"/>
      <c r="AO86" s="306"/>
      <c r="AP86" s="306"/>
      <c r="AQ86" s="306"/>
      <c r="AR86" s="306"/>
      <c r="AS86" s="306"/>
      <c r="AT86" s="306"/>
    </row>
    <row r="87" spans="1:52" ht="17.100000000000001" customHeight="1">
      <c r="A87" s="14"/>
      <c r="B87" s="36"/>
      <c r="C87" s="18"/>
      <c r="D87" s="18"/>
      <c r="E87" s="18"/>
      <c r="F87" s="18"/>
      <c r="G87" s="18"/>
      <c r="H87" s="18"/>
      <c r="I87" s="18"/>
      <c r="J87" s="18"/>
      <c r="K87" s="18"/>
      <c r="L87" s="18"/>
      <c r="M87" s="16"/>
      <c r="N87" s="435"/>
      <c r="O87" s="435"/>
      <c r="P87" s="435"/>
      <c r="Q87" s="435"/>
      <c r="R87" s="435"/>
      <c r="S87" s="435"/>
      <c r="T87" s="435"/>
      <c r="U87" s="435"/>
      <c r="V87" s="435"/>
      <c r="W87" s="435"/>
      <c r="X87" s="435"/>
      <c r="Y87" s="436"/>
      <c r="Z87" s="436"/>
      <c r="AA87" s="436"/>
      <c r="AB87" s="436"/>
      <c r="AC87" s="436"/>
      <c r="AD87" s="437"/>
      <c r="AE87" s="306"/>
      <c r="AF87" s="306"/>
      <c r="AG87" s="306"/>
      <c r="AH87" s="306"/>
      <c r="AI87" s="306"/>
      <c r="AJ87" s="306"/>
      <c r="AK87" s="306"/>
      <c r="AL87" s="306"/>
      <c r="AM87" s="306"/>
      <c r="AN87" s="306"/>
      <c r="AO87" s="306"/>
      <c r="AP87" s="306"/>
      <c r="AQ87" s="306"/>
      <c r="AR87" s="306"/>
      <c r="AS87" s="306"/>
      <c r="AT87" s="306"/>
    </row>
    <row r="88" spans="1:52" ht="17.100000000000001" customHeight="1">
      <c r="A88" s="14"/>
      <c r="B88" s="36"/>
      <c r="C88" s="18"/>
      <c r="D88" s="18"/>
      <c r="E88" s="18"/>
      <c r="F88" s="18"/>
      <c r="G88" s="18"/>
      <c r="H88" s="18"/>
      <c r="I88" s="18"/>
      <c r="J88" s="18"/>
      <c r="K88" s="18"/>
      <c r="L88" s="18"/>
      <c r="M88" s="16"/>
      <c r="N88" s="435"/>
      <c r="O88" s="435"/>
      <c r="P88" s="435"/>
      <c r="Q88" s="435"/>
      <c r="R88" s="435"/>
      <c r="S88" s="435"/>
      <c r="T88" s="435"/>
      <c r="U88" s="435"/>
      <c r="V88" s="435"/>
      <c r="W88" s="435"/>
      <c r="X88" s="435"/>
      <c r="Y88" s="436"/>
      <c r="Z88" s="436"/>
      <c r="AA88" s="436"/>
      <c r="AB88" s="436"/>
      <c r="AC88" s="436"/>
      <c r="AD88" s="437"/>
      <c r="AE88" s="306"/>
      <c r="AF88" s="306"/>
      <c r="AG88" s="306"/>
      <c r="AH88" s="306"/>
      <c r="AI88" s="306"/>
      <c r="AJ88" s="306"/>
      <c r="AK88" s="306"/>
      <c r="AL88" s="306"/>
      <c r="AM88" s="306"/>
      <c r="AN88" s="306"/>
      <c r="AO88" s="306"/>
      <c r="AP88" s="306"/>
      <c r="AQ88" s="306"/>
      <c r="AR88" s="306"/>
      <c r="AS88" s="306"/>
      <c r="AT88" s="306"/>
    </row>
    <row r="89" spans="1:52" ht="17.100000000000001" customHeight="1">
      <c r="A89" s="14"/>
      <c r="B89" s="36"/>
      <c r="C89" s="18"/>
      <c r="D89" s="18"/>
      <c r="E89" s="18"/>
      <c r="F89" s="18"/>
      <c r="G89" s="18"/>
      <c r="H89" s="18"/>
      <c r="I89" s="18"/>
      <c r="J89" s="18"/>
      <c r="K89" s="18"/>
      <c r="L89" s="18"/>
      <c r="M89" s="16"/>
      <c r="N89" s="435"/>
      <c r="O89" s="435"/>
      <c r="P89" s="435"/>
      <c r="Q89" s="435"/>
      <c r="R89" s="435"/>
      <c r="S89" s="435"/>
      <c r="T89" s="435"/>
      <c r="U89" s="435"/>
      <c r="V89" s="435"/>
      <c r="W89" s="435"/>
      <c r="X89" s="435"/>
      <c r="Y89" s="436"/>
      <c r="Z89" s="436"/>
      <c r="AA89" s="436"/>
      <c r="AB89" s="436"/>
      <c r="AC89" s="436"/>
      <c r="AD89" s="437"/>
      <c r="AE89" s="306"/>
      <c r="AF89" s="306"/>
      <c r="AG89" s="306"/>
      <c r="AH89" s="306"/>
      <c r="AI89" s="306"/>
      <c r="AJ89" s="306"/>
      <c r="AK89" s="306"/>
      <c r="AL89" s="306"/>
      <c r="AM89" s="306"/>
      <c r="AN89" s="306"/>
      <c r="AO89" s="306"/>
      <c r="AP89" s="306"/>
      <c r="AQ89" s="306"/>
      <c r="AR89" s="306"/>
      <c r="AS89" s="306"/>
      <c r="AT89" s="306"/>
    </row>
    <row r="90" spans="1:52" ht="17.100000000000001" customHeight="1">
      <c r="A90" s="14"/>
      <c r="B90" s="36"/>
      <c r="C90" s="18"/>
      <c r="D90" s="18"/>
      <c r="E90" s="18"/>
      <c r="F90" s="18"/>
      <c r="G90" s="18"/>
      <c r="H90" s="18"/>
      <c r="I90" s="18"/>
      <c r="J90" s="18"/>
      <c r="K90" s="18"/>
      <c r="L90" s="18"/>
      <c r="M90" s="16"/>
      <c r="N90" s="435"/>
      <c r="O90" s="435"/>
      <c r="P90" s="435"/>
      <c r="Q90" s="435"/>
      <c r="R90" s="435"/>
      <c r="S90" s="435"/>
      <c r="T90" s="435"/>
      <c r="U90" s="435"/>
      <c r="V90" s="435"/>
      <c r="W90" s="435"/>
      <c r="X90" s="435"/>
      <c r="Y90" s="436"/>
      <c r="Z90" s="436"/>
      <c r="AA90" s="436"/>
      <c r="AB90" s="436"/>
      <c r="AC90" s="436"/>
      <c r="AD90" s="437"/>
      <c r="AE90" s="306"/>
      <c r="AF90" s="306"/>
      <c r="AG90" s="306"/>
      <c r="AH90" s="306"/>
      <c r="AI90" s="306"/>
      <c r="AJ90" s="306"/>
      <c r="AK90" s="306"/>
      <c r="AL90" s="306"/>
      <c r="AM90" s="306"/>
      <c r="AN90" s="306"/>
      <c r="AO90" s="306"/>
      <c r="AP90" s="306"/>
      <c r="AQ90" s="306"/>
      <c r="AR90" s="306"/>
      <c r="AS90" s="306"/>
      <c r="AT90" s="306"/>
    </row>
    <row r="91" spans="1:52" ht="17.100000000000001" customHeight="1">
      <c r="A91" s="14"/>
      <c r="B91" s="36"/>
      <c r="C91" s="18"/>
      <c r="D91" s="18"/>
      <c r="E91" s="18"/>
      <c r="F91" s="18"/>
      <c r="G91" s="18"/>
      <c r="H91" s="18"/>
      <c r="I91" s="18"/>
      <c r="J91" s="18"/>
      <c r="K91" s="18"/>
      <c r="L91" s="18"/>
      <c r="M91" s="16"/>
      <c r="N91" s="435"/>
      <c r="O91" s="435"/>
      <c r="P91" s="435"/>
      <c r="Q91" s="435"/>
      <c r="R91" s="435"/>
      <c r="S91" s="435"/>
      <c r="T91" s="435"/>
      <c r="U91" s="435"/>
      <c r="V91" s="435"/>
      <c r="W91" s="435"/>
      <c r="X91" s="435"/>
      <c r="Y91" s="436"/>
      <c r="Z91" s="436"/>
      <c r="AA91" s="436"/>
      <c r="AB91" s="436"/>
      <c r="AC91" s="436"/>
      <c r="AD91" s="437"/>
      <c r="AE91" s="306"/>
      <c r="AF91" s="306"/>
      <c r="AG91" s="306"/>
      <c r="AH91" s="306"/>
      <c r="AI91" s="306"/>
      <c r="AJ91" s="306"/>
      <c r="AK91" s="306"/>
      <c r="AL91" s="306"/>
      <c r="AM91" s="306"/>
      <c r="AN91" s="306"/>
      <c r="AO91" s="306"/>
      <c r="AP91" s="306"/>
      <c r="AQ91" s="306"/>
      <c r="AR91" s="306"/>
      <c r="AS91" s="306"/>
      <c r="AT91" s="306"/>
    </row>
    <row r="92" spans="1:52" ht="17.100000000000001" customHeight="1">
      <c r="A92" s="14"/>
      <c r="B92" s="36"/>
      <c r="C92" s="18"/>
      <c r="D92" s="18"/>
      <c r="E92" s="18"/>
      <c r="F92" s="18"/>
      <c r="G92" s="18"/>
      <c r="H92" s="18"/>
      <c r="I92" s="18"/>
      <c r="J92" s="18"/>
      <c r="K92" s="18"/>
      <c r="L92" s="18"/>
      <c r="M92" s="16"/>
      <c r="N92" s="435"/>
      <c r="O92" s="435"/>
      <c r="P92" s="435"/>
      <c r="Q92" s="435"/>
      <c r="R92" s="435"/>
      <c r="S92" s="435"/>
      <c r="T92" s="435"/>
      <c r="U92" s="435"/>
      <c r="V92" s="435"/>
      <c r="W92" s="435"/>
      <c r="X92" s="435"/>
      <c r="Y92" s="436"/>
      <c r="Z92" s="436"/>
      <c r="AA92" s="436"/>
      <c r="AB92" s="436"/>
      <c r="AC92" s="436"/>
      <c r="AD92" s="437"/>
      <c r="AE92" s="306"/>
      <c r="AF92" s="306"/>
      <c r="AG92" s="306"/>
      <c r="AH92" s="306"/>
      <c r="AI92" s="306"/>
      <c r="AJ92" s="306"/>
      <c r="AK92" s="306"/>
      <c r="AL92" s="306"/>
      <c r="AM92" s="306"/>
      <c r="AN92" s="306"/>
      <c r="AO92" s="306"/>
      <c r="AP92" s="306"/>
      <c r="AQ92" s="306"/>
      <c r="AR92" s="306"/>
      <c r="AS92" s="306"/>
      <c r="AT92" s="306"/>
    </row>
    <row r="93" spans="1:52" ht="17.100000000000001" customHeight="1">
      <c r="A93" s="14"/>
      <c r="B93" s="36"/>
      <c r="C93" s="18"/>
      <c r="D93" s="18"/>
      <c r="E93" s="18"/>
      <c r="F93" s="18"/>
      <c r="G93" s="18"/>
      <c r="H93" s="18"/>
      <c r="I93" s="18"/>
      <c r="J93" s="18"/>
      <c r="K93" s="18"/>
      <c r="L93" s="18"/>
      <c r="M93" s="16"/>
      <c r="N93" s="435"/>
      <c r="O93" s="435"/>
      <c r="P93" s="435"/>
      <c r="Q93" s="435"/>
      <c r="R93" s="435"/>
      <c r="S93" s="435"/>
      <c r="T93" s="435"/>
      <c r="U93" s="435"/>
      <c r="V93" s="435"/>
      <c r="W93" s="435"/>
      <c r="X93" s="435"/>
      <c r="Y93" s="436"/>
      <c r="Z93" s="436"/>
      <c r="AA93" s="436"/>
      <c r="AB93" s="436"/>
      <c r="AC93" s="436"/>
      <c r="AD93" s="437"/>
      <c r="AE93" s="306"/>
      <c r="AF93" s="306"/>
      <c r="AG93" s="306"/>
      <c r="AH93" s="306"/>
      <c r="AI93" s="306"/>
      <c r="AJ93" s="306"/>
      <c r="AK93" s="306"/>
      <c r="AL93" s="306"/>
      <c r="AM93" s="306"/>
      <c r="AN93" s="306"/>
      <c r="AO93" s="306"/>
      <c r="AP93" s="306"/>
      <c r="AQ93" s="306"/>
      <c r="AR93" s="306"/>
      <c r="AS93" s="306"/>
      <c r="AT93" s="306"/>
    </row>
    <row r="94" spans="1:52" ht="17.100000000000001" customHeight="1">
      <c r="A94" s="14"/>
      <c r="B94" s="36"/>
      <c r="C94" s="18"/>
      <c r="D94" s="18"/>
      <c r="E94" s="18"/>
      <c r="F94" s="18"/>
      <c r="G94" s="18"/>
      <c r="H94" s="18"/>
      <c r="I94" s="18"/>
      <c r="J94" s="18"/>
      <c r="K94" s="18"/>
      <c r="L94" s="18"/>
      <c r="M94" s="16"/>
      <c r="N94" s="435"/>
      <c r="O94" s="435"/>
      <c r="P94" s="435"/>
      <c r="Q94" s="435"/>
      <c r="R94" s="435"/>
      <c r="S94" s="435"/>
      <c r="T94" s="435"/>
      <c r="U94" s="435"/>
      <c r="V94" s="435"/>
      <c r="W94" s="435"/>
      <c r="X94" s="435"/>
      <c r="Y94" s="436"/>
      <c r="Z94" s="436"/>
      <c r="AA94" s="436"/>
      <c r="AB94" s="436"/>
      <c r="AC94" s="436"/>
      <c r="AD94" s="437"/>
      <c r="AE94" s="306"/>
      <c r="AF94" s="306"/>
      <c r="AG94" s="306"/>
      <c r="AH94" s="306"/>
      <c r="AI94" s="306"/>
      <c r="AJ94" s="306"/>
      <c r="AK94" s="306"/>
      <c r="AL94" s="306"/>
      <c r="AM94" s="306"/>
      <c r="AN94" s="306"/>
      <c r="AO94" s="306"/>
      <c r="AP94" s="306"/>
      <c r="AQ94" s="306"/>
      <c r="AR94" s="306"/>
      <c r="AS94" s="306"/>
      <c r="AT94" s="306"/>
    </row>
    <row r="95" spans="1:52" ht="17.100000000000001" customHeight="1">
      <c r="A95" s="14"/>
      <c r="B95" s="36"/>
      <c r="C95" s="18"/>
      <c r="D95" s="18"/>
      <c r="E95" s="18"/>
      <c r="F95" s="18"/>
      <c r="G95" s="18"/>
      <c r="H95" s="18"/>
      <c r="I95" s="18"/>
      <c r="J95" s="18"/>
      <c r="K95" s="18"/>
      <c r="L95" s="18"/>
      <c r="M95" s="16"/>
      <c r="N95" s="435"/>
      <c r="O95" s="435"/>
      <c r="P95" s="435"/>
      <c r="Q95" s="435"/>
      <c r="R95" s="435"/>
      <c r="S95" s="435"/>
      <c r="T95" s="435"/>
      <c r="U95" s="435"/>
      <c r="V95" s="435"/>
      <c r="W95" s="435"/>
      <c r="X95" s="435"/>
      <c r="Y95" s="436"/>
      <c r="Z95" s="436"/>
      <c r="AA95" s="436"/>
      <c r="AB95" s="436"/>
      <c r="AC95" s="436"/>
      <c r="AD95" s="437"/>
      <c r="AE95" s="306"/>
      <c r="AF95" s="306"/>
      <c r="AG95" s="306"/>
      <c r="AH95" s="306"/>
      <c r="AI95" s="306"/>
      <c r="AJ95" s="306"/>
      <c r="AK95" s="306"/>
      <c r="AL95" s="306"/>
      <c r="AM95" s="306"/>
      <c r="AN95" s="306"/>
      <c r="AO95" s="306"/>
      <c r="AP95" s="306"/>
      <c r="AQ95" s="306"/>
      <c r="AR95" s="306"/>
      <c r="AS95" s="306"/>
      <c r="AT95" s="306"/>
    </row>
    <row r="96" spans="1:52" ht="17.100000000000001" customHeight="1">
      <c r="A96" s="14"/>
      <c r="B96" s="36"/>
      <c r="C96" s="18"/>
      <c r="D96" s="18"/>
      <c r="E96" s="18"/>
      <c r="F96" s="18"/>
      <c r="G96" s="18"/>
      <c r="H96" s="18"/>
      <c r="I96" s="18"/>
      <c r="J96" s="18"/>
      <c r="K96" s="18"/>
      <c r="L96" s="18"/>
      <c r="M96" s="16"/>
      <c r="N96" s="435"/>
      <c r="O96" s="435"/>
      <c r="P96" s="435"/>
      <c r="Q96" s="435"/>
      <c r="R96" s="435"/>
      <c r="S96" s="435"/>
      <c r="T96" s="435"/>
      <c r="U96" s="435"/>
      <c r="V96" s="435"/>
      <c r="W96" s="435"/>
      <c r="X96" s="435"/>
      <c r="Y96" s="436"/>
      <c r="Z96" s="436"/>
      <c r="AA96" s="436"/>
      <c r="AB96" s="436"/>
      <c r="AC96" s="436"/>
      <c r="AD96" s="437"/>
      <c r="AE96" s="306"/>
      <c r="AF96" s="306"/>
      <c r="AG96" s="306"/>
      <c r="AH96" s="306"/>
      <c r="AI96" s="306"/>
      <c r="AJ96" s="306"/>
      <c r="AK96" s="306"/>
      <c r="AL96" s="306"/>
      <c r="AM96" s="306"/>
      <c r="AN96" s="306"/>
      <c r="AO96" s="306"/>
      <c r="AP96" s="306"/>
      <c r="AQ96" s="306"/>
      <c r="AR96" s="306"/>
      <c r="AS96" s="306"/>
      <c r="AT96" s="306"/>
    </row>
    <row r="97" spans="1:52" ht="17.100000000000001" customHeight="1">
      <c r="A97" s="14"/>
      <c r="B97" s="36"/>
      <c r="C97" s="18"/>
      <c r="D97" s="18"/>
      <c r="E97" s="18"/>
      <c r="F97" s="18"/>
      <c r="G97" s="18"/>
      <c r="H97" s="18"/>
      <c r="I97" s="18"/>
      <c r="J97" s="18"/>
      <c r="K97" s="18"/>
      <c r="L97" s="18"/>
      <c r="M97" s="16"/>
      <c r="N97" s="435"/>
      <c r="O97" s="435"/>
      <c r="P97" s="435"/>
      <c r="Q97" s="435"/>
      <c r="R97" s="435"/>
      <c r="S97" s="435"/>
      <c r="T97" s="435"/>
      <c r="U97" s="435"/>
      <c r="V97" s="435"/>
      <c r="W97" s="435"/>
      <c r="X97" s="435"/>
      <c r="Y97" s="436"/>
      <c r="Z97" s="436"/>
      <c r="AA97" s="436"/>
      <c r="AB97" s="436"/>
      <c r="AC97" s="436"/>
      <c r="AD97" s="437"/>
      <c r="AE97" s="306"/>
      <c r="AF97" s="306"/>
      <c r="AG97" s="306"/>
      <c r="AH97" s="306"/>
      <c r="AI97" s="306"/>
      <c r="AJ97" s="306"/>
      <c r="AK97" s="306"/>
      <c r="AL97" s="306"/>
      <c r="AM97" s="306"/>
      <c r="AN97" s="306"/>
      <c r="AO97" s="306"/>
      <c r="AP97" s="306"/>
      <c r="AQ97" s="306"/>
      <c r="AR97" s="306"/>
      <c r="AS97" s="306"/>
      <c r="AT97" s="306"/>
    </row>
    <row r="98" spans="1:52" ht="17.100000000000001" customHeight="1">
      <c r="A98" s="14"/>
      <c r="B98" s="37"/>
      <c r="C98" s="38"/>
      <c r="D98" s="38"/>
      <c r="E98" s="38"/>
      <c r="F98" s="38"/>
      <c r="G98" s="38"/>
      <c r="H98" s="38"/>
      <c r="I98" s="38"/>
      <c r="J98" s="38"/>
      <c r="K98" s="38"/>
      <c r="L98" s="38"/>
      <c r="M98" s="89"/>
      <c r="N98" s="438"/>
      <c r="O98" s="438"/>
      <c r="P98" s="438"/>
      <c r="Q98" s="438"/>
      <c r="R98" s="438"/>
      <c r="S98" s="438"/>
      <c r="T98" s="438"/>
      <c r="U98" s="438"/>
      <c r="V98" s="438"/>
      <c r="W98" s="438"/>
      <c r="X98" s="438"/>
      <c r="Y98" s="439"/>
      <c r="Z98" s="439"/>
      <c r="AA98" s="439"/>
      <c r="AB98" s="439"/>
      <c r="AC98" s="439"/>
      <c r="AD98" s="440"/>
      <c r="AE98" s="306"/>
      <c r="AF98" s="306"/>
      <c r="AG98" s="306"/>
      <c r="AH98" s="306"/>
      <c r="AI98" s="306"/>
      <c r="AJ98" s="306"/>
      <c r="AK98" s="306"/>
      <c r="AL98" s="306"/>
      <c r="AM98" s="306"/>
      <c r="AN98" s="306"/>
      <c r="AO98" s="306"/>
      <c r="AP98" s="306"/>
      <c r="AQ98" s="306"/>
      <c r="AR98" s="306"/>
      <c r="AS98" s="306"/>
      <c r="AT98" s="306"/>
    </row>
    <row r="99" spans="1:52" ht="17.100000000000001" customHeight="1">
      <c r="A99" s="14"/>
      <c r="B99" s="19"/>
      <c r="C99" s="18"/>
      <c r="D99" s="18"/>
      <c r="E99" s="18"/>
      <c r="F99" s="18"/>
      <c r="G99" s="18"/>
      <c r="H99" s="18"/>
      <c r="I99" s="18"/>
      <c r="J99" s="18"/>
      <c r="K99" s="18"/>
      <c r="L99" s="18"/>
      <c r="M99" s="16"/>
      <c r="N99" s="418"/>
      <c r="O99" s="418"/>
      <c r="P99" s="418"/>
      <c r="Q99" s="418"/>
      <c r="R99" s="418"/>
      <c r="S99" s="418"/>
      <c r="T99" s="418"/>
      <c r="U99" s="418"/>
      <c r="V99" s="418"/>
      <c r="W99" s="418"/>
      <c r="X99" s="418"/>
      <c r="Y99" s="306"/>
      <c r="Z99" s="306"/>
      <c r="AA99" s="306"/>
      <c r="AB99" s="306"/>
      <c r="AC99" s="306"/>
      <c r="AD99" s="306"/>
      <c r="AE99" s="306"/>
      <c r="AF99" s="306"/>
      <c r="AG99" s="306"/>
      <c r="AH99" s="306"/>
      <c r="AI99" s="306"/>
      <c r="AJ99" s="306"/>
      <c r="AK99" s="306"/>
      <c r="AL99" s="306"/>
      <c r="AM99" s="306"/>
      <c r="AN99" s="306"/>
      <c r="AO99" s="306"/>
      <c r="AP99" s="306"/>
      <c r="AQ99" s="306"/>
      <c r="AR99" s="306"/>
      <c r="AS99" s="306"/>
      <c r="AT99" s="306"/>
    </row>
    <row r="100" spans="1:52" ht="17.100000000000001" customHeight="1">
      <c r="A100" s="306"/>
      <c r="B100" s="306"/>
      <c r="C100" s="418"/>
      <c r="D100" s="418"/>
      <c r="E100" s="418"/>
      <c r="F100" s="418"/>
      <c r="G100" s="418"/>
      <c r="H100" s="418"/>
      <c r="I100" s="418"/>
      <c r="J100" s="418"/>
      <c r="K100" s="418"/>
      <c r="L100" s="418"/>
      <c r="M100" s="418"/>
      <c r="N100" s="418"/>
      <c r="O100" s="418"/>
      <c r="P100" s="418"/>
      <c r="Q100" s="418"/>
      <c r="R100" s="418"/>
      <c r="S100" s="418"/>
      <c r="T100" s="418"/>
      <c r="U100" s="418"/>
      <c r="V100" s="418"/>
      <c r="W100" s="418"/>
      <c r="X100" s="418"/>
      <c r="Y100" s="306"/>
      <c r="Z100" s="306"/>
      <c r="AA100" s="306"/>
      <c r="AB100" s="306"/>
      <c r="AC100" s="306"/>
      <c r="AD100" s="306"/>
      <c r="AE100" s="306"/>
      <c r="AF100" s="306"/>
      <c r="AG100" s="306"/>
      <c r="AH100" s="306"/>
      <c r="AI100" s="306"/>
      <c r="AJ100" s="306"/>
      <c r="AK100" s="306"/>
      <c r="AL100" s="306"/>
      <c r="AM100" s="306"/>
      <c r="AN100" s="306"/>
      <c r="AO100" s="306"/>
      <c r="AP100" s="306"/>
      <c r="AQ100" s="306"/>
      <c r="AR100" s="306"/>
      <c r="AS100" s="306"/>
      <c r="AT100" s="306"/>
    </row>
    <row r="101" spans="1:52" ht="17.100000000000001" customHeight="1">
      <c r="A101" s="306"/>
      <c r="B101" s="306"/>
      <c r="C101" s="418"/>
      <c r="D101" s="418"/>
      <c r="E101" s="418"/>
      <c r="F101" s="418"/>
      <c r="G101" s="418"/>
      <c r="H101" s="418"/>
      <c r="I101" s="418"/>
      <c r="J101" s="418"/>
      <c r="K101" s="418"/>
      <c r="L101" s="418"/>
      <c r="M101" s="418"/>
      <c r="N101" s="418"/>
      <c r="O101" s="418"/>
      <c r="P101" s="418"/>
      <c r="Q101" s="418"/>
      <c r="R101" s="418"/>
      <c r="S101" s="418"/>
      <c r="T101" s="418"/>
      <c r="U101" s="418"/>
      <c r="V101" s="418"/>
      <c r="W101" s="418"/>
      <c r="X101" s="418"/>
      <c r="Y101" s="306"/>
      <c r="Z101" s="306"/>
      <c r="AA101" s="306"/>
      <c r="AB101" s="306"/>
      <c r="AC101" s="306"/>
      <c r="AD101" s="306"/>
      <c r="AE101" s="306"/>
      <c r="AF101" s="306"/>
      <c r="AG101" s="306"/>
      <c r="AH101" s="306"/>
      <c r="AI101" s="306"/>
      <c r="AJ101" s="306"/>
      <c r="AK101" s="306"/>
      <c r="AL101" s="306"/>
      <c r="AM101" s="306"/>
      <c r="AN101" s="306"/>
      <c r="AO101" s="306"/>
      <c r="AP101" s="306"/>
      <c r="AQ101" s="306"/>
      <c r="AR101" s="306"/>
      <c r="AS101" s="306"/>
      <c r="AT101" s="306"/>
    </row>
    <row r="102" spans="1:52" ht="17.100000000000001" customHeight="1">
      <c r="A102" s="306"/>
      <c r="B102" s="306"/>
      <c r="C102" s="418"/>
      <c r="D102" s="418"/>
      <c r="E102" s="418"/>
      <c r="F102" s="418"/>
      <c r="G102" s="418"/>
      <c r="H102" s="418"/>
      <c r="I102" s="418"/>
      <c r="J102" s="418"/>
      <c r="K102" s="418"/>
      <c r="L102" s="418"/>
      <c r="M102" s="418"/>
      <c r="N102" s="418"/>
      <c r="O102" s="418"/>
      <c r="P102" s="418"/>
      <c r="Q102" s="418"/>
      <c r="R102" s="418"/>
      <c r="S102" s="418"/>
      <c r="T102" s="418"/>
      <c r="U102" s="418"/>
      <c r="V102" s="418"/>
      <c r="W102" s="418"/>
      <c r="X102" s="418"/>
      <c r="Y102" s="306"/>
      <c r="Z102" s="306"/>
      <c r="AA102" s="306"/>
      <c r="AB102" s="306"/>
      <c r="AC102" s="306"/>
      <c r="AD102" s="306"/>
      <c r="AE102" s="306"/>
      <c r="AF102" s="306"/>
      <c r="AG102" s="306"/>
      <c r="AH102" s="306"/>
      <c r="AI102" s="306"/>
      <c r="AJ102" s="306"/>
      <c r="AK102" s="306"/>
      <c r="AL102" s="306"/>
      <c r="AM102" s="306"/>
      <c r="AN102" s="306"/>
      <c r="AO102" s="306"/>
      <c r="AP102" s="306"/>
      <c r="AQ102" s="306"/>
      <c r="AR102" s="306"/>
      <c r="AS102" s="306"/>
      <c r="AT102" s="306"/>
    </row>
    <row r="103" spans="1:52" ht="17.100000000000001" customHeight="1">
      <c r="A103" s="306"/>
      <c r="B103" s="306"/>
      <c r="C103" s="418"/>
      <c r="D103" s="418"/>
      <c r="E103" s="418"/>
      <c r="F103" s="418"/>
      <c r="G103" s="418"/>
      <c r="H103" s="418"/>
      <c r="I103" s="418"/>
      <c r="J103" s="418"/>
      <c r="K103" s="418"/>
      <c r="L103" s="418"/>
      <c r="M103" s="418"/>
      <c r="N103" s="418"/>
      <c r="O103" s="418"/>
      <c r="P103" s="418"/>
      <c r="Q103" s="418"/>
      <c r="R103" s="418"/>
      <c r="S103" s="418"/>
      <c r="T103" s="418"/>
      <c r="U103" s="418"/>
      <c r="V103" s="418"/>
      <c r="W103" s="418"/>
      <c r="X103" s="418"/>
      <c r="Y103" s="306"/>
      <c r="Z103" s="306"/>
      <c r="AA103" s="306"/>
      <c r="AB103" s="306"/>
      <c r="AC103" s="306"/>
      <c r="AD103" s="306"/>
      <c r="AE103" s="306"/>
      <c r="AF103" s="306"/>
      <c r="AG103" s="306"/>
      <c r="AH103" s="306"/>
      <c r="AI103" s="306"/>
      <c r="AJ103" s="306"/>
      <c r="AK103" s="306"/>
      <c r="AL103" s="306"/>
      <c r="AM103" s="306"/>
      <c r="AN103" s="306"/>
      <c r="AO103" s="306"/>
      <c r="AP103" s="306"/>
      <c r="AQ103" s="306"/>
      <c r="AR103" s="306"/>
      <c r="AS103" s="306"/>
      <c r="AT103" s="306"/>
    </row>
    <row r="104" spans="1:52" ht="17.100000000000001" customHeight="1">
      <c r="A104" s="306"/>
      <c r="B104" s="306"/>
      <c r="C104" s="418"/>
      <c r="D104" s="418"/>
      <c r="E104" s="418"/>
      <c r="F104" s="418"/>
      <c r="G104" s="418"/>
      <c r="H104" s="418"/>
      <c r="I104" s="418"/>
      <c r="J104" s="418"/>
      <c r="K104" s="418"/>
      <c r="L104" s="418"/>
      <c r="M104" s="418"/>
      <c r="N104" s="418"/>
      <c r="O104" s="418"/>
      <c r="P104" s="418"/>
      <c r="Q104" s="418"/>
      <c r="R104" s="418"/>
      <c r="S104" s="418"/>
      <c r="T104" s="418"/>
      <c r="U104" s="418"/>
      <c r="V104" s="418"/>
      <c r="W104" s="418"/>
      <c r="X104" s="418"/>
      <c r="Y104" s="306"/>
      <c r="Z104" s="306"/>
      <c r="AA104" s="306"/>
      <c r="AB104" s="306"/>
      <c r="AC104" s="306"/>
      <c r="AD104" s="306"/>
      <c r="AE104" s="306"/>
      <c r="AF104" s="306"/>
      <c r="AG104" s="306"/>
      <c r="AH104" s="306"/>
      <c r="AI104" s="306"/>
      <c r="AJ104" s="306"/>
      <c r="AK104" s="306"/>
      <c r="AL104" s="306"/>
      <c r="AM104" s="306"/>
      <c r="AN104" s="306"/>
      <c r="AO104" s="306"/>
      <c r="AP104" s="306"/>
      <c r="AQ104" s="306"/>
      <c r="AR104" s="306"/>
      <c r="AS104" s="306"/>
      <c r="AT104" s="306"/>
    </row>
    <row r="105" spans="1:52" ht="17.100000000000001" customHeight="1">
      <c r="A105" s="306"/>
      <c r="B105" s="306"/>
      <c r="C105" s="418"/>
      <c r="D105" s="418"/>
      <c r="E105" s="418"/>
      <c r="F105" s="418"/>
      <c r="G105" s="418"/>
      <c r="H105" s="418"/>
      <c r="I105" s="418"/>
      <c r="J105" s="418"/>
      <c r="K105" s="418"/>
      <c r="L105" s="418"/>
      <c r="M105" s="418"/>
      <c r="N105" s="418"/>
      <c r="O105" s="418"/>
      <c r="P105" s="418"/>
      <c r="Q105" s="418"/>
      <c r="R105" s="418"/>
      <c r="S105" s="418"/>
      <c r="T105" s="418"/>
      <c r="U105" s="418"/>
      <c r="V105" s="418"/>
      <c r="W105" s="418"/>
      <c r="X105" s="418"/>
      <c r="Y105" s="418"/>
      <c r="Z105" s="418"/>
      <c r="AA105" s="418"/>
      <c r="AB105" s="418"/>
      <c r="AC105" s="418"/>
      <c r="AD105" s="418"/>
      <c r="AE105" s="306"/>
      <c r="AF105" s="306"/>
      <c r="AG105" s="306"/>
      <c r="AH105" s="306"/>
      <c r="AI105" s="306"/>
      <c r="AJ105" s="306"/>
      <c r="AK105" s="306"/>
      <c r="AL105" s="306"/>
      <c r="AM105" s="306"/>
      <c r="AN105" s="306"/>
      <c r="AO105" s="306"/>
      <c r="AP105" s="306"/>
      <c r="AQ105" s="306"/>
      <c r="AR105" s="306"/>
      <c r="AS105" s="306"/>
      <c r="AT105" s="306"/>
      <c r="AU105" s="306"/>
      <c r="AV105" s="306"/>
      <c r="AW105" s="306"/>
      <c r="AX105" s="306"/>
      <c r="AY105" s="306"/>
      <c r="AZ105" s="306"/>
    </row>
    <row r="106" spans="1:52" ht="17.100000000000001" customHeight="1">
      <c r="A106" s="306"/>
      <c r="B106" s="306"/>
      <c r="C106" s="418"/>
      <c r="D106" s="418"/>
      <c r="E106" s="418"/>
      <c r="F106" s="418"/>
      <c r="G106" s="418"/>
      <c r="H106" s="418"/>
      <c r="I106" s="418"/>
      <c r="J106" s="418"/>
      <c r="K106" s="418"/>
      <c r="L106" s="418"/>
      <c r="M106" s="418"/>
      <c r="N106" s="418"/>
      <c r="O106" s="418"/>
      <c r="P106" s="418"/>
      <c r="Q106" s="418"/>
      <c r="R106" s="418"/>
      <c r="S106" s="418"/>
      <c r="T106" s="418"/>
      <c r="U106" s="418"/>
      <c r="V106" s="418"/>
      <c r="W106" s="418"/>
      <c r="X106" s="418"/>
      <c r="Y106" s="418"/>
      <c r="Z106" s="418"/>
      <c r="AA106" s="418"/>
      <c r="AB106" s="418"/>
      <c r="AC106" s="418"/>
      <c r="AD106" s="418"/>
      <c r="AE106" s="306"/>
      <c r="AF106" s="306"/>
      <c r="AG106" s="306"/>
      <c r="AH106" s="306"/>
      <c r="AI106" s="306"/>
      <c r="AJ106" s="306"/>
      <c r="AK106" s="306"/>
      <c r="AL106" s="306"/>
      <c r="AM106" s="306"/>
      <c r="AN106" s="306"/>
      <c r="AO106" s="306"/>
      <c r="AP106" s="306"/>
      <c r="AQ106" s="306"/>
      <c r="AR106" s="306"/>
      <c r="AS106" s="306"/>
      <c r="AT106" s="306"/>
      <c r="AU106" s="306"/>
      <c r="AV106" s="306"/>
      <c r="AW106" s="306"/>
      <c r="AX106" s="306"/>
      <c r="AY106" s="306"/>
      <c r="AZ106" s="306"/>
    </row>
    <row r="107" spans="1:52" ht="17.100000000000001" customHeight="1">
      <c r="A107" s="306"/>
      <c r="B107" s="306"/>
      <c r="C107" s="418"/>
      <c r="D107" s="418"/>
      <c r="E107" s="418"/>
      <c r="F107" s="418"/>
      <c r="G107" s="418"/>
      <c r="H107" s="418"/>
      <c r="I107" s="418"/>
      <c r="J107" s="418"/>
      <c r="K107" s="418"/>
      <c r="L107" s="418"/>
      <c r="M107" s="418"/>
      <c r="N107" s="418"/>
      <c r="O107" s="418"/>
      <c r="P107" s="418"/>
      <c r="Q107" s="418"/>
      <c r="R107" s="418"/>
      <c r="S107" s="418"/>
      <c r="T107" s="418"/>
      <c r="U107" s="418"/>
      <c r="V107" s="418"/>
      <c r="W107" s="418"/>
      <c r="X107" s="418"/>
      <c r="Y107" s="418"/>
      <c r="Z107" s="418"/>
      <c r="AA107" s="418"/>
      <c r="AB107" s="418"/>
      <c r="AC107" s="418"/>
      <c r="AD107" s="418"/>
      <c r="AE107" s="306"/>
      <c r="AF107" s="306"/>
      <c r="AG107" s="306"/>
      <c r="AH107" s="306"/>
      <c r="AI107" s="306"/>
      <c r="AJ107" s="306"/>
      <c r="AK107" s="306"/>
      <c r="AL107" s="306"/>
      <c r="AM107" s="306"/>
      <c r="AN107" s="306"/>
      <c r="AO107" s="306"/>
      <c r="AP107" s="306"/>
      <c r="AQ107" s="306"/>
      <c r="AR107" s="306"/>
      <c r="AS107" s="306"/>
      <c r="AT107" s="306"/>
      <c r="AU107" s="306"/>
      <c r="AV107" s="306"/>
      <c r="AW107" s="306"/>
      <c r="AX107" s="306"/>
      <c r="AY107" s="306"/>
      <c r="AZ107" s="306"/>
    </row>
    <row r="108" spans="1:52" ht="17.100000000000001" customHeight="1">
      <c r="A108" s="306"/>
      <c r="B108" s="306"/>
      <c r="C108" s="418"/>
      <c r="D108" s="418"/>
      <c r="E108" s="418"/>
      <c r="F108" s="418"/>
      <c r="G108" s="418"/>
      <c r="H108" s="418"/>
      <c r="I108" s="418"/>
      <c r="J108" s="418"/>
      <c r="K108" s="418"/>
      <c r="L108" s="418"/>
      <c r="M108" s="418"/>
      <c r="N108" s="418"/>
      <c r="O108" s="418"/>
      <c r="P108" s="418"/>
      <c r="Q108" s="418"/>
      <c r="R108" s="418"/>
      <c r="S108" s="418"/>
      <c r="T108" s="418"/>
      <c r="U108" s="418"/>
      <c r="V108" s="418"/>
      <c r="W108" s="418"/>
      <c r="X108" s="418"/>
      <c r="Y108" s="418"/>
      <c r="Z108" s="418"/>
      <c r="AA108" s="418"/>
      <c r="AB108" s="418"/>
      <c r="AC108" s="418"/>
      <c r="AD108" s="418"/>
      <c r="AE108" s="306"/>
      <c r="AF108" s="306"/>
      <c r="AG108" s="306"/>
      <c r="AH108" s="306"/>
      <c r="AI108" s="306"/>
      <c r="AJ108" s="306"/>
      <c r="AK108" s="306"/>
      <c r="AL108" s="306"/>
      <c r="AM108" s="306"/>
      <c r="AN108" s="306"/>
      <c r="AO108" s="306"/>
      <c r="AP108" s="306"/>
      <c r="AQ108" s="306"/>
      <c r="AR108" s="306"/>
      <c r="AS108" s="306"/>
      <c r="AT108" s="306"/>
      <c r="AU108" s="306"/>
      <c r="AV108" s="306"/>
      <c r="AW108" s="306"/>
      <c r="AX108" s="306"/>
      <c r="AY108" s="306"/>
      <c r="AZ108" s="306"/>
    </row>
    <row r="109" spans="1:52" ht="17.100000000000001" customHeight="1">
      <c r="A109" s="306"/>
      <c r="B109" s="306"/>
      <c r="C109" s="418"/>
      <c r="D109" s="418"/>
      <c r="E109" s="418"/>
      <c r="F109" s="418"/>
      <c r="G109" s="418"/>
      <c r="H109" s="418"/>
      <c r="I109" s="418"/>
      <c r="J109" s="418"/>
      <c r="K109" s="418"/>
      <c r="L109" s="418"/>
      <c r="M109" s="418"/>
      <c r="N109" s="418"/>
      <c r="O109" s="418"/>
      <c r="P109" s="418"/>
      <c r="Q109" s="418"/>
      <c r="R109" s="418"/>
      <c r="S109" s="418"/>
      <c r="T109" s="418"/>
      <c r="U109" s="418"/>
      <c r="V109" s="418"/>
      <c r="W109" s="418"/>
      <c r="X109" s="418"/>
      <c r="Y109" s="418"/>
      <c r="Z109" s="418"/>
      <c r="AA109" s="418"/>
      <c r="AB109" s="418"/>
      <c r="AC109" s="418"/>
      <c r="AD109" s="418"/>
      <c r="AE109" s="306"/>
      <c r="AF109" s="306"/>
      <c r="AG109" s="306"/>
      <c r="AH109" s="306"/>
      <c r="AI109" s="306"/>
      <c r="AJ109" s="306"/>
      <c r="AK109" s="306"/>
      <c r="AL109" s="306"/>
      <c r="AM109" s="306"/>
      <c r="AN109" s="306"/>
      <c r="AO109" s="306"/>
      <c r="AP109" s="306"/>
      <c r="AQ109" s="306"/>
      <c r="AR109" s="306"/>
      <c r="AS109" s="306"/>
      <c r="AT109" s="306"/>
      <c r="AU109" s="306"/>
      <c r="AV109" s="306"/>
      <c r="AW109" s="306"/>
      <c r="AX109" s="306"/>
      <c r="AY109" s="306"/>
      <c r="AZ109" s="306"/>
    </row>
    <row r="110" spans="1:52" ht="17.100000000000001" customHeight="1">
      <c r="A110" s="306"/>
      <c r="B110" s="306"/>
      <c r="C110" s="418"/>
      <c r="D110" s="418"/>
      <c r="E110" s="418"/>
      <c r="F110" s="418"/>
      <c r="G110" s="418"/>
      <c r="H110" s="418"/>
      <c r="I110" s="418"/>
      <c r="J110" s="418"/>
      <c r="K110" s="418"/>
      <c r="L110" s="418"/>
      <c r="M110" s="418"/>
      <c r="N110" s="418"/>
      <c r="O110" s="418"/>
      <c r="P110" s="418"/>
      <c r="Q110" s="418"/>
      <c r="R110" s="418"/>
      <c r="S110" s="418"/>
      <c r="T110" s="418"/>
      <c r="U110" s="418"/>
      <c r="V110" s="418"/>
      <c r="W110" s="418"/>
      <c r="X110" s="418"/>
      <c r="Y110" s="418"/>
      <c r="Z110" s="418"/>
      <c r="AA110" s="418"/>
      <c r="AB110" s="418"/>
      <c r="AC110" s="418"/>
      <c r="AD110" s="418"/>
      <c r="AE110" s="306"/>
      <c r="AF110" s="306"/>
      <c r="AG110" s="306"/>
      <c r="AH110" s="306"/>
      <c r="AI110" s="306"/>
      <c r="AJ110" s="306"/>
      <c r="AK110" s="306"/>
      <c r="AL110" s="306"/>
      <c r="AM110" s="306"/>
      <c r="AN110" s="306"/>
      <c r="AO110" s="306"/>
      <c r="AP110" s="306"/>
      <c r="AQ110" s="306"/>
      <c r="AR110" s="306"/>
      <c r="AS110" s="306"/>
      <c r="AT110" s="306"/>
      <c r="AU110" s="306"/>
      <c r="AV110" s="306"/>
      <c r="AW110" s="306"/>
      <c r="AX110" s="306"/>
      <c r="AY110" s="306"/>
      <c r="AZ110" s="306"/>
    </row>
    <row r="111" spans="1:52" ht="17.100000000000001" customHeight="1">
      <c r="A111" s="306"/>
      <c r="B111" s="306"/>
      <c r="C111" s="418"/>
      <c r="D111" s="418"/>
      <c r="E111" s="418"/>
      <c r="F111" s="418"/>
      <c r="G111" s="418"/>
      <c r="H111" s="418"/>
      <c r="I111" s="418"/>
      <c r="J111" s="418"/>
      <c r="K111" s="418"/>
      <c r="L111" s="418"/>
      <c r="M111" s="418"/>
      <c r="N111" s="418"/>
      <c r="O111" s="418"/>
      <c r="P111" s="418"/>
      <c r="Q111" s="418"/>
      <c r="R111" s="418"/>
      <c r="S111" s="418"/>
      <c r="T111" s="418"/>
      <c r="U111" s="418"/>
      <c r="V111" s="418"/>
      <c r="W111" s="418"/>
      <c r="X111" s="418"/>
      <c r="Y111" s="418"/>
      <c r="Z111" s="418"/>
      <c r="AA111" s="418"/>
      <c r="AB111" s="418"/>
      <c r="AC111" s="418"/>
      <c r="AD111" s="418"/>
      <c r="AE111" s="306"/>
      <c r="AF111" s="306"/>
      <c r="AG111" s="306"/>
      <c r="AH111" s="306"/>
      <c r="AI111" s="306"/>
      <c r="AJ111" s="306"/>
      <c r="AK111" s="306"/>
      <c r="AL111" s="306"/>
      <c r="AM111" s="306"/>
      <c r="AN111" s="306"/>
      <c r="AO111" s="306"/>
      <c r="AP111" s="306"/>
      <c r="AQ111" s="306"/>
      <c r="AR111" s="306"/>
      <c r="AS111" s="306"/>
      <c r="AT111" s="306"/>
      <c r="AU111" s="306"/>
      <c r="AV111" s="306"/>
      <c r="AW111" s="306"/>
      <c r="AX111" s="306"/>
      <c r="AY111" s="306"/>
      <c r="AZ111" s="306"/>
    </row>
    <row r="112" spans="1:52" ht="17.100000000000001" customHeight="1">
      <c r="A112" s="306"/>
      <c r="B112" s="306"/>
      <c r="C112" s="418"/>
      <c r="D112" s="418"/>
      <c r="E112" s="418"/>
      <c r="F112" s="418"/>
      <c r="G112" s="418"/>
      <c r="H112" s="418"/>
      <c r="I112" s="418"/>
      <c r="J112" s="418"/>
      <c r="K112" s="418"/>
      <c r="L112" s="418"/>
      <c r="M112" s="418"/>
      <c r="N112" s="418"/>
      <c r="O112" s="418"/>
      <c r="P112" s="418"/>
      <c r="Q112" s="418"/>
      <c r="R112" s="418"/>
      <c r="S112" s="418"/>
      <c r="T112" s="418"/>
      <c r="U112" s="418"/>
      <c r="V112" s="418"/>
      <c r="W112" s="418"/>
      <c r="X112" s="418"/>
      <c r="Y112" s="418"/>
      <c r="Z112" s="418"/>
      <c r="AA112" s="418"/>
      <c r="AB112" s="418"/>
      <c r="AC112" s="418"/>
      <c r="AD112" s="418"/>
      <c r="AE112" s="306"/>
      <c r="AF112" s="306"/>
      <c r="AG112" s="306"/>
      <c r="AH112" s="306"/>
      <c r="AI112" s="306"/>
      <c r="AJ112" s="306"/>
      <c r="AK112" s="306"/>
      <c r="AL112" s="306"/>
      <c r="AM112" s="306"/>
      <c r="AN112" s="306"/>
      <c r="AO112" s="306"/>
      <c r="AP112" s="306"/>
      <c r="AQ112" s="306"/>
      <c r="AR112" s="306"/>
      <c r="AS112" s="306"/>
      <c r="AT112" s="306"/>
      <c r="AU112" s="306"/>
      <c r="AV112" s="306"/>
      <c r="AW112" s="306"/>
      <c r="AX112" s="306"/>
      <c r="AY112" s="306"/>
      <c r="AZ112" s="306"/>
    </row>
    <row r="113" spans="1:52" ht="17.100000000000001" customHeight="1">
      <c r="A113" s="306"/>
      <c r="B113" s="306"/>
      <c r="C113" s="418"/>
      <c r="D113" s="418"/>
      <c r="E113" s="418"/>
      <c r="F113" s="418"/>
      <c r="G113" s="418"/>
      <c r="H113" s="418"/>
      <c r="I113" s="418"/>
      <c r="J113" s="418"/>
      <c r="K113" s="418"/>
      <c r="L113" s="418"/>
      <c r="M113" s="418"/>
      <c r="N113" s="418"/>
      <c r="O113" s="418"/>
      <c r="P113" s="418"/>
      <c r="Q113" s="418"/>
      <c r="R113" s="418"/>
      <c r="S113" s="418"/>
      <c r="T113" s="418"/>
      <c r="U113" s="418"/>
      <c r="V113" s="418"/>
      <c r="W113" s="418"/>
      <c r="X113" s="418"/>
      <c r="Y113" s="418"/>
      <c r="Z113" s="418"/>
      <c r="AA113" s="418"/>
      <c r="AB113" s="418"/>
      <c r="AC113" s="418"/>
      <c r="AD113" s="418"/>
      <c r="AE113" s="306"/>
      <c r="AF113" s="306"/>
      <c r="AG113" s="306"/>
      <c r="AH113" s="306"/>
      <c r="AI113" s="306"/>
      <c r="AJ113" s="306"/>
      <c r="AK113" s="306"/>
      <c r="AL113" s="306"/>
      <c r="AM113" s="306"/>
      <c r="AN113" s="306"/>
      <c r="AO113" s="306"/>
      <c r="AP113" s="306"/>
      <c r="AQ113" s="306"/>
      <c r="AR113" s="306"/>
      <c r="AS113" s="306"/>
      <c r="AT113" s="306"/>
      <c r="AU113" s="306"/>
      <c r="AV113" s="306"/>
      <c r="AW113" s="306"/>
      <c r="AX113" s="306"/>
      <c r="AY113" s="306"/>
      <c r="AZ113" s="306"/>
    </row>
    <row r="114" spans="1:52" ht="17.100000000000001" customHeight="1">
      <c r="A114" s="306"/>
      <c r="B114" s="306"/>
      <c r="C114" s="418"/>
      <c r="D114" s="418"/>
      <c r="E114" s="418"/>
      <c r="F114" s="418"/>
      <c r="G114" s="418"/>
      <c r="H114" s="418"/>
      <c r="I114" s="418"/>
      <c r="J114" s="418"/>
      <c r="K114" s="418"/>
      <c r="L114" s="418"/>
      <c r="M114" s="418"/>
      <c r="N114" s="418"/>
      <c r="O114" s="418"/>
      <c r="P114" s="418"/>
      <c r="Q114" s="418"/>
      <c r="R114" s="418"/>
      <c r="S114" s="418"/>
      <c r="T114" s="418"/>
      <c r="U114" s="418"/>
      <c r="V114" s="418"/>
      <c r="W114" s="418"/>
      <c r="X114" s="418"/>
      <c r="Y114" s="418"/>
      <c r="Z114" s="418"/>
      <c r="AA114" s="418"/>
      <c r="AB114" s="418"/>
      <c r="AC114" s="418"/>
      <c r="AD114" s="418"/>
      <c r="AE114" s="306"/>
      <c r="AF114" s="306"/>
      <c r="AG114" s="306"/>
      <c r="AH114" s="306"/>
      <c r="AI114" s="306"/>
      <c r="AJ114" s="306"/>
      <c r="AK114" s="306"/>
      <c r="AL114" s="306"/>
      <c r="AM114" s="306"/>
      <c r="AN114" s="306"/>
      <c r="AO114" s="306"/>
      <c r="AP114" s="306"/>
      <c r="AQ114" s="306"/>
      <c r="AR114" s="306"/>
      <c r="AS114" s="306"/>
      <c r="AT114" s="306"/>
      <c r="AU114" s="306"/>
      <c r="AV114" s="306"/>
      <c r="AW114" s="306"/>
      <c r="AX114" s="306"/>
      <c r="AY114" s="306"/>
      <c r="AZ114" s="306"/>
    </row>
    <row r="115" spans="1:52" ht="17.100000000000001" customHeight="1">
      <c r="A115" s="306"/>
      <c r="B115" s="306"/>
      <c r="C115" s="418"/>
      <c r="D115" s="418"/>
      <c r="E115" s="418"/>
      <c r="F115" s="418"/>
      <c r="G115" s="418"/>
      <c r="H115" s="418"/>
      <c r="I115" s="418"/>
      <c r="J115" s="418"/>
      <c r="K115" s="418"/>
      <c r="L115" s="418"/>
      <c r="M115" s="418"/>
      <c r="N115" s="418"/>
      <c r="O115" s="418"/>
      <c r="P115" s="418"/>
      <c r="Q115" s="418"/>
      <c r="R115" s="418"/>
      <c r="S115" s="418"/>
      <c r="T115" s="418"/>
      <c r="U115" s="418"/>
      <c r="V115" s="418"/>
      <c r="W115" s="418"/>
      <c r="X115" s="418"/>
      <c r="Y115" s="418"/>
      <c r="Z115" s="418"/>
      <c r="AA115" s="418"/>
      <c r="AB115" s="418"/>
      <c r="AC115" s="418"/>
      <c r="AD115" s="418"/>
      <c r="AE115" s="306"/>
      <c r="AF115" s="306"/>
      <c r="AG115" s="306"/>
      <c r="AH115" s="306"/>
      <c r="AI115" s="306"/>
      <c r="AJ115" s="306"/>
      <c r="AK115" s="306"/>
      <c r="AL115" s="306"/>
      <c r="AM115" s="306"/>
      <c r="AN115" s="306"/>
      <c r="AO115" s="306"/>
      <c r="AP115" s="306"/>
      <c r="AQ115" s="306"/>
      <c r="AR115" s="306"/>
      <c r="AS115" s="306"/>
      <c r="AT115" s="306"/>
      <c r="AU115" s="306"/>
      <c r="AV115" s="306"/>
      <c r="AW115" s="306"/>
      <c r="AX115" s="306"/>
      <c r="AY115" s="306"/>
      <c r="AZ115" s="306"/>
    </row>
    <row r="116" spans="1:52" ht="17.100000000000001" customHeight="1">
      <c r="A116" s="306"/>
      <c r="B116" s="306"/>
      <c r="C116" s="418"/>
      <c r="D116" s="418"/>
      <c r="E116" s="418"/>
      <c r="F116" s="418"/>
      <c r="G116" s="418"/>
      <c r="H116" s="418"/>
      <c r="I116" s="418"/>
      <c r="J116" s="418"/>
      <c r="K116" s="418"/>
      <c r="L116" s="418"/>
      <c r="M116" s="418"/>
      <c r="N116" s="418"/>
      <c r="O116" s="418"/>
      <c r="P116" s="418"/>
      <c r="Q116" s="418"/>
      <c r="R116" s="418"/>
      <c r="S116" s="418"/>
      <c r="T116" s="418"/>
      <c r="U116" s="418"/>
      <c r="V116" s="418"/>
      <c r="W116" s="418"/>
      <c r="X116" s="418"/>
      <c r="Y116" s="418"/>
      <c r="Z116" s="418"/>
      <c r="AA116" s="418"/>
      <c r="AB116" s="418"/>
      <c r="AC116" s="418"/>
      <c r="AD116" s="418"/>
      <c r="AE116" s="306"/>
      <c r="AF116" s="306"/>
      <c r="AG116" s="306"/>
      <c r="AH116" s="306"/>
      <c r="AI116" s="306"/>
      <c r="AJ116" s="306"/>
      <c r="AK116" s="306"/>
      <c r="AL116" s="306"/>
      <c r="AM116" s="306"/>
      <c r="AN116" s="306"/>
      <c r="AO116" s="306"/>
      <c r="AP116" s="306"/>
      <c r="AQ116" s="306"/>
      <c r="AR116" s="306"/>
      <c r="AS116" s="306"/>
      <c r="AT116" s="306"/>
      <c r="AU116" s="306"/>
      <c r="AV116" s="306"/>
      <c r="AW116" s="306"/>
      <c r="AX116" s="306"/>
      <c r="AY116" s="306"/>
      <c r="AZ116" s="306"/>
    </row>
    <row r="117" spans="1:52" ht="17.100000000000001" customHeight="1">
      <c r="A117" s="306"/>
      <c r="B117" s="306"/>
      <c r="C117" s="418"/>
      <c r="D117" s="418"/>
      <c r="E117" s="418"/>
      <c r="F117" s="418"/>
      <c r="G117" s="418"/>
      <c r="H117" s="418"/>
      <c r="I117" s="418"/>
      <c r="J117" s="418"/>
      <c r="K117" s="418"/>
      <c r="L117" s="418"/>
      <c r="M117" s="418"/>
      <c r="N117" s="418"/>
      <c r="O117" s="418"/>
      <c r="P117" s="418"/>
      <c r="Q117" s="418"/>
      <c r="R117" s="418"/>
      <c r="S117" s="418"/>
      <c r="T117" s="418"/>
      <c r="U117" s="418"/>
      <c r="V117" s="418"/>
      <c r="W117" s="418"/>
      <c r="X117" s="418"/>
      <c r="Y117" s="418"/>
      <c r="Z117" s="418"/>
      <c r="AA117" s="418"/>
      <c r="AB117" s="418"/>
      <c r="AC117" s="418"/>
      <c r="AD117" s="418"/>
      <c r="AE117" s="306"/>
      <c r="AF117" s="306"/>
      <c r="AG117" s="306"/>
      <c r="AH117" s="306"/>
      <c r="AI117" s="306"/>
      <c r="AJ117" s="306"/>
      <c r="AK117" s="306"/>
      <c r="AL117" s="306"/>
      <c r="AM117" s="306"/>
      <c r="AN117" s="306"/>
      <c r="AO117" s="306"/>
      <c r="AP117" s="306"/>
      <c r="AQ117" s="306"/>
      <c r="AR117" s="306"/>
      <c r="AS117" s="306"/>
      <c r="AT117" s="306"/>
      <c r="AU117" s="306"/>
      <c r="AV117" s="306"/>
      <c r="AW117" s="306"/>
      <c r="AX117" s="306"/>
      <c r="AY117" s="306"/>
      <c r="AZ117" s="306"/>
    </row>
    <row r="118" spans="1:52" ht="17.100000000000001" customHeight="1">
      <c r="A118" s="306"/>
      <c r="B118" s="306"/>
      <c r="C118" s="418"/>
      <c r="D118" s="418"/>
      <c r="E118" s="418"/>
      <c r="F118" s="418"/>
      <c r="G118" s="418"/>
      <c r="H118" s="418"/>
      <c r="I118" s="418"/>
      <c r="J118" s="418"/>
      <c r="K118" s="418"/>
      <c r="L118" s="418"/>
      <c r="M118" s="418"/>
      <c r="N118" s="418"/>
      <c r="O118" s="418"/>
      <c r="P118" s="418"/>
      <c r="Q118" s="418"/>
      <c r="R118" s="418"/>
      <c r="S118" s="418"/>
      <c r="T118" s="418"/>
      <c r="U118" s="418"/>
      <c r="V118" s="418"/>
      <c r="W118" s="418"/>
      <c r="X118" s="418"/>
      <c r="Y118" s="418"/>
      <c r="Z118" s="418"/>
      <c r="AA118" s="418"/>
      <c r="AB118" s="418"/>
      <c r="AC118" s="418"/>
      <c r="AD118" s="418"/>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row>
    <row r="119" spans="1:52" ht="17.100000000000001" customHeight="1">
      <c r="A119" s="306"/>
      <c r="B119" s="306"/>
      <c r="C119" s="418"/>
      <c r="D119" s="418"/>
      <c r="E119" s="418"/>
      <c r="F119" s="418"/>
      <c r="G119" s="418"/>
      <c r="H119" s="418"/>
      <c r="I119" s="418"/>
      <c r="J119" s="418"/>
      <c r="K119" s="418"/>
      <c r="L119" s="418"/>
      <c r="M119" s="418"/>
      <c r="N119" s="418"/>
      <c r="O119" s="418"/>
      <c r="P119" s="418"/>
      <c r="Q119" s="418"/>
      <c r="R119" s="418"/>
      <c r="S119" s="418"/>
      <c r="T119" s="418"/>
      <c r="U119" s="418"/>
      <c r="V119" s="418"/>
      <c r="W119" s="418"/>
      <c r="X119" s="418"/>
      <c r="Y119" s="418"/>
      <c r="Z119" s="418"/>
      <c r="AA119" s="418"/>
      <c r="AB119" s="418"/>
      <c r="AC119" s="418"/>
      <c r="AD119" s="418"/>
      <c r="AE119" s="306"/>
      <c r="AF119" s="306"/>
      <c r="AG119" s="306"/>
      <c r="AH119" s="306"/>
      <c r="AI119" s="306"/>
      <c r="AJ119" s="306"/>
      <c r="AK119" s="306"/>
      <c r="AL119" s="306"/>
      <c r="AM119" s="306"/>
      <c r="AN119" s="306"/>
      <c r="AO119" s="306"/>
      <c r="AP119" s="306"/>
      <c r="AQ119" s="306"/>
      <c r="AR119" s="306"/>
      <c r="AS119" s="306"/>
      <c r="AT119" s="306"/>
      <c r="AU119" s="306"/>
      <c r="AV119" s="306"/>
      <c r="AW119" s="306"/>
      <c r="AX119" s="306"/>
      <c r="AY119" s="306"/>
      <c r="AZ119" s="306"/>
    </row>
    <row r="120" spans="1:52" ht="17.100000000000001" customHeight="1">
      <c r="A120" s="306"/>
      <c r="B120" s="306"/>
      <c r="C120" s="418"/>
      <c r="D120" s="418"/>
      <c r="E120" s="418"/>
      <c r="F120" s="418"/>
      <c r="G120" s="418"/>
      <c r="H120" s="418"/>
      <c r="I120" s="418"/>
      <c r="J120" s="418"/>
      <c r="K120" s="418"/>
      <c r="L120" s="418"/>
      <c r="M120" s="418"/>
      <c r="N120" s="418"/>
      <c r="O120" s="418"/>
      <c r="P120" s="418"/>
      <c r="Q120" s="418"/>
      <c r="R120" s="418"/>
      <c r="S120" s="418"/>
      <c r="T120" s="418"/>
      <c r="U120" s="418"/>
      <c r="V120" s="418"/>
      <c r="W120" s="418"/>
      <c r="X120" s="418"/>
      <c r="Y120" s="418"/>
      <c r="Z120" s="418"/>
      <c r="AA120" s="418"/>
      <c r="AB120" s="418"/>
      <c r="AC120" s="418"/>
      <c r="AD120" s="418"/>
      <c r="AE120" s="306"/>
      <c r="AF120" s="306"/>
      <c r="AG120" s="306"/>
      <c r="AH120" s="306"/>
      <c r="AI120" s="306"/>
      <c r="AJ120" s="306"/>
      <c r="AK120" s="306"/>
      <c r="AL120" s="306"/>
      <c r="AM120" s="306"/>
      <c r="AN120" s="306"/>
      <c r="AO120" s="306"/>
      <c r="AP120" s="306"/>
      <c r="AQ120" s="306"/>
      <c r="AR120" s="306"/>
      <c r="AS120" s="306"/>
      <c r="AT120" s="306"/>
      <c r="AU120" s="306"/>
      <c r="AV120" s="306"/>
      <c r="AW120" s="306"/>
      <c r="AX120" s="306"/>
      <c r="AY120" s="306"/>
      <c r="AZ120" s="306"/>
    </row>
    <row r="121" spans="1:52" ht="17.100000000000001" customHeight="1">
      <c r="A121" s="306"/>
      <c r="B121" s="306"/>
      <c r="C121" s="418"/>
      <c r="D121" s="418"/>
      <c r="E121" s="418"/>
      <c r="F121" s="418"/>
      <c r="G121" s="418"/>
      <c r="H121" s="418"/>
      <c r="I121" s="418"/>
      <c r="J121" s="418"/>
      <c r="K121" s="418"/>
      <c r="L121" s="418"/>
      <c r="M121" s="418"/>
      <c r="N121" s="418"/>
      <c r="O121" s="418"/>
      <c r="P121" s="418"/>
      <c r="Q121" s="418"/>
      <c r="R121" s="418"/>
      <c r="S121" s="418"/>
      <c r="T121" s="418"/>
      <c r="U121" s="418"/>
      <c r="V121" s="418"/>
      <c r="W121" s="418"/>
      <c r="X121" s="418"/>
      <c r="Y121" s="418"/>
      <c r="Z121" s="418"/>
      <c r="AA121" s="418"/>
      <c r="AB121" s="418"/>
      <c r="AC121" s="418"/>
      <c r="AD121" s="418"/>
      <c r="AE121" s="306"/>
      <c r="AF121" s="306"/>
      <c r="AG121" s="306"/>
      <c r="AH121" s="306"/>
      <c r="AI121" s="306"/>
      <c r="AJ121" s="306"/>
      <c r="AK121" s="306"/>
      <c r="AL121" s="306"/>
      <c r="AM121" s="306"/>
      <c r="AN121" s="306"/>
      <c r="AO121" s="306"/>
      <c r="AP121" s="306"/>
      <c r="AQ121" s="306"/>
      <c r="AR121" s="306"/>
      <c r="AS121" s="306"/>
      <c r="AT121" s="306"/>
      <c r="AU121" s="306"/>
      <c r="AV121" s="306"/>
      <c r="AW121" s="306"/>
      <c r="AX121" s="306"/>
      <c r="AY121" s="306"/>
      <c r="AZ121" s="306"/>
    </row>
    <row r="122" spans="1:52" ht="17.100000000000001" customHeight="1">
      <c r="A122" s="306"/>
      <c r="B122" s="306"/>
      <c r="C122" s="418"/>
      <c r="D122" s="418"/>
      <c r="E122" s="418"/>
      <c r="F122" s="418"/>
      <c r="G122" s="418"/>
      <c r="H122" s="418"/>
      <c r="I122" s="418"/>
      <c r="J122" s="418"/>
      <c r="K122" s="418"/>
      <c r="L122" s="418"/>
      <c r="M122" s="418"/>
      <c r="N122" s="418"/>
      <c r="O122" s="418"/>
      <c r="P122" s="418"/>
      <c r="Q122" s="418"/>
      <c r="R122" s="418"/>
      <c r="S122" s="418"/>
      <c r="T122" s="418"/>
      <c r="U122" s="418"/>
      <c r="V122" s="418"/>
      <c r="W122" s="418"/>
      <c r="X122" s="418"/>
      <c r="Y122" s="418"/>
      <c r="Z122" s="418"/>
      <c r="AA122" s="418"/>
      <c r="AB122" s="418"/>
      <c r="AC122" s="418"/>
      <c r="AD122" s="418"/>
      <c r="AE122" s="306"/>
      <c r="AF122" s="306"/>
      <c r="AG122" s="306"/>
      <c r="AH122" s="306"/>
      <c r="AI122" s="306"/>
      <c r="AJ122" s="306"/>
      <c r="AK122" s="306"/>
      <c r="AL122" s="306"/>
      <c r="AM122" s="306"/>
      <c r="AN122" s="306"/>
      <c r="AO122" s="306"/>
      <c r="AP122" s="306"/>
      <c r="AQ122" s="306"/>
      <c r="AR122" s="306"/>
      <c r="AS122" s="306"/>
      <c r="AT122" s="306"/>
      <c r="AU122" s="306"/>
      <c r="AV122" s="306"/>
      <c r="AW122" s="306"/>
      <c r="AX122" s="306"/>
      <c r="AY122" s="306"/>
      <c r="AZ122" s="306"/>
    </row>
    <row r="123" spans="1:52" ht="17.100000000000001" customHeight="1">
      <c r="A123" s="306"/>
      <c r="B123" s="306"/>
      <c r="C123" s="418"/>
      <c r="D123" s="418"/>
      <c r="E123" s="418"/>
      <c r="F123" s="418"/>
      <c r="G123" s="418"/>
      <c r="H123" s="418"/>
      <c r="I123" s="418"/>
      <c r="J123" s="418"/>
      <c r="K123" s="418"/>
      <c r="L123" s="418"/>
      <c r="M123" s="418"/>
      <c r="N123" s="418"/>
      <c r="O123" s="418"/>
      <c r="P123" s="418"/>
      <c r="Q123" s="418"/>
      <c r="R123" s="418"/>
      <c r="S123" s="418"/>
      <c r="T123" s="418"/>
      <c r="U123" s="418"/>
      <c r="V123" s="418"/>
      <c r="W123" s="418"/>
      <c r="X123" s="418"/>
      <c r="Y123" s="418"/>
      <c r="Z123" s="418"/>
      <c r="AA123" s="418"/>
      <c r="AB123" s="418"/>
      <c r="AC123" s="418"/>
      <c r="AD123" s="418"/>
      <c r="AE123" s="306"/>
      <c r="AF123" s="306"/>
      <c r="AG123" s="306"/>
      <c r="AH123" s="306"/>
      <c r="AI123" s="306"/>
      <c r="AJ123" s="306"/>
      <c r="AK123" s="306"/>
      <c r="AL123" s="306"/>
      <c r="AM123" s="306"/>
      <c r="AN123" s="306"/>
      <c r="AO123" s="306"/>
      <c r="AP123" s="306"/>
      <c r="AQ123" s="306"/>
      <c r="AR123" s="306"/>
      <c r="AS123" s="306"/>
      <c r="AT123" s="306"/>
      <c r="AU123" s="306"/>
      <c r="AV123" s="306"/>
      <c r="AW123" s="306"/>
      <c r="AX123" s="306"/>
      <c r="AY123" s="306"/>
      <c r="AZ123" s="306"/>
    </row>
    <row r="124" spans="1:52" ht="17.100000000000001" customHeight="1">
      <c r="A124" s="306"/>
      <c r="B124" s="306"/>
      <c r="C124" s="418"/>
      <c r="D124" s="418"/>
      <c r="E124" s="418"/>
      <c r="F124" s="418"/>
      <c r="G124" s="418"/>
      <c r="H124" s="418"/>
      <c r="I124" s="418"/>
      <c r="J124" s="418"/>
      <c r="K124" s="418"/>
      <c r="L124" s="418"/>
      <c r="M124" s="418"/>
      <c r="N124" s="418"/>
      <c r="O124" s="418"/>
      <c r="P124" s="418"/>
      <c r="Q124" s="418"/>
      <c r="R124" s="418"/>
      <c r="S124" s="418"/>
      <c r="T124" s="418"/>
      <c r="U124" s="418"/>
      <c r="V124" s="418"/>
      <c r="W124" s="418"/>
      <c r="X124" s="418"/>
      <c r="Y124" s="418"/>
      <c r="Z124" s="418"/>
      <c r="AA124" s="418"/>
      <c r="AB124" s="418"/>
      <c r="AC124" s="418"/>
      <c r="AD124" s="418"/>
      <c r="AE124" s="306"/>
      <c r="AF124" s="306"/>
      <c r="AG124" s="306"/>
      <c r="AH124" s="306"/>
      <c r="AI124" s="306"/>
      <c r="AJ124" s="306"/>
      <c r="AK124" s="306"/>
      <c r="AL124" s="306"/>
      <c r="AM124" s="306"/>
      <c r="AN124" s="306"/>
      <c r="AO124" s="306"/>
      <c r="AP124" s="306"/>
      <c r="AQ124" s="306"/>
      <c r="AR124" s="306"/>
      <c r="AS124" s="306"/>
      <c r="AT124" s="306"/>
      <c r="AU124" s="306"/>
      <c r="AV124" s="306"/>
      <c r="AW124" s="306"/>
      <c r="AX124" s="306"/>
      <c r="AY124" s="306"/>
      <c r="AZ124" s="306"/>
    </row>
    <row r="125" spans="1:52" ht="17.100000000000001" customHeight="1">
      <c r="A125" s="306"/>
      <c r="B125" s="306"/>
      <c r="C125" s="418"/>
      <c r="D125" s="418"/>
      <c r="E125" s="418"/>
      <c r="F125" s="418"/>
      <c r="G125" s="418"/>
      <c r="H125" s="418"/>
      <c r="I125" s="418"/>
      <c r="J125" s="418"/>
      <c r="K125" s="418"/>
      <c r="L125" s="418"/>
      <c r="M125" s="418"/>
      <c r="N125" s="418"/>
      <c r="O125" s="418"/>
      <c r="P125" s="418"/>
      <c r="Q125" s="418"/>
      <c r="R125" s="418"/>
      <c r="S125" s="418"/>
      <c r="T125" s="418"/>
      <c r="U125" s="418"/>
      <c r="V125" s="418"/>
      <c r="W125" s="418"/>
      <c r="X125" s="418"/>
      <c r="Y125" s="418"/>
      <c r="Z125" s="418"/>
      <c r="AA125" s="418"/>
      <c r="AB125" s="418"/>
      <c r="AC125" s="418"/>
      <c r="AD125" s="418"/>
      <c r="AE125" s="306"/>
      <c r="AF125" s="306"/>
      <c r="AG125" s="306"/>
      <c r="AH125" s="306"/>
      <c r="AI125" s="306"/>
      <c r="AJ125" s="306"/>
      <c r="AK125" s="306"/>
      <c r="AL125" s="306"/>
      <c r="AM125" s="306"/>
      <c r="AN125" s="306"/>
      <c r="AO125" s="306"/>
      <c r="AP125" s="306"/>
      <c r="AQ125" s="306"/>
      <c r="AR125" s="306"/>
      <c r="AS125" s="306"/>
      <c r="AT125" s="306"/>
      <c r="AU125" s="306"/>
      <c r="AV125" s="306"/>
      <c r="AW125" s="306"/>
      <c r="AX125" s="306"/>
      <c r="AY125" s="306"/>
      <c r="AZ125" s="306"/>
    </row>
    <row r="126" spans="1:52" ht="17.100000000000001" customHeight="1">
      <c r="A126" s="306"/>
      <c r="B126" s="306"/>
      <c r="C126" s="418"/>
      <c r="D126" s="418"/>
      <c r="E126" s="418"/>
      <c r="F126" s="418"/>
      <c r="G126" s="418"/>
      <c r="H126" s="418"/>
      <c r="I126" s="418"/>
      <c r="J126" s="418"/>
      <c r="K126" s="418"/>
      <c r="L126" s="418"/>
      <c r="M126" s="418"/>
      <c r="N126" s="418"/>
      <c r="O126" s="418"/>
      <c r="P126" s="418"/>
      <c r="Q126" s="418"/>
      <c r="R126" s="418"/>
      <c r="S126" s="418"/>
      <c r="T126" s="418"/>
      <c r="U126" s="418"/>
      <c r="V126" s="418"/>
      <c r="W126" s="418"/>
      <c r="X126" s="418"/>
      <c r="Y126" s="418"/>
      <c r="Z126" s="418"/>
      <c r="AA126" s="418"/>
      <c r="AB126" s="418"/>
      <c r="AC126" s="418"/>
      <c r="AD126" s="418"/>
      <c r="AE126" s="306"/>
      <c r="AF126" s="306"/>
      <c r="AG126" s="306"/>
      <c r="AH126" s="306"/>
      <c r="AI126" s="306"/>
      <c r="AJ126" s="306"/>
      <c r="AK126" s="306"/>
      <c r="AL126" s="306"/>
      <c r="AM126" s="306"/>
      <c r="AN126" s="306"/>
      <c r="AO126" s="306"/>
      <c r="AP126" s="306"/>
      <c r="AQ126" s="306"/>
      <c r="AR126" s="306"/>
      <c r="AS126" s="306"/>
      <c r="AT126" s="306"/>
      <c r="AU126" s="306"/>
      <c r="AV126" s="306"/>
      <c r="AW126" s="306"/>
      <c r="AX126" s="306"/>
      <c r="AY126" s="306"/>
      <c r="AZ126" s="306"/>
    </row>
    <row r="127" spans="1:52" ht="17.100000000000001" customHeight="1">
      <c r="A127" s="306"/>
      <c r="B127" s="306"/>
      <c r="C127" s="418"/>
      <c r="D127" s="418"/>
      <c r="E127" s="418"/>
      <c r="F127" s="418"/>
      <c r="G127" s="418"/>
      <c r="H127" s="418"/>
      <c r="I127" s="418"/>
      <c r="J127" s="418"/>
      <c r="K127" s="418"/>
      <c r="L127" s="418"/>
      <c r="M127" s="418"/>
      <c r="N127" s="418"/>
      <c r="O127" s="418"/>
      <c r="P127" s="418"/>
      <c r="Q127" s="418"/>
      <c r="R127" s="418"/>
      <c r="S127" s="418"/>
      <c r="T127" s="418"/>
      <c r="U127" s="418"/>
      <c r="V127" s="418"/>
      <c r="W127" s="418"/>
      <c r="X127" s="418"/>
      <c r="Y127" s="418"/>
      <c r="Z127" s="418"/>
      <c r="AA127" s="418"/>
      <c r="AB127" s="418"/>
      <c r="AC127" s="418"/>
      <c r="AD127" s="418"/>
      <c r="AE127" s="306"/>
      <c r="AF127" s="306"/>
      <c r="AG127" s="306"/>
      <c r="AH127" s="306"/>
      <c r="AI127" s="306"/>
      <c r="AJ127" s="306"/>
      <c r="AK127" s="306"/>
      <c r="AL127" s="306"/>
      <c r="AM127" s="306"/>
      <c r="AN127" s="306"/>
      <c r="AO127" s="306"/>
      <c r="AP127" s="306"/>
      <c r="AQ127" s="306"/>
      <c r="AR127" s="306"/>
      <c r="AS127" s="306"/>
      <c r="AT127" s="306"/>
      <c r="AU127" s="306"/>
      <c r="AV127" s="306"/>
      <c r="AW127" s="306"/>
      <c r="AX127" s="306"/>
      <c r="AY127" s="306"/>
      <c r="AZ127" s="306"/>
    </row>
    <row r="128" spans="1:52" ht="17.100000000000001" customHeight="1">
      <c r="A128" s="306"/>
      <c r="B128" s="306"/>
      <c r="C128" s="418"/>
      <c r="D128" s="418"/>
      <c r="E128" s="418"/>
      <c r="F128" s="418"/>
      <c r="G128" s="418"/>
      <c r="H128" s="418"/>
      <c r="I128" s="418"/>
      <c r="J128" s="418"/>
      <c r="K128" s="418"/>
      <c r="L128" s="418"/>
      <c r="M128" s="418"/>
      <c r="N128" s="418"/>
      <c r="O128" s="418"/>
      <c r="P128" s="418"/>
      <c r="Q128" s="418"/>
      <c r="R128" s="418"/>
      <c r="S128" s="418"/>
      <c r="T128" s="418"/>
      <c r="U128" s="418"/>
      <c r="V128" s="418"/>
      <c r="W128" s="418"/>
      <c r="X128" s="418"/>
      <c r="Y128" s="418"/>
      <c r="Z128" s="418"/>
      <c r="AA128" s="418"/>
      <c r="AB128" s="418"/>
      <c r="AC128" s="418"/>
      <c r="AD128" s="418"/>
      <c r="AE128" s="306"/>
      <c r="AF128" s="306"/>
      <c r="AG128" s="306"/>
      <c r="AH128" s="306"/>
      <c r="AI128" s="306"/>
      <c r="AJ128" s="306"/>
      <c r="AK128" s="306"/>
      <c r="AL128" s="306"/>
      <c r="AM128" s="306"/>
      <c r="AN128" s="306"/>
      <c r="AO128" s="306"/>
      <c r="AP128" s="306"/>
      <c r="AQ128" s="306"/>
      <c r="AR128" s="306"/>
      <c r="AS128" s="306"/>
      <c r="AT128" s="306"/>
      <c r="AU128" s="306"/>
      <c r="AV128" s="306"/>
      <c r="AW128" s="306"/>
      <c r="AX128" s="306"/>
      <c r="AY128" s="306"/>
      <c r="AZ128" s="306"/>
    </row>
    <row r="129" spans="1:52" ht="17.100000000000001" customHeight="1">
      <c r="A129" s="306"/>
      <c r="B129" s="306"/>
      <c r="C129" s="418"/>
      <c r="D129" s="418"/>
      <c r="E129" s="418"/>
      <c r="F129" s="418"/>
      <c r="G129" s="418"/>
      <c r="H129" s="418"/>
      <c r="I129" s="418"/>
      <c r="J129" s="418"/>
      <c r="K129" s="418"/>
      <c r="L129" s="418"/>
      <c r="M129" s="418"/>
      <c r="N129" s="418"/>
      <c r="O129" s="418"/>
      <c r="P129" s="418"/>
      <c r="Q129" s="418"/>
      <c r="R129" s="418"/>
      <c r="S129" s="418"/>
      <c r="T129" s="418"/>
      <c r="U129" s="418"/>
      <c r="V129" s="418"/>
      <c r="W129" s="418"/>
      <c r="X129" s="418"/>
      <c r="Y129" s="418"/>
      <c r="Z129" s="418"/>
      <c r="AA129" s="418"/>
      <c r="AB129" s="418"/>
      <c r="AC129" s="418"/>
      <c r="AD129" s="418"/>
      <c r="AE129" s="306"/>
      <c r="AF129" s="306"/>
      <c r="AG129" s="306"/>
      <c r="AH129" s="306"/>
      <c r="AI129" s="306"/>
      <c r="AJ129" s="306"/>
      <c r="AK129" s="306"/>
      <c r="AL129" s="306"/>
      <c r="AM129" s="306"/>
      <c r="AN129" s="306"/>
      <c r="AO129" s="306"/>
      <c r="AP129" s="306"/>
      <c r="AQ129" s="306"/>
      <c r="AR129" s="306"/>
      <c r="AS129" s="306"/>
      <c r="AT129" s="306"/>
      <c r="AU129" s="306"/>
      <c r="AV129" s="306"/>
      <c r="AW129" s="306"/>
      <c r="AX129" s="306"/>
      <c r="AY129" s="306"/>
      <c r="AZ129" s="306"/>
    </row>
    <row r="130" spans="1:52" ht="17.100000000000001" customHeight="1">
      <c r="A130" s="306"/>
      <c r="B130" s="306"/>
      <c r="C130" s="418"/>
      <c r="D130" s="418"/>
      <c r="E130" s="418"/>
      <c r="F130" s="418"/>
      <c r="G130" s="418"/>
      <c r="H130" s="418"/>
      <c r="I130" s="418"/>
      <c r="J130" s="418"/>
      <c r="K130" s="418"/>
      <c r="L130" s="418"/>
      <c r="M130" s="418"/>
      <c r="N130" s="418"/>
      <c r="O130" s="418"/>
      <c r="P130" s="418"/>
      <c r="Q130" s="418"/>
      <c r="R130" s="418"/>
      <c r="S130" s="418"/>
      <c r="T130" s="418"/>
      <c r="U130" s="418"/>
      <c r="V130" s="418"/>
      <c r="W130" s="418"/>
      <c r="X130" s="418"/>
      <c r="Y130" s="418"/>
      <c r="Z130" s="418"/>
      <c r="AA130" s="418"/>
      <c r="AB130" s="418"/>
      <c r="AC130" s="418"/>
      <c r="AD130" s="418"/>
      <c r="AE130" s="306"/>
      <c r="AF130" s="306"/>
      <c r="AG130" s="306"/>
      <c r="AH130" s="306"/>
      <c r="AI130" s="306"/>
      <c r="AJ130" s="306"/>
      <c r="AK130" s="306"/>
      <c r="AL130" s="306"/>
      <c r="AM130" s="306"/>
      <c r="AN130" s="306"/>
      <c r="AO130" s="306"/>
      <c r="AP130" s="306"/>
      <c r="AQ130" s="306"/>
      <c r="AR130" s="306"/>
      <c r="AS130" s="306"/>
      <c r="AT130" s="306"/>
      <c r="AU130" s="306"/>
      <c r="AV130" s="306"/>
      <c r="AW130" s="306"/>
      <c r="AX130" s="306"/>
      <c r="AY130" s="306"/>
      <c r="AZ130" s="306"/>
    </row>
    <row r="131" spans="1:52" ht="17.100000000000001" customHeight="1">
      <c r="A131" s="306"/>
      <c r="B131" s="306"/>
      <c r="C131" s="418"/>
      <c r="D131" s="418"/>
      <c r="E131" s="418"/>
      <c r="F131" s="418"/>
      <c r="G131" s="418"/>
      <c r="H131" s="418"/>
      <c r="I131" s="418"/>
      <c r="J131" s="418"/>
      <c r="K131" s="418"/>
      <c r="L131" s="418"/>
      <c r="M131" s="418"/>
      <c r="N131" s="418"/>
      <c r="O131" s="418"/>
      <c r="P131" s="418"/>
      <c r="Q131" s="418"/>
      <c r="R131" s="418"/>
      <c r="S131" s="418"/>
      <c r="T131" s="418"/>
      <c r="U131" s="418"/>
      <c r="V131" s="418"/>
      <c r="W131" s="418"/>
      <c r="X131" s="418"/>
      <c r="Y131" s="418"/>
      <c r="Z131" s="418"/>
      <c r="AA131" s="418"/>
      <c r="AB131" s="418"/>
      <c r="AC131" s="418"/>
      <c r="AD131" s="418"/>
      <c r="AE131" s="306"/>
      <c r="AF131" s="306"/>
      <c r="AG131" s="306"/>
      <c r="AH131" s="306"/>
      <c r="AI131" s="306"/>
      <c r="AJ131" s="306"/>
      <c r="AK131" s="306"/>
      <c r="AL131" s="306"/>
      <c r="AM131" s="306"/>
      <c r="AN131" s="306"/>
      <c r="AO131" s="306"/>
      <c r="AP131" s="306"/>
      <c r="AQ131" s="306"/>
      <c r="AR131" s="306"/>
      <c r="AS131" s="306"/>
      <c r="AT131" s="306"/>
      <c r="AU131" s="306"/>
      <c r="AV131" s="306"/>
      <c r="AW131" s="306"/>
      <c r="AX131" s="306"/>
      <c r="AY131" s="306"/>
      <c r="AZ131" s="306"/>
    </row>
    <row r="132" spans="1:52" ht="17.100000000000001" customHeight="1">
      <c r="A132" s="306"/>
      <c r="B132" s="306"/>
      <c r="C132" s="418"/>
      <c r="D132" s="418"/>
      <c r="E132" s="418"/>
      <c r="F132" s="418"/>
      <c r="G132" s="418"/>
      <c r="H132" s="418"/>
      <c r="I132" s="418"/>
      <c r="J132" s="418"/>
      <c r="K132" s="418"/>
      <c r="L132" s="418"/>
      <c r="M132" s="418"/>
      <c r="N132" s="418"/>
      <c r="O132" s="418"/>
      <c r="P132" s="418"/>
      <c r="Q132" s="418"/>
      <c r="R132" s="418"/>
      <c r="S132" s="418"/>
      <c r="T132" s="418"/>
      <c r="U132" s="418"/>
      <c r="V132" s="418"/>
      <c r="W132" s="418"/>
      <c r="X132" s="418"/>
      <c r="Y132" s="418"/>
      <c r="Z132" s="418"/>
      <c r="AA132" s="418"/>
      <c r="AB132" s="418"/>
      <c r="AC132" s="418"/>
      <c r="AD132" s="418"/>
      <c r="AE132" s="306"/>
      <c r="AF132" s="306"/>
      <c r="AG132" s="306"/>
      <c r="AH132" s="306"/>
      <c r="AI132" s="306"/>
      <c r="AJ132" s="306"/>
      <c r="AK132" s="306"/>
      <c r="AL132" s="306"/>
      <c r="AM132" s="306"/>
      <c r="AN132" s="306"/>
      <c r="AO132" s="306"/>
      <c r="AP132" s="306"/>
      <c r="AQ132" s="306"/>
      <c r="AR132" s="306"/>
      <c r="AS132" s="306"/>
      <c r="AT132" s="306"/>
      <c r="AU132" s="306"/>
      <c r="AV132" s="306"/>
      <c r="AW132" s="306"/>
      <c r="AX132" s="306"/>
      <c r="AY132" s="306"/>
      <c r="AZ132" s="306"/>
    </row>
    <row r="133" spans="1:52" ht="17.100000000000001" customHeight="1">
      <c r="A133" s="306"/>
      <c r="B133" s="306"/>
      <c r="C133" s="418"/>
      <c r="D133" s="418"/>
      <c r="E133" s="418"/>
      <c r="F133" s="418"/>
      <c r="G133" s="418"/>
      <c r="H133" s="418"/>
      <c r="I133" s="418"/>
      <c r="J133" s="418"/>
      <c r="K133" s="418"/>
      <c r="L133" s="418"/>
      <c r="M133" s="418"/>
      <c r="N133" s="418"/>
      <c r="O133" s="418"/>
      <c r="P133" s="418"/>
      <c r="Q133" s="418"/>
      <c r="R133" s="418"/>
      <c r="S133" s="418"/>
      <c r="T133" s="418"/>
      <c r="U133" s="418"/>
      <c r="V133" s="418"/>
      <c r="W133" s="418"/>
      <c r="X133" s="418"/>
      <c r="Y133" s="418"/>
      <c r="Z133" s="418"/>
      <c r="AA133" s="418"/>
      <c r="AB133" s="418"/>
      <c r="AC133" s="418"/>
      <c r="AD133" s="418"/>
      <c r="AE133" s="306"/>
      <c r="AF133" s="306"/>
      <c r="AG133" s="306"/>
      <c r="AH133" s="306"/>
      <c r="AI133" s="306"/>
      <c r="AJ133" s="306"/>
      <c r="AK133" s="306"/>
      <c r="AL133" s="306"/>
      <c r="AM133" s="306"/>
      <c r="AN133" s="306"/>
      <c r="AO133" s="306"/>
      <c r="AP133" s="306"/>
      <c r="AQ133" s="306"/>
      <c r="AR133" s="306"/>
      <c r="AS133" s="306"/>
      <c r="AT133" s="306"/>
      <c r="AU133" s="306"/>
      <c r="AV133" s="306"/>
      <c r="AW133" s="306"/>
      <c r="AX133" s="306"/>
      <c r="AY133" s="306"/>
      <c r="AZ133" s="306"/>
    </row>
    <row r="134" spans="1:52" ht="17.100000000000001" customHeight="1">
      <c r="A134" s="306"/>
      <c r="B134" s="306"/>
      <c r="C134" s="418"/>
      <c r="D134" s="418"/>
      <c r="E134" s="418"/>
      <c r="F134" s="418"/>
      <c r="G134" s="418"/>
      <c r="H134" s="418"/>
      <c r="I134" s="418"/>
      <c r="J134" s="418"/>
      <c r="K134" s="418"/>
      <c r="L134" s="418"/>
      <c r="M134" s="418"/>
      <c r="N134" s="418"/>
      <c r="O134" s="418"/>
      <c r="P134" s="418"/>
      <c r="Q134" s="418"/>
      <c r="R134" s="418"/>
      <c r="S134" s="418"/>
      <c r="T134" s="418"/>
      <c r="U134" s="418"/>
      <c r="V134" s="418"/>
      <c r="W134" s="418"/>
      <c r="X134" s="418"/>
      <c r="Y134" s="418"/>
      <c r="Z134" s="418"/>
      <c r="AA134" s="418"/>
      <c r="AB134" s="418"/>
      <c r="AC134" s="418"/>
      <c r="AD134" s="418"/>
      <c r="AE134" s="306"/>
      <c r="AF134" s="306"/>
      <c r="AG134" s="306"/>
      <c r="AH134" s="306"/>
      <c r="AI134" s="306"/>
      <c r="AJ134" s="306"/>
      <c r="AK134" s="306"/>
      <c r="AL134" s="306"/>
      <c r="AM134" s="306"/>
      <c r="AN134" s="306"/>
      <c r="AO134" s="306"/>
      <c r="AP134" s="306"/>
      <c r="AQ134" s="306"/>
      <c r="AR134" s="306"/>
      <c r="AS134" s="306"/>
      <c r="AT134" s="306"/>
      <c r="AU134" s="306"/>
      <c r="AV134" s="306"/>
      <c r="AW134" s="306"/>
      <c r="AX134" s="306"/>
      <c r="AY134" s="306"/>
      <c r="AZ134" s="306"/>
    </row>
    <row r="135" spans="1:52" ht="17.100000000000001" customHeight="1">
      <c r="A135" s="306"/>
      <c r="B135" s="306"/>
      <c r="C135" s="418"/>
      <c r="D135" s="418"/>
      <c r="E135" s="418"/>
      <c r="F135" s="418"/>
      <c r="G135" s="418"/>
      <c r="H135" s="418"/>
      <c r="I135" s="418"/>
      <c r="J135" s="418"/>
      <c r="K135" s="418"/>
      <c r="L135" s="418"/>
      <c r="M135" s="418"/>
      <c r="N135" s="418"/>
      <c r="O135" s="418"/>
      <c r="P135" s="418"/>
      <c r="Q135" s="418"/>
      <c r="R135" s="418"/>
      <c r="S135" s="418"/>
      <c r="T135" s="418"/>
      <c r="U135" s="418"/>
      <c r="V135" s="418"/>
      <c r="W135" s="418"/>
      <c r="X135" s="418"/>
      <c r="Y135" s="418"/>
      <c r="Z135" s="418"/>
      <c r="AA135" s="418"/>
      <c r="AB135" s="418"/>
      <c r="AC135" s="418"/>
      <c r="AD135" s="418"/>
      <c r="AE135" s="306"/>
      <c r="AF135" s="306"/>
      <c r="AG135" s="306"/>
      <c r="AH135" s="306"/>
      <c r="AI135" s="306"/>
      <c r="AJ135" s="306"/>
      <c r="AK135" s="306"/>
      <c r="AL135" s="306"/>
      <c r="AM135" s="306"/>
      <c r="AN135" s="306"/>
      <c r="AO135" s="306"/>
      <c r="AP135" s="306"/>
      <c r="AQ135" s="306"/>
      <c r="AR135" s="306"/>
      <c r="AS135" s="306"/>
      <c r="AT135" s="306"/>
      <c r="AU135" s="306"/>
      <c r="AV135" s="306"/>
      <c r="AW135" s="306"/>
      <c r="AX135" s="306"/>
      <c r="AY135" s="306"/>
      <c r="AZ135" s="306"/>
    </row>
    <row r="136" spans="1:52" ht="17.100000000000001" customHeight="1">
      <c r="A136" s="306"/>
      <c r="B136" s="306"/>
      <c r="C136" s="418"/>
      <c r="D136" s="418"/>
      <c r="E136" s="418"/>
      <c r="F136" s="418"/>
      <c r="G136" s="418"/>
      <c r="H136" s="418"/>
      <c r="I136" s="418"/>
      <c r="J136" s="418"/>
      <c r="K136" s="418"/>
      <c r="L136" s="418"/>
      <c r="M136" s="418"/>
      <c r="N136" s="418"/>
      <c r="O136" s="418"/>
      <c r="P136" s="418"/>
      <c r="Q136" s="418"/>
      <c r="R136" s="418"/>
      <c r="S136" s="418"/>
      <c r="T136" s="418"/>
      <c r="U136" s="418"/>
      <c r="V136" s="418"/>
      <c r="W136" s="418"/>
      <c r="X136" s="418"/>
      <c r="Y136" s="418"/>
      <c r="Z136" s="418"/>
      <c r="AA136" s="418"/>
      <c r="AB136" s="418"/>
      <c r="AC136" s="418"/>
      <c r="AD136" s="418"/>
      <c r="AE136" s="306"/>
      <c r="AF136" s="306"/>
      <c r="AG136" s="306"/>
      <c r="AH136" s="306"/>
      <c r="AI136" s="306"/>
      <c r="AJ136" s="306"/>
      <c r="AK136" s="306"/>
      <c r="AL136" s="306"/>
      <c r="AM136" s="306"/>
      <c r="AN136" s="306"/>
      <c r="AO136" s="306"/>
      <c r="AP136" s="306"/>
      <c r="AQ136" s="306"/>
      <c r="AR136" s="306"/>
      <c r="AS136" s="306"/>
      <c r="AT136" s="306"/>
      <c r="AU136" s="306"/>
      <c r="AV136" s="306"/>
      <c r="AW136" s="306"/>
      <c r="AX136" s="306"/>
      <c r="AY136" s="306"/>
      <c r="AZ136" s="306"/>
    </row>
    <row r="137" spans="1:52" ht="17.100000000000001" customHeight="1">
      <c r="A137" s="306"/>
      <c r="B137" s="306"/>
      <c r="C137" s="418"/>
      <c r="D137" s="418"/>
      <c r="E137" s="418"/>
      <c r="F137" s="418"/>
      <c r="G137" s="418"/>
      <c r="H137" s="418"/>
      <c r="I137" s="418"/>
      <c r="J137" s="418"/>
      <c r="K137" s="418"/>
      <c r="L137" s="418"/>
      <c r="M137" s="418"/>
      <c r="N137" s="418"/>
      <c r="O137" s="418"/>
      <c r="P137" s="418"/>
      <c r="Q137" s="418"/>
      <c r="R137" s="418"/>
      <c r="S137" s="418"/>
      <c r="T137" s="418"/>
      <c r="U137" s="418"/>
      <c r="V137" s="418"/>
      <c r="W137" s="418"/>
      <c r="X137" s="418"/>
      <c r="Y137" s="418"/>
      <c r="Z137" s="418"/>
      <c r="AA137" s="418"/>
      <c r="AB137" s="418"/>
      <c r="AC137" s="418"/>
      <c r="AD137" s="418"/>
      <c r="AE137" s="306"/>
      <c r="AF137" s="306"/>
      <c r="AG137" s="306"/>
      <c r="AH137" s="306"/>
      <c r="AI137" s="306"/>
      <c r="AJ137" s="306"/>
      <c r="AK137" s="306"/>
      <c r="AL137" s="306"/>
      <c r="AM137" s="306"/>
      <c r="AN137" s="306"/>
      <c r="AO137" s="306"/>
      <c r="AP137" s="306"/>
      <c r="AQ137" s="306"/>
      <c r="AR137" s="306"/>
      <c r="AS137" s="306"/>
      <c r="AT137" s="306"/>
      <c r="AU137" s="306"/>
      <c r="AV137" s="306"/>
      <c r="AW137" s="306"/>
      <c r="AX137" s="306"/>
      <c r="AY137" s="306"/>
      <c r="AZ137" s="306"/>
    </row>
    <row r="138" spans="1:52" ht="17.100000000000001" customHeight="1">
      <c r="A138" s="306"/>
      <c r="B138" s="306"/>
      <c r="C138" s="418"/>
      <c r="D138" s="418"/>
      <c r="E138" s="418"/>
      <c r="F138" s="418"/>
      <c r="G138" s="418"/>
      <c r="H138" s="418"/>
      <c r="I138" s="418"/>
      <c r="J138" s="418"/>
      <c r="K138" s="418"/>
      <c r="L138" s="418"/>
      <c r="M138" s="418"/>
      <c r="N138" s="418"/>
      <c r="O138" s="418"/>
      <c r="P138" s="418"/>
      <c r="Q138" s="418"/>
      <c r="R138" s="418"/>
      <c r="S138" s="418"/>
      <c r="T138" s="418"/>
      <c r="U138" s="418"/>
      <c r="V138" s="418"/>
      <c r="W138" s="418"/>
      <c r="X138" s="418"/>
      <c r="Y138" s="418"/>
      <c r="Z138" s="418"/>
      <c r="AA138" s="418"/>
      <c r="AB138" s="418"/>
      <c r="AC138" s="418"/>
      <c r="AD138" s="418"/>
      <c r="AE138" s="306"/>
      <c r="AF138" s="306"/>
      <c r="AG138" s="306"/>
      <c r="AH138" s="306"/>
      <c r="AI138" s="306"/>
      <c r="AJ138" s="306"/>
      <c r="AK138" s="306"/>
      <c r="AL138" s="306"/>
      <c r="AM138" s="306"/>
      <c r="AN138" s="306"/>
      <c r="AO138" s="306"/>
      <c r="AP138" s="306"/>
      <c r="AQ138" s="306"/>
      <c r="AR138" s="306"/>
      <c r="AS138" s="306"/>
      <c r="AT138" s="306"/>
      <c r="AU138" s="306"/>
      <c r="AV138" s="306"/>
      <c r="AW138" s="306"/>
      <c r="AX138" s="306"/>
      <c r="AY138" s="306"/>
      <c r="AZ138" s="306"/>
    </row>
    <row r="139" spans="1:52" ht="17.100000000000001" customHeight="1">
      <c r="A139" s="306"/>
      <c r="B139" s="306"/>
      <c r="C139" s="418"/>
      <c r="D139" s="418"/>
      <c r="E139" s="418"/>
      <c r="F139" s="418"/>
      <c r="G139" s="418"/>
      <c r="H139" s="418"/>
      <c r="I139" s="418"/>
      <c r="J139" s="418"/>
      <c r="K139" s="418"/>
      <c r="L139" s="418"/>
      <c r="M139" s="418"/>
      <c r="N139" s="418"/>
      <c r="O139" s="418"/>
      <c r="P139" s="418"/>
      <c r="Q139" s="418"/>
      <c r="R139" s="418"/>
      <c r="S139" s="418"/>
      <c r="T139" s="418"/>
      <c r="U139" s="418"/>
      <c r="V139" s="418"/>
      <c r="W139" s="418"/>
      <c r="X139" s="418"/>
      <c r="Y139" s="418"/>
      <c r="Z139" s="418"/>
      <c r="AA139" s="418"/>
      <c r="AB139" s="418"/>
      <c r="AC139" s="418"/>
      <c r="AD139" s="418"/>
      <c r="AE139" s="306"/>
      <c r="AF139" s="306"/>
      <c r="AG139" s="306"/>
      <c r="AH139" s="306"/>
      <c r="AI139" s="306"/>
      <c r="AJ139" s="306"/>
      <c r="AK139" s="306"/>
      <c r="AL139" s="306"/>
      <c r="AM139" s="306"/>
      <c r="AN139" s="306"/>
      <c r="AO139" s="306"/>
      <c r="AP139" s="306"/>
      <c r="AQ139" s="306"/>
      <c r="AR139" s="306"/>
      <c r="AS139" s="306"/>
      <c r="AT139" s="306"/>
      <c r="AU139" s="306"/>
      <c r="AV139" s="306"/>
      <c r="AW139" s="306"/>
      <c r="AX139" s="306"/>
      <c r="AY139" s="306"/>
      <c r="AZ139" s="306"/>
    </row>
    <row r="140" spans="1:52" ht="17.100000000000001" customHeight="1">
      <c r="A140" s="306"/>
      <c r="B140" s="306"/>
      <c r="C140" s="418"/>
      <c r="D140" s="418"/>
      <c r="E140" s="418"/>
      <c r="F140" s="418"/>
      <c r="G140" s="418"/>
      <c r="H140" s="418"/>
      <c r="I140" s="418"/>
      <c r="J140" s="418"/>
      <c r="K140" s="418"/>
      <c r="L140" s="418"/>
      <c r="M140" s="418"/>
      <c r="N140" s="418"/>
      <c r="O140" s="418"/>
      <c r="P140" s="418"/>
      <c r="Q140" s="418"/>
      <c r="R140" s="418"/>
      <c r="S140" s="418"/>
      <c r="T140" s="418"/>
      <c r="U140" s="418"/>
      <c r="V140" s="418"/>
      <c r="W140" s="418"/>
      <c r="X140" s="418"/>
      <c r="Y140" s="418"/>
      <c r="Z140" s="418"/>
      <c r="AA140" s="418"/>
      <c r="AB140" s="418"/>
      <c r="AC140" s="418"/>
      <c r="AD140" s="418"/>
      <c r="AE140" s="306"/>
      <c r="AF140" s="306"/>
      <c r="AG140" s="306"/>
      <c r="AH140" s="306"/>
      <c r="AI140" s="306"/>
      <c r="AJ140" s="306"/>
      <c r="AK140" s="306"/>
      <c r="AL140" s="306"/>
      <c r="AM140" s="306"/>
      <c r="AN140" s="306"/>
      <c r="AO140" s="306"/>
      <c r="AP140" s="306"/>
      <c r="AQ140" s="306"/>
      <c r="AR140" s="306"/>
      <c r="AS140" s="306"/>
      <c r="AT140" s="306"/>
      <c r="AU140" s="306"/>
      <c r="AV140" s="306"/>
      <c r="AW140" s="306"/>
      <c r="AX140" s="306"/>
      <c r="AY140" s="306"/>
      <c r="AZ140" s="306"/>
    </row>
    <row r="141" spans="1:52" ht="17.100000000000001" customHeight="1">
      <c r="A141" s="306"/>
      <c r="B141" s="306"/>
      <c r="C141" s="418"/>
      <c r="D141" s="418"/>
      <c r="E141" s="418"/>
      <c r="F141" s="418"/>
      <c r="G141" s="418"/>
      <c r="H141" s="418"/>
      <c r="I141" s="418"/>
      <c r="J141" s="418"/>
      <c r="K141" s="418"/>
      <c r="L141" s="418"/>
      <c r="M141" s="418"/>
      <c r="N141" s="418"/>
      <c r="O141" s="418"/>
      <c r="P141" s="418"/>
      <c r="Q141" s="418"/>
      <c r="R141" s="418"/>
      <c r="S141" s="418"/>
      <c r="T141" s="418"/>
      <c r="U141" s="418"/>
      <c r="V141" s="418"/>
      <c r="W141" s="418"/>
      <c r="X141" s="418"/>
      <c r="Y141" s="418"/>
      <c r="Z141" s="418"/>
      <c r="AA141" s="418"/>
      <c r="AB141" s="418"/>
      <c r="AC141" s="418"/>
      <c r="AD141" s="418"/>
      <c r="AE141" s="306"/>
      <c r="AF141" s="306"/>
      <c r="AG141" s="306"/>
      <c r="AH141" s="306"/>
      <c r="AI141" s="306"/>
      <c r="AJ141" s="306"/>
      <c r="AK141" s="306"/>
      <c r="AL141" s="306"/>
      <c r="AM141" s="306"/>
      <c r="AN141" s="306"/>
      <c r="AO141" s="306"/>
      <c r="AP141" s="306"/>
      <c r="AQ141" s="306"/>
      <c r="AR141" s="306"/>
      <c r="AS141" s="306"/>
      <c r="AT141" s="306"/>
      <c r="AU141" s="306"/>
      <c r="AV141" s="306"/>
      <c r="AW141" s="306"/>
      <c r="AX141" s="306"/>
      <c r="AY141" s="306"/>
      <c r="AZ141" s="306"/>
    </row>
    <row r="142" spans="1:52" ht="17.100000000000001" customHeight="1">
      <c r="A142" s="306"/>
      <c r="B142" s="306"/>
      <c r="C142" s="418"/>
      <c r="D142" s="418"/>
      <c r="E142" s="418"/>
      <c r="F142" s="418"/>
      <c r="G142" s="418"/>
      <c r="H142" s="418"/>
      <c r="I142" s="418"/>
      <c r="J142" s="418"/>
      <c r="K142" s="418"/>
      <c r="L142" s="418"/>
      <c r="M142" s="418"/>
      <c r="N142" s="418"/>
      <c r="O142" s="418"/>
      <c r="P142" s="418"/>
      <c r="Q142" s="418"/>
      <c r="R142" s="418"/>
      <c r="S142" s="418"/>
      <c r="T142" s="418"/>
      <c r="U142" s="418"/>
      <c r="V142" s="418"/>
      <c r="W142" s="418"/>
      <c r="X142" s="418"/>
      <c r="Y142" s="418"/>
      <c r="Z142" s="418"/>
      <c r="AA142" s="418"/>
      <c r="AB142" s="418"/>
      <c r="AC142" s="418"/>
      <c r="AD142" s="418"/>
      <c r="AE142" s="306"/>
      <c r="AF142" s="306"/>
      <c r="AG142" s="306"/>
      <c r="AH142" s="306"/>
      <c r="AI142" s="306"/>
      <c r="AJ142" s="306"/>
      <c r="AK142" s="306"/>
      <c r="AL142" s="306"/>
      <c r="AM142" s="306"/>
      <c r="AN142" s="306"/>
      <c r="AO142" s="306"/>
      <c r="AP142" s="306"/>
      <c r="AQ142" s="306"/>
      <c r="AR142" s="306"/>
      <c r="AS142" s="306"/>
      <c r="AT142" s="306"/>
      <c r="AU142" s="306"/>
      <c r="AV142" s="306"/>
      <c r="AW142" s="306"/>
      <c r="AX142" s="306"/>
      <c r="AY142" s="306"/>
      <c r="AZ142" s="306"/>
    </row>
    <row r="143" spans="1:52" ht="17.100000000000001" customHeight="1">
      <c r="A143" s="306"/>
      <c r="B143" s="306"/>
      <c r="C143" s="418"/>
      <c r="D143" s="418"/>
      <c r="E143" s="418"/>
      <c r="F143" s="418"/>
      <c r="G143" s="418"/>
      <c r="H143" s="418"/>
      <c r="I143" s="418"/>
      <c r="J143" s="418"/>
      <c r="K143" s="418"/>
      <c r="L143" s="418"/>
      <c r="M143" s="418"/>
      <c r="N143" s="418"/>
      <c r="O143" s="418"/>
      <c r="P143" s="418"/>
      <c r="Q143" s="418"/>
      <c r="R143" s="418"/>
      <c r="S143" s="418"/>
      <c r="T143" s="418"/>
      <c r="U143" s="418"/>
      <c r="V143" s="418"/>
      <c r="W143" s="418"/>
      <c r="X143" s="418"/>
      <c r="Y143" s="418"/>
      <c r="Z143" s="418"/>
      <c r="AA143" s="418"/>
      <c r="AB143" s="418"/>
      <c r="AC143" s="418"/>
      <c r="AD143" s="418"/>
      <c r="AE143" s="306"/>
      <c r="AF143" s="306"/>
      <c r="AG143" s="306"/>
      <c r="AH143" s="306"/>
      <c r="AI143" s="306"/>
      <c r="AJ143" s="306"/>
      <c r="AK143" s="306"/>
      <c r="AL143" s="306"/>
      <c r="AM143" s="306"/>
      <c r="AN143" s="306"/>
      <c r="AO143" s="306"/>
      <c r="AP143" s="306"/>
      <c r="AQ143" s="306"/>
      <c r="AR143" s="306"/>
      <c r="AS143" s="306"/>
      <c r="AT143" s="306"/>
      <c r="AU143" s="306"/>
      <c r="AV143" s="306"/>
      <c r="AW143" s="306"/>
      <c r="AX143" s="306"/>
      <c r="AY143" s="306"/>
      <c r="AZ143" s="306"/>
    </row>
    <row r="144" spans="1:52" ht="17.100000000000001" customHeight="1">
      <c r="A144" s="306"/>
      <c r="B144" s="306"/>
      <c r="C144" s="418"/>
      <c r="D144" s="418"/>
      <c r="E144" s="418"/>
      <c r="F144" s="418"/>
      <c r="G144" s="418"/>
      <c r="H144" s="418"/>
      <c r="I144" s="418"/>
      <c r="J144" s="418"/>
      <c r="K144" s="418"/>
      <c r="L144" s="418"/>
      <c r="M144" s="418"/>
      <c r="N144" s="418"/>
      <c r="O144" s="418"/>
      <c r="P144" s="418"/>
      <c r="Q144" s="418"/>
      <c r="R144" s="418"/>
      <c r="S144" s="418"/>
      <c r="T144" s="418"/>
      <c r="U144" s="418"/>
      <c r="V144" s="418"/>
      <c r="W144" s="418"/>
      <c r="X144" s="418"/>
      <c r="Y144" s="418"/>
      <c r="Z144" s="418"/>
      <c r="AA144" s="418"/>
      <c r="AB144" s="418"/>
      <c r="AC144" s="418"/>
      <c r="AD144" s="418"/>
      <c r="AE144" s="306"/>
      <c r="AF144" s="306"/>
      <c r="AG144" s="306"/>
      <c r="AH144" s="306"/>
      <c r="AI144" s="306"/>
      <c r="AJ144" s="306"/>
      <c r="AK144" s="306"/>
      <c r="AL144" s="306"/>
      <c r="AM144" s="306"/>
      <c r="AN144" s="306"/>
      <c r="AO144" s="306"/>
      <c r="AP144" s="306"/>
      <c r="AQ144" s="306"/>
      <c r="AR144" s="306"/>
      <c r="AS144" s="306"/>
      <c r="AT144" s="306"/>
      <c r="AU144" s="306"/>
      <c r="AV144" s="306"/>
      <c r="AW144" s="306"/>
      <c r="AX144" s="306"/>
      <c r="AY144" s="306"/>
      <c r="AZ144" s="306"/>
    </row>
    <row r="145" spans="1:52" ht="17.100000000000001" customHeight="1">
      <c r="A145" s="306"/>
      <c r="B145" s="306"/>
      <c r="C145" s="418"/>
      <c r="D145" s="418"/>
      <c r="E145" s="418"/>
      <c r="F145" s="418"/>
      <c r="G145" s="418"/>
      <c r="H145" s="418"/>
      <c r="I145" s="418"/>
      <c r="J145" s="418"/>
      <c r="K145" s="418"/>
      <c r="L145" s="418"/>
      <c r="M145" s="418"/>
      <c r="N145" s="418"/>
      <c r="O145" s="418"/>
      <c r="P145" s="418"/>
      <c r="Q145" s="418"/>
      <c r="R145" s="418"/>
      <c r="S145" s="418"/>
      <c r="T145" s="418"/>
      <c r="U145" s="418"/>
      <c r="V145" s="418"/>
      <c r="W145" s="418"/>
      <c r="X145" s="418"/>
      <c r="Y145" s="418"/>
      <c r="Z145" s="418"/>
      <c r="AA145" s="418"/>
      <c r="AB145" s="418"/>
      <c r="AC145" s="418"/>
      <c r="AD145" s="418"/>
      <c r="AE145" s="306"/>
      <c r="AF145" s="306"/>
      <c r="AG145" s="306"/>
      <c r="AH145" s="306"/>
      <c r="AI145" s="306"/>
      <c r="AJ145" s="306"/>
      <c r="AK145" s="306"/>
      <c r="AL145" s="306"/>
      <c r="AM145" s="306"/>
      <c r="AN145" s="306"/>
      <c r="AO145" s="306"/>
      <c r="AP145" s="306"/>
      <c r="AQ145" s="306"/>
      <c r="AR145" s="306"/>
      <c r="AS145" s="306"/>
      <c r="AT145" s="306"/>
      <c r="AU145" s="306"/>
      <c r="AV145" s="306"/>
      <c r="AW145" s="306"/>
      <c r="AX145" s="306"/>
      <c r="AY145" s="306"/>
      <c r="AZ145" s="306"/>
    </row>
    <row r="146" spans="1:52" ht="17.100000000000001" customHeight="1">
      <c r="A146" s="306"/>
      <c r="B146" s="306"/>
      <c r="C146" s="418"/>
      <c r="D146" s="418"/>
      <c r="E146" s="418"/>
      <c r="F146" s="418"/>
      <c r="G146" s="418"/>
      <c r="H146" s="418"/>
      <c r="I146" s="418"/>
      <c r="J146" s="418"/>
      <c r="K146" s="418"/>
      <c r="L146" s="418"/>
      <c r="M146" s="418"/>
      <c r="N146" s="418"/>
      <c r="O146" s="418"/>
      <c r="P146" s="418"/>
      <c r="Q146" s="418"/>
      <c r="R146" s="418"/>
      <c r="S146" s="418"/>
      <c r="T146" s="418"/>
      <c r="U146" s="418"/>
      <c r="V146" s="418"/>
      <c r="W146" s="418"/>
      <c r="X146" s="418"/>
      <c r="Y146" s="418"/>
      <c r="Z146" s="418"/>
      <c r="AA146" s="418"/>
      <c r="AB146" s="418"/>
      <c r="AC146" s="418"/>
      <c r="AD146" s="418"/>
      <c r="AE146" s="306"/>
      <c r="AF146" s="306"/>
      <c r="AG146" s="306"/>
      <c r="AH146" s="306"/>
      <c r="AI146" s="306"/>
      <c r="AJ146" s="306"/>
      <c r="AK146" s="306"/>
      <c r="AL146" s="306"/>
      <c r="AM146" s="306"/>
      <c r="AN146" s="306"/>
      <c r="AO146" s="306"/>
      <c r="AP146" s="306"/>
      <c r="AQ146" s="306"/>
      <c r="AR146" s="306"/>
      <c r="AS146" s="306"/>
      <c r="AT146" s="306"/>
      <c r="AU146" s="306"/>
      <c r="AV146" s="306"/>
      <c r="AW146" s="306"/>
      <c r="AX146" s="306"/>
      <c r="AY146" s="306"/>
      <c r="AZ146" s="306"/>
    </row>
    <row r="147" spans="1:52" ht="17.100000000000001" customHeight="1">
      <c r="A147" s="306"/>
      <c r="B147" s="306"/>
      <c r="C147" s="418"/>
      <c r="D147" s="418"/>
      <c r="E147" s="418"/>
      <c r="F147" s="418"/>
      <c r="G147" s="418"/>
      <c r="H147" s="418"/>
      <c r="I147" s="418"/>
      <c r="J147" s="418"/>
      <c r="K147" s="418"/>
      <c r="L147" s="418"/>
      <c r="M147" s="418"/>
      <c r="N147" s="418"/>
      <c r="O147" s="418"/>
      <c r="P147" s="418"/>
      <c r="Q147" s="418"/>
      <c r="R147" s="418"/>
      <c r="S147" s="418"/>
      <c r="T147" s="418"/>
      <c r="U147" s="418"/>
      <c r="V147" s="418"/>
      <c r="W147" s="418"/>
      <c r="X147" s="418"/>
      <c r="Y147" s="418"/>
      <c r="Z147" s="418"/>
      <c r="AA147" s="418"/>
      <c r="AB147" s="418"/>
      <c r="AC147" s="418"/>
      <c r="AD147" s="418"/>
      <c r="AE147" s="306"/>
      <c r="AF147" s="306"/>
      <c r="AG147" s="306"/>
      <c r="AH147" s="306"/>
      <c r="AI147" s="306"/>
      <c r="AJ147" s="306"/>
      <c r="AK147" s="306"/>
      <c r="AL147" s="306"/>
      <c r="AM147" s="306"/>
      <c r="AN147" s="306"/>
      <c r="AO147" s="306"/>
      <c r="AP147" s="306"/>
      <c r="AQ147" s="306"/>
      <c r="AR147" s="306"/>
      <c r="AS147" s="306"/>
      <c r="AT147" s="306"/>
      <c r="AU147" s="306"/>
      <c r="AV147" s="306"/>
      <c r="AW147" s="306"/>
      <c r="AX147" s="306"/>
      <c r="AY147" s="306"/>
      <c r="AZ147" s="306"/>
    </row>
    <row r="148" spans="1:52" ht="17.100000000000001" customHeight="1">
      <c r="A148" s="306"/>
      <c r="B148" s="306"/>
      <c r="C148" s="418"/>
      <c r="D148" s="418"/>
      <c r="E148" s="418"/>
      <c r="F148" s="418"/>
      <c r="G148" s="418"/>
      <c r="H148" s="418"/>
      <c r="I148" s="418"/>
      <c r="J148" s="418"/>
      <c r="K148" s="418"/>
      <c r="L148" s="418"/>
      <c r="M148" s="418"/>
      <c r="N148" s="418"/>
      <c r="O148" s="418"/>
      <c r="P148" s="418"/>
      <c r="Q148" s="418"/>
      <c r="R148" s="418"/>
      <c r="S148" s="418"/>
      <c r="T148" s="418"/>
      <c r="U148" s="418"/>
      <c r="V148" s="418"/>
      <c r="W148" s="418"/>
      <c r="X148" s="418"/>
      <c r="Y148" s="418"/>
      <c r="Z148" s="418"/>
      <c r="AA148" s="418"/>
      <c r="AB148" s="418"/>
      <c r="AC148" s="418"/>
      <c r="AD148" s="418"/>
      <c r="AE148" s="306"/>
      <c r="AF148" s="306"/>
      <c r="AG148" s="306"/>
      <c r="AH148" s="306"/>
      <c r="AI148" s="306"/>
      <c r="AJ148" s="306"/>
      <c r="AK148" s="306"/>
      <c r="AL148" s="306"/>
      <c r="AM148" s="306"/>
      <c r="AN148" s="306"/>
      <c r="AO148" s="306"/>
      <c r="AP148" s="306"/>
      <c r="AQ148" s="306"/>
      <c r="AR148" s="306"/>
      <c r="AS148" s="306"/>
      <c r="AT148" s="306"/>
      <c r="AU148" s="306"/>
      <c r="AV148" s="306"/>
      <c r="AW148" s="306"/>
      <c r="AX148" s="306"/>
      <c r="AY148" s="306"/>
      <c r="AZ148" s="306"/>
    </row>
    <row r="149" spans="1:52" ht="17.100000000000001" customHeight="1">
      <c r="A149" s="306"/>
      <c r="B149" s="306"/>
      <c r="C149" s="418"/>
      <c r="D149" s="418"/>
      <c r="E149" s="418"/>
      <c r="F149" s="418"/>
      <c r="G149" s="418"/>
      <c r="H149" s="418"/>
      <c r="I149" s="418"/>
      <c r="J149" s="418"/>
      <c r="K149" s="418"/>
      <c r="L149" s="418"/>
      <c r="M149" s="418"/>
      <c r="N149" s="418"/>
      <c r="O149" s="418"/>
      <c r="P149" s="418"/>
      <c r="Q149" s="418"/>
      <c r="R149" s="418"/>
      <c r="S149" s="418"/>
      <c r="T149" s="418"/>
      <c r="U149" s="418"/>
      <c r="V149" s="418"/>
      <c r="W149" s="418"/>
      <c r="X149" s="418"/>
      <c r="Y149" s="418"/>
      <c r="Z149" s="418"/>
      <c r="AA149" s="418"/>
      <c r="AB149" s="418"/>
      <c r="AC149" s="418"/>
      <c r="AD149" s="418"/>
      <c r="AE149" s="306"/>
      <c r="AF149" s="306"/>
      <c r="AG149" s="306"/>
      <c r="AH149" s="306"/>
      <c r="AI149" s="306"/>
      <c r="AJ149" s="306"/>
      <c r="AK149" s="306"/>
      <c r="AL149" s="306"/>
      <c r="AM149" s="306"/>
      <c r="AN149" s="306"/>
      <c r="AO149" s="306"/>
      <c r="AP149" s="306"/>
      <c r="AQ149" s="306"/>
      <c r="AR149" s="306"/>
      <c r="AS149" s="306"/>
      <c r="AT149" s="306"/>
      <c r="AU149" s="306"/>
      <c r="AV149" s="306"/>
      <c r="AW149" s="306"/>
      <c r="AX149" s="306"/>
      <c r="AY149" s="306"/>
      <c r="AZ149" s="306"/>
    </row>
    <row r="150" spans="1:52" ht="17.100000000000001" customHeight="1">
      <c r="A150" s="306"/>
      <c r="B150" s="306"/>
      <c r="C150" s="418"/>
      <c r="D150" s="418"/>
      <c r="E150" s="418"/>
      <c r="F150" s="418"/>
      <c r="G150" s="418"/>
      <c r="H150" s="418"/>
      <c r="I150" s="418"/>
      <c r="J150" s="418"/>
      <c r="K150" s="418"/>
      <c r="L150" s="418"/>
      <c r="M150" s="418"/>
      <c r="N150" s="418"/>
      <c r="O150" s="418"/>
      <c r="P150" s="418"/>
      <c r="Q150" s="418"/>
      <c r="R150" s="418"/>
      <c r="S150" s="418"/>
      <c r="T150" s="418"/>
      <c r="U150" s="418"/>
      <c r="V150" s="418"/>
      <c r="W150" s="418"/>
      <c r="X150" s="418"/>
      <c r="Y150" s="418"/>
      <c r="Z150" s="418"/>
      <c r="AA150" s="418"/>
      <c r="AB150" s="418"/>
      <c r="AC150" s="418"/>
      <c r="AD150" s="418"/>
      <c r="AE150" s="306"/>
      <c r="AF150" s="306"/>
      <c r="AG150" s="306"/>
      <c r="AH150" s="306"/>
      <c r="AI150" s="306"/>
      <c r="AJ150" s="306"/>
      <c r="AK150" s="306"/>
      <c r="AL150" s="306"/>
      <c r="AM150" s="306"/>
      <c r="AN150" s="306"/>
      <c r="AO150" s="306"/>
      <c r="AP150" s="306"/>
      <c r="AQ150" s="306"/>
      <c r="AR150" s="306"/>
      <c r="AS150" s="306"/>
      <c r="AT150" s="306"/>
      <c r="AU150" s="306"/>
      <c r="AV150" s="306"/>
      <c r="AW150" s="306"/>
      <c r="AX150" s="306"/>
      <c r="AY150" s="306"/>
      <c r="AZ150" s="306"/>
    </row>
    <row r="151" spans="1:52" ht="17.100000000000001" customHeight="1">
      <c r="A151" s="306"/>
      <c r="B151" s="306"/>
      <c r="C151" s="418"/>
      <c r="D151" s="418"/>
      <c r="E151" s="418"/>
      <c r="F151" s="418"/>
      <c r="G151" s="418"/>
      <c r="H151" s="418"/>
      <c r="I151" s="418"/>
      <c r="J151" s="418"/>
      <c r="K151" s="418"/>
      <c r="L151" s="418"/>
      <c r="M151" s="418"/>
      <c r="N151" s="418"/>
      <c r="O151" s="418"/>
      <c r="P151" s="418"/>
      <c r="Q151" s="418"/>
      <c r="R151" s="418"/>
      <c r="S151" s="418"/>
      <c r="T151" s="418"/>
      <c r="U151" s="418"/>
      <c r="V151" s="418"/>
      <c r="W151" s="418"/>
      <c r="X151" s="418"/>
      <c r="Y151" s="418"/>
      <c r="Z151" s="418"/>
      <c r="AA151" s="418"/>
      <c r="AB151" s="418"/>
      <c r="AC151" s="418"/>
      <c r="AD151" s="418"/>
      <c r="AE151" s="306"/>
      <c r="AF151" s="306"/>
      <c r="AG151" s="306"/>
      <c r="AH151" s="306"/>
      <c r="AI151" s="306"/>
      <c r="AJ151" s="306"/>
      <c r="AK151" s="306"/>
      <c r="AL151" s="306"/>
      <c r="AM151" s="306"/>
      <c r="AN151" s="306"/>
      <c r="AO151" s="306"/>
      <c r="AP151" s="306"/>
      <c r="AQ151" s="306"/>
      <c r="AR151" s="306"/>
      <c r="AS151" s="306"/>
      <c r="AT151" s="306"/>
      <c r="AU151" s="306"/>
      <c r="AV151" s="306"/>
      <c r="AW151" s="306"/>
      <c r="AX151" s="306"/>
      <c r="AY151" s="306"/>
      <c r="AZ151" s="306"/>
    </row>
    <row r="152" spans="1:52" ht="17.100000000000001" customHeight="1">
      <c r="A152" s="306"/>
      <c r="B152" s="306"/>
      <c r="C152" s="418"/>
      <c r="D152" s="418"/>
      <c r="E152" s="418"/>
      <c r="F152" s="418"/>
      <c r="G152" s="418"/>
      <c r="H152" s="418"/>
      <c r="I152" s="418"/>
      <c r="J152" s="418"/>
      <c r="K152" s="418"/>
      <c r="L152" s="418"/>
      <c r="M152" s="418"/>
      <c r="N152" s="418"/>
      <c r="O152" s="418"/>
      <c r="P152" s="418"/>
      <c r="Q152" s="418"/>
      <c r="R152" s="418"/>
      <c r="S152" s="418"/>
      <c r="T152" s="418"/>
      <c r="U152" s="418"/>
      <c r="V152" s="418"/>
      <c r="W152" s="418"/>
      <c r="X152" s="418"/>
      <c r="Y152" s="418"/>
      <c r="Z152" s="418"/>
      <c r="AA152" s="418"/>
      <c r="AB152" s="418"/>
      <c r="AC152" s="418"/>
      <c r="AD152" s="418"/>
      <c r="AE152" s="306"/>
      <c r="AF152" s="306"/>
      <c r="AG152" s="306"/>
      <c r="AH152" s="306"/>
      <c r="AI152" s="306"/>
      <c r="AJ152" s="306"/>
      <c r="AK152" s="306"/>
      <c r="AL152" s="306"/>
      <c r="AM152" s="306"/>
      <c r="AN152" s="306"/>
      <c r="AO152" s="306"/>
      <c r="AP152" s="306"/>
      <c r="AQ152" s="306"/>
      <c r="AR152" s="306"/>
      <c r="AS152" s="306"/>
      <c r="AT152" s="306"/>
      <c r="AU152" s="306"/>
      <c r="AV152" s="306"/>
      <c r="AW152" s="306"/>
      <c r="AX152" s="306"/>
      <c r="AY152" s="306"/>
      <c r="AZ152" s="306"/>
    </row>
    <row r="153" spans="1:52" ht="17.100000000000001" customHeight="1">
      <c r="A153" s="306"/>
      <c r="B153" s="306"/>
      <c r="C153" s="418"/>
      <c r="D153" s="418"/>
      <c r="E153" s="418"/>
      <c r="F153" s="418"/>
      <c r="G153" s="418"/>
      <c r="H153" s="418"/>
      <c r="I153" s="418"/>
      <c r="J153" s="418"/>
      <c r="K153" s="418"/>
      <c r="L153" s="418"/>
      <c r="M153" s="418"/>
      <c r="N153" s="418"/>
      <c r="O153" s="418"/>
      <c r="P153" s="418"/>
      <c r="Q153" s="418"/>
      <c r="R153" s="418"/>
      <c r="S153" s="418"/>
      <c r="T153" s="418"/>
      <c r="U153" s="418"/>
      <c r="V153" s="418"/>
      <c r="W153" s="418"/>
      <c r="X153" s="418"/>
      <c r="Y153" s="418"/>
      <c r="Z153" s="418"/>
      <c r="AA153" s="418"/>
      <c r="AB153" s="418"/>
      <c r="AC153" s="418"/>
      <c r="AD153" s="418"/>
      <c r="AE153" s="306"/>
      <c r="AF153" s="306"/>
      <c r="AG153" s="306"/>
      <c r="AH153" s="306"/>
      <c r="AI153" s="306"/>
      <c r="AJ153" s="306"/>
      <c r="AK153" s="306"/>
      <c r="AL153" s="306"/>
      <c r="AM153" s="306"/>
      <c r="AN153" s="306"/>
      <c r="AO153" s="306"/>
      <c r="AP153" s="306"/>
      <c r="AQ153" s="306"/>
      <c r="AR153" s="306"/>
      <c r="AS153" s="306"/>
      <c r="AT153" s="306"/>
      <c r="AU153" s="306"/>
      <c r="AV153" s="306"/>
      <c r="AW153" s="306"/>
      <c r="AX153" s="306"/>
      <c r="AY153" s="306"/>
      <c r="AZ153" s="306"/>
    </row>
    <row r="154" spans="1:52" ht="17.100000000000001" customHeight="1">
      <c r="A154" s="306"/>
      <c r="B154" s="306"/>
      <c r="C154" s="418"/>
      <c r="D154" s="418"/>
      <c r="E154" s="418"/>
      <c r="F154" s="418"/>
      <c r="G154" s="418"/>
      <c r="H154" s="418"/>
      <c r="I154" s="418"/>
      <c r="J154" s="418"/>
      <c r="K154" s="418"/>
      <c r="L154" s="418"/>
      <c r="M154" s="418"/>
      <c r="N154" s="418"/>
      <c r="O154" s="418"/>
      <c r="P154" s="418"/>
      <c r="Q154" s="418"/>
      <c r="R154" s="418"/>
      <c r="S154" s="418"/>
      <c r="T154" s="418"/>
      <c r="U154" s="418"/>
      <c r="V154" s="418"/>
      <c r="W154" s="418"/>
      <c r="X154" s="418"/>
      <c r="Y154" s="418"/>
      <c r="Z154" s="418"/>
      <c r="AA154" s="418"/>
      <c r="AB154" s="418"/>
      <c r="AC154" s="418"/>
      <c r="AD154" s="418"/>
      <c r="AE154" s="306"/>
      <c r="AF154" s="306"/>
      <c r="AG154" s="306"/>
      <c r="AH154" s="306"/>
      <c r="AI154" s="306"/>
      <c r="AJ154" s="306"/>
      <c r="AK154" s="306"/>
      <c r="AL154" s="306"/>
      <c r="AM154" s="306"/>
      <c r="AN154" s="306"/>
      <c r="AO154" s="306"/>
      <c r="AP154" s="306"/>
      <c r="AQ154" s="306"/>
      <c r="AR154" s="306"/>
      <c r="AS154" s="306"/>
      <c r="AT154" s="306"/>
      <c r="AU154" s="306"/>
      <c r="AV154" s="306"/>
      <c r="AW154" s="306"/>
      <c r="AX154" s="306"/>
      <c r="AY154" s="306"/>
      <c r="AZ154" s="306"/>
    </row>
    <row r="155" spans="1:52" ht="17.100000000000001" customHeight="1">
      <c r="A155" s="306"/>
      <c r="B155" s="306"/>
      <c r="C155" s="418"/>
      <c r="D155" s="418"/>
      <c r="E155" s="418"/>
      <c r="F155" s="418"/>
      <c r="G155" s="418"/>
      <c r="H155" s="418"/>
      <c r="I155" s="418"/>
      <c r="J155" s="418"/>
      <c r="K155" s="418"/>
      <c r="L155" s="418"/>
      <c r="M155" s="418"/>
      <c r="N155" s="418"/>
      <c r="O155" s="418"/>
      <c r="P155" s="418"/>
      <c r="Q155" s="418"/>
      <c r="R155" s="418"/>
      <c r="S155" s="418"/>
      <c r="T155" s="418"/>
      <c r="U155" s="418"/>
      <c r="V155" s="418"/>
      <c r="W155" s="418"/>
      <c r="X155" s="418"/>
      <c r="Y155" s="418"/>
      <c r="Z155" s="418"/>
      <c r="AA155" s="418"/>
      <c r="AB155" s="418"/>
      <c r="AC155" s="418"/>
      <c r="AD155" s="418"/>
      <c r="AE155" s="306"/>
      <c r="AF155" s="306"/>
      <c r="AG155" s="306"/>
      <c r="AH155" s="306"/>
      <c r="AI155" s="306"/>
      <c r="AJ155" s="306"/>
      <c r="AK155" s="306"/>
      <c r="AL155" s="306"/>
      <c r="AM155" s="306"/>
      <c r="AN155" s="306"/>
      <c r="AO155" s="306"/>
      <c r="AP155" s="306"/>
      <c r="AQ155" s="306"/>
      <c r="AR155" s="306"/>
      <c r="AS155" s="306"/>
      <c r="AT155" s="306"/>
      <c r="AU155" s="306"/>
      <c r="AV155" s="306"/>
      <c r="AW155" s="306"/>
      <c r="AX155" s="306"/>
      <c r="AY155" s="306"/>
      <c r="AZ155" s="306"/>
    </row>
    <row r="156" spans="1:52" ht="17.100000000000001" customHeight="1">
      <c r="A156" s="306"/>
      <c r="B156" s="306"/>
      <c r="C156" s="418"/>
      <c r="D156" s="418"/>
      <c r="E156" s="418"/>
      <c r="F156" s="418"/>
      <c r="G156" s="418"/>
      <c r="H156" s="418"/>
      <c r="I156" s="418"/>
      <c r="J156" s="418"/>
      <c r="K156" s="418"/>
      <c r="L156" s="418"/>
      <c r="M156" s="418"/>
      <c r="N156" s="418"/>
      <c r="O156" s="418"/>
      <c r="P156" s="418"/>
      <c r="Q156" s="418"/>
      <c r="R156" s="418"/>
      <c r="S156" s="418"/>
      <c r="T156" s="418"/>
      <c r="U156" s="418"/>
      <c r="V156" s="418"/>
      <c r="W156" s="418"/>
      <c r="X156" s="418"/>
      <c r="Y156" s="418"/>
      <c r="Z156" s="418"/>
      <c r="AA156" s="418"/>
      <c r="AB156" s="418"/>
      <c r="AC156" s="418"/>
      <c r="AD156" s="418"/>
      <c r="AE156" s="306"/>
      <c r="AF156" s="306"/>
      <c r="AG156" s="306"/>
      <c r="AH156" s="306"/>
      <c r="AI156" s="306"/>
      <c r="AJ156" s="306"/>
      <c r="AK156" s="306"/>
      <c r="AL156" s="306"/>
      <c r="AM156" s="306"/>
      <c r="AN156" s="306"/>
      <c r="AO156" s="306"/>
      <c r="AP156" s="306"/>
      <c r="AQ156" s="306"/>
      <c r="AR156" s="306"/>
      <c r="AS156" s="306"/>
      <c r="AT156" s="306"/>
      <c r="AU156" s="306"/>
      <c r="AV156" s="306"/>
      <c r="AW156" s="306"/>
      <c r="AX156" s="306"/>
      <c r="AY156" s="306"/>
      <c r="AZ156" s="306"/>
    </row>
    <row r="157" spans="1:52" ht="17.100000000000001" customHeight="1">
      <c r="A157" s="306"/>
      <c r="B157" s="306"/>
      <c r="C157" s="418"/>
      <c r="D157" s="418"/>
      <c r="E157" s="418"/>
      <c r="F157" s="418"/>
      <c r="G157" s="418"/>
      <c r="H157" s="418"/>
      <c r="I157" s="418"/>
      <c r="J157" s="418"/>
      <c r="K157" s="418"/>
      <c r="L157" s="418"/>
      <c r="M157" s="418"/>
      <c r="N157" s="418"/>
      <c r="O157" s="418"/>
      <c r="P157" s="418"/>
      <c r="Q157" s="418"/>
      <c r="R157" s="418"/>
      <c r="S157" s="418"/>
      <c r="T157" s="418"/>
      <c r="U157" s="418"/>
      <c r="V157" s="418"/>
      <c r="W157" s="418"/>
      <c r="X157" s="418"/>
      <c r="Y157" s="418"/>
      <c r="Z157" s="418"/>
      <c r="AA157" s="418"/>
      <c r="AB157" s="418"/>
      <c r="AC157" s="418"/>
      <c r="AD157" s="418"/>
      <c r="AE157" s="306"/>
      <c r="AF157" s="306"/>
      <c r="AG157" s="306"/>
      <c r="AH157" s="306"/>
      <c r="AI157" s="306"/>
      <c r="AJ157" s="306"/>
      <c r="AK157" s="306"/>
      <c r="AL157" s="306"/>
      <c r="AM157" s="306"/>
      <c r="AN157" s="306"/>
      <c r="AO157" s="306"/>
      <c r="AP157" s="306"/>
      <c r="AQ157" s="306"/>
      <c r="AR157" s="306"/>
      <c r="AS157" s="306"/>
      <c r="AT157" s="306"/>
      <c r="AU157" s="306"/>
      <c r="AV157" s="306"/>
      <c r="AW157" s="306"/>
      <c r="AX157" s="306"/>
      <c r="AY157" s="306"/>
      <c r="AZ157" s="306"/>
    </row>
    <row r="158" spans="1:52" ht="17.100000000000001" customHeight="1">
      <c r="A158" s="306"/>
      <c r="B158" s="306"/>
      <c r="C158" s="418"/>
      <c r="D158" s="418"/>
      <c r="E158" s="418"/>
      <c r="F158" s="418"/>
      <c r="G158" s="418"/>
      <c r="H158" s="418"/>
      <c r="I158" s="418"/>
      <c r="J158" s="418"/>
      <c r="K158" s="418"/>
      <c r="L158" s="418"/>
      <c r="M158" s="418"/>
      <c r="N158" s="418"/>
      <c r="O158" s="418"/>
      <c r="P158" s="418"/>
      <c r="Q158" s="418"/>
      <c r="R158" s="418"/>
      <c r="S158" s="418"/>
      <c r="T158" s="418"/>
      <c r="U158" s="418"/>
      <c r="V158" s="418"/>
      <c r="W158" s="418"/>
      <c r="X158" s="418"/>
      <c r="Y158" s="418"/>
      <c r="Z158" s="418"/>
      <c r="AA158" s="418"/>
      <c r="AB158" s="418"/>
      <c r="AC158" s="418"/>
      <c r="AD158" s="418"/>
      <c r="AE158" s="306"/>
      <c r="AF158" s="306"/>
      <c r="AG158" s="306"/>
      <c r="AH158" s="306"/>
      <c r="AI158" s="306"/>
      <c r="AJ158" s="306"/>
      <c r="AK158" s="306"/>
      <c r="AL158" s="306"/>
      <c r="AM158" s="306"/>
      <c r="AN158" s="306"/>
      <c r="AO158" s="306"/>
      <c r="AP158" s="306"/>
      <c r="AQ158" s="306"/>
      <c r="AR158" s="306"/>
      <c r="AS158" s="306"/>
      <c r="AT158" s="306"/>
      <c r="AU158" s="306"/>
      <c r="AV158" s="306"/>
      <c r="AW158" s="306"/>
      <c r="AX158" s="306"/>
      <c r="AY158" s="306"/>
      <c r="AZ158" s="306"/>
    </row>
    <row r="159" spans="1:52" ht="17.100000000000001" customHeight="1">
      <c r="A159" s="306"/>
      <c r="B159" s="306"/>
      <c r="C159" s="418"/>
      <c r="D159" s="418"/>
      <c r="E159" s="418"/>
      <c r="F159" s="418"/>
      <c r="G159" s="418"/>
      <c r="H159" s="418"/>
      <c r="I159" s="418"/>
      <c r="J159" s="418"/>
      <c r="K159" s="418"/>
      <c r="L159" s="418"/>
      <c r="M159" s="418"/>
      <c r="N159" s="418"/>
      <c r="O159" s="418"/>
      <c r="P159" s="418"/>
      <c r="Q159" s="418"/>
      <c r="R159" s="418"/>
      <c r="S159" s="418"/>
      <c r="T159" s="418"/>
      <c r="U159" s="418"/>
      <c r="V159" s="418"/>
      <c r="W159" s="418"/>
      <c r="X159" s="418"/>
      <c r="Y159" s="418"/>
      <c r="Z159" s="418"/>
      <c r="AA159" s="418"/>
      <c r="AB159" s="418"/>
      <c r="AC159" s="418"/>
      <c r="AD159" s="418"/>
      <c r="AE159" s="306"/>
      <c r="AF159" s="306"/>
      <c r="AG159" s="306"/>
      <c r="AH159" s="306"/>
      <c r="AI159" s="306"/>
      <c r="AJ159" s="306"/>
      <c r="AK159" s="306"/>
      <c r="AL159" s="306"/>
      <c r="AM159" s="306"/>
      <c r="AN159" s="306"/>
      <c r="AO159" s="306"/>
      <c r="AP159" s="306"/>
      <c r="AQ159" s="306"/>
      <c r="AR159" s="306"/>
      <c r="AS159" s="306"/>
      <c r="AT159" s="306"/>
      <c r="AU159" s="306"/>
      <c r="AV159" s="306"/>
      <c r="AW159" s="306"/>
      <c r="AX159" s="306"/>
      <c r="AY159" s="306"/>
      <c r="AZ159" s="306"/>
    </row>
    <row r="160" spans="1:52" ht="17.100000000000001" customHeight="1">
      <c r="A160" s="306"/>
      <c r="B160" s="306"/>
      <c r="C160" s="418"/>
      <c r="D160" s="418"/>
      <c r="E160" s="418"/>
      <c r="F160" s="418"/>
      <c r="G160" s="418"/>
      <c r="H160" s="418"/>
      <c r="I160" s="418"/>
      <c r="J160" s="418"/>
      <c r="K160" s="418"/>
      <c r="L160" s="418"/>
      <c r="M160" s="418"/>
      <c r="N160" s="418"/>
      <c r="O160" s="418"/>
      <c r="P160" s="418"/>
      <c r="Q160" s="418"/>
      <c r="R160" s="418"/>
      <c r="S160" s="418"/>
      <c r="T160" s="418"/>
      <c r="U160" s="418"/>
      <c r="V160" s="418"/>
      <c r="W160" s="418"/>
      <c r="X160" s="418"/>
      <c r="Y160" s="418"/>
      <c r="Z160" s="418"/>
      <c r="AA160" s="418"/>
      <c r="AB160" s="418"/>
      <c r="AC160" s="418"/>
      <c r="AD160" s="418"/>
      <c r="AE160" s="306"/>
      <c r="AF160" s="306"/>
      <c r="AG160" s="306"/>
      <c r="AH160" s="306"/>
      <c r="AI160" s="306"/>
      <c r="AJ160" s="306"/>
      <c r="AK160" s="306"/>
      <c r="AL160" s="306"/>
      <c r="AM160" s="306"/>
      <c r="AN160" s="306"/>
      <c r="AO160" s="306"/>
      <c r="AP160" s="306"/>
      <c r="AQ160" s="306"/>
      <c r="AR160" s="306"/>
      <c r="AS160" s="306"/>
      <c r="AT160" s="306"/>
      <c r="AU160" s="306"/>
      <c r="AV160" s="306"/>
      <c r="AW160" s="306"/>
      <c r="AX160" s="306"/>
      <c r="AY160" s="306"/>
      <c r="AZ160" s="306"/>
    </row>
    <row r="161" spans="1:52" ht="17.100000000000001" customHeight="1">
      <c r="A161" s="306"/>
      <c r="B161" s="306"/>
      <c r="C161" s="418"/>
      <c r="D161" s="418"/>
      <c r="E161" s="418"/>
      <c r="F161" s="418"/>
      <c r="G161" s="418"/>
      <c r="H161" s="418"/>
      <c r="I161" s="418"/>
      <c r="J161" s="418"/>
      <c r="K161" s="418"/>
      <c r="L161" s="418"/>
      <c r="M161" s="418"/>
      <c r="N161" s="418"/>
      <c r="O161" s="418"/>
      <c r="P161" s="418"/>
      <c r="Q161" s="418"/>
      <c r="R161" s="418"/>
      <c r="S161" s="418"/>
      <c r="T161" s="418"/>
      <c r="U161" s="418"/>
      <c r="V161" s="418"/>
      <c r="W161" s="418"/>
      <c r="X161" s="418"/>
      <c r="Y161" s="418"/>
      <c r="Z161" s="418"/>
      <c r="AA161" s="418"/>
      <c r="AB161" s="418"/>
      <c r="AC161" s="418"/>
      <c r="AD161" s="418"/>
      <c r="AE161" s="306"/>
      <c r="AF161" s="306"/>
      <c r="AG161" s="306"/>
      <c r="AH161" s="306"/>
      <c r="AI161" s="306"/>
      <c r="AJ161" s="306"/>
      <c r="AK161" s="306"/>
      <c r="AL161" s="306"/>
      <c r="AM161" s="306"/>
      <c r="AN161" s="306"/>
      <c r="AO161" s="306"/>
      <c r="AP161" s="306"/>
      <c r="AQ161" s="306"/>
      <c r="AR161" s="306"/>
      <c r="AS161" s="306"/>
      <c r="AT161" s="306"/>
      <c r="AU161" s="306"/>
      <c r="AV161" s="306"/>
      <c r="AW161" s="306"/>
      <c r="AX161" s="306"/>
      <c r="AY161" s="306"/>
      <c r="AZ161" s="306"/>
    </row>
    <row r="162" spans="1:52" ht="17.100000000000001" customHeight="1">
      <c r="A162" s="306"/>
      <c r="B162" s="306"/>
      <c r="C162" s="418"/>
      <c r="D162" s="418"/>
      <c r="E162" s="418"/>
      <c r="F162" s="418"/>
      <c r="G162" s="418"/>
      <c r="H162" s="418"/>
      <c r="I162" s="418"/>
      <c r="J162" s="418"/>
      <c r="K162" s="418"/>
      <c r="L162" s="418"/>
      <c r="M162" s="418"/>
      <c r="N162" s="418"/>
      <c r="O162" s="418"/>
      <c r="P162" s="418"/>
      <c r="Q162" s="418"/>
      <c r="R162" s="418"/>
      <c r="S162" s="418"/>
      <c r="T162" s="418"/>
      <c r="U162" s="418"/>
      <c r="V162" s="418"/>
      <c r="W162" s="418"/>
      <c r="X162" s="418"/>
      <c r="Y162" s="418"/>
      <c r="Z162" s="418"/>
      <c r="AA162" s="418"/>
      <c r="AB162" s="418"/>
      <c r="AC162" s="418"/>
      <c r="AD162" s="418"/>
      <c r="AE162" s="306"/>
      <c r="AF162" s="306"/>
      <c r="AG162" s="306"/>
      <c r="AH162" s="306"/>
      <c r="AI162" s="306"/>
      <c r="AJ162" s="306"/>
      <c r="AK162" s="306"/>
      <c r="AL162" s="306"/>
      <c r="AM162" s="306"/>
      <c r="AN162" s="306"/>
      <c r="AO162" s="306"/>
      <c r="AP162" s="306"/>
      <c r="AQ162" s="306"/>
      <c r="AR162" s="306"/>
      <c r="AS162" s="306"/>
      <c r="AT162" s="306"/>
      <c r="AU162" s="306"/>
      <c r="AV162" s="306"/>
      <c r="AW162" s="306"/>
      <c r="AX162" s="306"/>
      <c r="AY162" s="306"/>
      <c r="AZ162" s="306"/>
    </row>
    <row r="163" spans="1:52" ht="17.100000000000001" customHeight="1">
      <c r="A163" s="306"/>
      <c r="B163" s="306"/>
      <c r="C163" s="418"/>
      <c r="D163" s="418"/>
      <c r="E163" s="418"/>
      <c r="F163" s="418"/>
      <c r="G163" s="418"/>
      <c r="H163" s="418"/>
      <c r="I163" s="418"/>
      <c r="J163" s="418"/>
      <c r="K163" s="418"/>
      <c r="L163" s="418"/>
      <c r="M163" s="418"/>
      <c r="N163" s="418"/>
      <c r="O163" s="418"/>
      <c r="P163" s="418"/>
      <c r="Q163" s="418"/>
      <c r="R163" s="418"/>
      <c r="S163" s="418"/>
      <c r="T163" s="418"/>
      <c r="U163" s="418"/>
      <c r="V163" s="418"/>
      <c r="W163" s="418"/>
      <c r="X163" s="418"/>
      <c r="Y163" s="418"/>
      <c r="Z163" s="418"/>
      <c r="AA163" s="418"/>
      <c r="AB163" s="418"/>
      <c r="AC163" s="418"/>
      <c r="AD163" s="418"/>
      <c r="AE163" s="306"/>
      <c r="AF163" s="306"/>
      <c r="AG163" s="306"/>
      <c r="AH163" s="306"/>
      <c r="AI163" s="306"/>
      <c r="AJ163" s="306"/>
      <c r="AK163" s="306"/>
      <c r="AL163" s="306"/>
      <c r="AM163" s="306"/>
      <c r="AN163" s="306"/>
      <c r="AO163" s="306"/>
      <c r="AP163" s="306"/>
      <c r="AQ163" s="306"/>
      <c r="AR163" s="306"/>
      <c r="AS163" s="306"/>
      <c r="AT163" s="306"/>
      <c r="AU163" s="306"/>
      <c r="AV163" s="306"/>
      <c r="AW163" s="306"/>
      <c r="AX163" s="306"/>
      <c r="AY163" s="306"/>
      <c r="AZ163" s="306"/>
    </row>
    <row r="164" spans="1:52" ht="17.100000000000001" customHeight="1">
      <c r="A164" s="306"/>
      <c r="B164" s="306"/>
      <c r="C164" s="418"/>
      <c r="D164" s="418"/>
      <c r="E164" s="418"/>
      <c r="F164" s="418"/>
      <c r="G164" s="418"/>
      <c r="H164" s="418"/>
      <c r="I164" s="418"/>
      <c r="J164" s="418"/>
      <c r="K164" s="418"/>
      <c r="L164" s="418"/>
      <c r="M164" s="418"/>
      <c r="N164" s="418"/>
      <c r="O164" s="418"/>
      <c r="P164" s="418"/>
      <c r="Q164" s="418"/>
      <c r="R164" s="418"/>
      <c r="S164" s="418"/>
      <c r="T164" s="418"/>
      <c r="U164" s="418"/>
      <c r="V164" s="418"/>
      <c r="W164" s="418"/>
      <c r="X164" s="418"/>
      <c r="Y164" s="418"/>
      <c r="Z164" s="418"/>
      <c r="AA164" s="418"/>
      <c r="AB164" s="418"/>
      <c r="AC164" s="418"/>
      <c r="AD164" s="418"/>
      <c r="AE164" s="306"/>
      <c r="AF164" s="306"/>
      <c r="AG164" s="306"/>
      <c r="AH164" s="306"/>
      <c r="AI164" s="306"/>
      <c r="AJ164" s="306"/>
      <c r="AK164" s="306"/>
      <c r="AL164" s="306"/>
      <c r="AM164" s="306"/>
      <c r="AN164" s="306"/>
      <c r="AO164" s="306"/>
      <c r="AP164" s="306"/>
      <c r="AQ164" s="306"/>
      <c r="AR164" s="306"/>
      <c r="AS164" s="306"/>
      <c r="AT164" s="306"/>
      <c r="AU164" s="306"/>
      <c r="AV164" s="306"/>
      <c r="AW164" s="306"/>
      <c r="AX164" s="306"/>
      <c r="AY164" s="306"/>
      <c r="AZ164" s="306"/>
    </row>
    <row r="165" spans="1:52" ht="17.100000000000001" customHeight="1">
      <c r="A165" s="306"/>
      <c r="B165" s="306"/>
      <c r="C165" s="418"/>
      <c r="D165" s="418"/>
      <c r="E165" s="418"/>
      <c r="F165" s="418"/>
      <c r="G165" s="418"/>
      <c r="H165" s="418"/>
      <c r="I165" s="418"/>
      <c r="J165" s="418"/>
      <c r="K165" s="418"/>
      <c r="L165" s="418"/>
      <c r="M165" s="418"/>
      <c r="N165" s="418"/>
      <c r="O165" s="418"/>
      <c r="P165" s="418"/>
      <c r="Q165" s="418"/>
      <c r="R165" s="418"/>
      <c r="S165" s="418"/>
      <c r="T165" s="418"/>
      <c r="U165" s="418"/>
      <c r="V165" s="418"/>
      <c r="W165" s="418"/>
      <c r="X165" s="418"/>
      <c r="Y165" s="418"/>
      <c r="Z165" s="418"/>
      <c r="AA165" s="418"/>
      <c r="AB165" s="418"/>
      <c r="AC165" s="418"/>
      <c r="AD165" s="418"/>
      <c r="AE165" s="306"/>
      <c r="AF165" s="306"/>
      <c r="AG165" s="306"/>
      <c r="AH165" s="306"/>
      <c r="AI165" s="306"/>
      <c r="AJ165" s="306"/>
      <c r="AK165" s="306"/>
      <c r="AL165" s="306"/>
      <c r="AM165" s="306"/>
      <c r="AN165" s="306"/>
      <c r="AO165" s="306"/>
      <c r="AP165" s="306"/>
      <c r="AQ165" s="306"/>
      <c r="AR165" s="306"/>
      <c r="AS165" s="306"/>
      <c r="AT165" s="306"/>
      <c r="AU165" s="306"/>
      <c r="AV165" s="306"/>
      <c r="AW165" s="306"/>
      <c r="AX165" s="306"/>
      <c r="AY165" s="306"/>
      <c r="AZ165" s="306"/>
    </row>
    <row r="166" spans="1:52" ht="17.100000000000001" customHeight="1">
      <c r="A166" s="306"/>
      <c r="B166" s="306"/>
      <c r="C166" s="418"/>
      <c r="D166" s="418"/>
      <c r="E166" s="418"/>
      <c r="F166" s="418"/>
      <c r="G166" s="418"/>
      <c r="H166" s="418"/>
      <c r="I166" s="418"/>
      <c r="J166" s="418"/>
      <c r="K166" s="418"/>
      <c r="L166" s="418"/>
      <c r="M166" s="418"/>
      <c r="N166" s="418"/>
      <c r="O166" s="418"/>
      <c r="P166" s="418"/>
      <c r="Q166" s="418"/>
      <c r="R166" s="418"/>
      <c r="S166" s="418"/>
      <c r="T166" s="418"/>
      <c r="U166" s="418"/>
      <c r="V166" s="418"/>
      <c r="W166" s="418"/>
      <c r="X166" s="418"/>
      <c r="Y166" s="418"/>
      <c r="Z166" s="418"/>
      <c r="AA166" s="418"/>
      <c r="AB166" s="418"/>
      <c r="AC166" s="418"/>
      <c r="AD166" s="418"/>
      <c r="AE166" s="306"/>
      <c r="AF166" s="306"/>
      <c r="AG166" s="306"/>
      <c r="AH166" s="306"/>
      <c r="AI166" s="306"/>
      <c r="AJ166" s="306"/>
      <c r="AK166" s="306"/>
      <c r="AL166" s="306"/>
      <c r="AM166" s="306"/>
      <c r="AN166" s="306"/>
      <c r="AO166" s="306"/>
      <c r="AP166" s="306"/>
      <c r="AQ166" s="306"/>
      <c r="AR166" s="306"/>
      <c r="AS166" s="306"/>
      <c r="AT166" s="306"/>
      <c r="AU166" s="306"/>
      <c r="AV166" s="306"/>
      <c r="AW166" s="306"/>
      <c r="AX166" s="306"/>
      <c r="AY166" s="306"/>
      <c r="AZ166" s="306"/>
    </row>
    <row r="167" spans="1:52" ht="17.100000000000001" customHeight="1">
      <c r="A167" s="306"/>
      <c r="B167" s="306"/>
      <c r="C167" s="418"/>
      <c r="D167" s="418"/>
      <c r="E167" s="418"/>
      <c r="F167" s="418"/>
      <c r="G167" s="418"/>
      <c r="H167" s="418"/>
      <c r="I167" s="418"/>
      <c r="J167" s="418"/>
      <c r="K167" s="418"/>
      <c r="L167" s="418"/>
      <c r="M167" s="418"/>
      <c r="N167" s="418"/>
      <c r="O167" s="418"/>
      <c r="P167" s="418"/>
      <c r="Q167" s="418"/>
      <c r="R167" s="418"/>
      <c r="S167" s="418"/>
      <c r="T167" s="418"/>
      <c r="U167" s="418"/>
      <c r="V167" s="418"/>
      <c r="W167" s="418"/>
      <c r="X167" s="418"/>
      <c r="Y167" s="418"/>
      <c r="Z167" s="418"/>
      <c r="AA167" s="418"/>
      <c r="AB167" s="418"/>
      <c r="AC167" s="418"/>
      <c r="AD167" s="418"/>
      <c r="AE167" s="306"/>
      <c r="AF167" s="306"/>
      <c r="AG167" s="306"/>
      <c r="AH167" s="306"/>
      <c r="AI167" s="306"/>
      <c r="AJ167" s="306"/>
      <c r="AK167" s="306"/>
      <c r="AL167" s="306"/>
      <c r="AM167" s="306"/>
      <c r="AN167" s="306"/>
      <c r="AO167" s="306"/>
      <c r="AP167" s="306"/>
      <c r="AQ167" s="306"/>
      <c r="AR167" s="306"/>
      <c r="AS167" s="306"/>
      <c r="AT167" s="306"/>
      <c r="AU167" s="306"/>
      <c r="AV167" s="306"/>
      <c r="AW167" s="306"/>
      <c r="AX167" s="306"/>
      <c r="AY167" s="306"/>
      <c r="AZ167" s="306"/>
    </row>
    <row r="168" spans="1:52" ht="17.100000000000001" customHeight="1">
      <c r="A168" s="306"/>
      <c r="B168" s="306"/>
      <c r="C168" s="418"/>
      <c r="D168" s="418"/>
      <c r="E168" s="418"/>
      <c r="F168" s="418"/>
      <c r="G168" s="418"/>
      <c r="H168" s="418"/>
      <c r="I168" s="418"/>
      <c r="J168" s="418"/>
      <c r="K168" s="418"/>
      <c r="L168" s="418"/>
      <c r="M168" s="418"/>
      <c r="N168" s="418"/>
      <c r="O168" s="418"/>
      <c r="P168" s="418"/>
      <c r="Q168" s="418"/>
      <c r="R168" s="418"/>
      <c r="S168" s="418"/>
      <c r="T168" s="418"/>
      <c r="U168" s="418"/>
      <c r="V168" s="418"/>
      <c r="W168" s="418"/>
      <c r="X168" s="418"/>
      <c r="Y168" s="418"/>
      <c r="Z168" s="418"/>
      <c r="AA168" s="418"/>
      <c r="AB168" s="418"/>
      <c r="AC168" s="418"/>
      <c r="AD168" s="418"/>
      <c r="AE168" s="306"/>
      <c r="AF168" s="306"/>
      <c r="AG168" s="306"/>
      <c r="AH168" s="306"/>
      <c r="AI168" s="306"/>
      <c r="AJ168" s="306"/>
      <c r="AK168" s="306"/>
      <c r="AL168" s="306"/>
      <c r="AM168" s="306"/>
      <c r="AN168" s="306"/>
      <c r="AO168" s="306"/>
      <c r="AP168" s="306"/>
      <c r="AQ168" s="306"/>
      <c r="AR168" s="306"/>
      <c r="AS168" s="306"/>
      <c r="AT168" s="306"/>
      <c r="AU168" s="306"/>
      <c r="AV168" s="306"/>
      <c r="AW168" s="306"/>
      <c r="AX168" s="306"/>
      <c r="AY168" s="306"/>
      <c r="AZ168" s="306"/>
    </row>
    <row r="169" spans="1:52" ht="17.100000000000001" customHeight="1">
      <c r="A169" s="306"/>
      <c r="B169" s="306"/>
      <c r="C169" s="418"/>
      <c r="D169" s="418"/>
      <c r="E169" s="418"/>
      <c r="F169" s="418"/>
      <c r="G169" s="418"/>
      <c r="H169" s="418"/>
      <c r="I169" s="418"/>
      <c r="J169" s="418"/>
      <c r="K169" s="418"/>
      <c r="L169" s="418"/>
      <c r="M169" s="418"/>
      <c r="N169" s="418"/>
      <c r="O169" s="418"/>
      <c r="P169" s="418"/>
      <c r="Q169" s="418"/>
      <c r="R169" s="418"/>
      <c r="S169" s="418"/>
      <c r="T169" s="418"/>
      <c r="U169" s="418"/>
      <c r="V169" s="418"/>
      <c r="W169" s="418"/>
      <c r="X169" s="418"/>
      <c r="Y169" s="418"/>
      <c r="Z169" s="418"/>
      <c r="AA169" s="418"/>
      <c r="AB169" s="418"/>
      <c r="AC169" s="418"/>
      <c r="AD169" s="418"/>
      <c r="AE169" s="306"/>
      <c r="AF169" s="306"/>
      <c r="AG169" s="306"/>
      <c r="AH169" s="306"/>
      <c r="AI169" s="306"/>
      <c r="AJ169" s="306"/>
      <c r="AK169" s="306"/>
      <c r="AL169" s="306"/>
      <c r="AM169" s="306"/>
      <c r="AN169" s="306"/>
      <c r="AO169" s="306"/>
      <c r="AP169" s="306"/>
      <c r="AQ169" s="306"/>
      <c r="AR169" s="306"/>
      <c r="AS169" s="306"/>
      <c r="AT169" s="306"/>
      <c r="AU169" s="306"/>
      <c r="AV169" s="306"/>
      <c r="AW169" s="306"/>
      <c r="AX169" s="306"/>
      <c r="AY169" s="306"/>
      <c r="AZ169" s="306"/>
    </row>
    <row r="170" spans="1:52" ht="17.100000000000001" customHeight="1">
      <c r="A170" s="306"/>
      <c r="B170" s="306"/>
      <c r="C170" s="418"/>
      <c r="D170" s="418"/>
      <c r="E170" s="418"/>
      <c r="F170" s="418"/>
      <c r="G170" s="418"/>
      <c r="H170" s="418"/>
      <c r="I170" s="418"/>
      <c r="J170" s="418"/>
      <c r="K170" s="418"/>
      <c r="L170" s="418"/>
      <c r="M170" s="418"/>
      <c r="N170" s="418"/>
      <c r="O170" s="418"/>
      <c r="P170" s="418"/>
      <c r="Q170" s="418"/>
      <c r="R170" s="418"/>
      <c r="S170" s="418"/>
      <c r="T170" s="418"/>
      <c r="U170" s="418"/>
      <c r="V170" s="418"/>
      <c r="W170" s="418"/>
      <c r="X170" s="418"/>
      <c r="Y170" s="418"/>
      <c r="Z170" s="418"/>
      <c r="AA170" s="418"/>
      <c r="AB170" s="418"/>
      <c r="AC170" s="418"/>
      <c r="AD170" s="418"/>
      <c r="AE170" s="306"/>
      <c r="AF170" s="306"/>
      <c r="AG170" s="306"/>
      <c r="AH170" s="306"/>
      <c r="AI170" s="306"/>
      <c r="AJ170" s="306"/>
      <c r="AK170" s="306"/>
      <c r="AL170" s="306"/>
      <c r="AM170" s="306"/>
      <c r="AN170" s="306"/>
      <c r="AO170" s="306"/>
      <c r="AP170" s="306"/>
      <c r="AQ170" s="306"/>
      <c r="AR170" s="306"/>
      <c r="AS170" s="306"/>
      <c r="AT170" s="306"/>
      <c r="AU170" s="306"/>
      <c r="AV170" s="306"/>
      <c r="AW170" s="306"/>
      <c r="AX170" s="306"/>
      <c r="AY170" s="306"/>
      <c r="AZ170" s="306"/>
    </row>
    <row r="171" spans="1:52" ht="17.100000000000001" customHeight="1">
      <c r="A171" s="306"/>
      <c r="B171" s="306"/>
      <c r="C171" s="418"/>
      <c r="D171" s="418"/>
      <c r="E171" s="418"/>
      <c r="F171" s="418"/>
      <c r="G171" s="418"/>
      <c r="H171" s="418"/>
      <c r="I171" s="418"/>
      <c r="J171" s="418"/>
      <c r="K171" s="418"/>
      <c r="L171" s="418"/>
      <c r="M171" s="418"/>
      <c r="N171" s="418"/>
      <c r="O171" s="418"/>
      <c r="P171" s="418"/>
      <c r="Q171" s="418"/>
      <c r="R171" s="418"/>
      <c r="S171" s="418"/>
      <c r="T171" s="418"/>
      <c r="U171" s="418"/>
      <c r="V171" s="418"/>
      <c r="W171" s="418"/>
      <c r="X171" s="418"/>
      <c r="Y171" s="418"/>
      <c r="Z171" s="418"/>
      <c r="AA171" s="418"/>
      <c r="AB171" s="418"/>
      <c r="AC171" s="418"/>
      <c r="AD171" s="418"/>
      <c r="AE171" s="306"/>
      <c r="AF171" s="306"/>
      <c r="AG171" s="306"/>
      <c r="AH171" s="306"/>
      <c r="AI171" s="306"/>
      <c r="AJ171" s="306"/>
      <c r="AK171" s="306"/>
      <c r="AL171" s="306"/>
      <c r="AM171" s="306"/>
      <c r="AN171" s="306"/>
      <c r="AO171" s="306"/>
      <c r="AP171" s="306"/>
      <c r="AQ171" s="306"/>
      <c r="AR171" s="306"/>
      <c r="AS171" s="306"/>
      <c r="AT171" s="306"/>
      <c r="AU171" s="306"/>
      <c r="AV171" s="306"/>
      <c r="AW171" s="306"/>
      <c r="AX171" s="306"/>
      <c r="AY171" s="306"/>
      <c r="AZ171" s="306"/>
    </row>
    <row r="172" spans="1:52" ht="17.100000000000001" customHeight="1">
      <c r="A172" s="306"/>
      <c r="B172" s="306"/>
      <c r="C172" s="418"/>
      <c r="D172" s="418"/>
      <c r="E172" s="418"/>
      <c r="F172" s="418"/>
      <c r="G172" s="418"/>
      <c r="H172" s="418"/>
      <c r="I172" s="418"/>
      <c r="J172" s="418"/>
      <c r="K172" s="418"/>
      <c r="L172" s="418"/>
      <c r="M172" s="418"/>
      <c r="N172" s="418"/>
      <c r="O172" s="418"/>
      <c r="P172" s="418"/>
      <c r="Q172" s="418"/>
      <c r="R172" s="418"/>
      <c r="S172" s="418"/>
      <c r="T172" s="418"/>
      <c r="U172" s="418"/>
      <c r="V172" s="418"/>
      <c r="W172" s="418"/>
      <c r="X172" s="418"/>
      <c r="Y172" s="418"/>
      <c r="Z172" s="418"/>
      <c r="AA172" s="418"/>
      <c r="AB172" s="418"/>
      <c r="AC172" s="418"/>
      <c r="AD172" s="418"/>
      <c r="AE172" s="306"/>
      <c r="AF172" s="306"/>
      <c r="AG172" s="306"/>
      <c r="AH172" s="306"/>
      <c r="AI172" s="306"/>
      <c r="AJ172" s="306"/>
      <c r="AK172" s="306"/>
      <c r="AL172" s="306"/>
      <c r="AM172" s="306"/>
      <c r="AN172" s="306"/>
      <c r="AO172" s="306"/>
      <c r="AP172" s="306"/>
      <c r="AQ172" s="306"/>
      <c r="AR172" s="306"/>
      <c r="AS172" s="306"/>
      <c r="AT172" s="306"/>
      <c r="AU172" s="306"/>
      <c r="AV172" s="306"/>
      <c r="AW172" s="306"/>
      <c r="AX172" s="306"/>
      <c r="AY172" s="306"/>
      <c r="AZ172" s="306"/>
    </row>
    <row r="173" spans="1:52" ht="17.100000000000001" customHeight="1">
      <c r="A173" s="306"/>
      <c r="B173" s="306"/>
      <c r="C173" s="418"/>
      <c r="D173" s="418"/>
      <c r="E173" s="418"/>
      <c r="F173" s="418"/>
      <c r="G173" s="418"/>
      <c r="H173" s="418"/>
      <c r="I173" s="418"/>
      <c r="J173" s="418"/>
      <c r="K173" s="418"/>
      <c r="L173" s="418"/>
      <c r="M173" s="418"/>
      <c r="N173" s="418"/>
      <c r="O173" s="418"/>
      <c r="P173" s="418"/>
      <c r="Q173" s="418"/>
      <c r="R173" s="418"/>
      <c r="S173" s="418"/>
      <c r="T173" s="418"/>
      <c r="U173" s="418"/>
      <c r="V173" s="418"/>
      <c r="W173" s="418"/>
      <c r="X173" s="418"/>
      <c r="Y173" s="418"/>
      <c r="Z173" s="418"/>
      <c r="AA173" s="418"/>
      <c r="AB173" s="418"/>
      <c r="AC173" s="418"/>
      <c r="AD173" s="418"/>
      <c r="AE173" s="306"/>
      <c r="AF173" s="306"/>
      <c r="AG173" s="306"/>
      <c r="AH173" s="306"/>
      <c r="AI173" s="306"/>
      <c r="AJ173" s="306"/>
      <c r="AK173" s="306"/>
      <c r="AL173" s="306"/>
      <c r="AM173" s="306"/>
      <c r="AN173" s="306"/>
      <c r="AO173" s="306"/>
      <c r="AP173" s="306"/>
      <c r="AQ173" s="306"/>
      <c r="AR173" s="306"/>
      <c r="AS173" s="306"/>
      <c r="AT173" s="306"/>
      <c r="AU173" s="306"/>
      <c r="AV173" s="306"/>
      <c r="AW173" s="306"/>
      <c r="AX173" s="306"/>
      <c r="AY173" s="306"/>
      <c r="AZ173" s="306"/>
    </row>
    <row r="174" spans="1:52" ht="17.100000000000001" customHeight="1">
      <c r="A174" s="306"/>
      <c r="B174" s="306"/>
      <c r="C174" s="418"/>
      <c r="D174" s="418"/>
      <c r="E174" s="418"/>
      <c r="F174" s="418"/>
      <c r="G174" s="418"/>
      <c r="H174" s="418"/>
      <c r="I174" s="418"/>
      <c r="J174" s="418"/>
      <c r="K174" s="418"/>
      <c r="L174" s="418"/>
      <c r="M174" s="418"/>
      <c r="N174" s="418"/>
      <c r="O174" s="418"/>
      <c r="P174" s="418"/>
      <c r="Q174" s="418"/>
      <c r="R174" s="418"/>
      <c r="S174" s="418"/>
      <c r="T174" s="418"/>
      <c r="U174" s="418"/>
      <c r="V174" s="418"/>
      <c r="W174" s="418"/>
      <c r="X174" s="418"/>
      <c r="Y174" s="418"/>
      <c r="Z174" s="418"/>
      <c r="AA174" s="418"/>
      <c r="AB174" s="418"/>
      <c r="AC174" s="418"/>
      <c r="AD174" s="418"/>
      <c r="AE174" s="306"/>
      <c r="AF174" s="306"/>
      <c r="AG174" s="306"/>
      <c r="AH174" s="306"/>
      <c r="AI174" s="306"/>
      <c r="AJ174" s="306"/>
      <c r="AK174" s="306"/>
      <c r="AL174" s="306"/>
      <c r="AM174" s="306"/>
      <c r="AN174" s="306"/>
      <c r="AO174" s="306"/>
      <c r="AP174" s="306"/>
      <c r="AQ174" s="306"/>
      <c r="AR174" s="306"/>
      <c r="AS174" s="306"/>
      <c r="AT174" s="306"/>
      <c r="AU174" s="306"/>
      <c r="AV174" s="306"/>
      <c r="AW174" s="306"/>
      <c r="AX174" s="306"/>
      <c r="AY174" s="306"/>
      <c r="AZ174" s="306"/>
    </row>
    <row r="175" spans="1:52" ht="17.100000000000001" customHeight="1">
      <c r="A175" s="306"/>
      <c r="B175" s="306"/>
      <c r="C175" s="418"/>
      <c r="D175" s="418"/>
      <c r="E175" s="418"/>
      <c r="F175" s="418"/>
      <c r="G175" s="418"/>
      <c r="H175" s="418"/>
      <c r="I175" s="418"/>
      <c r="J175" s="418"/>
      <c r="K175" s="418"/>
      <c r="L175" s="418"/>
      <c r="M175" s="418"/>
      <c r="N175" s="418"/>
      <c r="O175" s="418"/>
      <c r="P175" s="418"/>
      <c r="Q175" s="418"/>
      <c r="R175" s="418"/>
      <c r="S175" s="418"/>
      <c r="T175" s="418"/>
      <c r="U175" s="418"/>
      <c r="V175" s="418"/>
      <c r="W175" s="418"/>
      <c r="X175" s="418"/>
      <c r="Y175" s="418"/>
      <c r="Z175" s="418"/>
      <c r="AA175" s="418"/>
      <c r="AB175" s="418"/>
      <c r="AC175" s="418"/>
      <c r="AD175" s="418"/>
      <c r="AE175" s="306"/>
      <c r="AF175" s="306"/>
      <c r="AG175" s="306"/>
      <c r="AH175" s="306"/>
      <c r="AI175" s="306"/>
      <c r="AJ175" s="306"/>
      <c r="AK175" s="306"/>
      <c r="AL175" s="306"/>
      <c r="AM175" s="306"/>
      <c r="AN175" s="306"/>
      <c r="AO175" s="306"/>
      <c r="AP175" s="306"/>
      <c r="AQ175" s="306"/>
      <c r="AR175" s="306"/>
      <c r="AS175" s="306"/>
      <c r="AT175" s="306"/>
      <c r="AU175" s="306"/>
      <c r="AV175" s="306"/>
      <c r="AW175" s="306"/>
      <c r="AX175" s="306"/>
      <c r="AY175" s="306"/>
      <c r="AZ175" s="306"/>
    </row>
    <row r="176" spans="1:52" ht="17.100000000000001" customHeight="1">
      <c r="A176" s="306"/>
      <c r="B176" s="306"/>
      <c r="C176" s="418"/>
      <c r="D176" s="418"/>
      <c r="E176" s="418"/>
      <c r="F176" s="418"/>
      <c r="G176" s="418"/>
      <c r="H176" s="418"/>
      <c r="I176" s="418"/>
      <c r="J176" s="418"/>
      <c r="K176" s="418"/>
      <c r="L176" s="418"/>
      <c r="M176" s="418"/>
      <c r="N176" s="418"/>
      <c r="O176" s="418"/>
      <c r="P176" s="418"/>
      <c r="Q176" s="418"/>
      <c r="R176" s="418"/>
      <c r="S176" s="418"/>
      <c r="T176" s="418"/>
      <c r="U176" s="418"/>
      <c r="V176" s="418"/>
      <c r="W176" s="418"/>
      <c r="X176" s="418"/>
      <c r="Y176" s="418"/>
      <c r="Z176" s="418"/>
      <c r="AA176" s="418"/>
      <c r="AB176" s="418"/>
      <c r="AC176" s="418"/>
      <c r="AD176" s="418"/>
      <c r="AE176" s="306"/>
      <c r="AF176" s="306"/>
      <c r="AG176" s="306"/>
      <c r="AH176" s="306"/>
      <c r="AI176" s="306"/>
      <c r="AJ176" s="306"/>
      <c r="AK176" s="306"/>
      <c r="AL176" s="306"/>
      <c r="AM176" s="306"/>
      <c r="AN176" s="306"/>
      <c r="AO176" s="306"/>
      <c r="AP176" s="306"/>
      <c r="AQ176" s="306"/>
      <c r="AR176" s="306"/>
      <c r="AS176" s="306"/>
      <c r="AT176" s="306"/>
      <c r="AU176" s="306"/>
      <c r="AV176" s="306"/>
      <c r="AW176" s="306"/>
      <c r="AX176" s="306"/>
      <c r="AY176" s="306"/>
      <c r="AZ176" s="306"/>
    </row>
    <row r="177" spans="1:52" ht="17.100000000000001" customHeight="1">
      <c r="A177" s="306"/>
      <c r="B177" s="306"/>
      <c r="C177" s="418"/>
      <c r="D177" s="418"/>
      <c r="E177" s="418"/>
      <c r="F177" s="418"/>
      <c r="G177" s="418"/>
      <c r="H177" s="418"/>
      <c r="I177" s="418"/>
      <c r="J177" s="418"/>
      <c r="K177" s="418"/>
      <c r="L177" s="418"/>
      <c r="M177" s="418"/>
      <c r="N177" s="418"/>
      <c r="O177" s="418"/>
      <c r="P177" s="418"/>
      <c r="Q177" s="418"/>
      <c r="R177" s="418"/>
      <c r="S177" s="418"/>
      <c r="T177" s="418"/>
      <c r="U177" s="418"/>
      <c r="V177" s="418"/>
      <c r="W177" s="418"/>
      <c r="X177" s="418"/>
      <c r="Y177" s="418"/>
      <c r="Z177" s="418"/>
      <c r="AA177" s="418"/>
      <c r="AB177" s="418"/>
      <c r="AC177" s="418"/>
      <c r="AD177" s="418"/>
      <c r="AE177" s="306"/>
      <c r="AF177" s="306"/>
      <c r="AG177" s="306"/>
      <c r="AH177" s="306"/>
      <c r="AI177" s="306"/>
      <c r="AJ177" s="306"/>
      <c r="AK177" s="306"/>
      <c r="AL177" s="306"/>
      <c r="AM177" s="306"/>
      <c r="AN177" s="306"/>
      <c r="AO177" s="306"/>
      <c r="AP177" s="306"/>
      <c r="AQ177" s="306"/>
      <c r="AR177" s="306"/>
      <c r="AS177" s="306"/>
      <c r="AT177" s="306"/>
      <c r="AU177" s="306"/>
      <c r="AV177" s="306"/>
      <c r="AW177" s="306"/>
      <c r="AX177" s="306"/>
      <c r="AY177" s="306"/>
      <c r="AZ177" s="306"/>
    </row>
    <row r="178" spans="1:52" ht="17.100000000000001" customHeight="1">
      <c r="A178" s="306"/>
      <c r="B178" s="306"/>
      <c r="C178" s="418"/>
      <c r="D178" s="418"/>
      <c r="E178" s="418"/>
      <c r="F178" s="418"/>
      <c r="G178" s="418"/>
      <c r="H178" s="418"/>
      <c r="I178" s="418"/>
      <c r="J178" s="418"/>
      <c r="K178" s="418"/>
      <c r="L178" s="418"/>
      <c r="M178" s="418"/>
      <c r="N178" s="418"/>
      <c r="O178" s="418"/>
      <c r="P178" s="418"/>
      <c r="Q178" s="418"/>
      <c r="R178" s="418"/>
      <c r="S178" s="418"/>
      <c r="T178" s="418"/>
      <c r="U178" s="418"/>
      <c r="V178" s="418"/>
      <c r="W178" s="418"/>
      <c r="X178" s="418"/>
      <c r="Y178" s="418"/>
      <c r="Z178" s="418"/>
      <c r="AA178" s="418"/>
      <c r="AB178" s="418"/>
      <c r="AC178" s="418"/>
      <c r="AD178" s="418"/>
      <c r="AE178" s="306"/>
      <c r="AF178" s="306"/>
      <c r="AG178" s="306"/>
      <c r="AH178" s="306"/>
      <c r="AI178" s="306"/>
      <c r="AJ178" s="306"/>
      <c r="AK178" s="306"/>
      <c r="AL178" s="306"/>
      <c r="AM178" s="306"/>
      <c r="AN178" s="306"/>
      <c r="AO178" s="306"/>
      <c r="AP178" s="306"/>
      <c r="AQ178" s="306"/>
      <c r="AR178" s="306"/>
      <c r="AS178" s="306"/>
      <c r="AT178" s="306"/>
      <c r="AU178" s="306"/>
      <c r="AV178" s="306"/>
      <c r="AW178" s="306"/>
      <c r="AX178" s="306"/>
      <c r="AY178" s="306"/>
      <c r="AZ178" s="306"/>
    </row>
    <row r="179" spans="1:52" ht="17.100000000000001" customHeight="1">
      <c r="A179" s="306"/>
      <c r="B179" s="306"/>
      <c r="C179" s="418"/>
      <c r="D179" s="418"/>
      <c r="E179" s="418"/>
      <c r="F179" s="418"/>
      <c r="G179" s="418"/>
      <c r="H179" s="418"/>
      <c r="I179" s="418"/>
      <c r="J179" s="418"/>
      <c r="K179" s="418"/>
      <c r="L179" s="418"/>
      <c r="M179" s="418"/>
      <c r="N179" s="418"/>
      <c r="O179" s="418"/>
      <c r="P179" s="418"/>
      <c r="Q179" s="418"/>
      <c r="R179" s="418"/>
      <c r="S179" s="418"/>
      <c r="T179" s="418"/>
      <c r="U179" s="418"/>
      <c r="V179" s="418"/>
      <c r="W179" s="418"/>
      <c r="X179" s="418"/>
      <c r="Y179" s="418"/>
      <c r="Z179" s="418"/>
      <c r="AA179" s="418"/>
      <c r="AB179" s="418"/>
      <c r="AC179" s="418"/>
      <c r="AD179" s="418"/>
      <c r="AE179" s="306"/>
      <c r="AF179" s="306"/>
      <c r="AG179" s="306"/>
      <c r="AH179" s="306"/>
      <c r="AI179" s="306"/>
      <c r="AJ179" s="306"/>
      <c r="AK179" s="306"/>
      <c r="AL179" s="306"/>
      <c r="AM179" s="306"/>
      <c r="AN179" s="306"/>
      <c r="AO179" s="306"/>
      <c r="AP179" s="306"/>
      <c r="AQ179" s="306"/>
      <c r="AR179" s="306"/>
      <c r="AS179" s="306"/>
      <c r="AT179" s="306"/>
      <c r="AU179" s="306"/>
      <c r="AV179" s="306"/>
      <c r="AW179" s="306"/>
      <c r="AX179" s="306"/>
      <c r="AY179" s="306"/>
      <c r="AZ179" s="306"/>
    </row>
    <row r="180" spans="1:52" ht="17.100000000000001" customHeight="1">
      <c r="A180" s="306"/>
      <c r="B180" s="306"/>
      <c r="C180" s="418"/>
      <c r="D180" s="418"/>
      <c r="E180" s="418"/>
      <c r="F180" s="418"/>
      <c r="G180" s="418"/>
      <c r="H180" s="418"/>
      <c r="I180" s="418"/>
      <c r="J180" s="418"/>
      <c r="K180" s="418"/>
      <c r="L180" s="418"/>
      <c r="M180" s="418"/>
      <c r="N180" s="418"/>
      <c r="O180" s="418"/>
      <c r="P180" s="418"/>
      <c r="Q180" s="418"/>
      <c r="R180" s="418"/>
      <c r="S180" s="418"/>
      <c r="T180" s="418"/>
      <c r="U180" s="418"/>
      <c r="V180" s="418"/>
      <c r="W180" s="418"/>
      <c r="X180" s="418"/>
      <c r="Y180" s="418"/>
      <c r="Z180" s="418"/>
      <c r="AA180" s="418"/>
      <c r="AB180" s="418"/>
      <c r="AC180" s="418"/>
      <c r="AD180" s="418"/>
      <c r="AE180" s="306"/>
      <c r="AF180" s="306"/>
      <c r="AG180" s="306"/>
      <c r="AH180" s="306"/>
      <c r="AI180" s="306"/>
      <c r="AJ180" s="306"/>
      <c r="AK180" s="306"/>
      <c r="AL180" s="306"/>
      <c r="AM180" s="306"/>
      <c r="AN180" s="306"/>
      <c r="AO180" s="306"/>
      <c r="AP180" s="306"/>
      <c r="AQ180" s="306"/>
      <c r="AR180" s="306"/>
      <c r="AS180" s="306"/>
      <c r="AT180" s="306"/>
      <c r="AU180" s="306"/>
      <c r="AV180" s="306"/>
      <c r="AW180" s="306"/>
      <c r="AX180" s="306"/>
      <c r="AY180" s="306"/>
      <c r="AZ180" s="306"/>
    </row>
    <row r="181" spans="1:52" ht="17.100000000000001" customHeight="1">
      <c r="A181" s="306"/>
      <c r="B181" s="306"/>
      <c r="C181" s="418"/>
      <c r="D181" s="418"/>
      <c r="E181" s="418"/>
      <c r="F181" s="418"/>
      <c r="G181" s="418"/>
      <c r="H181" s="418"/>
      <c r="I181" s="418"/>
      <c r="J181" s="418"/>
      <c r="K181" s="418"/>
      <c r="L181" s="418"/>
      <c r="M181" s="418"/>
      <c r="N181" s="418"/>
      <c r="O181" s="418"/>
      <c r="P181" s="418"/>
      <c r="Q181" s="418"/>
      <c r="R181" s="418"/>
      <c r="S181" s="418"/>
      <c r="T181" s="418"/>
      <c r="U181" s="418"/>
      <c r="V181" s="418"/>
      <c r="W181" s="418"/>
      <c r="X181" s="418"/>
      <c r="Y181" s="418"/>
      <c r="Z181" s="418"/>
      <c r="AA181" s="418"/>
      <c r="AB181" s="418"/>
      <c r="AC181" s="418"/>
      <c r="AD181" s="418"/>
      <c r="AE181" s="306"/>
      <c r="AF181" s="306"/>
      <c r="AG181" s="306"/>
      <c r="AH181" s="306"/>
      <c r="AI181" s="306"/>
      <c r="AJ181" s="306"/>
      <c r="AK181" s="306"/>
      <c r="AL181" s="306"/>
      <c r="AM181" s="306"/>
      <c r="AN181" s="306"/>
      <c r="AO181" s="306"/>
      <c r="AP181" s="306"/>
      <c r="AQ181" s="306"/>
      <c r="AR181" s="306"/>
      <c r="AS181" s="306"/>
      <c r="AT181" s="306"/>
      <c r="AU181" s="306"/>
      <c r="AV181" s="306"/>
      <c r="AW181" s="306"/>
      <c r="AX181" s="306"/>
      <c r="AY181" s="306"/>
      <c r="AZ181" s="306"/>
    </row>
    <row r="182" spans="1:52" ht="17.100000000000001" customHeight="1">
      <c r="A182" s="306"/>
      <c r="B182" s="306"/>
      <c r="C182" s="418"/>
      <c r="D182" s="418"/>
      <c r="E182" s="418"/>
      <c r="F182" s="418"/>
      <c r="G182" s="418"/>
      <c r="H182" s="418"/>
      <c r="I182" s="418"/>
      <c r="J182" s="418"/>
      <c r="K182" s="418"/>
      <c r="L182" s="418"/>
      <c r="M182" s="418"/>
      <c r="N182" s="418"/>
      <c r="O182" s="418"/>
      <c r="P182" s="418"/>
      <c r="Q182" s="418"/>
      <c r="R182" s="418"/>
      <c r="S182" s="418"/>
      <c r="T182" s="418"/>
      <c r="U182" s="418"/>
      <c r="V182" s="418"/>
      <c r="W182" s="418"/>
      <c r="X182" s="418"/>
      <c r="Y182" s="418"/>
      <c r="Z182" s="418"/>
      <c r="AA182" s="418"/>
      <c r="AB182" s="418"/>
      <c r="AC182" s="418"/>
      <c r="AD182" s="418"/>
      <c r="AE182" s="306"/>
      <c r="AF182" s="306"/>
      <c r="AG182" s="306"/>
      <c r="AH182" s="306"/>
      <c r="AI182" s="306"/>
      <c r="AJ182" s="306"/>
      <c r="AK182" s="306"/>
      <c r="AL182" s="306"/>
      <c r="AM182" s="306"/>
      <c r="AN182" s="306"/>
      <c r="AO182" s="306"/>
      <c r="AP182" s="306"/>
      <c r="AQ182" s="306"/>
      <c r="AR182" s="306"/>
      <c r="AS182" s="306"/>
      <c r="AT182" s="306"/>
      <c r="AU182" s="306"/>
      <c r="AV182" s="306"/>
      <c r="AW182" s="306"/>
      <c r="AX182" s="306"/>
      <c r="AY182" s="306"/>
      <c r="AZ182" s="306"/>
    </row>
    <row r="183" spans="1:52" ht="17.100000000000001" customHeight="1">
      <c r="A183" s="306"/>
      <c r="B183" s="306"/>
      <c r="C183" s="418"/>
      <c r="D183" s="418"/>
      <c r="E183" s="418"/>
      <c r="F183" s="418"/>
      <c r="G183" s="418"/>
      <c r="H183" s="418"/>
      <c r="I183" s="418"/>
      <c r="J183" s="418"/>
      <c r="K183" s="418"/>
      <c r="L183" s="418"/>
      <c r="M183" s="418"/>
      <c r="N183" s="418"/>
      <c r="O183" s="418"/>
      <c r="P183" s="418"/>
      <c r="Q183" s="418"/>
      <c r="R183" s="418"/>
      <c r="S183" s="418"/>
      <c r="T183" s="418"/>
      <c r="U183" s="418"/>
      <c r="V183" s="418"/>
      <c r="W183" s="418"/>
      <c r="X183" s="418"/>
      <c r="Y183" s="418"/>
      <c r="Z183" s="418"/>
      <c r="AA183" s="418"/>
      <c r="AB183" s="418"/>
      <c r="AC183" s="418"/>
      <c r="AD183" s="418"/>
      <c r="AE183" s="306"/>
      <c r="AF183" s="306"/>
      <c r="AG183" s="306"/>
      <c r="AH183" s="306"/>
      <c r="AI183" s="306"/>
      <c r="AJ183" s="306"/>
      <c r="AK183" s="306"/>
      <c r="AL183" s="306"/>
      <c r="AM183" s="306"/>
      <c r="AN183" s="306"/>
      <c r="AO183" s="306"/>
      <c r="AP183" s="306"/>
      <c r="AQ183" s="306"/>
      <c r="AR183" s="306"/>
      <c r="AS183" s="306"/>
      <c r="AT183" s="306"/>
      <c r="AU183" s="306"/>
      <c r="AV183" s="306"/>
      <c r="AW183" s="306"/>
      <c r="AX183" s="306"/>
      <c r="AY183" s="306"/>
      <c r="AZ183" s="306"/>
    </row>
    <row r="184" spans="1:52" ht="17.100000000000001" customHeight="1">
      <c r="A184" s="306"/>
      <c r="B184" s="306"/>
      <c r="C184" s="418"/>
      <c r="D184" s="418"/>
      <c r="E184" s="418"/>
      <c r="F184" s="418"/>
      <c r="G184" s="418"/>
      <c r="H184" s="418"/>
      <c r="I184" s="418"/>
      <c r="J184" s="418"/>
      <c r="K184" s="418"/>
      <c r="L184" s="418"/>
      <c r="M184" s="418"/>
      <c r="N184" s="418"/>
      <c r="O184" s="418"/>
      <c r="P184" s="418"/>
      <c r="Q184" s="418"/>
      <c r="R184" s="418"/>
      <c r="S184" s="418"/>
      <c r="T184" s="418"/>
      <c r="U184" s="418"/>
      <c r="V184" s="418"/>
      <c r="W184" s="418"/>
      <c r="X184" s="418"/>
      <c r="Y184" s="418"/>
      <c r="Z184" s="418"/>
      <c r="AA184" s="418"/>
      <c r="AB184" s="418"/>
      <c r="AC184" s="418"/>
      <c r="AD184" s="418"/>
      <c r="AE184" s="306"/>
      <c r="AF184" s="306"/>
      <c r="AG184" s="306"/>
      <c r="AH184" s="306"/>
      <c r="AI184" s="306"/>
      <c r="AJ184" s="306"/>
      <c r="AK184" s="306"/>
      <c r="AL184" s="306"/>
      <c r="AM184" s="306"/>
      <c r="AN184" s="306"/>
      <c r="AO184" s="306"/>
      <c r="AP184" s="306"/>
      <c r="AQ184" s="306"/>
      <c r="AR184" s="306"/>
      <c r="AS184" s="306"/>
      <c r="AT184" s="306"/>
      <c r="AU184" s="306"/>
      <c r="AV184" s="306"/>
      <c r="AW184" s="306"/>
      <c r="AX184" s="306"/>
      <c r="AY184" s="306"/>
      <c r="AZ184" s="306"/>
    </row>
    <row r="185" spans="1:52" ht="17.100000000000001" customHeight="1">
      <c r="A185" s="306"/>
      <c r="B185" s="306"/>
      <c r="C185" s="418"/>
      <c r="D185" s="418"/>
      <c r="E185" s="418"/>
      <c r="F185" s="418"/>
      <c r="G185" s="418"/>
      <c r="H185" s="418"/>
      <c r="I185" s="418"/>
      <c r="J185" s="418"/>
      <c r="K185" s="418"/>
      <c r="L185" s="418"/>
      <c r="M185" s="418"/>
      <c r="N185" s="418"/>
      <c r="O185" s="418"/>
      <c r="P185" s="418"/>
      <c r="Q185" s="418"/>
      <c r="R185" s="418"/>
      <c r="S185" s="418"/>
      <c r="T185" s="418"/>
      <c r="U185" s="418"/>
      <c r="V185" s="418"/>
      <c r="W185" s="418"/>
      <c r="X185" s="418"/>
      <c r="Y185" s="418"/>
      <c r="Z185" s="418"/>
      <c r="AA185" s="418"/>
      <c r="AB185" s="418"/>
      <c r="AC185" s="418"/>
      <c r="AD185" s="418"/>
      <c r="AE185" s="306"/>
      <c r="AF185" s="306"/>
      <c r="AG185" s="306"/>
      <c r="AH185" s="306"/>
      <c r="AI185" s="306"/>
      <c r="AJ185" s="306"/>
      <c r="AK185" s="306"/>
      <c r="AL185" s="306"/>
      <c r="AM185" s="306"/>
      <c r="AN185" s="306"/>
      <c r="AO185" s="306"/>
      <c r="AP185" s="306"/>
      <c r="AQ185" s="306"/>
      <c r="AR185" s="306"/>
      <c r="AS185" s="306"/>
      <c r="AT185" s="306"/>
      <c r="AU185" s="306"/>
      <c r="AV185" s="306"/>
      <c r="AW185" s="306"/>
      <c r="AX185" s="306"/>
      <c r="AY185" s="306"/>
      <c r="AZ185" s="306"/>
    </row>
    <row r="186" spans="1:52" ht="17.100000000000001" customHeight="1">
      <c r="A186" s="306"/>
      <c r="B186" s="306"/>
      <c r="C186" s="418"/>
      <c r="D186" s="418"/>
      <c r="E186" s="418"/>
      <c r="F186" s="418"/>
      <c r="G186" s="418"/>
      <c r="H186" s="418"/>
      <c r="I186" s="418"/>
      <c r="J186" s="418"/>
      <c r="K186" s="418"/>
      <c r="L186" s="418"/>
      <c r="M186" s="418"/>
      <c r="N186" s="418"/>
      <c r="O186" s="418"/>
      <c r="P186" s="418"/>
      <c r="Q186" s="418"/>
      <c r="R186" s="418"/>
      <c r="S186" s="418"/>
      <c r="T186" s="418"/>
      <c r="U186" s="418"/>
      <c r="V186" s="418"/>
      <c r="W186" s="418"/>
      <c r="X186" s="418"/>
      <c r="Y186" s="418"/>
      <c r="Z186" s="418"/>
      <c r="AA186" s="418"/>
      <c r="AB186" s="418"/>
      <c r="AC186" s="418"/>
      <c r="AD186" s="418"/>
      <c r="AE186" s="306"/>
      <c r="AF186" s="306"/>
      <c r="AG186" s="306"/>
      <c r="AH186" s="306"/>
      <c r="AI186" s="306"/>
      <c r="AJ186" s="306"/>
      <c r="AK186" s="306"/>
      <c r="AL186" s="306"/>
      <c r="AM186" s="306"/>
      <c r="AN186" s="306"/>
      <c r="AO186" s="306"/>
      <c r="AP186" s="306"/>
      <c r="AQ186" s="306"/>
      <c r="AR186" s="306"/>
      <c r="AS186" s="306"/>
      <c r="AT186" s="306"/>
      <c r="AU186" s="306"/>
      <c r="AV186" s="306"/>
      <c r="AW186" s="306"/>
      <c r="AX186" s="306"/>
      <c r="AY186" s="306"/>
      <c r="AZ186" s="306"/>
    </row>
    <row r="187" spans="1:52" ht="17.100000000000001" customHeight="1">
      <c r="A187" s="306"/>
      <c r="B187" s="306"/>
      <c r="C187" s="418"/>
      <c r="D187" s="418"/>
      <c r="E187" s="418"/>
      <c r="F187" s="418"/>
      <c r="G187" s="418"/>
      <c r="H187" s="418"/>
      <c r="I187" s="418"/>
      <c r="J187" s="418"/>
      <c r="K187" s="418"/>
      <c r="L187" s="418"/>
      <c r="M187" s="418"/>
      <c r="N187" s="418"/>
      <c r="O187" s="418"/>
      <c r="P187" s="418"/>
      <c r="Q187" s="418"/>
      <c r="R187" s="418"/>
      <c r="S187" s="418"/>
      <c r="T187" s="418"/>
      <c r="U187" s="418"/>
      <c r="V187" s="418"/>
      <c r="W187" s="418"/>
      <c r="X187" s="418"/>
      <c r="Y187" s="418"/>
      <c r="Z187" s="418"/>
      <c r="AA187" s="418"/>
      <c r="AB187" s="418"/>
      <c r="AC187" s="418"/>
      <c r="AD187" s="418"/>
      <c r="AE187" s="306"/>
      <c r="AF187" s="306"/>
      <c r="AG187" s="306"/>
      <c r="AH187" s="306"/>
      <c r="AI187" s="306"/>
      <c r="AJ187" s="306"/>
      <c r="AK187" s="306"/>
      <c r="AL187" s="306"/>
      <c r="AM187" s="306"/>
      <c r="AN187" s="306"/>
      <c r="AO187" s="306"/>
      <c r="AP187" s="306"/>
      <c r="AQ187" s="306"/>
      <c r="AR187" s="306"/>
      <c r="AS187" s="306"/>
      <c r="AT187" s="306"/>
      <c r="AU187" s="306"/>
      <c r="AV187" s="306"/>
      <c r="AW187" s="306"/>
      <c r="AX187" s="306"/>
      <c r="AY187" s="306"/>
      <c r="AZ187" s="306"/>
    </row>
    <row r="188" spans="1:52" ht="17.100000000000001" customHeight="1">
      <c r="A188" s="306"/>
      <c r="B188" s="306"/>
      <c r="C188" s="418"/>
      <c r="D188" s="418"/>
      <c r="E188" s="418"/>
      <c r="F188" s="418"/>
      <c r="G188" s="418"/>
      <c r="H188" s="418"/>
      <c r="I188" s="418"/>
      <c r="J188" s="418"/>
      <c r="K188" s="418"/>
      <c r="L188" s="418"/>
      <c r="M188" s="418"/>
      <c r="N188" s="418"/>
      <c r="O188" s="418"/>
      <c r="P188" s="418"/>
      <c r="Q188" s="418"/>
      <c r="R188" s="418"/>
      <c r="S188" s="418"/>
      <c r="T188" s="418"/>
      <c r="U188" s="418"/>
      <c r="V188" s="418"/>
      <c r="W188" s="418"/>
      <c r="X188" s="418"/>
      <c r="Y188" s="418"/>
      <c r="Z188" s="418"/>
      <c r="AA188" s="418"/>
      <c r="AB188" s="418"/>
      <c r="AC188" s="418"/>
      <c r="AD188" s="418"/>
      <c r="AE188" s="306"/>
      <c r="AF188" s="306"/>
      <c r="AG188" s="306"/>
      <c r="AH188" s="306"/>
      <c r="AI188" s="306"/>
      <c r="AJ188" s="306"/>
      <c r="AK188" s="306"/>
      <c r="AL188" s="306"/>
      <c r="AM188" s="306"/>
      <c r="AN188" s="306"/>
      <c r="AO188" s="306"/>
      <c r="AP188" s="306"/>
      <c r="AQ188" s="306"/>
      <c r="AR188" s="306"/>
      <c r="AS188" s="306"/>
      <c r="AT188" s="306"/>
      <c r="AU188" s="306"/>
      <c r="AV188" s="306"/>
      <c r="AW188" s="306"/>
      <c r="AX188" s="306"/>
      <c r="AY188" s="306"/>
      <c r="AZ188" s="306"/>
    </row>
    <row r="189" spans="1:52" ht="17.100000000000001" customHeight="1">
      <c r="A189" s="306"/>
      <c r="B189" s="306"/>
      <c r="C189" s="418"/>
      <c r="D189" s="418"/>
      <c r="E189" s="418"/>
      <c r="F189" s="418"/>
      <c r="G189" s="418"/>
      <c r="H189" s="418"/>
      <c r="I189" s="418"/>
      <c r="J189" s="418"/>
      <c r="K189" s="418"/>
      <c r="L189" s="418"/>
      <c r="M189" s="418"/>
      <c r="N189" s="418"/>
      <c r="O189" s="418"/>
      <c r="P189" s="418"/>
      <c r="Q189" s="418"/>
      <c r="R189" s="418"/>
      <c r="S189" s="418"/>
      <c r="T189" s="418"/>
      <c r="U189" s="418"/>
      <c r="V189" s="418"/>
      <c r="W189" s="418"/>
      <c r="X189" s="418"/>
      <c r="Y189" s="418"/>
      <c r="Z189" s="418"/>
      <c r="AA189" s="418"/>
      <c r="AB189" s="418"/>
      <c r="AC189" s="418"/>
      <c r="AD189" s="418"/>
      <c r="AE189" s="306"/>
      <c r="AF189" s="306"/>
      <c r="AG189" s="306"/>
      <c r="AH189" s="306"/>
      <c r="AI189" s="306"/>
      <c r="AJ189" s="306"/>
      <c r="AK189" s="306"/>
      <c r="AL189" s="306"/>
      <c r="AM189" s="306"/>
      <c r="AN189" s="306"/>
      <c r="AO189" s="306"/>
      <c r="AP189" s="306"/>
      <c r="AQ189" s="306"/>
      <c r="AR189" s="306"/>
      <c r="AS189" s="306"/>
      <c r="AT189" s="306"/>
      <c r="AU189" s="306"/>
      <c r="AV189" s="306"/>
      <c r="AW189" s="306"/>
      <c r="AX189" s="306"/>
      <c r="AY189" s="306"/>
      <c r="AZ189" s="306"/>
    </row>
    <row r="190" spans="1:52" ht="17.100000000000001" customHeight="1">
      <c r="A190" s="306"/>
      <c r="B190" s="306"/>
      <c r="C190" s="418"/>
      <c r="D190" s="418"/>
      <c r="E190" s="418"/>
      <c r="F190" s="418"/>
      <c r="G190" s="418"/>
      <c r="H190" s="418"/>
      <c r="I190" s="418"/>
      <c r="J190" s="418"/>
      <c r="K190" s="418"/>
      <c r="L190" s="418"/>
      <c r="M190" s="418"/>
      <c r="N190" s="418"/>
      <c r="O190" s="418"/>
      <c r="P190" s="418"/>
      <c r="Q190" s="418"/>
      <c r="R190" s="418"/>
      <c r="S190" s="418"/>
      <c r="T190" s="418"/>
      <c r="U190" s="418"/>
      <c r="V190" s="418"/>
      <c r="W190" s="418"/>
      <c r="X190" s="418"/>
      <c r="Y190" s="418"/>
      <c r="Z190" s="418"/>
      <c r="AA190" s="418"/>
      <c r="AB190" s="418"/>
      <c r="AC190" s="418"/>
      <c r="AD190" s="418"/>
      <c r="AE190" s="306"/>
      <c r="AF190" s="306"/>
      <c r="AG190" s="306"/>
      <c r="AH190" s="306"/>
      <c r="AI190" s="306"/>
      <c r="AJ190" s="306"/>
      <c r="AK190" s="306"/>
      <c r="AL190" s="306"/>
      <c r="AM190" s="306"/>
      <c r="AN190" s="306"/>
      <c r="AO190" s="306"/>
      <c r="AP190" s="306"/>
      <c r="AQ190" s="306"/>
      <c r="AR190" s="306"/>
      <c r="AS190" s="306"/>
      <c r="AT190" s="306"/>
      <c r="AU190" s="306"/>
      <c r="AV190" s="306"/>
      <c r="AW190" s="306"/>
      <c r="AX190" s="306"/>
      <c r="AY190" s="306"/>
      <c r="AZ190" s="306"/>
    </row>
    <row r="191" spans="1:52" ht="17.100000000000001" customHeight="1">
      <c r="A191" s="306"/>
      <c r="B191" s="306"/>
      <c r="C191" s="418"/>
      <c r="D191" s="418"/>
      <c r="E191" s="418"/>
      <c r="F191" s="418"/>
      <c r="G191" s="418"/>
      <c r="H191" s="418"/>
      <c r="I191" s="418"/>
      <c r="J191" s="418"/>
      <c r="K191" s="418"/>
      <c r="L191" s="418"/>
      <c r="M191" s="418"/>
      <c r="N191" s="418"/>
      <c r="O191" s="418"/>
      <c r="P191" s="418"/>
      <c r="Q191" s="418"/>
      <c r="R191" s="418"/>
      <c r="S191" s="418"/>
      <c r="T191" s="418"/>
      <c r="U191" s="418"/>
      <c r="V191" s="418"/>
      <c r="W191" s="418"/>
      <c r="X191" s="418"/>
      <c r="Y191" s="418"/>
      <c r="Z191" s="418"/>
      <c r="AA191" s="418"/>
      <c r="AB191" s="418"/>
      <c r="AC191" s="418"/>
      <c r="AD191" s="418"/>
      <c r="AE191" s="306"/>
      <c r="AF191" s="306"/>
      <c r="AG191" s="306"/>
      <c r="AH191" s="306"/>
      <c r="AI191" s="306"/>
      <c r="AJ191" s="306"/>
      <c r="AK191" s="306"/>
      <c r="AL191" s="306"/>
      <c r="AM191" s="306"/>
      <c r="AN191" s="306"/>
      <c r="AO191" s="306"/>
      <c r="AP191" s="306"/>
      <c r="AQ191" s="306"/>
      <c r="AR191" s="306"/>
      <c r="AS191" s="306"/>
      <c r="AT191" s="306"/>
      <c r="AU191" s="306"/>
      <c r="AV191" s="306"/>
      <c r="AW191" s="306"/>
      <c r="AX191" s="306"/>
      <c r="AY191" s="306"/>
      <c r="AZ191" s="306"/>
    </row>
    <row r="192" spans="1:52" ht="17.100000000000001" customHeight="1">
      <c r="A192" s="306"/>
      <c r="B192" s="306"/>
      <c r="C192" s="418"/>
      <c r="D192" s="418"/>
      <c r="E192" s="418"/>
      <c r="F192" s="418"/>
      <c r="G192" s="418"/>
      <c r="H192" s="418"/>
      <c r="I192" s="418"/>
      <c r="J192" s="418"/>
      <c r="K192" s="418"/>
      <c r="L192" s="418"/>
      <c r="M192" s="418"/>
      <c r="N192" s="418"/>
      <c r="O192" s="418"/>
      <c r="P192" s="418"/>
      <c r="Q192" s="418"/>
      <c r="R192" s="418"/>
      <c r="S192" s="418"/>
      <c r="T192" s="418"/>
      <c r="U192" s="418"/>
      <c r="V192" s="418"/>
      <c r="W192" s="418"/>
      <c r="X192" s="418"/>
      <c r="Y192" s="418"/>
      <c r="Z192" s="418"/>
      <c r="AA192" s="418"/>
      <c r="AB192" s="418"/>
      <c r="AC192" s="418"/>
      <c r="AD192" s="418"/>
      <c r="AE192" s="306"/>
      <c r="AF192" s="306"/>
      <c r="AG192" s="306"/>
      <c r="AH192" s="306"/>
      <c r="AI192" s="306"/>
      <c r="AJ192" s="306"/>
      <c r="AK192" s="306"/>
      <c r="AL192" s="306"/>
      <c r="AM192" s="306"/>
      <c r="AN192" s="306"/>
      <c r="AO192" s="306"/>
      <c r="AP192" s="306"/>
      <c r="AQ192" s="306"/>
      <c r="AR192" s="306"/>
      <c r="AS192" s="306"/>
      <c r="AT192" s="306"/>
      <c r="AU192" s="306"/>
      <c r="AV192" s="306"/>
      <c r="AW192" s="306"/>
      <c r="AX192" s="306"/>
      <c r="AY192" s="306"/>
      <c r="AZ192" s="306"/>
    </row>
    <row r="193" spans="1:52" ht="17.100000000000001" customHeight="1">
      <c r="A193" s="306"/>
      <c r="B193" s="306"/>
      <c r="C193" s="418"/>
      <c r="D193" s="418"/>
      <c r="E193" s="418"/>
      <c r="F193" s="418"/>
      <c r="G193" s="418"/>
      <c r="H193" s="418"/>
      <c r="I193" s="418"/>
      <c r="J193" s="418"/>
      <c r="K193" s="418"/>
      <c r="L193" s="418"/>
      <c r="M193" s="418"/>
      <c r="N193" s="418"/>
      <c r="O193" s="418"/>
      <c r="P193" s="418"/>
      <c r="Q193" s="418"/>
      <c r="R193" s="418"/>
      <c r="S193" s="418"/>
      <c r="T193" s="418"/>
      <c r="U193" s="418"/>
      <c r="V193" s="418"/>
      <c r="W193" s="418"/>
      <c r="X193" s="418"/>
      <c r="Y193" s="418"/>
      <c r="Z193" s="418"/>
      <c r="AA193" s="418"/>
      <c r="AB193" s="418"/>
      <c r="AC193" s="418"/>
      <c r="AD193" s="418"/>
      <c r="AE193" s="306"/>
      <c r="AF193" s="306"/>
      <c r="AG193" s="306"/>
      <c r="AH193" s="306"/>
      <c r="AI193" s="306"/>
      <c r="AJ193" s="306"/>
      <c r="AK193" s="306"/>
      <c r="AL193" s="306"/>
      <c r="AM193" s="306"/>
      <c r="AN193" s="306"/>
      <c r="AO193" s="306"/>
      <c r="AP193" s="306"/>
      <c r="AQ193" s="306"/>
      <c r="AR193" s="306"/>
      <c r="AS193" s="306"/>
      <c r="AT193" s="306"/>
      <c r="AU193" s="306"/>
      <c r="AV193" s="306"/>
      <c r="AW193" s="306"/>
      <c r="AX193" s="306"/>
      <c r="AY193" s="306"/>
      <c r="AZ193" s="306"/>
    </row>
    <row r="194" spans="1:52" ht="17.100000000000001" customHeight="1">
      <c r="A194" s="306"/>
      <c r="B194" s="306"/>
      <c r="C194" s="418"/>
      <c r="D194" s="418"/>
      <c r="E194" s="418"/>
      <c r="F194" s="418"/>
      <c r="G194" s="418"/>
      <c r="H194" s="418"/>
      <c r="I194" s="418"/>
      <c r="J194" s="418"/>
      <c r="K194" s="418"/>
      <c r="L194" s="418"/>
      <c r="M194" s="418"/>
      <c r="N194" s="418"/>
      <c r="O194" s="418"/>
      <c r="P194" s="418"/>
      <c r="Q194" s="418"/>
      <c r="R194" s="418"/>
      <c r="S194" s="418"/>
      <c r="T194" s="418"/>
      <c r="U194" s="418"/>
      <c r="V194" s="418"/>
      <c r="W194" s="418"/>
      <c r="X194" s="418"/>
      <c r="Y194" s="418"/>
      <c r="Z194" s="418"/>
      <c r="AA194" s="418"/>
      <c r="AB194" s="418"/>
      <c r="AC194" s="418"/>
      <c r="AD194" s="418"/>
      <c r="AE194" s="306"/>
      <c r="AF194" s="306"/>
      <c r="AG194" s="306"/>
      <c r="AH194" s="306"/>
      <c r="AI194" s="306"/>
      <c r="AJ194" s="306"/>
      <c r="AK194" s="306"/>
      <c r="AL194" s="306"/>
      <c r="AM194" s="306"/>
      <c r="AN194" s="306"/>
      <c r="AO194" s="306"/>
      <c r="AP194" s="306"/>
      <c r="AQ194" s="306"/>
      <c r="AR194" s="306"/>
      <c r="AS194" s="306"/>
      <c r="AT194" s="306"/>
      <c r="AU194" s="306"/>
      <c r="AV194" s="306"/>
      <c r="AW194" s="306"/>
      <c r="AX194" s="306"/>
      <c r="AY194" s="306"/>
      <c r="AZ194" s="306"/>
    </row>
    <row r="195" spans="1:52" ht="17.100000000000001" customHeight="1">
      <c r="A195" s="306"/>
      <c r="B195" s="306"/>
      <c r="C195" s="418"/>
      <c r="D195" s="418"/>
      <c r="E195" s="418"/>
      <c r="F195" s="418"/>
      <c r="G195" s="418"/>
      <c r="H195" s="418"/>
      <c r="I195" s="418"/>
      <c r="J195" s="418"/>
      <c r="K195" s="418"/>
      <c r="L195" s="418"/>
      <c r="M195" s="418"/>
      <c r="N195" s="418"/>
      <c r="O195" s="418"/>
      <c r="P195" s="418"/>
      <c r="Q195" s="418"/>
      <c r="R195" s="418"/>
      <c r="S195" s="418"/>
      <c r="T195" s="418"/>
      <c r="U195" s="418"/>
      <c r="V195" s="418"/>
      <c r="W195" s="418"/>
      <c r="X195" s="418"/>
      <c r="Y195" s="418"/>
      <c r="Z195" s="418"/>
      <c r="AA195" s="418"/>
      <c r="AB195" s="418"/>
      <c r="AC195" s="418"/>
      <c r="AD195" s="418"/>
      <c r="AE195" s="306"/>
      <c r="AF195" s="306"/>
      <c r="AG195" s="306"/>
      <c r="AH195" s="306"/>
      <c r="AI195" s="306"/>
      <c r="AJ195" s="306"/>
      <c r="AK195" s="306"/>
      <c r="AL195" s="306"/>
      <c r="AM195" s="306"/>
      <c r="AN195" s="306"/>
      <c r="AO195" s="306"/>
      <c r="AP195" s="306"/>
      <c r="AQ195" s="306"/>
      <c r="AR195" s="306"/>
      <c r="AS195" s="306"/>
      <c r="AT195" s="306"/>
      <c r="AU195" s="306"/>
      <c r="AV195" s="306"/>
      <c r="AW195" s="306"/>
      <c r="AX195" s="306"/>
      <c r="AY195" s="306"/>
      <c r="AZ195" s="306"/>
    </row>
    <row r="196" spans="1:52" ht="17.100000000000001" customHeight="1">
      <c r="A196" s="306"/>
      <c r="B196" s="306"/>
      <c r="C196" s="418"/>
      <c r="D196" s="418"/>
      <c r="E196" s="418"/>
      <c r="F196" s="418"/>
      <c r="G196" s="418"/>
      <c r="H196" s="418"/>
      <c r="I196" s="418"/>
      <c r="J196" s="418"/>
      <c r="K196" s="418"/>
      <c r="L196" s="418"/>
      <c r="M196" s="418"/>
      <c r="N196" s="418"/>
      <c r="O196" s="418"/>
      <c r="P196" s="418"/>
      <c r="Q196" s="418"/>
      <c r="R196" s="418"/>
      <c r="S196" s="418"/>
      <c r="T196" s="418"/>
      <c r="U196" s="418"/>
      <c r="V196" s="418"/>
      <c r="W196" s="418"/>
      <c r="X196" s="418"/>
      <c r="Y196" s="418"/>
      <c r="Z196" s="418"/>
      <c r="AA196" s="418"/>
      <c r="AB196" s="418"/>
      <c r="AC196" s="418"/>
      <c r="AD196" s="418"/>
      <c r="AE196" s="306"/>
      <c r="AF196" s="306"/>
      <c r="AG196" s="306"/>
      <c r="AH196" s="306"/>
      <c r="AI196" s="306"/>
      <c r="AJ196" s="306"/>
      <c r="AK196" s="306"/>
      <c r="AL196" s="306"/>
      <c r="AM196" s="306"/>
      <c r="AN196" s="306"/>
      <c r="AO196" s="306"/>
      <c r="AP196" s="306"/>
      <c r="AQ196" s="306"/>
      <c r="AR196" s="306"/>
      <c r="AS196" s="306"/>
      <c r="AT196" s="306"/>
      <c r="AU196" s="306"/>
      <c r="AV196" s="306"/>
      <c r="AW196" s="306"/>
      <c r="AX196" s="306"/>
      <c r="AY196" s="306"/>
      <c r="AZ196" s="306"/>
    </row>
    <row r="197" spans="1:52" ht="17.100000000000001" customHeight="1">
      <c r="A197" s="306"/>
      <c r="B197" s="306"/>
      <c r="C197" s="418"/>
      <c r="D197" s="418"/>
      <c r="E197" s="418"/>
      <c r="F197" s="418"/>
      <c r="G197" s="418"/>
      <c r="H197" s="418"/>
      <c r="I197" s="418"/>
      <c r="J197" s="418"/>
      <c r="K197" s="418"/>
      <c r="L197" s="418"/>
      <c r="M197" s="418"/>
      <c r="N197" s="418"/>
      <c r="O197" s="418"/>
      <c r="P197" s="418"/>
      <c r="Q197" s="418"/>
      <c r="R197" s="418"/>
      <c r="S197" s="418"/>
      <c r="T197" s="418"/>
      <c r="U197" s="418"/>
      <c r="V197" s="418"/>
      <c r="W197" s="418"/>
      <c r="X197" s="418"/>
      <c r="Y197" s="418"/>
      <c r="Z197" s="418"/>
      <c r="AA197" s="418"/>
      <c r="AB197" s="418"/>
      <c r="AC197" s="418"/>
      <c r="AD197" s="418"/>
      <c r="AE197" s="306"/>
      <c r="AF197" s="306"/>
      <c r="AG197" s="306"/>
      <c r="AH197" s="306"/>
      <c r="AI197" s="306"/>
      <c r="AJ197" s="306"/>
      <c r="AK197" s="306"/>
      <c r="AL197" s="306"/>
      <c r="AM197" s="306"/>
      <c r="AN197" s="306"/>
      <c r="AO197" s="306"/>
      <c r="AP197" s="306"/>
      <c r="AQ197" s="306"/>
      <c r="AR197" s="306"/>
      <c r="AS197" s="306"/>
      <c r="AT197" s="306"/>
      <c r="AU197" s="306"/>
      <c r="AV197" s="306"/>
      <c r="AW197" s="306"/>
      <c r="AX197" s="306"/>
      <c r="AY197" s="306"/>
      <c r="AZ197" s="306"/>
    </row>
    <row r="198" spans="1:52" ht="17.100000000000001" customHeight="1">
      <c r="A198" s="306"/>
      <c r="B198" s="306"/>
      <c r="C198" s="418"/>
      <c r="D198" s="418"/>
      <c r="E198" s="418"/>
      <c r="F198" s="418"/>
      <c r="G198" s="418"/>
      <c r="H198" s="418"/>
      <c r="I198" s="418"/>
      <c r="J198" s="418"/>
      <c r="K198" s="418"/>
      <c r="L198" s="418"/>
      <c r="M198" s="418"/>
      <c r="N198" s="418"/>
      <c r="O198" s="418"/>
      <c r="P198" s="418"/>
      <c r="Q198" s="418"/>
      <c r="R198" s="418"/>
      <c r="S198" s="418"/>
      <c r="T198" s="418"/>
      <c r="U198" s="418"/>
      <c r="V198" s="418"/>
      <c r="W198" s="418"/>
      <c r="X198" s="418"/>
      <c r="Y198" s="418"/>
      <c r="Z198" s="418"/>
      <c r="AA198" s="418"/>
      <c r="AB198" s="418"/>
      <c r="AC198" s="418"/>
      <c r="AD198" s="418"/>
      <c r="AE198" s="306"/>
      <c r="AF198" s="306"/>
      <c r="AG198" s="306"/>
      <c r="AH198" s="306"/>
      <c r="AI198" s="306"/>
      <c r="AJ198" s="306"/>
      <c r="AK198" s="306"/>
      <c r="AL198" s="306"/>
      <c r="AM198" s="306"/>
      <c r="AN198" s="306"/>
      <c r="AO198" s="306"/>
      <c r="AP198" s="306"/>
      <c r="AQ198" s="306"/>
      <c r="AR198" s="306"/>
      <c r="AS198" s="306"/>
      <c r="AT198" s="306"/>
      <c r="AU198" s="306"/>
      <c r="AV198" s="306"/>
      <c r="AW198" s="306"/>
      <c r="AX198" s="306"/>
      <c r="AY198" s="306"/>
      <c r="AZ198" s="306"/>
    </row>
    <row r="199" spans="1:52" ht="17.100000000000001" customHeight="1">
      <c r="A199" s="306"/>
      <c r="B199" s="306"/>
      <c r="C199" s="418"/>
      <c r="D199" s="418"/>
      <c r="E199" s="418"/>
      <c r="F199" s="418"/>
      <c r="G199" s="418"/>
      <c r="H199" s="418"/>
      <c r="I199" s="418"/>
      <c r="J199" s="418"/>
      <c r="K199" s="418"/>
      <c r="L199" s="418"/>
      <c r="M199" s="418"/>
      <c r="N199" s="418"/>
      <c r="O199" s="418"/>
      <c r="P199" s="418"/>
      <c r="Q199" s="418"/>
      <c r="R199" s="418"/>
      <c r="S199" s="418"/>
      <c r="T199" s="418"/>
      <c r="U199" s="418"/>
      <c r="V199" s="418"/>
      <c r="W199" s="418"/>
      <c r="X199" s="418"/>
      <c r="Y199" s="418"/>
      <c r="Z199" s="418"/>
      <c r="AA199" s="418"/>
      <c r="AB199" s="418"/>
      <c r="AC199" s="418"/>
      <c r="AD199" s="418"/>
      <c r="AE199" s="306"/>
      <c r="AF199" s="306"/>
      <c r="AG199" s="306"/>
      <c r="AH199" s="306"/>
      <c r="AI199" s="306"/>
      <c r="AJ199" s="306"/>
      <c r="AK199" s="306"/>
      <c r="AL199" s="306"/>
      <c r="AM199" s="306"/>
      <c r="AN199" s="306"/>
      <c r="AO199" s="306"/>
      <c r="AP199" s="306"/>
      <c r="AQ199" s="306"/>
      <c r="AR199" s="306"/>
      <c r="AS199" s="306"/>
      <c r="AT199" s="306"/>
      <c r="AU199" s="306"/>
      <c r="AV199" s="306"/>
      <c r="AW199" s="306"/>
      <c r="AX199" s="306"/>
      <c r="AY199" s="306"/>
      <c r="AZ199" s="306"/>
    </row>
    <row r="200" spans="1:52" ht="17.100000000000001" customHeight="1">
      <c r="A200" s="306"/>
      <c r="B200" s="306"/>
      <c r="C200" s="418"/>
      <c r="D200" s="418"/>
      <c r="E200" s="418"/>
      <c r="F200" s="418"/>
      <c r="G200" s="418"/>
      <c r="H200" s="418"/>
      <c r="I200" s="418"/>
      <c r="J200" s="418"/>
      <c r="K200" s="418"/>
      <c r="L200" s="418"/>
      <c r="M200" s="418"/>
      <c r="N200" s="418"/>
      <c r="O200" s="418"/>
      <c r="P200" s="418"/>
      <c r="Q200" s="418"/>
      <c r="R200" s="418"/>
      <c r="S200" s="418"/>
      <c r="T200" s="418"/>
      <c r="U200" s="418"/>
      <c r="V200" s="418"/>
      <c r="W200" s="418"/>
      <c r="X200" s="418"/>
      <c r="Y200" s="418"/>
      <c r="Z200" s="418"/>
      <c r="AA200" s="418"/>
      <c r="AB200" s="418"/>
      <c r="AC200" s="418"/>
      <c r="AD200" s="418"/>
      <c r="AE200" s="306"/>
      <c r="AF200" s="306"/>
      <c r="AG200" s="306"/>
      <c r="AH200" s="306"/>
      <c r="AI200" s="306"/>
      <c r="AJ200" s="306"/>
      <c r="AK200" s="306"/>
      <c r="AL200" s="306"/>
      <c r="AM200" s="306"/>
      <c r="AN200" s="306"/>
      <c r="AO200" s="306"/>
      <c r="AP200" s="306"/>
      <c r="AQ200" s="306"/>
      <c r="AR200" s="306"/>
      <c r="AS200" s="306"/>
      <c r="AT200" s="306"/>
      <c r="AU200" s="306"/>
      <c r="AV200" s="306"/>
      <c r="AW200" s="306"/>
      <c r="AX200" s="306"/>
      <c r="AY200" s="306"/>
      <c r="AZ200" s="306"/>
    </row>
    <row r="201" spans="1:52" ht="17.100000000000001" customHeight="1">
      <c r="A201" s="306"/>
      <c r="B201" s="306"/>
      <c r="C201" s="418"/>
      <c r="D201" s="418"/>
      <c r="E201" s="418"/>
      <c r="F201" s="418"/>
      <c r="G201" s="418"/>
      <c r="H201" s="418"/>
      <c r="I201" s="418"/>
      <c r="J201" s="418"/>
      <c r="K201" s="418"/>
      <c r="L201" s="418"/>
      <c r="M201" s="418"/>
      <c r="N201" s="418"/>
      <c r="O201" s="418"/>
      <c r="P201" s="418"/>
      <c r="Q201" s="418"/>
      <c r="R201" s="418"/>
      <c r="S201" s="418"/>
      <c r="T201" s="418"/>
      <c r="U201" s="418"/>
      <c r="V201" s="418"/>
      <c r="W201" s="418"/>
      <c r="X201" s="418"/>
      <c r="Y201" s="418"/>
      <c r="Z201" s="418"/>
      <c r="AA201" s="418"/>
      <c r="AB201" s="418"/>
      <c r="AC201" s="418"/>
      <c r="AD201" s="418"/>
      <c r="AE201" s="306"/>
      <c r="AF201" s="306"/>
      <c r="AG201" s="306"/>
      <c r="AH201" s="306"/>
      <c r="AI201" s="306"/>
      <c r="AJ201" s="306"/>
      <c r="AK201" s="306"/>
      <c r="AL201" s="306"/>
      <c r="AM201" s="306"/>
      <c r="AN201" s="306"/>
      <c r="AO201" s="306"/>
      <c r="AP201" s="306"/>
      <c r="AQ201" s="306"/>
      <c r="AR201" s="306"/>
      <c r="AS201" s="306"/>
      <c r="AT201" s="306"/>
      <c r="AU201" s="306"/>
      <c r="AV201" s="306"/>
      <c r="AW201" s="306"/>
      <c r="AX201" s="306"/>
      <c r="AY201" s="306"/>
      <c r="AZ201" s="306"/>
    </row>
    <row r="202" spans="1:52" ht="17.100000000000001" customHeight="1">
      <c r="A202" s="306"/>
      <c r="B202" s="306"/>
      <c r="C202" s="418"/>
      <c r="D202" s="418"/>
      <c r="E202" s="418"/>
      <c r="F202" s="418"/>
      <c r="G202" s="418"/>
      <c r="H202" s="418"/>
      <c r="I202" s="418"/>
      <c r="J202" s="418"/>
      <c r="K202" s="418"/>
      <c r="L202" s="418"/>
      <c r="M202" s="418"/>
      <c r="N202" s="418"/>
      <c r="O202" s="418"/>
      <c r="P202" s="418"/>
      <c r="Q202" s="418"/>
      <c r="R202" s="418"/>
      <c r="S202" s="418"/>
      <c r="T202" s="418"/>
      <c r="U202" s="418"/>
      <c r="V202" s="418"/>
      <c r="W202" s="418"/>
      <c r="X202" s="418"/>
      <c r="Y202" s="418"/>
      <c r="Z202" s="418"/>
      <c r="AA202" s="418"/>
      <c r="AB202" s="418"/>
      <c r="AC202" s="418"/>
      <c r="AD202" s="418"/>
      <c r="AE202" s="306"/>
      <c r="AF202" s="306"/>
      <c r="AG202" s="306"/>
      <c r="AH202" s="306"/>
      <c r="AI202" s="306"/>
      <c r="AJ202" s="306"/>
      <c r="AK202" s="306"/>
      <c r="AL202" s="306"/>
      <c r="AM202" s="306"/>
      <c r="AN202" s="306"/>
      <c r="AO202" s="306"/>
      <c r="AP202" s="306"/>
      <c r="AQ202" s="306"/>
      <c r="AR202" s="306"/>
      <c r="AS202" s="306"/>
      <c r="AT202" s="306"/>
      <c r="AU202" s="306"/>
      <c r="AV202" s="306"/>
      <c r="AW202" s="306"/>
      <c r="AX202" s="306"/>
      <c r="AY202" s="306"/>
      <c r="AZ202" s="306"/>
    </row>
    <row r="203" spans="1:52" ht="17.100000000000001" customHeight="1">
      <c r="A203" s="306"/>
      <c r="B203" s="306"/>
      <c r="C203" s="418"/>
      <c r="D203" s="418"/>
      <c r="E203" s="418"/>
      <c r="F203" s="418"/>
      <c r="G203" s="418"/>
      <c r="H203" s="418"/>
      <c r="I203" s="418"/>
      <c r="J203" s="418"/>
      <c r="K203" s="418"/>
      <c r="L203" s="418"/>
      <c r="M203" s="418"/>
      <c r="N203" s="418"/>
      <c r="O203" s="418"/>
      <c r="P203" s="418"/>
      <c r="Q203" s="418"/>
      <c r="R203" s="418"/>
      <c r="S203" s="418"/>
      <c r="T203" s="418"/>
      <c r="U203" s="418"/>
      <c r="V203" s="418"/>
      <c r="W203" s="418"/>
      <c r="X203" s="418"/>
      <c r="Y203" s="418"/>
      <c r="Z203" s="418"/>
      <c r="AA203" s="418"/>
      <c r="AB203" s="418"/>
      <c r="AC203" s="418"/>
      <c r="AD203" s="418"/>
      <c r="AE203" s="306"/>
      <c r="AF203" s="306"/>
      <c r="AG203" s="306"/>
      <c r="AH203" s="306"/>
      <c r="AI203" s="306"/>
      <c r="AJ203" s="306"/>
      <c r="AK203" s="306"/>
      <c r="AL203" s="306"/>
      <c r="AM203" s="306"/>
      <c r="AN203" s="306"/>
      <c r="AO203" s="306"/>
      <c r="AP203" s="306"/>
      <c r="AQ203" s="306"/>
      <c r="AR203" s="306"/>
      <c r="AS203" s="306"/>
      <c r="AT203" s="306"/>
      <c r="AU203" s="306"/>
      <c r="AV203" s="306"/>
      <c r="AW203" s="306"/>
      <c r="AX203" s="306"/>
      <c r="AY203" s="306"/>
      <c r="AZ203" s="306"/>
    </row>
    <row r="204" spans="1:52" ht="17.100000000000001" customHeight="1">
      <c r="A204" s="306"/>
      <c r="B204" s="306"/>
      <c r="C204" s="418"/>
      <c r="D204" s="418"/>
      <c r="E204" s="418"/>
      <c r="F204" s="418"/>
      <c r="G204" s="418"/>
      <c r="H204" s="418"/>
      <c r="I204" s="418"/>
      <c r="J204" s="418"/>
      <c r="K204" s="418"/>
      <c r="L204" s="418"/>
      <c r="M204" s="418"/>
      <c r="N204" s="418"/>
      <c r="O204" s="418"/>
      <c r="P204" s="418"/>
      <c r="Q204" s="418"/>
      <c r="R204" s="418"/>
      <c r="S204" s="418"/>
      <c r="T204" s="418"/>
      <c r="U204" s="418"/>
      <c r="V204" s="418"/>
      <c r="W204" s="418"/>
      <c r="X204" s="418"/>
      <c r="Y204" s="418"/>
      <c r="Z204" s="418"/>
      <c r="AA204" s="418"/>
      <c r="AB204" s="418"/>
      <c r="AC204" s="418"/>
      <c r="AD204" s="418"/>
      <c r="AE204" s="306"/>
      <c r="AF204" s="306"/>
      <c r="AG204" s="306"/>
      <c r="AH204" s="306"/>
      <c r="AI204" s="306"/>
      <c r="AJ204" s="306"/>
      <c r="AK204" s="306"/>
      <c r="AL204" s="306"/>
      <c r="AM204" s="306"/>
      <c r="AN204" s="306"/>
      <c r="AO204" s="306"/>
      <c r="AP204" s="306"/>
      <c r="AQ204" s="306"/>
      <c r="AR204" s="306"/>
      <c r="AS204" s="306"/>
      <c r="AT204" s="306"/>
      <c r="AU204" s="306"/>
      <c r="AV204" s="306"/>
      <c r="AW204" s="306"/>
      <c r="AX204" s="306"/>
      <c r="AY204" s="306"/>
      <c r="AZ204" s="306"/>
    </row>
    <row r="205" spans="1:52" ht="17.100000000000001" customHeight="1">
      <c r="A205" s="306"/>
      <c r="B205" s="306"/>
      <c r="C205" s="418"/>
      <c r="D205" s="418"/>
      <c r="E205" s="418"/>
      <c r="F205" s="418"/>
      <c r="G205" s="418"/>
      <c r="H205" s="418"/>
      <c r="I205" s="418"/>
      <c r="J205" s="418"/>
      <c r="K205" s="418"/>
      <c r="L205" s="418"/>
      <c r="M205" s="418"/>
      <c r="N205" s="418"/>
      <c r="O205" s="418"/>
      <c r="P205" s="418"/>
      <c r="Q205" s="418"/>
      <c r="R205" s="418"/>
      <c r="S205" s="418"/>
      <c r="T205" s="418"/>
      <c r="U205" s="418"/>
      <c r="V205" s="418"/>
      <c r="W205" s="418"/>
      <c r="X205" s="418"/>
      <c r="Y205" s="418"/>
      <c r="Z205" s="418"/>
      <c r="AA205" s="418"/>
      <c r="AB205" s="418"/>
      <c r="AC205" s="418"/>
      <c r="AD205" s="418"/>
      <c r="AE205" s="306"/>
      <c r="AF205" s="306"/>
      <c r="AG205" s="306"/>
      <c r="AH205" s="306"/>
      <c r="AI205" s="306"/>
      <c r="AJ205" s="306"/>
      <c r="AK205" s="306"/>
      <c r="AL205" s="306"/>
      <c r="AM205" s="306"/>
      <c r="AN205" s="306"/>
      <c r="AO205" s="306"/>
      <c r="AP205" s="306"/>
      <c r="AQ205" s="306"/>
      <c r="AR205" s="306"/>
      <c r="AS205" s="306"/>
      <c r="AT205" s="306"/>
      <c r="AU205" s="306"/>
      <c r="AV205" s="306"/>
      <c r="AW205" s="306"/>
      <c r="AX205" s="306"/>
      <c r="AY205" s="306"/>
      <c r="AZ205" s="306"/>
    </row>
    <row r="206" spans="1:52" ht="17.100000000000001" customHeight="1">
      <c r="A206" s="306"/>
      <c r="B206" s="306"/>
      <c r="C206" s="418"/>
      <c r="D206" s="418"/>
      <c r="E206" s="418"/>
      <c r="F206" s="418"/>
      <c r="G206" s="418"/>
      <c r="H206" s="418"/>
      <c r="I206" s="418"/>
      <c r="J206" s="418"/>
      <c r="K206" s="418"/>
      <c r="L206" s="418"/>
      <c r="M206" s="418"/>
      <c r="N206" s="418"/>
      <c r="O206" s="418"/>
      <c r="P206" s="418"/>
      <c r="Q206" s="418"/>
      <c r="R206" s="418"/>
      <c r="S206" s="418"/>
      <c r="T206" s="418"/>
      <c r="U206" s="418"/>
      <c r="V206" s="418"/>
      <c r="W206" s="418"/>
      <c r="X206" s="418"/>
      <c r="Y206" s="418"/>
      <c r="Z206" s="418"/>
      <c r="AA206" s="418"/>
      <c r="AB206" s="418"/>
      <c r="AC206" s="418"/>
      <c r="AD206" s="418"/>
      <c r="AE206" s="306"/>
      <c r="AF206" s="306"/>
      <c r="AG206" s="306"/>
      <c r="AH206" s="306"/>
      <c r="AI206" s="306"/>
      <c r="AJ206" s="306"/>
      <c r="AK206" s="306"/>
      <c r="AL206" s="306"/>
      <c r="AM206" s="306"/>
      <c r="AN206" s="306"/>
      <c r="AO206" s="306"/>
      <c r="AP206" s="306"/>
      <c r="AQ206" s="306"/>
      <c r="AR206" s="306"/>
      <c r="AS206" s="306"/>
      <c r="AT206" s="306"/>
      <c r="AU206" s="306"/>
      <c r="AV206" s="306"/>
      <c r="AW206" s="306"/>
      <c r="AX206" s="306"/>
      <c r="AY206" s="306"/>
      <c r="AZ206" s="306"/>
    </row>
    <row r="207" spans="1:52" ht="17.100000000000001" customHeight="1">
      <c r="A207" s="306"/>
      <c r="B207" s="306"/>
      <c r="C207" s="418"/>
      <c r="D207" s="418"/>
      <c r="E207" s="418"/>
      <c r="F207" s="418"/>
      <c r="G207" s="418"/>
      <c r="H207" s="418"/>
      <c r="I207" s="418"/>
      <c r="J207" s="418"/>
      <c r="K207" s="418"/>
      <c r="L207" s="418"/>
      <c r="M207" s="418"/>
      <c r="N207" s="418"/>
      <c r="O207" s="418"/>
      <c r="P207" s="418"/>
      <c r="Q207" s="418"/>
      <c r="R207" s="418"/>
      <c r="S207" s="418"/>
      <c r="T207" s="418"/>
      <c r="U207" s="418"/>
      <c r="V207" s="418"/>
      <c r="W207" s="418"/>
      <c r="X207" s="418"/>
      <c r="Y207" s="418"/>
      <c r="Z207" s="418"/>
      <c r="AA207" s="418"/>
      <c r="AB207" s="418"/>
      <c r="AC207" s="418"/>
      <c r="AD207" s="418"/>
      <c r="AE207" s="306"/>
      <c r="AF207" s="306"/>
      <c r="AG207" s="306"/>
      <c r="AH207" s="306"/>
      <c r="AI207" s="306"/>
      <c r="AJ207" s="306"/>
      <c r="AK207" s="306"/>
      <c r="AL207" s="306"/>
      <c r="AM207" s="306"/>
      <c r="AN207" s="306"/>
      <c r="AO207" s="306"/>
      <c r="AP207" s="306"/>
      <c r="AQ207" s="306"/>
      <c r="AR207" s="306"/>
      <c r="AS207" s="306"/>
      <c r="AT207" s="306"/>
      <c r="AU207" s="306"/>
      <c r="AV207" s="306"/>
      <c r="AW207" s="306"/>
      <c r="AX207" s="306"/>
      <c r="AY207" s="306"/>
      <c r="AZ207" s="306"/>
    </row>
    <row r="208" spans="1:52" ht="17.100000000000001" customHeight="1">
      <c r="A208" s="306"/>
      <c r="B208" s="306"/>
      <c r="C208" s="418"/>
      <c r="D208" s="418"/>
      <c r="E208" s="418"/>
      <c r="F208" s="418"/>
      <c r="G208" s="418"/>
      <c r="H208" s="418"/>
      <c r="I208" s="418"/>
      <c r="J208" s="418"/>
      <c r="K208" s="418"/>
      <c r="L208" s="418"/>
      <c r="M208" s="418"/>
      <c r="N208" s="418"/>
      <c r="O208" s="418"/>
      <c r="P208" s="418"/>
      <c r="Q208" s="418"/>
      <c r="R208" s="418"/>
      <c r="S208" s="418"/>
      <c r="T208" s="418"/>
      <c r="U208" s="418"/>
      <c r="V208" s="418"/>
      <c r="W208" s="418"/>
      <c r="X208" s="418"/>
      <c r="Y208" s="418"/>
      <c r="Z208" s="418"/>
      <c r="AA208" s="418"/>
      <c r="AB208" s="418"/>
      <c r="AC208" s="418"/>
      <c r="AD208" s="418"/>
      <c r="AE208" s="306"/>
      <c r="AF208" s="306"/>
      <c r="AG208" s="306"/>
      <c r="AH208" s="306"/>
      <c r="AI208" s="306"/>
      <c r="AJ208" s="306"/>
      <c r="AK208" s="306"/>
      <c r="AL208" s="306"/>
      <c r="AM208" s="306"/>
      <c r="AN208" s="306"/>
      <c r="AO208" s="306"/>
      <c r="AP208" s="306"/>
      <c r="AQ208" s="306"/>
      <c r="AR208" s="306"/>
      <c r="AS208" s="306"/>
      <c r="AT208" s="306"/>
      <c r="AU208" s="306"/>
      <c r="AV208" s="306"/>
      <c r="AW208" s="306"/>
      <c r="AX208" s="306"/>
      <c r="AY208" s="306"/>
      <c r="AZ208" s="306"/>
    </row>
    <row r="209" spans="1:52" ht="17.100000000000001" customHeight="1">
      <c r="A209" s="306"/>
      <c r="B209" s="306"/>
      <c r="C209" s="418"/>
      <c r="D209" s="418"/>
      <c r="E209" s="418"/>
      <c r="F209" s="418"/>
      <c r="G209" s="418"/>
      <c r="H209" s="418"/>
      <c r="I209" s="418"/>
      <c r="J209" s="418"/>
      <c r="K209" s="418"/>
      <c r="L209" s="418"/>
      <c r="M209" s="418"/>
      <c r="N209" s="418"/>
      <c r="O209" s="418"/>
      <c r="P209" s="418"/>
      <c r="Q209" s="418"/>
      <c r="R209" s="418"/>
      <c r="S209" s="418"/>
      <c r="T209" s="418"/>
      <c r="U209" s="418"/>
      <c r="V209" s="418"/>
      <c r="W209" s="418"/>
      <c r="X209" s="418"/>
      <c r="Y209" s="418"/>
      <c r="Z209" s="418"/>
      <c r="AA209" s="418"/>
      <c r="AB209" s="418"/>
      <c r="AC209" s="418"/>
      <c r="AD209" s="418"/>
      <c r="AE209" s="306"/>
      <c r="AF209" s="306"/>
      <c r="AG209" s="306"/>
      <c r="AH209" s="306"/>
      <c r="AI209" s="306"/>
      <c r="AJ209" s="306"/>
      <c r="AK209" s="306"/>
      <c r="AL209" s="306"/>
      <c r="AM209" s="306"/>
      <c r="AN209" s="306"/>
      <c r="AO209" s="306"/>
      <c r="AP209" s="306"/>
      <c r="AQ209" s="306"/>
      <c r="AR209" s="306"/>
      <c r="AS209" s="306"/>
      <c r="AT209" s="306"/>
      <c r="AU209" s="306"/>
      <c r="AV209" s="306"/>
      <c r="AW209" s="306"/>
      <c r="AX209" s="306"/>
      <c r="AY209" s="306"/>
      <c r="AZ209" s="306"/>
    </row>
    <row r="210" spans="1:52" ht="17.100000000000001" customHeight="1">
      <c r="A210" s="306"/>
      <c r="B210" s="306"/>
      <c r="C210" s="418"/>
      <c r="D210" s="418"/>
      <c r="E210" s="418"/>
      <c r="F210" s="418"/>
      <c r="G210" s="418"/>
      <c r="H210" s="418"/>
      <c r="I210" s="418"/>
      <c r="J210" s="418"/>
      <c r="K210" s="418"/>
      <c r="L210" s="418"/>
      <c r="M210" s="418"/>
      <c r="N210" s="418"/>
      <c r="O210" s="418"/>
      <c r="P210" s="418"/>
      <c r="Q210" s="418"/>
      <c r="R210" s="418"/>
      <c r="S210" s="418"/>
      <c r="T210" s="418"/>
      <c r="U210" s="418"/>
      <c r="V210" s="418"/>
      <c r="W210" s="418"/>
      <c r="X210" s="418"/>
      <c r="Y210" s="418"/>
      <c r="Z210" s="418"/>
      <c r="AA210" s="418"/>
      <c r="AB210" s="418"/>
      <c r="AC210" s="418"/>
      <c r="AD210" s="418"/>
      <c r="AE210" s="306"/>
      <c r="AF210" s="306"/>
      <c r="AG210" s="306"/>
      <c r="AH210" s="306"/>
      <c r="AI210" s="306"/>
      <c r="AJ210" s="306"/>
      <c r="AK210" s="306"/>
      <c r="AL210" s="306"/>
      <c r="AM210" s="306"/>
      <c r="AN210" s="306"/>
      <c r="AO210" s="306"/>
      <c r="AP210" s="306"/>
      <c r="AQ210" s="306"/>
      <c r="AR210" s="306"/>
      <c r="AS210" s="306"/>
      <c r="AT210" s="306"/>
      <c r="AU210" s="306"/>
      <c r="AV210" s="306"/>
      <c r="AW210" s="306"/>
      <c r="AX210" s="306"/>
      <c r="AY210" s="306"/>
      <c r="AZ210" s="306"/>
    </row>
    <row r="211" spans="1:52" ht="17.100000000000001" customHeight="1">
      <c r="A211" s="306"/>
      <c r="B211" s="306"/>
      <c r="C211" s="418"/>
      <c r="D211" s="418"/>
      <c r="E211" s="418"/>
      <c r="F211" s="418"/>
      <c r="G211" s="418"/>
      <c r="H211" s="418"/>
      <c r="I211" s="418"/>
      <c r="J211" s="418"/>
      <c r="K211" s="418"/>
      <c r="L211" s="418"/>
      <c r="M211" s="418"/>
      <c r="N211" s="418"/>
      <c r="O211" s="418"/>
      <c r="P211" s="418"/>
      <c r="Q211" s="418"/>
      <c r="R211" s="418"/>
      <c r="S211" s="418"/>
      <c r="T211" s="418"/>
      <c r="U211" s="418"/>
      <c r="V211" s="418"/>
      <c r="W211" s="418"/>
      <c r="X211" s="418"/>
      <c r="Y211" s="418"/>
      <c r="Z211" s="418"/>
      <c r="AA211" s="418"/>
      <c r="AB211" s="418"/>
      <c r="AC211" s="418"/>
      <c r="AD211" s="418"/>
      <c r="AE211" s="306"/>
      <c r="AF211" s="306"/>
      <c r="AG211" s="306"/>
      <c r="AH211" s="306"/>
      <c r="AI211" s="306"/>
      <c r="AJ211" s="306"/>
      <c r="AK211" s="306"/>
      <c r="AL211" s="306"/>
      <c r="AM211" s="306"/>
      <c r="AN211" s="306"/>
      <c r="AO211" s="306"/>
      <c r="AP211" s="306"/>
      <c r="AQ211" s="306"/>
      <c r="AR211" s="306"/>
      <c r="AS211" s="306"/>
      <c r="AT211" s="306"/>
      <c r="AU211" s="306"/>
      <c r="AV211" s="306"/>
      <c r="AW211" s="306"/>
      <c r="AX211" s="306"/>
      <c r="AY211" s="306"/>
      <c r="AZ211" s="306"/>
    </row>
    <row r="212" spans="1:52" ht="17.100000000000001" customHeight="1">
      <c r="A212" s="306"/>
      <c r="B212" s="306"/>
      <c r="C212" s="418"/>
      <c r="D212" s="418"/>
      <c r="E212" s="418"/>
      <c r="F212" s="418"/>
      <c r="G212" s="418"/>
      <c r="H212" s="418"/>
      <c r="I212" s="418"/>
      <c r="J212" s="418"/>
      <c r="K212" s="418"/>
      <c r="L212" s="418"/>
      <c r="M212" s="418"/>
      <c r="N212" s="418"/>
      <c r="O212" s="418"/>
      <c r="P212" s="418"/>
      <c r="Q212" s="418"/>
      <c r="R212" s="418"/>
      <c r="S212" s="418"/>
      <c r="T212" s="418"/>
      <c r="U212" s="418"/>
      <c r="V212" s="418"/>
      <c r="W212" s="418"/>
      <c r="X212" s="418"/>
      <c r="Y212" s="418"/>
      <c r="Z212" s="418"/>
      <c r="AA212" s="418"/>
      <c r="AB212" s="418"/>
      <c r="AC212" s="418"/>
      <c r="AD212" s="418"/>
      <c r="AE212" s="306"/>
      <c r="AF212" s="306"/>
      <c r="AG212" s="306"/>
      <c r="AH212" s="306"/>
      <c r="AI212" s="306"/>
      <c r="AJ212" s="306"/>
      <c r="AK212" s="306"/>
      <c r="AL212" s="306"/>
      <c r="AM212" s="306"/>
      <c r="AN212" s="306"/>
      <c r="AO212" s="306"/>
      <c r="AP212" s="306"/>
      <c r="AQ212" s="306"/>
      <c r="AR212" s="306"/>
      <c r="AS212" s="306"/>
      <c r="AT212" s="306"/>
      <c r="AU212" s="306"/>
      <c r="AV212" s="306"/>
      <c r="AW212" s="306"/>
      <c r="AX212" s="306"/>
      <c r="AY212" s="306"/>
      <c r="AZ212" s="306"/>
    </row>
    <row r="213" spans="1:52" ht="17.100000000000001" customHeight="1">
      <c r="A213" s="306"/>
      <c r="B213" s="306"/>
      <c r="C213" s="418"/>
      <c r="D213" s="418"/>
      <c r="E213" s="418"/>
      <c r="F213" s="418"/>
      <c r="G213" s="418"/>
      <c r="H213" s="418"/>
      <c r="I213" s="418"/>
      <c r="J213" s="418"/>
      <c r="K213" s="418"/>
      <c r="L213" s="418"/>
      <c r="M213" s="418"/>
      <c r="N213" s="418"/>
      <c r="O213" s="418"/>
      <c r="P213" s="418"/>
      <c r="Q213" s="418"/>
      <c r="R213" s="418"/>
      <c r="S213" s="418"/>
      <c r="T213" s="418"/>
      <c r="U213" s="418"/>
      <c r="V213" s="418"/>
      <c r="W213" s="418"/>
      <c r="X213" s="418"/>
      <c r="Y213" s="418"/>
      <c r="Z213" s="418"/>
      <c r="AA213" s="418"/>
      <c r="AB213" s="418"/>
      <c r="AC213" s="418"/>
      <c r="AD213" s="418"/>
      <c r="AE213" s="306"/>
      <c r="AF213" s="306"/>
      <c r="AG213" s="306"/>
      <c r="AH213" s="306"/>
      <c r="AI213" s="306"/>
      <c r="AJ213" s="306"/>
      <c r="AK213" s="306"/>
      <c r="AL213" s="306"/>
      <c r="AM213" s="306"/>
      <c r="AN213" s="306"/>
      <c r="AO213" s="306"/>
      <c r="AP213" s="306"/>
      <c r="AQ213" s="306"/>
      <c r="AR213" s="306"/>
      <c r="AS213" s="306"/>
      <c r="AT213" s="306"/>
      <c r="AU213" s="306"/>
      <c r="AV213" s="306"/>
      <c r="AW213" s="306"/>
      <c r="AX213" s="306"/>
      <c r="AY213" s="306"/>
      <c r="AZ213" s="306"/>
    </row>
    <row r="214" spans="1:52" ht="17.100000000000001" customHeight="1">
      <c r="A214" s="306"/>
      <c r="B214" s="306"/>
      <c r="C214" s="418"/>
      <c r="D214" s="418"/>
      <c r="E214" s="418"/>
      <c r="F214" s="418"/>
      <c r="G214" s="418"/>
      <c r="H214" s="418"/>
      <c r="I214" s="418"/>
      <c r="J214" s="418"/>
      <c r="K214" s="418"/>
      <c r="L214" s="418"/>
      <c r="M214" s="418"/>
      <c r="N214" s="418"/>
      <c r="O214" s="418"/>
      <c r="P214" s="418"/>
      <c r="Q214" s="418"/>
      <c r="R214" s="418"/>
      <c r="S214" s="418"/>
      <c r="T214" s="418"/>
      <c r="U214" s="418"/>
      <c r="V214" s="418"/>
      <c r="W214" s="418"/>
      <c r="X214" s="418"/>
      <c r="Y214" s="418"/>
      <c r="Z214" s="418"/>
      <c r="AA214" s="418"/>
      <c r="AB214" s="418"/>
      <c r="AC214" s="418"/>
      <c r="AD214" s="418"/>
      <c r="AE214" s="306"/>
      <c r="AF214" s="306"/>
      <c r="AG214" s="306"/>
      <c r="AH214" s="306"/>
      <c r="AI214" s="306"/>
      <c r="AJ214" s="306"/>
      <c r="AK214" s="306"/>
      <c r="AL214" s="306"/>
      <c r="AM214" s="306"/>
      <c r="AN214" s="306"/>
      <c r="AO214" s="306"/>
      <c r="AP214" s="306"/>
      <c r="AQ214" s="306"/>
      <c r="AR214" s="306"/>
      <c r="AS214" s="306"/>
      <c r="AT214" s="306"/>
      <c r="AU214" s="306"/>
      <c r="AV214" s="306"/>
      <c r="AW214" s="306"/>
      <c r="AX214" s="306"/>
      <c r="AY214" s="306"/>
      <c r="AZ214" s="306"/>
    </row>
    <row r="215" spans="1:52" ht="17.100000000000001" customHeight="1">
      <c r="A215" s="306"/>
      <c r="B215" s="306"/>
      <c r="C215" s="418"/>
      <c r="D215" s="418"/>
      <c r="E215" s="418"/>
      <c r="F215" s="418"/>
      <c r="G215" s="418"/>
      <c r="H215" s="418"/>
      <c r="I215" s="418"/>
      <c r="J215" s="418"/>
      <c r="K215" s="418"/>
      <c r="L215" s="418"/>
      <c r="M215" s="418"/>
      <c r="N215" s="418"/>
      <c r="O215" s="418"/>
      <c r="P215" s="418"/>
      <c r="Q215" s="418"/>
      <c r="R215" s="418"/>
      <c r="S215" s="418"/>
      <c r="T215" s="418"/>
      <c r="U215" s="418"/>
      <c r="V215" s="418"/>
      <c r="W215" s="418"/>
      <c r="X215" s="418"/>
      <c r="Y215" s="418"/>
      <c r="Z215" s="418"/>
      <c r="AA215" s="418"/>
      <c r="AB215" s="418"/>
      <c r="AC215" s="418"/>
      <c r="AD215" s="418"/>
      <c r="AE215" s="306"/>
      <c r="AF215" s="306"/>
      <c r="AG215" s="306"/>
      <c r="AH215" s="306"/>
      <c r="AI215" s="306"/>
      <c r="AJ215" s="306"/>
      <c r="AK215" s="306"/>
      <c r="AL215" s="306"/>
      <c r="AM215" s="306"/>
      <c r="AN215" s="306"/>
      <c r="AO215" s="306"/>
      <c r="AP215" s="306"/>
      <c r="AQ215" s="306"/>
      <c r="AR215" s="306"/>
      <c r="AS215" s="306"/>
      <c r="AT215" s="306"/>
      <c r="AU215" s="306"/>
      <c r="AV215" s="306"/>
      <c r="AW215" s="306"/>
      <c r="AX215" s="306"/>
      <c r="AY215" s="306"/>
      <c r="AZ215" s="306"/>
    </row>
    <row r="216" spans="1:52" ht="17.100000000000001" customHeight="1">
      <c r="A216" s="306"/>
      <c r="B216" s="306"/>
      <c r="C216" s="418"/>
      <c r="D216" s="418"/>
      <c r="E216" s="418"/>
      <c r="F216" s="418"/>
      <c r="G216" s="418"/>
      <c r="H216" s="418"/>
      <c r="I216" s="418"/>
      <c r="J216" s="418"/>
      <c r="K216" s="418"/>
      <c r="L216" s="418"/>
      <c r="M216" s="418"/>
      <c r="N216" s="418"/>
      <c r="O216" s="418"/>
      <c r="P216" s="418"/>
      <c r="Q216" s="418"/>
      <c r="R216" s="418"/>
      <c r="S216" s="418"/>
      <c r="T216" s="418"/>
      <c r="U216" s="418"/>
      <c r="V216" s="418"/>
      <c r="W216" s="418"/>
      <c r="X216" s="418"/>
      <c r="Y216" s="418"/>
      <c r="Z216" s="418"/>
      <c r="AA216" s="418"/>
      <c r="AB216" s="418"/>
      <c r="AC216" s="418"/>
      <c r="AD216" s="418"/>
      <c r="AE216" s="306"/>
      <c r="AF216" s="306"/>
      <c r="AG216" s="306"/>
      <c r="AH216" s="306"/>
      <c r="AI216" s="306"/>
      <c r="AJ216" s="306"/>
      <c r="AK216" s="306"/>
      <c r="AL216" s="306"/>
      <c r="AM216" s="306"/>
      <c r="AN216" s="306"/>
      <c r="AO216" s="306"/>
      <c r="AP216" s="306"/>
      <c r="AQ216" s="306"/>
      <c r="AR216" s="306"/>
      <c r="AS216" s="306"/>
      <c r="AT216" s="306"/>
      <c r="AU216" s="306"/>
      <c r="AV216" s="306"/>
      <c r="AW216" s="306"/>
      <c r="AX216" s="306"/>
      <c r="AY216" s="306"/>
      <c r="AZ216" s="306"/>
    </row>
    <row r="217" spans="1:52" ht="17.100000000000001" customHeight="1">
      <c r="A217" s="306"/>
      <c r="B217" s="306"/>
      <c r="C217" s="418"/>
      <c r="D217" s="418"/>
      <c r="E217" s="418"/>
      <c r="F217" s="418"/>
      <c r="G217" s="418"/>
      <c r="H217" s="418"/>
      <c r="I217" s="418"/>
      <c r="J217" s="418"/>
      <c r="K217" s="418"/>
      <c r="L217" s="418"/>
      <c r="M217" s="418"/>
      <c r="N217" s="418"/>
      <c r="O217" s="418"/>
      <c r="P217" s="418"/>
      <c r="Q217" s="418"/>
      <c r="R217" s="418"/>
      <c r="S217" s="418"/>
      <c r="T217" s="418"/>
      <c r="U217" s="418"/>
      <c r="V217" s="418"/>
      <c r="W217" s="418"/>
      <c r="X217" s="418"/>
      <c r="Y217" s="418"/>
      <c r="Z217" s="418"/>
      <c r="AA217" s="418"/>
      <c r="AB217" s="418"/>
      <c r="AC217" s="418"/>
      <c r="AD217" s="418"/>
      <c r="AE217" s="306"/>
      <c r="AF217" s="306"/>
      <c r="AG217" s="306"/>
      <c r="AH217" s="306"/>
      <c r="AI217" s="306"/>
      <c r="AJ217" s="306"/>
      <c r="AK217" s="306"/>
      <c r="AL217" s="306"/>
      <c r="AM217" s="306"/>
      <c r="AN217" s="306"/>
      <c r="AO217" s="306"/>
      <c r="AP217" s="306"/>
      <c r="AQ217" s="306"/>
      <c r="AR217" s="306"/>
      <c r="AS217" s="306"/>
      <c r="AT217" s="306"/>
      <c r="AU217" s="306"/>
      <c r="AV217" s="306"/>
      <c r="AW217" s="306"/>
      <c r="AX217" s="306"/>
      <c r="AY217" s="306"/>
      <c r="AZ217" s="306"/>
    </row>
    <row r="218" spans="1:52" ht="17.100000000000001" customHeight="1">
      <c r="A218" s="306"/>
      <c r="B218" s="306"/>
      <c r="C218" s="418"/>
      <c r="D218" s="418"/>
      <c r="E218" s="418"/>
      <c r="F218" s="418"/>
      <c r="G218" s="418"/>
      <c r="H218" s="418"/>
      <c r="I218" s="418"/>
      <c r="J218" s="418"/>
      <c r="K218" s="418"/>
      <c r="L218" s="418"/>
      <c r="M218" s="418"/>
      <c r="N218" s="418"/>
      <c r="O218" s="418"/>
      <c r="P218" s="418"/>
      <c r="Q218" s="418"/>
      <c r="R218" s="418"/>
      <c r="S218" s="418"/>
      <c r="T218" s="418"/>
      <c r="U218" s="418"/>
      <c r="V218" s="418"/>
      <c r="W218" s="418"/>
      <c r="X218" s="418"/>
      <c r="Y218" s="418"/>
      <c r="Z218" s="418"/>
      <c r="AA218" s="418"/>
      <c r="AB218" s="418"/>
      <c r="AC218" s="418"/>
      <c r="AD218" s="418"/>
      <c r="AE218" s="306"/>
      <c r="AF218" s="306"/>
      <c r="AG218" s="306"/>
      <c r="AH218" s="306"/>
      <c r="AI218" s="306"/>
      <c r="AJ218" s="306"/>
      <c r="AK218" s="306"/>
      <c r="AL218" s="306"/>
      <c r="AM218" s="306"/>
      <c r="AN218" s="306"/>
      <c r="AO218" s="306"/>
      <c r="AP218" s="306"/>
      <c r="AQ218" s="306"/>
      <c r="AR218" s="306"/>
      <c r="AS218" s="306"/>
      <c r="AT218" s="306"/>
      <c r="AU218" s="306"/>
      <c r="AV218" s="306"/>
      <c r="AW218" s="306"/>
      <c r="AX218" s="306"/>
      <c r="AY218" s="306"/>
      <c r="AZ218" s="306"/>
    </row>
    <row r="219" spans="1:52" ht="17.100000000000001" customHeight="1">
      <c r="A219" s="306"/>
      <c r="B219" s="306"/>
      <c r="C219" s="418"/>
      <c r="D219" s="418"/>
      <c r="E219" s="418"/>
      <c r="F219" s="418"/>
      <c r="G219" s="418"/>
      <c r="H219" s="418"/>
      <c r="I219" s="418"/>
      <c r="J219" s="418"/>
      <c r="K219" s="418"/>
      <c r="L219" s="418"/>
      <c r="M219" s="418"/>
      <c r="N219" s="418"/>
      <c r="O219" s="418"/>
      <c r="P219" s="418"/>
      <c r="Q219" s="418"/>
      <c r="R219" s="418"/>
      <c r="S219" s="418"/>
      <c r="T219" s="418"/>
      <c r="U219" s="418"/>
      <c r="V219" s="418"/>
      <c r="W219" s="418"/>
      <c r="X219" s="418"/>
      <c r="Y219" s="418"/>
      <c r="Z219" s="418"/>
      <c r="AA219" s="418"/>
      <c r="AB219" s="418"/>
      <c r="AC219" s="418"/>
      <c r="AD219" s="418"/>
      <c r="AE219" s="306"/>
      <c r="AF219" s="306"/>
      <c r="AG219" s="306"/>
      <c r="AH219" s="306"/>
      <c r="AI219" s="306"/>
      <c r="AJ219" s="306"/>
      <c r="AK219" s="306"/>
      <c r="AL219" s="306"/>
      <c r="AM219" s="306"/>
      <c r="AN219" s="306"/>
      <c r="AO219" s="306"/>
      <c r="AP219" s="306"/>
      <c r="AQ219" s="306"/>
      <c r="AR219" s="306"/>
      <c r="AS219" s="306"/>
      <c r="AT219" s="306"/>
      <c r="AU219" s="306"/>
      <c r="AV219" s="306"/>
      <c r="AW219" s="306"/>
      <c r="AX219" s="306"/>
      <c r="AY219" s="306"/>
      <c r="AZ219" s="306"/>
    </row>
    <row r="220" spans="1:52" ht="17.100000000000001" customHeight="1">
      <c r="A220" s="306"/>
      <c r="B220" s="306"/>
      <c r="C220" s="418"/>
      <c r="D220" s="418"/>
      <c r="E220" s="418"/>
      <c r="F220" s="418"/>
      <c r="G220" s="418"/>
      <c r="H220" s="418"/>
      <c r="I220" s="418"/>
      <c r="J220" s="418"/>
      <c r="K220" s="418"/>
      <c r="L220" s="418"/>
      <c r="M220" s="418"/>
      <c r="N220" s="418"/>
      <c r="O220" s="418"/>
      <c r="P220" s="418"/>
      <c r="Q220" s="418"/>
      <c r="R220" s="418"/>
      <c r="S220" s="418"/>
      <c r="T220" s="418"/>
      <c r="U220" s="418"/>
      <c r="V220" s="418"/>
      <c r="W220" s="418"/>
      <c r="X220" s="418"/>
      <c r="Y220" s="418"/>
      <c r="Z220" s="418"/>
      <c r="AA220" s="418"/>
      <c r="AB220" s="418"/>
      <c r="AC220" s="418"/>
      <c r="AD220" s="418"/>
      <c r="AE220" s="306"/>
      <c r="AF220" s="306"/>
      <c r="AG220" s="306"/>
      <c r="AH220" s="306"/>
      <c r="AI220" s="306"/>
      <c r="AJ220" s="306"/>
      <c r="AK220" s="306"/>
      <c r="AL220" s="306"/>
      <c r="AM220" s="306"/>
      <c r="AN220" s="306"/>
      <c r="AO220" s="306"/>
      <c r="AP220" s="306"/>
      <c r="AQ220" s="306"/>
      <c r="AR220" s="306"/>
      <c r="AS220" s="306"/>
      <c r="AT220" s="306"/>
      <c r="AU220" s="306"/>
      <c r="AV220" s="306"/>
      <c r="AW220" s="306"/>
      <c r="AX220" s="306"/>
      <c r="AY220" s="306"/>
      <c r="AZ220" s="306"/>
    </row>
    <row r="221" spans="1:52" ht="17.100000000000001" customHeight="1">
      <c r="A221" s="306"/>
      <c r="B221" s="306"/>
      <c r="C221" s="418"/>
      <c r="D221" s="418"/>
      <c r="E221" s="418"/>
      <c r="F221" s="418"/>
      <c r="G221" s="418"/>
      <c r="H221" s="418"/>
      <c r="I221" s="418"/>
      <c r="J221" s="418"/>
      <c r="K221" s="418"/>
      <c r="L221" s="418"/>
      <c r="M221" s="418"/>
      <c r="N221" s="418"/>
      <c r="O221" s="418"/>
      <c r="P221" s="418"/>
      <c r="Q221" s="418"/>
      <c r="R221" s="418"/>
      <c r="S221" s="418"/>
      <c r="T221" s="418"/>
      <c r="U221" s="418"/>
      <c r="V221" s="418"/>
      <c r="W221" s="418"/>
      <c r="X221" s="418"/>
      <c r="Y221" s="418"/>
      <c r="Z221" s="418"/>
      <c r="AA221" s="418"/>
      <c r="AB221" s="418"/>
      <c r="AC221" s="418"/>
      <c r="AD221" s="418"/>
      <c r="AE221" s="306"/>
      <c r="AF221" s="306"/>
      <c r="AG221" s="306"/>
      <c r="AH221" s="306"/>
      <c r="AI221" s="306"/>
      <c r="AJ221" s="306"/>
      <c r="AK221" s="306"/>
      <c r="AL221" s="306"/>
      <c r="AM221" s="306"/>
      <c r="AN221" s="306"/>
      <c r="AO221" s="306"/>
      <c r="AP221" s="306"/>
      <c r="AQ221" s="306"/>
      <c r="AR221" s="306"/>
      <c r="AS221" s="306"/>
      <c r="AT221" s="306"/>
      <c r="AU221" s="306"/>
      <c r="AV221" s="306"/>
      <c r="AW221" s="306"/>
      <c r="AX221" s="306"/>
      <c r="AY221" s="306"/>
      <c r="AZ221" s="306"/>
    </row>
    <row r="222" spans="1:52" ht="17.100000000000001" customHeight="1">
      <c r="A222" s="306"/>
      <c r="B222" s="306"/>
      <c r="C222" s="418"/>
      <c r="D222" s="418"/>
      <c r="E222" s="418"/>
      <c r="F222" s="418"/>
      <c r="G222" s="418"/>
      <c r="H222" s="418"/>
      <c r="I222" s="418"/>
      <c r="J222" s="418"/>
      <c r="K222" s="418"/>
      <c r="L222" s="418"/>
      <c r="M222" s="418"/>
      <c r="N222" s="418"/>
      <c r="O222" s="418"/>
      <c r="P222" s="418"/>
      <c r="Q222" s="418"/>
      <c r="R222" s="418"/>
      <c r="S222" s="418"/>
      <c r="T222" s="418"/>
      <c r="U222" s="418"/>
      <c r="V222" s="418"/>
      <c r="W222" s="418"/>
      <c r="X222" s="418"/>
      <c r="Y222" s="418"/>
      <c r="Z222" s="418"/>
      <c r="AA222" s="418"/>
      <c r="AB222" s="418"/>
      <c r="AC222" s="418"/>
      <c r="AD222" s="418"/>
      <c r="AE222" s="306"/>
      <c r="AF222" s="306"/>
      <c r="AG222" s="306"/>
      <c r="AH222" s="306"/>
      <c r="AI222" s="306"/>
      <c r="AJ222" s="306"/>
      <c r="AK222" s="306"/>
      <c r="AL222" s="306"/>
      <c r="AM222" s="306"/>
      <c r="AN222" s="306"/>
      <c r="AO222" s="306"/>
      <c r="AP222" s="306"/>
      <c r="AQ222" s="306"/>
      <c r="AR222" s="306"/>
      <c r="AS222" s="306"/>
      <c r="AT222" s="306"/>
      <c r="AU222" s="306"/>
      <c r="AV222" s="306"/>
      <c r="AW222" s="306"/>
      <c r="AX222" s="306"/>
      <c r="AY222" s="306"/>
      <c r="AZ222" s="306"/>
    </row>
    <row r="223" spans="1:52" ht="17.100000000000001" customHeight="1">
      <c r="A223" s="306"/>
      <c r="B223" s="306"/>
      <c r="C223" s="418"/>
      <c r="D223" s="418"/>
      <c r="E223" s="418"/>
      <c r="F223" s="418"/>
      <c r="G223" s="418"/>
      <c r="H223" s="418"/>
      <c r="I223" s="418"/>
      <c r="J223" s="418"/>
      <c r="K223" s="418"/>
      <c r="L223" s="418"/>
      <c r="M223" s="418"/>
      <c r="N223" s="418"/>
      <c r="O223" s="418"/>
      <c r="P223" s="418"/>
      <c r="Q223" s="418"/>
      <c r="R223" s="418"/>
      <c r="S223" s="418"/>
      <c r="T223" s="418"/>
      <c r="U223" s="418"/>
      <c r="V223" s="418"/>
      <c r="W223" s="418"/>
      <c r="X223" s="418"/>
      <c r="Y223" s="418"/>
      <c r="Z223" s="418"/>
      <c r="AA223" s="418"/>
      <c r="AB223" s="418"/>
      <c r="AC223" s="418"/>
      <c r="AD223" s="418"/>
      <c r="AE223" s="306"/>
      <c r="AF223" s="306"/>
      <c r="AG223" s="306"/>
      <c r="AH223" s="306"/>
      <c r="AI223" s="306"/>
      <c r="AJ223" s="306"/>
      <c r="AK223" s="306"/>
      <c r="AL223" s="306"/>
      <c r="AM223" s="306"/>
      <c r="AN223" s="306"/>
      <c r="AO223" s="306"/>
      <c r="AP223" s="306"/>
      <c r="AQ223" s="306"/>
      <c r="AR223" s="306"/>
      <c r="AS223" s="306"/>
      <c r="AT223" s="306"/>
      <c r="AU223" s="306"/>
      <c r="AV223" s="306"/>
      <c r="AW223" s="306"/>
      <c r="AX223" s="306"/>
      <c r="AY223" s="306"/>
      <c r="AZ223" s="306"/>
    </row>
    <row r="224" spans="1:52" ht="17.100000000000001" customHeight="1">
      <c r="A224" s="306"/>
      <c r="B224" s="306"/>
      <c r="C224" s="418"/>
      <c r="D224" s="418"/>
      <c r="E224" s="418"/>
      <c r="F224" s="418"/>
      <c r="G224" s="418"/>
      <c r="H224" s="418"/>
      <c r="I224" s="418"/>
      <c r="J224" s="418"/>
      <c r="K224" s="418"/>
      <c r="L224" s="418"/>
      <c r="M224" s="418"/>
      <c r="N224" s="418"/>
      <c r="O224" s="418"/>
      <c r="P224" s="418"/>
      <c r="Q224" s="418"/>
      <c r="R224" s="418"/>
      <c r="S224" s="418"/>
      <c r="T224" s="418"/>
      <c r="U224" s="418"/>
      <c r="V224" s="418"/>
      <c r="W224" s="418"/>
      <c r="X224" s="418"/>
      <c r="Y224" s="418"/>
      <c r="Z224" s="418"/>
      <c r="AA224" s="418"/>
      <c r="AB224" s="418"/>
      <c r="AC224" s="418"/>
      <c r="AD224" s="418"/>
      <c r="AE224" s="306"/>
      <c r="AF224" s="306"/>
      <c r="AG224" s="306"/>
      <c r="AH224" s="306"/>
      <c r="AI224" s="306"/>
      <c r="AJ224" s="306"/>
      <c r="AK224" s="306"/>
      <c r="AL224" s="306"/>
      <c r="AM224" s="306"/>
      <c r="AN224" s="306"/>
      <c r="AO224" s="306"/>
      <c r="AP224" s="306"/>
      <c r="AQ224" s="306"/>
      <c r="AR224" s="306"/>
      <c r="AS224" s="306"/>
      <c r="AT224" s="306"/>
      <c r="AU224" s="306"/>
      <c r="AV224" s="306"/>
      <c r="AW224" s="306"/>
      <c r="AX224" s="306"/>
      <c r="AY224" s="306"/>
      <c r="AZ224" s="306"/>
    </row>
    <row r="225" spans="1:52" ht="17.100000000000001" customHeight="1">
      <c r="A225" s="306"/>
      <c r="B225" s="306"/>
      <c r="C225" s="418"/>
      <c r="D225" s="418"/>
      <c r="E225" s="418"/>
      <c r="F225" s="418"/>
      <c r="G225" s="418"/>
      <c r="H225" s="418"/>
      <c r="I225" s="418"/>
      <c r="J225" s="418"/>
      <c r="K225" s="418"/>
      <c r="L225" s="418"/>
      <c r="M225" s="418"/>
      <c r="N225" s="418"/>
      <c r="O225" s="418"/>
      <c r="P225" s="418"/>
      <c r="Q225" s="418"/>
      <c r="R225" s="418"/>
      <c r="S225" s="418"/>
      <c r="T225" s="418"/>
      <c r="U225" s="418"/>
      <c r="V225" s="418"/>
      <c r="W225" s="418"/>
      <c r="X225" s="418"/>
      <c r="Y225" s="418"/>
      <c r="Z225" s="418"/>
      <c r="AA225" s="418"/>
      <c r="AB225" s="418"/>
      <c r="AC225" s="418"/>
      <c r="AD225" s="418"/>
      <c r="AE225" s="306"/>
      <c r="AF225" s="306"/>
      <c r="AG225" s="306"/>
      <c r="AH225" s="306"/>
      <c r="AI225" s="306"/>
      <c r="AJ225" s="306"/>
      <c r="AK225" s="306"/>
      <c r="AL225" s="306"/>
      <c r="AM225" s="306"/>
      <c r="AN225" s="306"/>
      <c r="AO225" s="306"/>
      <c r="AP225" s="306"/>
      <c r="AQ225" s="306"/>
      <c r="AR225" s="306"/>
      <c r="AS225" s="306"/>
      <c r="AT225" s="306"/>
      <c r="AU225" s="306"/>
      <c r="AV225" s="306"/>
      <c r="AW225" s="306"/>
      <c r="AX225" s="306"/>
      <c r="AY225" s="306"/>
      <c r="AZ225" s="306"/>
    </row>
    <row r="226" spans="1:52" ht="17.100000000000001" customHeight="1">
      <c r="A226" s="306"/>
      <c r="B226" s="306"/>
      <c r="C226" s="418"/>
      <c r="D226" s="418"/>
      <c r="E226" s="418"/>
      <c r="F226" s="418"/>
      <c r="G226" s="418"/>
      <c r="H226" s="418"/>
      <c r="I226" s="418"/>
      <c r="J226" s="418"/>
      <c r="K226" s="418"/>
      <c r="L226" s="418"/>
      <c r="M226" s="418"/>
      <c r="N226" s="418"/>
      <c r="O226" s="418"/>
      <c r="P226" s="418"/>
      <c r="Q226" s="418"/>
      <c r="R226" s="418"/>
      <c r="S226" s="418"/>
      <c r="T226" s="418"/>
      <c r="U226" s="418"/>
      <c r="V226" s="418"/>
      <c r="W226" s="418"/>
      <c r="X226" s="418"/>
      <c r="Y226" s="418"/>
      <c r="Z226" s="418"/>
      <c r="AA226" s="418"/>
      <c r="AB226" s="418"/>
      <c r="AC226" s="418"/>
      <c r="AD226" s="418"/>
      <c r="AE226" s="306"/>
      <c r="AF226" s="306"/>
      <c r="AG226" s="306"/>
      <c r="AH226" s="306"/>
      <c r="AI226" s="306"/>
      <c r="AJ226" s="306"/>
      <c r="AK226" s="306"/>
      <c r="AL226" s="306"/>
      <c r="AM226" s="306"/>
      <c r="AN226" s="306"/>
      <c r="AO226" s="306"/>
      <c r="AP226" s="306"/>
      <c r="AQ226" s="306"/>
      <c r="AR226" s="306"/>
      <c r="AS226" s="306"/>
      <c r="AT226" s="306"/>
      <c r="AU226" s="306"/>
      <c r="AV226" s="306"/>
      <c r="AW226" s="306"/>
      <c r="AX226" s="306"/>
      <c r="AY226" s="306"/>
      <c r="AZ226" s="306"/>
    </row>
    <row r="227" spans="1:52" ht="17.100000000000001" customHeight="1">
      <c r="A227" s="306"/>
      <c r="B227" s="306"/>
      <c r="C227" s="418"/>
      <c r="D227" s="418"/>
      <c r="E227" s="418"/>
      <c r="F227" s="418"/>
      <c r="G227" s="418"/>
      <c r="H227" s="418"/>
      <c r="I227" s="418"/>
      <c r="J227" s="418"/>
      <c r="K227" s="418"/>
      <c r="L227" s="418"/>
      <c r="M227" s="418"/>
      <c r="N227" s="418"/>
      <c r="O227" s="418"/>
      <c r="P227" s="418"/>
      <c r="Q227" s="418"/>
      <c r="R227" s="418"/>
      <c r="S227" s="418"/>
      <c r="T227" s="418"/>
      <c r="U227" s="418"/>
      <c r="V227" s="418"/>
      <c r="W227" s="418"/>
      <c r="X227" s="418"/>
      <c r="Y227" s="418"/>
      <c r="Z227" s="418"/>
      <c r="AA227" s="418"/>
      <c r="AB227" s="418"/>
      <c r="AC227" s="418"/>
      <c r="AD227" s="418"/>
      <c r="AE227" s="306"/>
      <c r="AF227" s="306"/>
      <c r="AG227" s="306"/>
      <c r="AH227" s="306"/>
      <c r="AI227" s="306"/>
      <c r="AJ227" s="306"/>
      <c r="AK227" s="306"/>
      <c r="AL227" s="306"/>
      <c r="AM227" s="306"/>
      <c r="AN227" s="306"/>
      <c r="AO227" s="306"/>
      <c r="AP227" s="306"/>
      <c r="AQ227" s="306"/>
      <c r="AR227" s="306"/>
      <c r="AS227" s="306"/>
      <c r="AT227" s="306"/>
      <c r="AU227" s="306"/>
      <c r="AV227" s="306"/>
      <c r="AW227" s="306"/>
      <c r="AX227" s="306"/>
      <c r="AY227" s="306"/>
      <c r="AZ227" s="306"/>
    </row>
    <row r="228" spans="1:52" ht="17.100000000000001" customHeight="1">
      <c r="A228" s="306"/>
      <c r="B228" s="306"/>
      <c r="C228" s="418"/>
      <c r="D228" s="418"/>
      <c r="E228" s="418"/>
      <c r="F228" s="418"/>
      <c r="G228" s="418"/>
      <c r="H228" s="418"/>
      <c r="I228" s="418"/>
      <c r="J228" s="418"/>
      <c r="K228" s="418"/>
      <c r="L228" s="418"/>
      <c r="M228" s="418"/>
      <c r="N228" s="418"/>
      <c r="O228" s="418"/>
      <c r="P228" s="418"/>
      <c r="Q228" s="418"/>
      <c r="R228" s="418"/>
      <c r="S228" s="418"/>
      <c r="T228" s="418"/>
      <c r="U228" s="418"/>
      <c r="V228" s="418"/>
      <c r="W228" s="418"/>
      <c r="X228" s="418"/>
      <c r="Y228" s="418"/>
      <c r="Z228" s="418"/>
      <c r="AA228" s="418"/>
      <c r="AB228" s="418"/>
      <c r="AC228" s="418"/>
      <c r="AD228" s="418"/>
      <c r="AE228" s="306"/>
      <c r="AF228" s="306"/>
      <c r="AG228" s="306"/>
      <c r="AH228" s="306"/>
      <c r="AI228" s="306"/>
      <c r="AJ228" s="306"/>
      <c r="AK228" s="306"/>
      <c r="AL228" s="306"/>
      <c r="AM228" s="306"/>
      <c r="AN228" s="306"/>
      <c r="AO228" s="306"/>
      <c r="AP228" s="306"/>
      <c r="AQ228" s="306"/>
      <c r="AR228" s="306"/>
      <c r="AS228" s="306"/>
      <c r="AT228" s="306"/>
      <c r="AU228" s="306"/>
      <c r="AV228" s="306"/>
      <c r="AW228" s="306"/>
      <c r="AX228" s="306"/>
      <c r="AY228" s="306"/>
      <c r="AZ228" s="306"/>
    </row>
    <row r="229" spans="1:52" ht="17.100000000000001" customHeight="1">
      <c r="A229" s="306"/>
      <c r="B229" s="306"/>
      <c r="C229" s="418"/>
      <c r="D229" s="418"/>
      <c r="E229" s="418"/>
      <c r="F229" s="418"/>
      <c r="G229" s="418"/>
      <c r="H229" s="418"/>
      <c r="I229" s="418"/>
      <c r="J229" s="418"/>
      <c r="K229" s="418"/>
      <c r="L229" s="418"/>
      <c r="M229" s="418"/>
      <c r="N229" s="418"/>
      <c r="O229" s="418"/>
      <c r="P229" s="418"/>
      <c r="Q229" s="418"/>
      <c r="R229" s="418"/>
      <c r="S229" s="418"/>
      <c r="T229" s="418"/>
      <c r="U229" s="418"/>
      <c r="V229" s="418"/>
      <c r="W229" s="418"/>
      <c r="X229" s="418"/>
      <c r="Y229" s="418"/>
      <c r="Z229" s="418"/>
      <c r="AA229" s="418"/>
      <c r="AB229" s="418"/>
      <c r="AC229" s="418"/>
      <c r="AD229" s="418"/>
      <c r="AE229" s="306"/>
      <c r="AF229" s="306"/>
      <c r="AG229" s="306"/>
      <c r="AH229" s="306"/>
      <c r="AI229" s="306"/>
      <c r="AJ229" s="306"/>
      <c r="AK229" s="306"/>
      <c r="AL229" s="306"/>
      <c r="AM229" s="306"/>
      <c r="AN229" s="306"/>
      <c r="AO229" s="306"/>
      <c r="AP229" s="306"/>
      <c r="AQ229" s="306"/>
      <c r="AR229" s="306"/>
      <c r="AS229" s="306"/>
      <c r="AT229" s="306"/>
      <c r="AU229" s="306"/>
      <c r="AV229" s="306"/>
      <c r="AW229" s="306"/>
      <c r="AX229" s="306"/>
      <c r="AY229" s="306"/>
      <c r="AZ229" s="306"/>
    </row>
    <row r="230" spans="1:52" ht="17.100000000000001" customHeight="1">
      <c r="A230" s="306"/>
      <c r="B230" s="306"/>
      <c r="C230" s="418"/>
      <c r="D230" s="418"/>
      <c r="E230" s="418"/>
      <c r="F230" s="418"/>
      <c r="G230" s="418"/>
      <c r="H230" s="418"/>
      <c r="I230" s="418"/>
      <c r="J230" s="418"/>
      <c r="K230" s="418"/>
      <c r="L230" s="418"/>
      <c r="M230" s="418"/>
      <c r="N230" s="418"/>
      <c r="O230" s="418"/>
      <c r="P230" s="418"/>
      <c r="Q230" s="418"/>
      <c r="R230" s="418"/>
      <c r="S230" s="418"/>
      <c r="T230" s="418"/>
      <c r="U230" s="418"/>
      <c r="V230" s="418"/>
      <c r="W230" s="418"/>
      <c r="X230" s="418"/>
      <c r="Y230" s="418"/>
      <c r="Z230" s="418"/>
      <c r="AA230" s="418"/>
      <c r="AB230" s="418"/>
      <c r="AC230" s="418"/>
      <c r="AD230" s="418"/>
      <c r="AE230" s="306"/>
      <c r="AF230" s="306"/>
      <c r="AG230" s="306"/>
      <c r="AH230" s="306"/>
      <c r="AI230" s="306"/>
      <c r="AJ230" s="306"/>
      <c r="AK230" s="306"/>
      <c r="AL230" s="306"/>
      <c r="AM230" s="306"/>
      <c r="AN230" s="306"/>
      <c r="AO230" s="306"/>
      <c r="AP230" s="306"/>
      <c r="AQ230" s="306"/>
      <c r="AR230" s="306"/>
      <c r="AS230" s="306"/>
      <c r="AT230" s="306"/>
      <c r="AU230" s="306"/>
      <c r="AV230" s="306"/>
      <c r="AW230" s="306"/>
      <c r="AX230" s="306"/>
      <c r="AY230" s="306"/>
      <c r="AZ230" s="306"/>
    </row>
    <row r="231" spans="1:52" ht="17.100000000000001" customHeight="1">
      <c r="A231" s="306"/>
      <c r="B231" s="306"/>
      <c r="C231" s="418"/>
      <c r="D231" s="418"/>
      <c r="E231" s="418"/>
      <c r="F231" s="418"/>
      <c r="G231" s="418"/>
      <c r="H231" s="418"/>
      <c r="I231" s="418"/>
      <c r="J231" s="418"/>
      <c r="K231" s="418"/>
      <c r="L231" s="418"/>
      <c r="M231" s="418"/>
      <c r="N231" s="418"/>
      <c r="O231" s="418"/>
      <c r="P231" s="418"/>
      <c r="Q231" s="418"/>
      <c r="R231" s="418"/>
      <c r="S231" s="418"/>
      <c r="T231" s="418"/>
      <c r="U231" s="418"/>
      <c r="V231" s="418"/>
      <c r="W231" s="418"/>
      <c r="X231" s="418"/>
      <c r="Y231" s="418"/>
      <c r="Z231" s="418"/>
      <c r="AA231" s="418"/>
      <c r="AB231" s="418"/>
      <c r="AC231" s="418"/>
      <c r="AD231" s="418"/>
      <c r="AE231" s="306"/>
      <c r="AF231" s="306"/>
      <c r="AG231" s="306"/>
      <c r="AH231" s="306"/>
      <c r="AI231" s="306"/>
      <c r="AJ231" s="306"/>
      <c r="AK231" s="306"/>
      <c r="AL231" s="306"/>
      <c r="AM231" s="306"/>
      <c r="AN231" s="306"/>
      <c r="AO231" s="306"/>
      <c r="AP231" s="306"/>
      <c r="AQ231" s="306"/>
      <c r="AR231" s="306"/>
      <c r="AS231" s="306"/>
      <c r="AT231" s="306"/>
      <c r="AU231" s="306"/>
      <c r="AV231" s="306"/>
      <c r="AW231" s="306"/>
      <c r="AX231" s="306"/>
      <c r="AY231" s="306"/>
      <c r="AZ231" s="306"/>
    </row>
    <row r="232" spans="1:52" ht="17.100000000000001" customHeight="1">
      <c r="A232" s="306"/>
      <c r="B232" s="306"/>
      <c r="C232" s="418"/>
      <c r="D232" s="418"/>
      <c r="E232" s="418"/>
      <c r="F232" s="418"/>
      <c r="G232" s="418"/>
      <c r="H232" s="418"/>
      <c r="I232" s="418"/>
      <c r="J232" s="418"/>
      <c r="K232" s="418"/>
      <c r="L232" s="418"/>
      <c r="M232" s="418"/>
      <c r="N232" s="418"/>
      <c r="O232" s="418"/>
      <c r="P232" s="418"/>
      <c r="Q232" s="418"/>
      <c r="R232" s="418"/>
      <c r="S232" s="418"/>
      <c r="T232" s="418"/>
      <c r="U232" s="418"/>
      <c r="V232" s="418"/>
      <c r="W232" s="418"/>
      <c r="X232" s="418"/>
      <c r="Y232" s="418"/>
      <c r="Z232" s="418"/>
      <c r="AA232" s="418"/>
      <c r="AB232" s="418"/>
      <c r="AC232" s="418"/>
      <c r="AD232" s="418"/>
      <c r="AE232" s="306"/>
      <c r="AF232" s="306"/>
      <c r="AG232" s="306"/>
      <c r="AH232" s="306"/>
      <c r="AI232" s="306"/>
      <c r="AJ232" s="306"/>
      <c r="AK232" s="306"/>
      <c r="AL232" s="306"/>
      <c r="AM232" s="306"/>
      <c r="AN232" s="306"/>
      <c r="AO232" s="306"/>
      <c r="AP232" s="306"/>
      <c r="AQ232" s="306"/>
      <c r="AR232" s="306"/>
      <c r="AS232" s="306"/>
      <c r="AT232" s="306"/>
      <c r="AU232" s="306"/>
      <c r="AV232" s="306"/>
      <c r="AW232" s="306"/>
      <c r="AX232" s="306"/>
      <c r="AY232" s="306"/>
      <c r="AZ232" s="306"/>
    </row>
    <row r="233" spans="1:52" ht="17.100000000000001" customHeight="1">
      <c r="A233" s="306"/>
      <c r="B233" s="306"/>
      <c r="C233" s="418"/>
      <c r="D233" s="418"/>
      <c r="E233" s="418"/>
      <c r="F233" s="418"/>
      <c r="G233" s="418"/>
      <c r="H233" s="418"/>
      <c r="I233" s="418"/>
      <c r="J233" s="418"/>
      <c r="K233" s="418"/>
      <c r="L233" s="418"/>
      <c r="M233" s="418"/>
      <c r="N233" s="418"/>
      <c r="O233" s="418"/>
      <c r="P233" s="418"/>
      <c r="Q233" s="418"/>
      <c r="R233" s="418"/>
      <c r="S233" s="418"/>
      <c r="T233" s="418"/>
      <c r="U233" s="418"/>
      <c r="V233" s="418"/>
      <c r="W233" s="418"/>
      <c r="X233" s="418"/>
      <c r="Y233" s="418"/>
      <c r="Z233" s="418"/>
      <c r="AA233" s="418"/>
      <c r="AB233" s="418"/>
      <c r="AC233" s="418"/>
      <c r="AD233" s="418"/>
      <c r="AE233" s="306"/>
      <c r="AF233" s="306"/>
      <c r="AG233" s="306"/>
      <c r="AH233" s="306"/>
      <c r="AI233" s="306"/>
      <c r="AJ233" s="306"/>
      <c r="AK233" s="306"/>
      <c r="AL233" s="306"/>
      <c r="AM233" s="306"/>
      <c r="AN233" s="306"/>
      <c r="AO233" s="306"/>
      <c r="AP233" s="306"/>
      <c r="AQ233" s="306"/>
      <c r="AR233" s="306"/>
      <c r="AS233" s="306"/>
      <c r="AT233" s="306"/>
      <c r="AU233" s="306"/>
      <c r="AV233" s="306"/>
      <c r="AW233" s="306"/>
      <c r="AX233" s="306"/>
      <c r="AY233" s="306"/>
      <c r="AZ233" s="306"/>
    </row>
    <row r="234" spans="1:52" ht="17.100000000000001" customHeight="1">
      <c r="A234" s="306"/>
      <c r="B234" s="306"/>
      <c r="C234" s="418"/>
      <c r="D234" s="418"/>
      <c r="E234" s="418"/>
      <c r="F234" s="418"/>
      <c r="G234" s="418"/>
      <c r="H234" s="418"/>
      <c r="I234" s="418"/>
      <c r="J234" s="418"/>
      <c r="K234" s="418"/>
      <c r="L234" s="418"/>
      <c r="M234" s="418"/>
      <c r="N234" s="418"/>
      <c r="O234" s="418"/>
      <c r="P234" s="418"/>
      <c r="Q234" s="418"/>
      <c r="R234" s="418"/>
      <c r="S234" s="418"/>
      <c r="T234" s="418"/>
      <c r="U234" s="418"/>
      <c r="V234" s="418"/>
      <c r="W234" s="418"/>
      <c r="X234" s="418"/>
      <c r="Y234" s="418"/>
      <c r="Z234" s="418"/>
      <c r="AA234" s="418"/>
      <c r="AB234" s="418"/>
      <c r="AC234" s="418"/>
      <c r="AD234" s="418"/>
      <c r="AE234" s="306"/>
      <c r="AF234" s="306"/>
      <c r="AG234" s="306"/>
      <c r="AH234" s="306"/>
      <c r="AI234" s="306"/>
      <c r="AJ234" s="306"/>
      <c r="AK234" s="306"/>
      <c r="AL234" s="306"/>
      <c r="AM234" s="306"/>
      <c r="AN234" s="306"/>
      <c r="AO234" s="306"/>
      <c r="AP234" s="306"/>
      <c r="AQ234" s="306"/>
      <c r="AR234" s="306"/>
      <c r="AS234" s="306"/>
      <c r="AT234" s="306"/>
      <c r="AU234" s="306"/>
      <c r="AV234" s="306"/>
      <c r="AW234" s="306"/>
      <c r="AX234" s="306"/>
      <c r="AY234" s="306"/>
      <c r="AZ234" s="306"/>
    </row>
    <row r="235" spans="1:52" ht="17.100000000000001" customHeight="1">
      <c r="A235" s="306"/>
      <c r="B235" s="306"/>
      <c r="C235" s="418"/>
      <c r="D235" s="418"/>
      <c r="E235" s="418"/>
      <c r="F235" s="418"/>
      <c r="G235" s="418"/>
      <c r="H235" s="418"/>
      <c r="I235" s="418"/>
      <c r="J235" s="418"/>
      <c r="K235" s="418"/>
      <c r="L235" s="418"/>
      <c r="M235" s="418"/>
      <c r="N235" s="418"/>
      <c r="O235" s="418"/>
      <c r="P235" s="418"/>
      <c r="Q235" s="418"/>
      <c r="R235" s="418"/>
      <c r="S235" s="418"/>
      <c r="T235" s="418"/>
      <c r="U235" s="418"/>
      <c r="V235" s="418"/>
      <c r="W235" s="418"/>
      <c r="X235" s="418"/>
      <c r="Y235" s="418"/>
      <c r="Z235" s="418"/>
      <c r="AA235" s="418"/>
      <c r="AB235" s="418"/>
      <c r="AC235" s="418"/>
      <c r="AD235" s="418"/>
      <c r="AE235" s="306"/>
      <c r="AF235" s="306"/>
      <c r="AG235" s="306"/>
      <c r="AH235" s="306"/>
      <c r="AI235" s="306"/>
      <c r="AJ235" s="306"/>
      <c r="AK235" s="306"/>
      <c r="AL235" s="306"/>
      <c r="AM235" s="306"/>
      <c r="AN235" s="306"/>
      <c r="AO235" s="306"/>
      <c r="AP235" s="306"/>
      <c r="AQ235" s="306"/>
      <c r="AR235" s="306"/>
      <c r="AS235" s="306"/>
      <c r="AT235" s="306"/>
      <c r="AU235" s="306"/>
      <c r="AV235" s="306"/>
      <c r="AW235" s="306"/>
      <c r="AX235" s="306"/>
      <c r="AY235" s="306"/>
      <c r="AZ235" s="306"/>
    </row>
    <row r="236" spans="1:52" ht="17.100000000000001" customHeight="1">
      <c r="A236" s="306"/>
      <c r="B236" s="306"/>
      <c r="C236" s="418"/>
      <c r="D236" s="418"/>
      <c r="E236" s="418"/>
      <c r="F236" s="418"/>
      <c r="G236" s="418"/>
      <c r="H236" s="418"/>
      <c r="I236" s="418"/>
      <c r="J236" s="418"/>
      <c r="K236" s="418"/>
      <c r="L236" s="418"/>
      <c r="M236" s="418"/>
      <c r="N236" s="418"/>
      <c r="O236" s="418"/>
      <c r="P236" s="418"/>
      <c r="Q236" s="418"/>
      <c r="R236" s="418"/>
      <c r="S236" s="418"/>
      <c r="T236" s="418"/>
      <c r="U236" s="418"/>
      <c r="V236" s="418"/>
      <c r="W236" s="418"/>
      <c r="X236" s="418"/>
      <c r="Y236" s="418"/>
      <c r="Z236" s="418"/>
      <c r="AA236" s="418"/>
      <c r="AB236" s="418"/>
      <c r="AC236" s="418"/>
      <c r="AD236" s="418"/>
      <c r="AE236" s="306"/>
      <c r="AF236" s="306"/>
      <c r="AG236" s="306"/>
      <c r="AH236" s="306"/>
      <c r="AI236" s="306"/>
      <c r="AJ236" s="306"/>
      <c r="AK236" s="306"/>
      <c r="AL236" s="306"/>
      <c r="AM236" s="306"/>
      <c r="AN236" s="306"/>
      <c r="AO236" s="306"/>
      <c r="AP236" s="306"/>
      <c r="AQ236" s="306"/>
      <c r="AR236" s="306"/>
      <c r="AS236" s="306"/>
      <c r="AT236" s="306"/>
      <c r="AU236" s="306"/>
      <c r="AV236" s="306"/>
      <c r="AW236" s="306"/>
      <c r="AX236" s="306"/>
      <c r="AY236" s="306"/>
      <c r="AZ236" s="306"/>
    </row>
    <row r="237" spans="1:52" ht="17.100000000000001" customHeight="1">
      <c r="A237" s="306"/>
      <c r="B237" s="306"/>
      <c r="C237" s="418"/>
      <c r="D237" s="418"/>
      <c r="E237" s="418"/>
      <c r="F237" s="418"/>
      <c r="G237" s="418"/>
      <c r="H237" s="418"/>
      <c r="I237" s="418"/>
      <c r="J237" s="418"/>
      <c r="K237" s="418"/>
      <c r="L237" s="418"/>
      <c r="M237" s="418"/>
      <c r="N237" s="418"/>
      <c r="O237" s="418"/>
      <c r="P237" s="418"/>
      <c r="Q237" s="418"/>
      <c r="R237" s="418"/>
      <c r="S237" s="418"/>
      <c r="T237" s="418"/>
      <c r="U237" s="418"/>
      <c r="V237" s="418"/>
      <c r="W237" s="418"/>
      <c r="X237" s="418"/>
      <c r="Y237" s="418"/>
      <c r="Z237" s="418"/>
      <c r="AA237" s="418"/>
      <c r="AB237" s="418"/>
      <c r="AC237" s="418"/>
      <c r="AD237" s="418"/>
      <c r="AE237" s="306"/>
      <c r="AF237" s="306"/>
      <c r="AG237" s="306"/>
      <c r="AH237" s="306"/>
      <c r="AI237" s="306"/>
      <c r="AJ237" s="306"/>
      <c r="AK237" s="306"/>
      <c r="AL237" s="306"/>
      <c r="AM237" s="306"/>
      <c r="AN237" s="306"/>
      <c r="AO237" s="306"/>
      <c r="AP237" s="306"/>
      <c r="AQ237" s="306"/>
      <c r="AR237" s="306"/>
      <c r="AS237" s="306"/>
      <c r="AT237" s="306"/>
      <c r="AU237" s="306"/>
      <c r="AV237" s="306"/>
      <c r="AW237" s="306"/>
      <c r="AX237" s="306"/>
      <c r="AY237" s="306"/>
      <c r="AZ237" s="306"/>
    </row>
    <row r="238" spans="1:52" ht="17.100000000000001" customHeight="1">
      <c r="A238" s="306"/>
      <c r="B238" s="306"/>
      <c r="C238" s="418"/>
      <c r="D238" s="418"/>
      <c r="E238" s="418"/>
      <c r="F238" s="418"/>
      <c r="G238" s="418"/>
      <c r="H238" s="418"/>
      <c r="I238" s="418"/>
      <c r="J238" s="418"/>
      <c r="K238" s="418"/>
      <c r="L238" s="418"/>
      <c r="M238" s="418"/>
      <c r="N238" s="418"/>
      <c r="O238" s="418"/>
      <c r="P238" s="418"/>
      <c r="Q238" s="418"/>
      <c r="R238" s="418"/>
      <c r="S238" s="418"/>
      <c r="T238" s="418"/>
      <c r="U238" s="418"/>
      <c r="V238" s="418"/>
      <c r="W238" s="418"/>
      <c r="X238" s="418"/>
      <c r="Y238" s="418"/>
      <c r="Z238" s="418"/>
      <c r="AA238" s="418"/>
      <c r="AB238" s="418"/>
      <c r="AC238" s="418"/>
      <c r="AD238" s="418"/>
      <c r="AE238" s="306"/>
      <c r="AF238" s="306"/>
      <c r="AG238" s="306"/>
      <c r="AH238" s="306"/>
      <c r="AI238" s="306"/>
      <c r="AJ238" s="306"/>
      <c r="AK238" s="306"/>
      <c r="AL238" s="306"/>
      <c r="AM238" s="306"/>
      <c r="AN238" s="306"/>
      <c r="AO238" s="306"/>
      <c r="AP238" s="306"/>
      <c r="AQ238" s="306"/>
      <c r="AR238" s="306"/>
      <c r="AS238" s="306"/>
      <c r="AT238" s="306"/>
      <c r="AU238" s="306"/>
      <c r="AV238" s="306"/>
      <c r="AW238" s="306"/>
      <c r="AX238" s="306"/>
      <c r="AY238" s="306"/>
      <c r="AZ238" s="306"/>
    </row>
    <row r="239" spans="1:52" ht="17.100000000000001" customHeight="1">
      <c r="A239" s="306"/>
      <c r="B239" s="306"/>
      <c r="C239" s="418"/>
      <c r="D239" s="418"/>
      <c r="E239" s="418"/>
      <c r="F239" s="418"/>
      <c r="G239" s="418"/>
      <c r="H239" s="418"/>
      <c r="I239" s="418"/>
      <c r="J239" s="418"/>
      <c r="K239" s="418"/>
      <c r="L239" s="418"/>
      <c r="M239" s="418"/>
      <c r="N239" s="418"/>
      <c r="O239" s="418"/>
      <c r="P239" s="418"/>
      <c r="Q239" s="418"/>
      <c r="R239" s="418"/>
      <c r="S239" s="418"/>
      <c r="T239" s="418"/>
      <c r="U239" s="418"/>
      <c r="V239" s="418"/>
      <c r="W239" s="418"/>
      <c r="X239" s="418"/>
      <c r="Y239" s="418"/>
      <c r="Z239" s="418"/>
      <c r="AA239" s="418"/>
      <c r="AB239" s="418"/>
      <c r="AC239" s="418"/>
      <c r="AD239" s="418"/>
      <c r="AE239" s="306"/>
      <c r="AF239" s="306"/>
      <c r="AG239" s="306"/>
      <c r="AH239" s="306"/>
      <c r="AI239" s="306"/>
      <c r="AJ239" s="306"/>
      <c r="AK239" s="306"/>
      <c r="AL239" s="306"/>
      <c r="AM239" s="306"/>
      <c r="AN239" s="306"/>
      <c r="AO239" s="306"/>
      <c r="AP239" s="306"/>
      <c r="AQ239" s="306"/>
      <c r="AR239" s="306"/>
      <c r="AS239" s="306"/>
      <c r="AT239" s="306"/>
      <c r="AU239" s="306"/>
      <c r="AV239" s="306"/>
      <c r="AW239" s="306"/>
      <c r="AX239" s="306"/>
      <c r="AY239" s="306"/>
      <c r="AZ239" s="306"/>
    </row>
    <row r="240" spans="1:52" ht="17.100000000000001" customHeight="1">
      <c r="A240" s="306"/>
      <c r="B240" s="306"/>
      <c r="C240" s="418"/>
      <c r="D240" s="418"/>
      <c r="E240" s="418"/>
      <c r="F240" s="418"/>
      <c r="G240" s="418"/>
      <c r="H240" s="418"/>
      <c r="I240" s="418"/>
      <c r="J240" s="418"/>
      <c r="K240" s="418"/>
      <c r="L240" s="418"/>
      <c r="M240" s="418"/>
      <c r="N240" s="418"/>
      <c r="O240" s="418"/>
      <c r="P240" s="418"/>
      <c r="Q240" s="418"/>
      <c r="R240" s="418"/>
      <c r="S240" s="418"/>
      <c r="T240" s="418"/>
      <c r="U240" s="418"/>
      <c r="V240" s="418"/>
      <c r="W240" s="418"/>
      <c r="X240" s="418"/>
      <c r="Y240" s="418"/>
      <c r="Z240" s="418"/>
      <c r="AA240" s="418"/>
      <c r="AB240" s="418"/>
      <c r="AC240" s="418"/>
      <c r="AD240" s="418"/>
      <c r="AE240" s="306"/>
      <c r="AF240" s="306"/>
      <c r="AG240" s="306"/>
      <c r="AH240" s="306"/>
      <c r="AI240" s="306"/>
      <c r="AJ240" s="306"/>
      <c r="AK240" s="306"/>
      <c r="AL240" s="306"/>
      <c r="AM240" s="306"/>
      <c r="AN240" s="306"/>
      <c r="AO240" s="306"/>
      <c r="AP240" s="306"/>
      <c r="AQ240" s="306"/>
      <c r="AR240" s="306"/>
      <c r="AS240" s="306"/>
      <c r="AT240" s="306"/>
      <c r="AU240" s="306"/>
      <c r="AV240" s="306"/>
      <c r="AW240" s="306"/>
      <c r="AX240" s="306"/>
      <c r="AY240" s="306"/>
      <c r="AZ240" s="306"/>
    </row>
    <row r="241" spans="1:52" ht="17.100000000000001" customHeight="1">
      <c r="A241" s="306"/>
      <c r="B241" s="306"/>
      <c r="C241" s="418"/>
      <c r="D241" s="418"/>
      <c r="E241" s="418"/>
      <c r="F241" s="418"/>
      <c r="G241" s="418"/>
      <c r="H241" s="418"/>
      <c r="I241" s="418"/>
      <c r="J241" s="418"/>
      <c r="K241" s="418"/>
      <c r="L241" s="418"/>
      <c r="M241" s="418"/>
      <c r="N241" s="418"/>
      <c r="O241" s="418"/>
      <c r="P241" s="418"/>
      <c r="Q241" s="418"/>
      <c r="R241" s="418"/>
      <c r="S241" s="418"/>
      <c r="T241" s="418"/>
      <c r="U241" s="418"/>
      <c r="V241" s="418"/>
      <c r="W241" s="418"/>
      <c r="X241" s="418"/>
      <c r="Y241" s="418"/>
      <c r="Z241" s="418"/>
      <c r="AA241" s="418"/>
      <c r="AB241" s="418"/>
      <c r="AC241" s="418"/>
      <c r="AD241" s="418"/>
      <c r="AE241" s="306"/>
      <c r="AF241" s="306"/>
      <c r="AG241" s="306"/>
      <c r="AH241" s="306"/>
      <c r="AI241" s="306"/>
      <c r="AJ241" s="306"/>
      <c r="AK241" s="306"/>
      <c r="AL241" s="306"/>
      <c r="AM241" s="306"/>
      <c r="AN241" s="306"/>
      <c r="AO241" s="306"/>
      <c r="AP241" s="306"/>
      <c r="AQ241" s="306"/>
      <c r="AR241" s="306"/>
      <c r="AS241" s="306"/>
      <c r="AT241" s="306"/>
      <c r="AU241" s="306"/>
      <c r="AV241" s="306"/>
      <c r="AW241" s="306"/>
      <c r="AX241" s="306"/>
      <c r="AY241" s="306"/>
      <c r="AZ241" s="306"/>
    </row>
    <row r="242" spans="1:52" ht="17.100000000000001" customHeight="1">
      <c r="A242" s="306"/>
      <c r="B242" s="306"/>
      <c r="C242" s="418"/>
      <c r="D242" s="418"/>
      <c r="E242" s="418"/>
      <c r="F242" s="418"/>
      <c r="G242" s="418"/>
      <c r="H242" s="418"/>
      <c r="I242" s="418"/>
      <c r="J242" s="418"/>
      <c r="K242" s="418"/>
      <c r="L242" s="418"/>
      <c r="M242" s="418"/>
      <c r="N242" s="418"/>
      <c r="O242" s="418"/>
      <c r="P242" s="418"/>
      <c r="Q242" s="418"/>
      <c r="R242" s="418"/>
      <c r="S242" s="418"/>
      <c r="T242" s="418"/>
      <c r="U242" s="418"/>
      <c r="V242" s="418"/>
      <c r="W242" s="418"/>
      <c r="X242" s="418"/>
      <c r="Y242" s="418"/>
      <c r="Z242" s="418"/>
      <c r="AA242" s="418"/>
      <c r="AB242" s="418"/>
      <c r="AC242" s="418"/>
      <c r="AD242" s="418"/>
      <c r="AE242" s="306"/>
      <c r="AF242" s="306"/>
      <c r="AG242" s="306"/>
      <c r="AH242" s="306"/>
      <c r="AI242" s="306"/>
      <c r="AJ242" s="306"/>
      <c r="AK242" s="306"/>
      <c r="AL242" s="306"/>
      <c r="AM242" s="306"/>
      <c r="AN242" s="306"/>
      <c r="AO242" s="306"/>
      <c r="AP242" s="306"/>
      <c r="AQ242" s="306"/>
      <c r="AR242" s="306"/>
      <c r="AS242" s="306"/>
      <c r="AT242" s="306"/>
      <c r="AU242" s="306"/>
      <c r="AV242" s="306"/>
      <c r="AW242" s="306"/>
      <c r="AX242" s="306"/>
      <c r="AY242" s="306"/>
      <c r="AZ242" s="306"/>
    </row>
    <row r="243" spans="1:52" ht="17.100000000000001" customHeight="1">
      <c r="A243" s="306"/>
      <c r="B243" s="306"/>
      <c r="C243" s="418"/>
      <c r="D243" s="418"/>
      <c r="E243" s="418"/>
      <c r="F243" s="418"/>
      <c r="G243" s="418"/>
      <c r="H243" s="418"/>
      <c r="I243" s="418"/>
      <c r="J243" s="418"/>
      <c r="K243" s="418"/>
      <c r="L243" s="418"/>
      <c r="M243" s="418"/>
      <c r="N243" s="418"/>
      <c r="O243" s="418"/>
      <c r="P243" s="418"/>
      <c r="Q243" s="418"/>
      <c r="R243" s="418"/>
      <c r="S243" s="418"/>
      <c r="T243" s="418"/>
      <c r="U243" s="418"/>
      <c r="V243" s="418"/>
      <c r="W243" s="418"/>
      <c r="X243" s="418"/>
      <c r="Y243" s="418"/>
      <c r="Z243" s="418"/>
      <c r="AA243" s="418"/>
      <c r="AB243" s="418"/>
      <c r="AC243" s="418"/>
      <c r="AD243" s="418"/>
      <c r="AE243" s="306"/>
      <c r="AF243" s="306"/>
      <c r="AG243" s="306"/>
      <c r="AH243" s="306"/>
      <c r="AI243" s="306"/>
      <c r="AJ243" s="306"/>
      <c r="AK243" s="306"/>
      <c r="AL243" s="306"/>
      <c r="AM243" s="306"/>
      <c r="AN243" s="306"/>
      <c r="AO243" s="306"/>
      <c r="AP243" s="306"/>
      <c r="AQ243" s="306"/>
      <c r="AR243" s="306"/>
      <c r="AS243" s="306"/>
      <c r="AT243" s="306"/>
      <c r="AU243" s="306"/>
      <c r="AV243" s="306"/>
      <c r="AW243" s="306"/>
      <c r="AX243" s="306"/>
      <c r="AY243" s="306"/>
      <c r="AZ243" s="306"/>
    </row>
    <row r="244" spans="1:52" ht="17.100000000000001" customHeight="1">
      <c r="A244" s="306"/>
      <c r="B244" s="306"/>
      <c r="C244" s="418"/>
      <c r="D244" s="418"/>
      <c r="E244" s="418"/>
      <c r="F244" s="418"/>
      <c r="G244" s="418"/>
      <c r="H244" s="418"/>
      <c r="I244" s="418"/>
      <c r="J244" s="418"/>
      <c r="K244" s="418"/>
      <c r="L244" s="418"/>
      <c r="M244" s="418"/>
      <c r="N244" s="418"/>
      <c r="O244" s="418"/>
      <c r="P244" s="418"/>
      <c r="Q244" s="418"/>
      <c r="R244" s="418"/>
      <c r="S244" s="418"/>
      <c r="T244" s="418"/>
      <c r="U244" s="418"/>
      <c r="V244" s="418"/>
      <c r="W244" s="418"/>
      <c r="X244" s="418"/>
      <c r="Y244" s="418"/>
      <c r="Z244" s="418"/>
      <c r="AA244" s="418"/>
      <c r="AB244" s="418"/>
      <c r="AC244" s="418"/>
      <c r="AD244" s="418"/>
      <c r="AE244" s="306"/>
      <c r="AF244" s="306"/>
      <c r="AG244" s="306"/>
      <c r="AH244" s="306"/>
      <c r="AI244" s="306"/>
      <c r="AJ244" s="306"/>
      <c r="AK244" s="306"/>
      <c r="AL244" s="306"/>
      <c r="AM244" s="306"/>
      <c r="AN244" s="306"/>
      <c r="AO244" s="306"/>
      <c r="AP244" s="306"/>
      <c r="AQ244" s="306"/>
      <c r="AR244" s="306"/>
      <c r="AS244" s="306"/>
      <c r="AT244" s="306"/>
      <c r="AU244" s="306"/>
      <c r="AV244" s="306"/>
      <c r="AW244" s="306"/>
      <c r="AX244" s="306"/>
      <c r="AY244" s="306"/>
      <c r="AZ244" s="306"/>
    </row>
    <row r="245" spans="1:52" ht="17.100000000000001" customHeight="1">
      <c r="A245" s="306"/>
      <c r="B245" s="306"/>
      <c r="C245" s="418"/>
      <c r="D245" s="418"/>
      <c r="E245" s="418"/>
      <c r="F245" s="418"/>
      <c r="G245" s="418"/>
      <c r="H245" s="418"/>
      <c r="I245" s="418"/>
      <c r="J245" s="418"/>
      <c r="K245" s="418"/>
      <c r="L245" s="418"/>
      <c r="M245" s="418"/>
      <c r="N245" s="418"/>
      <c r="O245" s="418"/>
      <c r="P245" s="418"/>
      <c r="Q245" s="418"/>
      <c r="R245" s="418"/>
      <c r="S245" s="418"/>
      <c r="T245" s="418"/>
      <c r="U245" s="418"/>
      <c r="V245" s="418"/>
      <c r="W245" s="418"/>
      <c r="X245" s="418"/>
      <c r="Y245" s="418"/>
      <c r="Z245" s="418"/>
      <c r="AA245" s="418"/>
      <c r="AB245" s="418"/>
      <c r="AC245" s="418"/>
      <c r="AD245" s="418"/>
      <c r="AE245" s="306"/>
      <c r="AF245" s="306"/>
      <c r="AG245" s="306"/>
      <c r="AH245" s="306"/>
      <c r="AI245" s="306"/>
      <c r="AJ245" s="306"/>
      <c r="AK245" s="306"/>
      <c r="AL245" s="306"/>
      <c r="AM245" s="306"/>
      <c r="AN245" s="306"/>
      <c r="AO245" s="306"/>
      <c r="AP245" s="306"/>
      <c r="AQ245" s="306"/>
      <c r="AR245" s="306"/>
      <c r="AS245" s="306"/>
      <c r="AT245" s="306"/>
      <c r="AU245" s="306"/>
      <c r="AV245" s="306"/>
      <c r="AW245" s="306"/>
      <c r="AX245" s="306"/>
      <c r="AY245" s="306"/>
      <c r="AZ245" s="306"/>
    </row>
    <row r="246" spans="1:52" ht="17.100000000000001" customHeight="1">
      <c r="A246" s="306"/>
      <c r="B246" s="306"/>
      <c r="C246" s="418"/>
      <c r="D246" s="418"/>
      <c r="E246" s="418"/>
      <c r="F246" s="418"/>
      <c r="G246" s="418"/>
      <c r="H246" s="418"/>
      <c r="I246" s="418"/>
      <c r="J246" s="418"/>
      <c r="K246" s="418"/>
      <c r="L246" s="418"/>
      <c r="M246" s="418"/>
      <c r="N246" s="418"/>
      <c r="O246" s="418"/>
      <c r="P246" s="418"/>
      <c r="Q246" s="418"/>
      <c r="R246" s="418"/>
      <c r="S246" s="418"/>
      <c r="T246" s="418"/>
      <c r="U246" s="418"/>
      <c r="V246" s="418"/>
      <c r="W246" s="418"/>
      <c r="X246" s="418"/>
      <c r="Y246" s="418"/>
      <c r="Z246" s="418"/>
      <c r="AA246" s="418"/>
      <c r="AB246" s="418"/>
      <c r="AC246" s="418"/>
      <c r="AD246" s="418"/>
      <c r="AE246" s="306"/>
      <c r="AF246" s="306"/>
      <c r="AG246" s="306"/>
      <c r="AH246" s="306"/>
      <c r="AI246" s="306"/>
      <c r="AJ246" s="306"/>
      <c r="AK246" s="306"/>
      <c r="AL246" s="306"/>
      <c r="AM246" s="306"/>
      <c r="AN246" s="306"/>
      <c r="AO246" s="306"/>
      <c r="AP246" s="306"/>
      <c r="AQ246" s="306"/>
      <c r="AR246" s="306"/>
      <c r="AS246" s="306"/>
      <c r="AT246" s="306"/>
      <c r="AU246" s="306"/>
      <c r="AV246" s="306"/>
      <c r="AW246" s="306"/>
      <c r="AX246" s="306"/>
      <c r="AY246" s="306"/>
      <c r="AZ246" s="306"/>
    </row>
    <row r="247" spans="1:52" ht="17.100000000000001" customHeight="1">
      <c r="A247" s="306"/>
      <c r="B247" s="306"/>
      <c r="C247" s="418"/>
      <c r="D247" s="418"/>
      <c r="E247" s="418"/>
      <c r="F247" s="418"/>
      <c r="G247" s="418"/>
      <c r="H247" s="418"/>
      <c r="I247" s="418"/>
      <c r="J247" s="418"/>
      <c r="K247" s="418"/>
      <c r="L247" s="418"/>
      <c r="M247" s="418"/>
      <c r="N247" s="418"/>
      <c r="O247" s="418"/>
      <c r="P247" s="418"/>
      <c r="Q247" s="418"/>
      <c r="R247" s="418"/>
      <c r="S247" s="418"/>
      <c r="T247" s="418"/>
      <c r="U247" s="418"/>
      <c r="V247" s="418"/>
      <c r="W247" s="418"/>
      <c r="X247" s="418"/>
      <c r="Y247" s="418"/>
      <c r="Z247" s="418"/>
      <c r="AA247" s="418"/>
      <c r="AB247" s="418"/>
      <c r="AC247" s="418"/>
      <c r="AD247" s="418"/>
      <c r="AE247" s="306"/>
      <c r="AF247" s="306"/>
      <c r="AG247" s="306"/>
      <c r="AH247" s="306"/>
      <c r="AI247" s="306"/>
      <c r="AJ247" s="306"/>
      <c r="AK247" s="306"/>
      <c r="AL247" s="306"/>
      <c r="AM247" s="306"/>
      <c r="AN247" s="306"/>
      <c r="AO247" s="306"/>
      <c r="AP247" s="306"/>
      <c r="AQ247" s="306"/>
      <c r="AR247" s="306"/>
      <c r="AS247" s="306"/>
      <c r="AT247" s="306"/>
      <c r="AU247" s="306"/>
      <c r="AV247" s="306"/>
      <c r="AW247" s="306"/>
      <c r="AX247" s="306"/>
      <c r="AY247" s="306"/>
      <c r="AZ247" s="306"/>
    </row>
    <row r="248" spans="1:52" ht="17.100000000000001" customHeight="1">
      <c r="A248" s="306"/>
      <c r="B248" s="306"/>
      <c r="C248" s="418"/>
      <c r="D248" s="418"/>
      <c r="E248" s="418"/>
      <c r="F248" s="418"/>
      <c r="G248" s="418"/>
      <c r="H248" s="418"/>
      <c r="I248" s="418"/>
      <c r="J248" s="418"/>
      <c r="K248" s="418"/>
      <c r="L248" s="418"/>
      <c r="M248" s="418"/>
      <c r="N248" s="418"/>
      <c r="O248" s="418"/>
      <c r="P248" s="418"/>
      <c r="Q248" s="418"/>
      <c r="R248" s="418"/>
      <c r="S248" s="418"/>
      <c r="T248" s="418"/>
      <c r="U248" s="418"/>
      <c r="V248" s="418"/>
      <c r="W248" s="418"/>
      <c r="X248" s="418"/>
      <c r="Y248" s="418"/>
      <c r="Z248" s="418"/>
      <c r="AA248" s="418"/>
      <c r="AB248" s="418"/>
      <c r="AC248" s="418"/>
      <c r="AD248" s="418"/>
      <c r="AE248" s="306"/>
      <c r="AF248" s="306"/>
      <c r="AG248" s="306"/>
      <c r="AH248" s="306"/>
      <c r="AI248" s="306"/>
      <c r="AJ248" s="306"/>
      <c r="AK248" s="306"/>
      <c r="AL248" s="306"/>
      <c r="AM248" s="306"/>
      <c r="AN248" s="306"/>
      <c r="AO248" s="306"/>
      <c r="AP248" s="306"/>
      <c r="AQ248" s="306"/>
      <c r="AR248" s="306"/>
      <c r="AS248" s="306"/>
      <c r="AT248" s="306"/>
      <c r="AU248" s="306"/>
      <c r="AV248" s="306"/>
      <c r="AW248" s="306"/>
      <c r="AX248" s="306"/>
      <c r="AY248" s="306"/>
      <c r="AZ248" s="306"/>
    </row>
    <row r="249" spans="1:52" ht="17.100000000000001" customHeight="1">
      <c r="A249" s="306"/>
      <c r="B249" s="306"/>
      <c r="C249" s="418"/>
      <c r="D249" s="418"/>
      <c r="E249" s="418"/>
      <c r="F249" s="418"/>
      <c r="G249" s="418"/>
      <c r="H249" s="418"/>
      <c r="I249" s="418"/>
      <c r="J249" s="418"/>
      <c r="K249" s="418"/>
      <c r="L249" s="418"/>
      <c r="M249" s="418"/>
      <c r="N249" s="418"/>
      <c r="O249" s="418"/>
      <c r="P249" s="418"/>
      <c r="Q249" s="418"/>
      <c r="R249" s="418"/>
      <c r="S249" s="418"/>
      <c r="T249" s="418"/>
      <c r="U249" s="418"/>
      <c r="V249" s="418"/>
      <c r="W249" s="418"/>
      <c r="X249" s="418"/>
      <c r="Y249" s="418"/>
      <c r="Z249" s="418"/>
      <c r="AA249" s="418"/>
      <c r="AB249" s="418"/>
      <c r="AC249" s="418"/>
      <c r="AD249" s="418"/>
      <c r="AE249" s="306"/>
      <c r="AF249" s="306"/>
      <c r="AG249" s="306"/>
      <c r="AH249" s="306"/>
      <c r="AI249" s="306"/>
      <c r="AJ249" s="306"/>
      <c r="AK249" s="306"/>
      <c r="AL249" s="306"/>
      <c r="AM249" s="306"/>
      <c r="AN249" s="306"/>
      <c r="AO249" s="306"/>
      <c r="AP249" s="306"/>
      <c r="AQ249" s="306"/>
      <c r="AR249" s="306"/>
      <c r="AS249" s="306"/>
      <c r="AT249" s="306"/>
      <c r="AU249" s="306"/>
      <c r="AV249" s="306"/>
      <c r="AW249" s="306"/>
      <c r="AX249" s="306"/>
      <c r="AY249" s="306"/>
      <c r="AZ249" s="306"/>
    </row>
    <row r="250" spans="1:52" ht="17.100000000000001" customHeight="1">
      <c r="A250" s="306"/>
      <c r="B250" s="306"/>
      <c r="C250" s="418"/>
      <c r="D250" s="418"/>
      <c r="E250" s="418"/>
      <c r="F250" s="418"/>
      <c r="G250" s="418"/>
      <c r="H250" s="418"/>
      <c r="I250" s="418"/>
      <c r="J250" s="418"/>
      <c r="K250" s="418"/>
      <c r="L250" s="418"/>
      <c r="M250" s="418"/>
      <c r="N250" s="418"/>
      <c r="O250" s="418"/>
      <c r="P250" s="418"/>
      <c r="Q250" s="418"/>
      <c r="R250" s="418"/>
      <c r="S250" s="418"/>
      <c r="T250" s="418"/>
      <c r="U250" s="418"/>
      <c r="V250" s="418"/>
      <c r="W250" s="418"/>
      <c r="X250" s="418"/>
      <c r="Y250" s="418"/>
      <c r="Z250" s="418"/>
      <c r="AA250" s="418"/>
      <c r="AB250" s="418"/>
      <c r="AC250" s="418"/>
      <c r="AD250" s="418"/>
      <c r="AE250" s="306"/>
      <c r="AF250" s="306"/>
      <c r="AG250" s="306"/>
      <c r="AH250" s="306"/>
      <c r="AI250" s="306"/>
      <c r="AJ250" s="306"/>
      <c r="AK250" s="306"/>
      <c r="AL250" s="306"/>
      <c r="AM250" s="306"/>
      <c r="AN250" s="306"/>
      <c r="AO250" s="306"/>
      <c r="AP250" s="306"/>
      <c r="AQ250" s="306"/>
      <c r="AR250" s="306"/>
      <c r="AS250" s="306"/>
      <c r="AT250" s="306"/>
      <c r="AU250" s="306"/>
      <c r="AV250" s="306"/>
      <c r="AW250" s="306"/>
      <c r="AX250" s="306"/>
      <c r="AY250" s="306"/>
      <c r="AZ250" s="306"/>
    </row>
    <row r="251" spans="1:52" ht="17.100000000000001" customHeight="1">
      <c r="A251" s="306"/>
      <c r="B251" s="306"/>
      <c r="C251" s="418"/>
      <c r="D251" s="418"/>
      <c r="E251" s="418"/>
      <c r="F251" s="418"/>
      <c r="G251" s="418"/>
      <c r="H251" s="418"/>
      <c r="I251" s="418"/>
      <c r="J251" s="418"/>
      <c r="K251" s="418"/>
      <c r="L251" s="418"/>
      <c r="M251" s="418"/>
      <c r="N251" s="418"/>
      <c r="O251" s="418"/>
      <c r="P251" s="418"/>
      <c r="Q251" s="418"/>
      <c r="R251" s="418"/>
      <c r="S251" s="418"/>
      <c r="T251" s="418"/>
      <c r="U251" s="418"/>
      <c r="V251" s="418"/>
      <c r="W251" s="418"/>
      <c r="X251" s="418"/>
      <c r="Y251" s="418"/>
      <c r="Z251" s="418"/>
      <c r="AA251" s="418"/>
      <c r="AB251" s="418"/>
      <c r="AC251" s="418"/>
      <c r="AD251" s="418"/>
      <c r="AE251" s="306"/>
      <c r="AF251" s="306"/>
      <c r="AG251" s="306"/>
      <c r="AH251" s="306"/>
      <c r="AI251" s="306"/>
      <c r="AJ251" s="306"/>
      <c r="AK251" s="306"/>
      <c r="AL251" s="306"/>
      <c r="AM251" s="306"/>
      <c r="AN251" s="306"/>
      <c r="AO251" s="306"/>
      <c r="AP251" s="306"/>
      <c r="AQ251" s="306"/>
      <c r="AR251" s="306"/>
      <c r="AS251" s="306"/>
      <c r="AT251" s="306"/>
      <c r="AU251" s="306"/>
      <c r="AV251" s="306"/>
      <c r="AW251" s="306"/>
      <c r="AX251" s="306"/>
      <c r="AY251" s="306"/>
      <c r="AZ251" s="306"/>
    </row>
    <row r="252" spans="1:52" ht="17.100000000000001" customHeight="1">
      <c r="A252" s="306"/>
      <c r="B252" s="306"/>
      <c r="C252" s="418"/>
      <c r="D252" s="418"/>
      <c r="E252" s="418"/>
      <c r="F252" s="418"/>
      <c r="G252" s="418"/>
      <c r="H252" s="418"/>
      <c r="I252" s="418"/>
      <c r="J252" s="418"/>
      <c r="K252" s="418"/>
      <c r="L252" s="418"/>
      <c r="M252" s="418"/>
      <c r="N252" s="418"/>
      <c r="O252" s="418"/>
      <c r="P252" s="418"/>
      <c r="Q252" s="418"/>
      <c r="R252" s="418"/>
      <c r="S252" s="418"/>
      <c r="T252" s="418"/>
      <c r="U252" s="418"/>
      <c r="V252" s="418"/>
      <c r="W252" s="418"/>
      <c r="X252" s="418"/>
      <c r="Y252" s="418"/>
      <c r="Z252" s="418"/>
      <c r="AA252" s="418"/>
      <c r="AB252" s="418"/>
      <c r="AC252" s="418"/>
      <c r="AD252" s="418"/>
      <c r="AE252" s="306"/>
      <c r="AF252" s="306"/>
      <c r="AG252" s="306"/>
      <c r="AH252" s="306"/>
      <c r="AI252" s="306"/>
      <c r="AJ252" s="306"/>
      <c r="AK252" s="306"/>
      <c r="AL252" s="306"/>
      <c r="AM252" s="306"/>
      <c r="AN252" s="306"/>
      <c r="AO252" s="306"/>
      <c r="AP252" s="306"/>
      <c r="AQ252" s="306"/>
      <c r="AR252" s="306"/>
      <c r="AS252" s="306"/>
      <c r="AT252" s="306"/>
      <c r="AU252" s="306"/>
      <c r="AV252" s="306"/>
      <c r="AW252" s="306"/>
      <c r="AX252" s="306"/>
      <c r="AY252" s="306"/>
      <c r="AZ252" s="306"/>
    </row>
    <row r="253" spans="1:52" ht="17.100000000000001" customHeight="1">
      <c r="A253" s="306"/>
      <c r="B253" s="306"/>
      <c r="C253" s="418"/>
      <c r="D253" s="418"/>
      <c r="E253" s="418"/>
      <c r="F253" s="418"/>
      <c r="G253" s="418"/>
      <c r="H253" s="418"/>
      <c r="I253" s="418"/>
      <c r="J253" s="418"/>
      <c r="K253" s="418"/>
      <c r="L253" s="418"/>
      <c r="M253" s="418"/>
      <c r="N253" s="418"/>
      <c r="O253" s="418"/>
      <c r="P253" s="418"/>
      <c r="Q253" s="418"/>
      <c r="R253" s="418"/>
      <c r="S253" s="418"/>
      <c r="T253" s="418"/>
      <c r="U253" s="418"/>
      <c r="V253" s="418"/>
      <c r="W253" s="418"/>
      <c r="X253" s="418"/>
      <c r="Y253" s="418"/>
      <c r="Z253" s="418"/>
      <c r="AA253" s="418"/>
      <c r="AB253" s="418"/>
      <c r="AC253" s="418"/>
      <c r="AD253" s="418"/>
      <c r="AE253" s="306"/>
      <c r="AF253" s="306"/>
      <c r="AG253" s="306"/>
      <c r="AH253" s="306"/>
      <c r="AI253" s="306"/>
      <c r="AJ253" s="306"/>
      <c r="AK253" s="306"/>
      <c r="AL253" s="306"/>
      <c r="AM253" s="306"/>
      <c r="AN253" s="306"/>
      <c r="AO253" s="306"/>
      <c r="AP253" s="306"/>
      <c r="AQ253" s="306"/>
      <c r="AR253" s="306"/>
      <c r="AS253" s="306"/>
      <c r="AT253" s="306"/>
      <c r="AU253" s="306"/>
      <c r="AV253" s="306"/>
      <c r="AW253" s="306"/>
      <c r="AX253" s="306"/>
      <c r="AY253" s="306"/>
      <c r="AZ253" s="306"/>
    </row>
    <row r="254" spans="1:52" ht="17.100000000000001" customHeight="1">
      <c r="A254" s="306"/>
      <c r="B254" s="306"/>
      <c r="C254" s="418"/>
      <c r="D254" s="418"/>
      <c r="E254" s="418"/>
      <c r="F254" s="418"/>
      <c r="G254" s="418"/>
      <c r="H254" s="418"/>
      <c r="I254" s="418"/>
      <c r="J254" s="418"/>
      <c r="K254" s="418"/>
      <c r="L254" s="418"/>
      <c r="M254" s="418"/>
      <c r="N254" s="418"/>
      <c r="O254" s="418"/>
      <c r="P254" s="418"/>
      <c r="Q254" s="418"/>
      <c r="R254" s="418"/>
      <c r="S254" s="418"/>
      <c r="T254" s="418"/>
      <c r="U254" s="418"/>
      <c r="V254" s="418"/>
      <c r="W254" s="418"/>
      <c r="X254" s="418"/>
      <c r="Y254" s="418"/>
      <c r="Z254" s="418"/>
      <c r="AA254" s="418"/>
      <c r="AB254" s="418"/>
      <c r="AC254" s="418"/>
      <c r="AD254" s="418"/>
      <c r="AE254" s="306"/>
      <c r="AF254" s="306"/>
      <c r="AG254" s="306"/>
      <c r="AH254" s="306"/>
      <c r="AI254" s="306"/>
      <c r="AJ254" s="306"/>
      <c r="AK254" s="306"/>
      <c r="AL254" s="306"/>
      <c r="AM254" s="306"/>
      <c r="AN254" s="306"/>
      <c r="AO254" s="306"/>
      <c r="AP254" s="306"/>
      <c r="AQ254" s="306"/>
      <c r="AR254" s="306"/>
      <c r="AS254" s="306"/>
      <c r="AT254" s="306"/>
      <c r="AU254" s="306"/>
      <c r="AV254" s="306"/>
      <c r="AW254" s="306"/>
      <c r="AX254" s="306"/>
      <c r="AY254" s="306"/>
      <c r="AZ254" s="306"/>
    </row>
    <row r="255" spans="1:52" ht="17.100000000000001" customHeight="1">
      <c r="A255" s="306"/>
      <c r="B255" s="306"/>
      <c r="C255" s="418"/>
      <c r="D255" s="418"/>
      <c r="E255" s="418"/>
      <c r="F255" s="418"/>
      <c r="G255" s="418"/>
      <c r="H255" s="418"/>
      <c r="I255" s="418"/>
      <c r="J255" s="418"/>
      <c r="K255" s="418"/>
      <c r="L255" s="418"/>
      <c r="M255" s="418"/>
      <c r="N255" s="418"/>
      <c r="O255" s="418"/>
      <c r="P255" s="418"/>
      <c r="Q255" s="418"/>
      <c r="R255" s="418"/>
      <c r="S255" s="418"/>
      <c r="T255" s="418"/>
      <c r="U255" s="418"/>
      <c r="V255" s="418"/>
      <c r="W255" s="418"/>
      <c r="X255" s="418"/>
      <c r="Y255" s="418"/>
      <c r="Z255" s="418"/>
      <c r="AA255" s="418"/>
      <c r="AB255" s="418"/>
      <c r="AC255" s="418"/>
      <c r="AD255" s="418"/>
      <c r="AE255" s="306"/>
      <c r="AF255" s="306"/>
      <c r="AG255" s="306"/>
      <c r="AH255" s="306"/>
      <c r="AI255" s="306"/>
      <c r="AJ255" s="306"/>
      <c r="AK255" s="306"/>
      <c r="AL255" s="306"/>
      <c r="AM255" s="306"/>
      <c r="AN255" s="306"/>
      <c r="AO255" s="306"/>
      <c r="AP255" s="306"/>
      <c r="AQ255" s="306"/>
      <c r="AR255" s="306"/>
      <c r="AS255" s="306"/>
      <c r="AT255" s="306"/>
      <c r="AU255" s="306"/>
      <c r="AV255" s="306"/>
      <c r="AW255" s="306"/>
      <c r="AX255" s="306"/>
      <c r="AY255" s="306"/>
      <c r="AZ255" s="306"/>
    </row>
    <row r="256" spans="1:52" ht="17.100000000000001" customHeight="1">
      <c r="A256" s="306"/>
      <c r="B256" s="306"/>
      <c r="C256" s="418"/>
      <c r="D256" s="418"/>
      <c r="E256" s="418"/>
      <c r="F256" s="418"/>
      <c r="G256" s="418"/>
      <c r="H256" s="418"/>
      <c r="I256" s="418"/>
      <c r="J256" s="418"/>
      <c r="K256" s="418"/>
      <c r="L256" s="418"/>
      <c r="M256" s="418"/>
      <c r="N256" s="418"/>
      <c r="O256" s="418"/>
      <c r="P256" s="418"/>
      <c r="Q256" s="418"/>
      <c r="R256" s="418"/>
      <c r="S256" s="418"/>
      <c r="T256" s="418"/>
      <c r="U256" s="418"/>
      <c r="V256" s="418"/>
      <c r="W256" s="418"/>
      <c r="X256" s="418"/>
      <c r="Y256" s="418"/>
      <c r="Z256" s="418"/>
      <c r="AA256" s="418"/>
      <c r="AB256" s="418"/>
      <c r="AC256" s="418"/>
      <c r="AD256" s="418"/>
      <c r="AE256" s="306"/>
      <c r="AF256" s="306"/>
      <c r="AG256" s="306"/>
      <c r="AH256" s="306"/>
      <c r="AI256" s="306"/>
      <c r="AJ256" s="306"/>
      <c r="AK256" s="306"/>
      <c r="AL256" s="306"/>
      <c r="AM256" s="306"/>
      <c r="AN256" s="306"/>
      <c r="AO256" s="306"/>
      <c r="AP256" s="306"/>
      <c r="AQ256" s="306"/>
      <c r="AR256" s="306"/>
      <c r="AS256" s="306"/>
      <c r="AT256" s="306"/>
      <c r="AU256" s="306"/>
      <c r="AV256" s="306"/>
      <c r="AW256" s="306"/>
      <c r="AX256" s="306"/>
      <c r="AY256" s="306"/>
      <c r="AZ256" s="306"/>
    </row>
    <row r="257" spans="1:52" ht="17.100000000000001" customHeight="1">
      <c r="A257" s="306"/>
      <c r="B257" s="306"/>
      <c r="C257" s="418"/>
      <c r="D257" s="418"/>
      <c r="E257" s="418"/>
      <c r="F257" s="418"/>
      <c r="G257" s="418"/>
      <c r="H257" s="418"/>
      <c r="I257" s="418"/>
      <c r="J257" s="418"/>
      <c r="K257" s="418"/>
      <c r="L257" s="418"/>
      <c r="M257" s="418"/>
      <c r="N257" s="418"/>
      <c r="O257" s="418"/>
      <c r="P257" s="418"/>
      <c r="Q257" s="418"/>
      <c r="R257" s="418"/>
      <c r="S257" s="418"/>
      <c r="T257" s="418"/>
      <c r="U257" s="418"/>
      <c r="V257" s="418"/>
      <c r="W257" s="418"/>
      <c r="X257" s="418"/>
      <c r="Y257" s="418"/>
      <c r="Z257" s="418"/>
      <c r="AA257" s="418"/>
      <c r="AB257" s="418"/>
      <c r="AC257" s="418"/>
      <c r="AD257" s="418"/>
      <c r="AE257" s="306"/>
      <c r="AF257" s="306"/>
      <c r="AG257" s="306"/>
      <c r="AH257" s="306"/>
      <c r="AI257" s="306"/>
      <c r="AJ257" s="306"/>
      <c r="AK257" s="306"/>
      <c r="AL257" s="306"/>
      <c r="AM257" s="306"/>
      <c r="AN257" s="306"/>
      <c r="AO257" s="306"/>
      <c r="AP257" s="306"/>
      <c r="AQ257" s="306"/>
      <c r="AR257" s="306"/>
      <c r="AS257" s="306"/>
      <c r="AT257" s="306"/>
      <c r="AU257" s="306"/>
      <c r="AV257" s="306"/>
      <c r="AW257" s="306"/>
      <c r="AX257" s="306"/>
      <c r="AY257" s="306"/>
      <c r="AZ257" s="306"/>
    </row>
    <row r="258" spans="1:52" ht="17.100000000000001" customHeight="1">
      <c r="A258" s="306"/>
      <c r="B258" s="306"/>
      <c r="C258" s="418"/>
      <c r="D258" s="418"/>
      <c r="E258" s="418"/>
      <c r="F258" s="418"/>
      <c r="G258" s="418"/>
      <c r="H258" s="418"/>
      <c r="I258" s="418"/>
      <c r="J258" s="418"/>
      <c r="K258" s="418"/>
      <c r="L258" s="418"/>
      <c r="M258" s="418"/>
      <c r="N258" s="418"/>
      <c r="O258" s="418"/>
      <c r="P258" s="418"/>
      <c r="Q258" s="418"/>
      <c r="R258" s="418"/>
      <c r="S258" s="418"/>
      <c r="T258" s="418"/>
      <c r="U258" s="418"/>
      <c r="V258" s="418"/>
      <c r="W258" s="418"/>
      <c r="X258" s="418"/>
      <c r="Y258" s="418"/>
      <c r="Z258" s="418"/>
      <c r="AA258" s="418"/>
      <c r="AB258" s="418"/>
      <c r="AC258" s="418"/>
      <c r="AD258" s="418"/>
      <c r="AE258" s="306"/>
      <c r="AF258" s="306"/>
      <c r="AG258" s="306"/>
      <c r="AH258" s="306"/>
      <c r="AI258" s="306"/>
      <c r="AJ258" s="306"/>
      <c r="AK258" s="306"/>
      <c r="AL258" s="306"/>
      <c r="AM258" s="306"/>
      <c r="AN258" s="306"/>
      <c r="AO258" s="306"/>
      <c r="AP258" s="306"/>
      <c r="AQ258" s="306"/>
      <c r="AR258" s="306"/>
      <c r="AS258" s="306"/>
      <c r="AT258" s="306"/>
      <c r="AU258" s="306"/>
      <c r="AV258" s="306"/>
      <c r="AW258" s="306"/>
      <c r="AX258" s="306"/>
      <c r="AY258" s="306"/>
      <c r="AZ258" s="306"/>
    </row>
    <row r="259" spans="1:52" ht="17.100000000000001" customHeight="1">
      <c r="A259" s="306"/>
      <c r="B259" s="306"/>
      <c r="C259" s="418"/>
      <c r="D259" s="418"/>
      <c r="E259" s="418"/>
      <c r="F259" s="418"/>
      <c r="G259" s="418"/>
      <c r="H259" s="418"/>
      <c r="I259" s="418"/>
      <c r="J259" s="418"/>
      <c r="K259" s="418"/>
      <c r="L259" s="418"/>
      <c r="M259" s="418"/>
      <c r="N259" s="418"/>
      <c r="O259" s="418"/>
      <c r="P259" s="418"/>
      <c r="Q259" s="418"/>
      <c r="R259" s="418"/>
      <c r="S259" s="418"/>
      <c r="T259" s="418"/>
      <c r="U259" s="418"/>
      <c r="V259" s="418"/>
      <c r="W259" s="418"/>
      <c r="X259" s="418"/>
      <c r="Y259" s="418"/>
      <c r="Z259" s="418"/>
      <c r="AA259" s="418"/>
      <c r="AB259" s="418"/>
      <c r="AC259" s="418"/>
      <c r="AD259" s="418"/>
      <c r="AE259" s="306"/>
      <c r="AF259" s="306"/>
      <c r="AG259" s="306"/>
      <c r="AH259" s="306"/>
      <c r="AI259" s="306"/>
      <c r="AJ259" s="306"/>
      <c r="AK259" s="306"/>
      <c r="AL259" s="306"/>
      <c r="AM259" s="306"/>
      <c r="AN259" s="306"/>
      <c r="AO259" s="306"/>
      <c r="AP259" s="306"/>
      <c r="AQ259" s="306"/>
      <c r="AR259" s="306"/>
      <c r="AS259" s="306"/>
      <c r="AT259" s="306"/>
      <c r="AU259" s="306"/>
      <c r="AV259" s="306"/>
      <c r="AW259" s="306"/>
      <c r="AX259" s="306"/>
      <c r="AY259" s="306"/>
      <c r="AZ259" s="306"/>
    </row>
    <row r="260" spans="1:52" ht="17.100000000000001" customHeight="1">
      <c r="A260" s="306"/>
      <c r="B260" s="306"/>
      <c r="C260" s="418"/>
      <c r="D260" s="418"/>
      <c r="E260" s="418"/>
      <c r="F260" s="418"/>
      <c r="G260" s="418"/>
      <c r="H260" s="418"/>
      <c r="I260" s="418"/>
      <c r="J260" s="418"/>
      <c r="K260" s="418"/>
      <c r="L260" s="418"/>
      <c r="M260" s="418"/>
      <c r="N260" s="418"/>
      <c r="O260" s="418"/>
      <c r="P260" s="418"/>
      <c r="Q260" s="418"/>
      <c r="R260" s="418"/>
      <c r="S260" s="418"/>
      <c r="T260" s="418"/>
      <c r="U260" s="418"/>
      <c r="V260" s="418"/>
      <c r="W260" s="418"/>
      <c r="X260" s="418"/>
      <c r="Y260" s="418"/>
      <c r="Z260" s="418"/>
      <c r="AA260" s="418"/>
      <c r="AB260" s="418"/>
      <c r="AC260" s="418"/>
      <c r="AD260" s="418"/>
      <c r="AE260" s="306"/>
      <c r="AF260" s="306"/>
      <c r="AG260" s="306"/>
      <c r="AH260" s="306"/>
      <c r="AI260" s="306"/>
      <c r="AJ260" s="306"/>
      <c r="AK260" s="306"/>
      <c r="AL260" s="306"/>
      <c r="AM260" s="306"/>
      <c r="AN260" s="306"/>
      <c r="AO260" s="306"/>
      <c r="AP260" s="306"/>
      <c r="AQ260" s="306"/>
      <c r="AR260" s="306"/>
      <c r="AS260" s="306"/>
      <c r="AT260" s="306"/>
      <c r="AU260" s="306"/>
      <c r="AV260" s="306"/>
      <c r="AW260" s="306"/>
      <c r="AX260" s="306"/>
      <c r="AY260" s="306"/>
      <c r="AZ260" s="306"/>
    </row>
    <row r="261" spans="1:52" ht="17.100000000000001" customHeight="1">
      <c r="A261" s="306"/>
      <c r="B261" s="306"/>
      <c r="C261" s="418"/>
      <c r="D261" s="418"/>
      <c r="E261" s="418"/>
      <c r="F261" s="418"/>
      <c r="G261" s="418"/>
      <c r="H261" s="418"/>
      <c r="I261" s="418"/>
      <c r="J261" s="418"/>
      <c r="K261" s="418"/>
      <c r="L261" s="418"/>
      <c r="M261" s="418"/>
      <c r="N261" s="418"/>
      <c r="O261" s="418"/>
      <c r="P261" s="418"/>
      <c r="Q261" s="418"/>
      <c r="R261" s="418"/>
      <c r="S261" s="418"/>
      <c r="T261" s="418"/>
      <c r="U261" s="418"/>
      <c r="V261" s="418"/>
      <c r="W261" s="418"/>
      <c r="X261" s="418"/>
      <c r="Y261" s="418"/>
      <c r="Z261" s="418"/>
      <c r="AA261" s="418"/>
      <c r="AB261" s="418"/>
      <c r="AC261" s="418"/>
      <c r="AD261" s="418"/>
      <c r="AE261" s="306"/>
      <c r="AF261" s="306"/>
      <c r="AG261" s="306"/>
      <c r="AH261" s="306"/>
      <c r="AI261" s="306"/>
      <c r="AJ261" s="306"/>
      <c r="AK261" s="306"/>
      <c r="AL261" s="306"/>
      <c r="AM261" s="306"/>
      <c r="AN261" s="306"/>
      <c r="AO261" s="306"/>
      <c r="AP261" s="306"/>
      <c r="AQ261" s="306"/>
      <c r="AR261" s="306"/>
      <c r="AS261" s="306"/>
      <c r="AT261" s="306"/>
      <c r="AU261" s="306"/>
      <c r="AV261" s="306"/>
      <c r="AW261" s="306"/>
      <c r="AX261" s="306"/>
      <c r="AY261" s="306"/>
      <c r="AZ261" s="306"/>
    </row>
    <row r="262" spans="1:52" ht="17.100000000000001" customHeight="1">
      <c r="A262" s="306"/>
      <c r="B262" s="306"/>
      <c r="C262" s="418"/>
      <c r="D262" s="418"/>
      <c r="E262" s="418"/>
      <c r="F262" s="418"/>
      <c r="G262" s="418"/>
      <c r="H262" s="418"/>
      <c r="I262" s="418"/>
      <c r="J262" s="418"/>
      <c r="K262" s="418"/>
      <c r="L262" s="418"/>
      <c r="M262" s="418"/>
      <c r="N262" s="418"/>
      <c r="O262" s="418"/>
      <c r="P262" s="418"/>
      <c r="Q262" s="418"/>
      <c r="R262" s="418"/>
      <c r="S262" s="418"/>
      <c r="T262" s="418"/>
      <c r="U262" s="418"/>
      <c r="V262" s="418"/>
      <c r="W262" s="418"/>
      <c r="X262" s="418"/>
      <c r="Y262" s="418"/>
      <c r="Z262" s="418"/>
      <c r="AA262" s="418"/>
      <c r="AB262" s="418"/>
      <c r="AC262" s="418"/>
      <c r="AD262" s="418"/>
      <c r="AE262" s="306"/>
      <c r="AF262" s="306"/>
      <c r="AG262" s="306"/>
      <c r="AH262" s="306"/>
      <c r="AI262" s="306"/>
      <c r="AJ262" s="306"/>
      <c r="AK262" s="306"/>
      <c r="AL262" s="306"/>
      <c r="AM262" s="306"/>
      <c r="AN262" s="306"/>
      <c r="AO262" s="306"/>
      <c r="AP262" s="306"/>
      <c r="AQ262" s="306"/>
      <c r="AR262" s="306"/>
      <c r="AS262" s="306"/>
      <c r="AT262" s="306"/>
      <c r="AU262" s="306"/>
      <c r="AV262" s="306"/>
      <c r="AW262" s="306"/>
      <c r="AX262" s="306"/>
      <c r="AY262" s="306"/>
      <c r="AZ262" s="306"/>
    </row>
    <row r="263" spans="1:52" ht="17.100000000000001" customHeight="1">
      <c r="A263" s="306"/>
      <c r="B263" s="306"/>
      <c r="C263" s="418"/>
      <c r="D263" s="418"/>
      <c r="E263" s="418"/>
      <c r="F263" s="418"/>
      <c r="G263" s="418"/>
      <c r="H263" s="418"/>
      <c r="I263" s="418"/>
      <c r="J263" s="418"/>
      <c r="K263" s="418"/>
      <c r="L263" s="418"/>
      <c r="M263" s="418"/>
      <c r="N263" s="418"/>
      <c r="O263" s="418"/>
      <c r="P263" s="418"/>
      <c r="Q263" s="418"/>
      <c r="R263" s="418"/>
      <c r="S263" s="418"/>
      <c r="T263" s="418"/>
      <c r="U263" s="418"/>
      <c r="V263" s="418"/>
      <c r="W263" s="418"/>
      <c r="X263" s="418"/>
      <c r="Y263" s="418"/>
      <c r="Z263" s="418"/>
      <c r="AA263" s="418"/>
      <c r="AB263" s="418"/>
      <c r="AC263" s="418"/>
      <c r="AD263" s="418"/>
      <c r="AE263" s="306"/>
      <c r="AF263" s="306"/>
      <c r="AG263" s="306"/>
      <c r="AH263" s="306"/>
      <c r="AI263" s="306"/>
      <c r="AJ263" s="306"/>
      <c r="AK263" s="306"/>
      <c r="AL263" s="306"/>
      <c r="AM263" s="306"/>
      <c r="AN263" s="306"/>
      <c r="AO263" s="306"/>
      <c r="AP263" s="306"/>
      <c r="AQ263" s="306"/>
      <c r="AR263" s="306"/>
      <c r="AS263" s="306"/>
      <c r="AT263" s="306"/>
      <c r="AU263" s="306"/>
      <c r="AV263" s="306"/>
      <c r="AW263" s="306"/>
      <c r="AX263" s="306"/>
      <c r="AY263" s="306"/>
      <c r="AZ263" s="306"/>
    </row>
    <row r="264" spans="1:52" ht="17.100000000000001" customHeight="1">
      <c r="A264" s="306"/>
      <c r="B264" s="306"/>
      <c r="C264" s="418"/>
      <c r="D264" s="418"/>
      <c r="E264" s="418"/>
      <c r="F264" s="418"/>
      <c r="G264" s="418"/>
      <c r="H264" s="418"/>
      <c r="I264" s="418"/>
      <c r="J264" s="418"/>
      <c r="K264" s="418"/>
      <c r="L264" s="418"/>
      <c r="M264" s="418"/>
      <c r="N264" s="418"/>
      <c r="O264" s="418"/>
      <c r="P264" s="418"/>
      <c r="Q264" s="418"/>
      <c r="R264" s="418"/>
      <c r="S264" s="418"/>
      <c r="T264" s="418"/>
      <c r="U264" s="418"/>
      <c r="V264" s="418"/>
      <c r="W264" s="418"/>
      <c r="X264" s="418"/>
      <c r="Y264" s="418"/>
      <c r="Z264" s="418"/>
      <c r="AA264" s="418"/>
      <c r="AB264" s="418"/>
      <c r="AC264" s="418"/>
      <c r="AD264" s="418"/>
      <c r="AE264" s="306"/>
      <c r="AF264" s="306"/>
      <c r="AG264" s="306"/>
      <c r="AH264" s="306"/>
      <c r="AI264" s="306"/>
      <c r="AJ264" s="306"/>
      <c r="AK264" s="306"/>
      <c r="AL264" s="306"/>
      <c r="AM264" s="306"/>
      <c r="AN264" s="306"/>
      <c r="AO264" s="306"/>
      <c r="AP264" s="306"/>
      <c r="AQ264" s="306"/>
      <c r="AR264" s="306"/>
      <c r="AS264" s="306"/>
      <c r="AT264" s="306"/>
      <c r="AU264" s="306"/>
      <c r="AV264" s="306"/>
      <c r="AW264" s="306"/>
      <c r="AX264" s="306"/>
      <c r="AY264" s="306"/>
      <c r="AZ264" s="306"/>
    </row>
    <row r="265" spans="1:52" ht="17.100000000000001" customHeight="1">
      <c r="A265" s="306"/>
      <c r="B265" s="306"/>
      <c r="C265" s="418"/>
      <c r="D265" s="418"/>
      <c r="E265" s="418"/>
      <c r="F265" s="418"/>
      <c r="G265" s="418"/>
      <c r="H265" s="418"/>
      <c r="I265" s="418"/>
      <c r="J265" s="418"/>
      <c r="K265" s="418"/>
      <c r="L265" s="418"/>
      <c r="M265" s="418"/>
      <c r="N265" s="418"/>
      <c r="O265" s="418"/>
      <c r="P265" s="418"/>
      <c r="Q265" s="418"/>
      <c r="R265" s="418"/>
      <c r="S265" s="418"/>
      <c r="T265" s="418"/>
      <c r="U265" s="418"/>
      <c r="V265" s="418"/>
      <c r="W265" s="418"/>
      <c r="X265" s="418"/>
      <c r="Y265" s="418"/>
      <c r="Z265" s="418"/>
      <c r="AA265" s="418"/>
      <c r="AB265" s="418"/>
      <c r="AC265" s="418"/>
      <c r="AD265" s="418"/>
      <c r="AE265" s="306"/>
      <c r="AF265" s="306"/>
      <c r="AG265" s="306"/>
      <c r="AH265" s="306"/>
      <c r="AI265" s="306"/>
      <c r="AJ265" s="306"/>
      <c r="AK265" s="306"/>
      <c r="AL265" s="306"/>
      <c r="AM265" s="306"/>
      <c r="AN265" s="306"/>
      <c r="AO265" s="306"/>
      <c r="AP265" s="306"/>
      <c r="AQ265" s="306"/>
      <c r="AR265" s="306"/>
      <c r="AS265" s="306"/>
      <c r="AT265" s="306"/>
      <c r="AU265" s="306"/>
      <c r="AV265" s="306"/>
      <c r="AW265" s="306"/>
      <c r="AX265" s="306"/>
      <c r="AY265" s="306"/>
      <c r="AZ265" s="306"/>
    </row>
    <row r="266" spans="1:52" ht="17.100000000000001" customHeight="1">
      <c r="A266" s="306"/>
      <c r="B266" s="306"/>
      <c r="C266" s="418"/>
      <c r="D266" s="418"/>
      <c r="E266" s="418"/>
      <c r="F266" s="418"/>
      <c r="G266" s="418"/>
      <c r="H266" s="418"/>
      <c r="I266" s="418"/>
      <c r="J266" s="418"/>
      <c r="K266" s="418"/>
      <c r="L266" s="418"/>
      <c r="M266" s="418"/>
      <c r="N266" s="418"/>
      <c r="O266" s="418"/>
      <c r="P266" s="418"/>
      <c r="Q266" s="418"/>
      <c r="R266" s="418"/>
      <c r="S266" s="418"/>
      <c r="T266" s="418"/>
      <c r="U266" s="418"/>
      <c r="V266" s="418"/>
      <c r="W266" s="418"/>
      <c r="X266" s="418"/>
      <c r="Y266" s="418"/>
      <c r="Z266" s="418"/>
      <c r="AA266" s="418"/>
      <c r="AB266" s="418"/>
      <c r="AC266" s="418"/>
      <c r="AD266" s="418"/>
      <c r="AE266" s="306"/>
      <c r="AF266" s="306"/>
      <c r="AG266" s="306"/>
      <c r="AH266" s="306"/>
      <c r="AI266" s="306"/>
      <c r="AJ266" s="306"/>
      <c r="AK266" s="306"/>
      <c r="AL266" s="306"/>
      <c r="AM266" s="306"/>
      <c r="AN266" s="306"/>
      <c r="AO266" s="306"/>
      <c r="AP266" s="306"/>
      <c r="AQ266" s="306"/>
      <c r="AR266" s="306"/>
      <c r="AS266" s="306"/>
      <c r="AT266" s="306"/>
      <c r="AU266" s="306"/>
      <c r="AV266" s="306"/>
      <c r="AW266" s="306"/>
      <c r="AX266" s="306"/>
      <c r="AY266" s="306"/>
      <c r="AZ266" s="306"/>
    </row>
    <row r="267" spans="1:52" ht="17.100000000000001" customHeight="1">
      <c r="A267" s="306"/>
      <c r="B267" s="306"/>
      <c r="C267" s="418"/>
      <c r="D267" s="418"/>
      <c r="E267" s="418"/>
      <c r="F267" s="418"/>
      <c r="G267" s="418"/>
      <c r="H267" s="418"/>
      <c r="I267" s="418"/>
      <c r="J267" s="418"/>
      <c r="K267" s="418"/>
      <c r="L267" s="418"/>
      <c r="M267" s="418"/>
      <c r="N267" s="418"/>
      <c r="O267" s="418"/>
      <c r="P267" s="418"/>
      <c r="Q267" s="418"/>
      <c r="R267" s="418"/>
      <c r="S267" s="418"/>
      <c r="T267" s="418"/>
      <c r="U267" s="418"/>
      <c r="V267" s="418"/>
      <c r="W267" s="418"/>
      <c r="X267" s="418"/>
      <c r="Y267" s="418"/>
      <c r="Z267" s="418"/>
      <c r="AA267" s="418"/>
      <c r="AB267" s="418"/>
      <c r="AC267" s="418"/>
      <c r="AD267" s="418"/>
      <c r="AE267" s="306"/>
      <c r="AF267" s="306"/>
      <c r="AG267" s="306"/>
      <c r="AH267" s="306"/>
      <c r="AI267" s="306"/>
      <c r="AJ267" s="306"/>
      <c r="AK267" s="306"/>
      <c r="AL267" s="306"/>
      <c r="AM267" s="306"/>
      <c r="AN267" s="306"/>
      <c r="AO267" s="306"/>
      <c r="AP267" s="306"/>
      <c r="AQ267" s="306"/>
      <c r="AR267" s="306"/>
      <c r="AS267" s="306"/>
      <c r="AT267" s="306"/>
      <c r="AU267" s="306"/>
      <c r="AV267" s="306"/>
      <c r="AW267" s="306"/>
      <c r="AX267" s="306"/>
      <c r="AY267" s="306"/>
      <c r="AZ267" s="306"/>
    </row>
    <row r="268" spans="1:52" ht="17.100000000000001" customHeight="1">
      <c r="A268" s="306"/>
      <c r="B268" s="306"/>
      <c r="C268" s="418"/>
      <c r="D268" s="418"/>
      <c r="E268" s="418"/>
      <c r="F268" s="418"/>
      <c r="G268" s="418"/>
      <c r="H268" s="418"/>
      <c r="I268" s="418"/>
      <c r="J268" s="418"/>
      <c r="K268" s="418"/>
      <c r="L268" s="418"/>
      <c r="M268" s="418"/>
      <c r="N268" s="418"/>
      <c r="O268" s="418"/>
      <c r="P268" s="418"/>
      <c r="Q268" s="418"/>
      <c r="R268" s="418"/>
      <c r="S268" s="418"/>
      <c r="T268" s="418"/>
      <c r="U268" s="418"/>
      <c r="V268" s="418"/>
      <c r="W268" s="418"/>
      <c r="X268" s="418"/>
      <c r="Y268" s="418"/>
      <c r="Z268" s="418"/>
      <c r="AA268" s="418"/>
      <c r="AB268" s="418"/>
      <c r="AC268" s="418"/>
      <c r="AD268" s="418"/>
      <c r="AE268" s="306"/>
      <c r="AF268" s="306"/>
      <c r="AG268" s="306"/>
      <c r="AH268" s="306"/>
      <c r="AI268" s="306"/>
      <c r="AJ268" s="306"/>
      <c r="AK268" s="306"/>
      <c r="AL268" s="306"/>
      <c r="AM268" s="306"/>
      <c r="AN268" s="306"/>
      <c r="AO268" s="306"/>
      <c r="AP268" s="306"/>
      <c r="AQ268" s="306"/>
      <c r="AR268" s="306"/>
      <c r="AS268" s="306"/>
      <c r="AT268" s="306"/>
      <c r="AU268" s="306"/>
      <c r="AV268" s="306"/>
      <c r="AW268" s="306"/>
      <c r="AX268" s="306"/>
      <c r="AY268" s="306"/>
      <c r="AZ268" s="306"/>
    </row>
    <row r="269" spans="1:52" ht="17.100000000000001" customHeight="1">
      <c r="A269" s="306"/>
      <c r="B269" s="306"/>
      <c r="C269" s="418"/>
      <c r="D269" s="418"/>
      <c r="E269" s="418"/>
      <c r="F269" s="418"/>
      <c r="G269" s="418"/>
      <c r="H269" s="418"/>
      <c r="I269" s="418"/>
      <c r="J269" s="418"/>
      <c r="K269" s="418"/>
      <c r="L269" s="418"/>
      <c r="M269" s="418"/>
      <c r="N269" s="418"/>
      <c r="O269" s="418"/>
      <c r="P269" s="418"/>
      <c r="Q269" s="418"/>
      <c r="R269" s="418"/>
      <c r="S269" s="418"/>
      <c r="T269" s="418"/>
      <c r="U269" s="418"/>
      <c r="V269" s="418"/>
      <c r="W269" s="418"/>
      <c r="X269" s="418"/>
      <c r="Y269" s="418"/>
      <c r="Z269" s="418"/>
      <c r="AA269" s="418"/>
      <c r="AB269" s="418"/>
      <c r="AC269" s="418"/>
      <c r="AD269" s="418"/>
      <c r="AE269" s="306"/>
      <c r="AF269" s="306"/>
      <c r="AG269" s="306"/>
      <c r="AH269" s="306"/>
      <c r="AI269" s="306"/>
      <c r="AJ269" s="306"/>
      <c r="AK269" s="306"/>
      <c r="AL269" s="306"/>
      <c r="AM269" s="306"/>
      <c r="AN269" s="306"/>
      <c r="AO269" s="306"/>
      <c r="AP269" s="306"/>
      <c r="AQ269" s="306"/>
      <c r="AR269" s="306"/>
      <c r="AS269" s="306"/>
      <c r="AT269" s="306"/>
      <c r="AU269" s="306"/>
      <c r="AV269" s="306"/>
      <c r="AW269" s="306"/>
      <c r="AX269" s="306"/>
      <c r="AY269" s="306"/>
      <c r="AZ269" s="306"/>
    </row>
    <row r="270" spans="1:52" ht="17.100000000000001" customHeight="1">
      <c r="A270" s="306"/>
      <c r="B270" s="306"/>
      <c r="C270" s="418"/>
      <c r="D270" s="418"/>
      <c r="E270" s="418"/>
      <c r="F270" s="418"/>
      <c r="G270" s="418"/>
      <c r="H270" s="418"/>
      <c r="I270" s="418"/>
      <c r="J270" s="418"/>
      <c r="K270" s="418"/>
      <c r="L270" s="418"/>
      <c r="M270" s="418"/>
      <c r="N270" s="418"/>
      <c r="O270" s="418"/>
      <c r="P270" s="418"/>
      <c r="Q270" s="418"/>
      <c r="R270" s="418"/>
      <c r="S270" s="418"/>
      <c r="T270" s="418"/>
      <c r="U270" s="418"/>
      <c r="V270" s="418"/>
      <c r="W270" s="418"/>
      <c r="X270" s="418"/>
      <c r="Y270" s="418"/>
      <c r="Z270" s="418"/>
      <c r="AA270" s="418"/>
      <c r="AB270" s="418"/>
      <c r="AC270" s="418"/>
      <c r="AD270" s="418"/>
      <c r="AE270" s="306"/>
      <c r="AF270" s="306"/>
      <c r="AG270" s="306"/>
      <c r="AH270" s="306"/>
      <c r="AI270" s="306"/>
      <c r="AJ270" s="306"/>
      <c r="AK270" s="306"/>
      <c r="AL270" s="306"/>
      <c r="AM270" s="306"/>
      <c r="AN270" s="306"/>
      <c r="AO270" s="306"/>
      <c r="AP270" s="306"/>
      <c r="AQ270" s="306"/>
      <c r="AR270" s="306"/>
      <c r="AS270" s="306"/>
      <c r="AT270" s="306"/>
      <c r="AU270" s="306"/>
      <c r="AV270" s="306"/>
      <c r="AW270" s="306"/>
      <c r="AX270" s="306"/>
      <c r="AY270" s="306"/>
      <c r="AZ270" s="306"/>
    </row>
    <row r="271" spans="1:52" ht="17.100000000000001" customHeight="1">
      <c r="A271" s="306"/>
      <c r="B271" s="306"/>
      <c r="C271" s="418"/>
      <c r="D271" s="418"/>
      <c r="E271" s="418"/>
      <c r="F271" s="418"/>
      <c r="G271" s="418"/>
      <c r="H271" s="418"/>
      <c r="I271" s="418"/>
      <c r="J271" s="418"/>
      <c r="K271" s="418"/>
      <c r="L271" s="418"/>
      <c r="M271" s="418"/>
      <c r="N271" s="418"/>
      <c r="O271" s="418"/>
      <c r="P271" s="418"/>
      <c r="Q271" s="418"/>
      <c r="R271" s="418"/>
      <c r="S271" s="418"/>
      <c r="T271" s="418"/>
      <c r="U271" s="418"/>
      <c r="V271" s="418"/>
      <c r="W271" s="418"/>
      <c r="X271" s="418"/>
      <c r="Y271" s="418"/>
      <c r="Z271" s="418"/>
      <c r="AA271" s="418"/>
      <c r="AB271" s="418"/>
      <c r="AC271" s="418"/>
      <c r="AD271" s="418"/>
      <c r="AE271" s="306"/>
      <c r="AF271" s="306"/>
      <c r="AG271" s="306"/>
      <c r="AH271" s="306"/>
      <c r="AI271" s="306"/>
      <c r="AJ271" s="306"/>
      <c r="AK271" s="306"/>
      <c r="AL271" s="306"/>
      <c r="AM271" s="306"/>
      <c r="AN271" s="306"/>
      <c r="AO271" s="306"/>
      <c r="AP271" s="306"/>
      <c r="AQ271" s="306"/>
      <c r="AR271" s="306"/>
      <c r="AS271" s="306"/>
      <c r="AT271" s="306"/>
      <c r="AU271" s="306"/>
      <c r="AV271" s="306"/>
      <c r="AW271" s="306"/>
      <c r="AX271" s="306"/>
      <c r="AY271" s="306"/>
      <c r="AZ271" s="306"/>
    </row>
    <row r="272" spans="1:52" ht="17.100000000000001" customHeight="1">
      <c r="A272" s="306"/>
      <c r="B272" s="306"/>
      <c r="C272" s="418"/>
      <c r="D272" s="418"/>
      <c r="E272" s="418"/>
      <c r="F272" s="418"/>
      <c r="G272" s="418"/>
      <c r="H272" s="418"/>
      <c r="I272" s="418"/>
      <c r="J272" s="418"/>
      <c r="K272" s="418"/>
      <c r="L272" s="418"/>
      <c r="M272" s="418"/>
      <c r="N272" s="418"/>
      <c r="O272" s="418"/>
      <c r="P272" s="418"/>
      <c r="Q272" s="418"/>
      <c r="R272" s="418"/>
      <c r="S272" s="418"/>
      <c r="T272" s="418"/>
      <c r="U272" s="418"/>
      <c r="V272" s="418"/>
      <c r="W272" s="418"/>
      <c r="X272" s="418"/>
      <c r="Y272" s="418"/>
      <c r="Z272" s="418"/>
      <c r="AA272" s="418"/>
      <c r="AB272" s="418"/>
      <c r="AC272" s="418"/>
      <c r="AD272" s="418"/>
      <c r="AE272" s="306"/>
      <c r="AF272" s="306"/>
      <c r="AG272" s="306"/>
      <c r="AH272" s="306"/>
      <c r="AI272" s="306"/>
      <c r="AJ272" s="306"/>
      <c r="AK272" s="306"/>
      <c r="AL272" s="306"/>
      <c r="AM272" s="306"/>
      <c r="AN272" s="306"/>
      <c r="AO272" s="306"/>
      <c r="AP272" s="306"/>
      <c r="AQ272" s="306"/>
      <c r="AR272" s="306"/>
      <c r="AS272" s="306"/>
      <c r="AT272" s="306"/>
      <c r="AU272" s="306"/>
      <c r="AV272" s="306"/>
      <c r="AW272" s="306"/>
      <c r="AX272" s="306"/>
      <c r="AY272" s="306"/>
      <c r="AZ272" s="306"/>
    </row>
    <row r="273" spans="1:52" ht="17.100000000000001" customHeight="1">
      <c r="A273" s="306"/>
      <c r="B273" s="306"/>
      <c r="C273" s="418"/>
      <c r="D273" s="418"/>
      <c r="E273" s="418"/>
      <c r="F273" s="418"/>
      <c r="G273" s="418"/>
      <c r="H273" s="418"/>
      <c r="I273" s="418"/>
      <c r="J273" s="418"/>
      <c r="K273" s="418"/>
      <c r="L273" s="418"/>
      <c r="M273" s="418"/>
      <c r="N273" s="418"/>
      <c r="O273" s="418"/>
      <c r="P273" s="418"/>
      <c r="Q273" s="418"/>
      <c r="R273" s="418"/>
      <c r="S273" s="418"/>
      <c r="T273" s="418"/>
      <c r="U273" s="418"/>
      <c r="V273" s="418"/>
      <c r="W273" s="418"/>
      <c r="X273" s="418"/>
      <c r="Y273" s="418"/>
      <c r="Z273" s="418"/>
      <c r="AA273" s="418"/>
      <c r="AB273" s="418"/>
      <c r="AC273" s="418"/>
      <c r="AD273" s="418"/>
      <c r="AE273" s="306"/>
      <c r="AF273" s="306"/>
      <c r="AG273" s="306"/>
      <c r="AH273" s="306"/>
      <c r="AI273" s="306"/>
      <c r="AJ273" s="306"/>
      <c r="AK273" s="306"/>
      <c r="AL273" s="306"/>
      <c r="AM273" s="306"/>
      <c r="AN273" s="306"/>
      <c r="AO273" s="306"/>
      <c r="AP273" s="306"/>
      <c r="AQ273" s="306"/>
      <c r="AR273" s="306"/>
      <c r="AS273" s="306"/>
      <c r="AT273" s="306"/>
      <c r="AU273" s="306"/>
      <c r="AV273" s="306"/>
      <c r="AW273" s="306"/>
      <c r="AX273" s="306"/>
      <c r="AY273" s="306"/>
      <c r="AZ273" s="306"/>
    </row>
    <row r="274" spans="1:52" ht="17.100000000000001" customHeight="1">
      <c r="A274" s="306"/>
      <c r="B274" s="306"/>
      <c r="C274" s="418"/>
      <c r="D274" s="418"/>
      <c r="E274" s="418"/>
      <c r="F274" s="418"/>
      <c r="G274" s="418"/>
      <c r="H274" s="418"/>
      <c r="I274" s="418"/>
      <c r="J274" s="418"/>
      <c r="K274" s="418"/>
      <c r="L274" s="418"/>
      <c r="M274" s="418"/>
      <c r="N274" s="418"/>
      <c r="O274" s="418"/>
      <c r="P274" s="418"/>
      <c r="Q274" s="418"/>
      <c r="R274" s="418"/>
      <c r="S274" s="418"/>
      <c r="T274" s="418"/>
      <c r="U274" s="418"/>
      <c r="V274" s="418"/>
      <c r="W274" s="418"/>
      <c r="X274" s="418"/>
      <c r="Y274" s="418"/>
      <c r="Z274" s="418"/>
      <c r="AA274" s="418"/>
      <c r="AB274" s="418"/>
      <c r="AC274" s="418"/>
      <c r="AD274" s="418"/>
      <c r="AE274" s="306"/>
      <c r="AF274" s="306"/>
      <c r="AG274" s="306"/>
      <c r="AH274" s="306"/>
      <c r="AI274" s="306"/>
      <c r="AJ274" s="306"/>
      <c r="AK274" s="306"/>
      <c r="AL274" s="306"/>
      <c r="AM274" s="306"/>
      <c r="AN274" s="306"/>
      <c r="AO274" s="306"/>
      <c r="AP274" s="306"/>
      <c r="AQ274" s="306"/>
      <c r="AR274" s="306"/>
      <c r="AS274" s="306"/>
      <c r="AT274" s="306"/>
      <c r="AU274" s="306"/>
      <c r="AV274" s="306"/>
      <c r="AW274" s="306"/>
      <c r="AX274" s="306"/>
      <c r="AY274" s="306"/>
      <c r="AZ274" s="306"/>
    </row>
    <row r="275" spans="1:52" ht="17.100000000000001" customHeight="1">
      <c r="A275" s="306"/>
      <c r="B275" s="306"/>
      <c r="C275" s="418"/>
      <c r="D275" s="418"/>
      <c r="E275" s="418"/>
      <c r="F275" s="418"/>
      <c r="G275" s="418"/>
      <c r="H275" s="418"/>
      <c r="I275" s="418"/>
      <c r="J275" s="418"/>
      <c r="K275" s="418"/>
      <c r="L275" s="418"/>
      <c r="M275" s="418"/>
      <c r="N275" s="418"/>
      <c r="O275" s="418"/>
      <c r="P275" s="418"/>
      <c r="Q275" s="418"/>
      <c r="R275" s="418"/>
      <c r="S275" s="418"/>
      <c r="T275" s="418"/>
      <c r="U275" s="418"/>
      <c r="V275" s="418"/>
      <c r="W275" s="418"/>
      <c r="X275" s="418"/>
      <c r="Y275" s="418"/>
      <c r="Z275" s="418"/>
      <c r="AA275" s="418"/>
      <c r="AB275" s="418"/>
      <c r="AC275" s="418"/>
      <c r="AD275" s="418"/>
      <c r="AE275" s="306"/>
      <c r="AF275" s="306"/>
      <c r="AG275" s="306"/>
      <c r="AH275" s="306"/>
      <c r="AI275" s="306"/>
      <c r="AJ275" s="306"/>
      <c r="AK275" s="306"/>
      <c r="AL275" s="306"/>
      <c r="AM275" s="306"/>
      <c r="AN275" s="306"/>
      <c r="AO275" s="306"/>
      <c r="AP275" s="306"/>
      <c r="AQ275" s="306"/>
      <c r="AR275" s="306"/>
      <c r="AS275" s="306"/>
      <c r="AT275" s="306"/>
      <c r="AU275" s="306"/>
      <c r="AV275" s="306"/>
      <c r="AW275" s="306"/>
      <c r="AX275" s="306"/>
      <c r="AY275" s="306"/>
      <c r="AZ275" s="306"/>
    </row>
    <row r="276" spans="1:52" ht="17.100000000000001" customHeight="1">
      <c r="A276" s="306"/>
      <c r="B276" s="306"/>
      <c r="C276" s="418"/>
      <c r="D276" s="418"/>
      <c r="E276" s="418"/>
      <c r="F276" s="418"/>
      <c r="G276" s="418"/>
      <c r="H276" s="418"/>
      <c r="I276" s="418"/>
      <c r="J276" s="418"/>
      <c r="K276" s="418"/>
      <c r="L276" s="418"/>
      <c r="M276" s="418"/>
      <c r="N276" s="418"/>
      <c r="O276" s="418"/>
      <c r="P276" s="418"/>
      <c r="Q276" s="418"/>
      <c r="R276" s="418"/>
      <c r="S276" s="418"/>
      <c r="T276" s="418"/>
      <c r="U276" s="418"/>
      <c r="V276" s="418"/>
      <c r="W276" s="418"/>
      <c r="X276" s="418"/>
      <c r="Y276" s="418"/>
      <c r="Z276" s="418"/>
      <c r="AA276" s="418"/>
      <c r="AB276" s="418"/>
      <c r="AC276" s="418"/>
      <c r="AD276" s="418"/>
      <c r="AE276" s="306"/>
      <c r="AF276" s="306"/>
      <c r="AG276" s="306"/>
      <c r="AH276" s="306"/>
      <c r="AI276" s="306"/>
      <c r="AJ276" s="306"/>
      <c r="AK276" s="306"/>
      <c r="AL276" s="306"/>
      <c r="AM276" s="306"/>
      <c r="AN276" s="306"/>
      <c r="AO276" s="306"/>
      <c r="AP276" s="306"/>
      <c r="AQ276" s="306"/>
      <c r="AR276" s="306"/>
      <c r="AS276" s="306"/>
      <c r="AT276" s="306"/>
      <c r="AU276" s="306"/>
      <c r="AV276" s="306"/>
      <c r="AW276" s="306"/>
      <c r="AX276" s="306"/>
      <c r="AY276" s="306"/>
      <c r="AZ276" s="306"/>
    </row>
    <row r="277" spans="1:52" ht="17.100000000000001" customHeight="1">
      <c r="A277" s="306"/>
      <c r="B277" s="306"/>
      <c r="C277" s="418"/>
      <c r="D277" s="418"/>
      <c r="E277" s="418"/>
      <c r="F277" s="418"/>
      <c r="G277" s="418"/>
      <c r="H277" s="418"/>
      <c r="I277" s="418"/>
      <c r="J277" s="418"/>
      <c r="K277" s="418"/>
      <c r="L277" s="418"/>
      <c r="M277" s="418"/>
      <c r="N277" s="418"/>
      <c r="O277" s="418"/>
      <c r="P277" s="418"/>
      <c r="Q277" s="418"/>
      <c r="R277" s="418"/>
      <c r="S277" s="418"/>
      <c r="T277" s="418"/>
      <c r="U277" s="418"/>
      <c r="V277" s="418"/>
      <c r="W277" s="418"/>
      <c r="X277" s="418"/>
      <c r="Y277" s="418"/>
      <c r="Z277" s="418"/>
      <c r="AA277" s="418"/>
      <c r="AB277" s="418"/>
      <c r="AC277" s="418"/>
      <c r="AD277" s="418"/>
      <c r="AE277" s="306"/>
      <c r="AF277" s="306"/>
      <c r="AG277" s="306"/>
      <c r="AH277" s="306"/>
      <c r="AI277" s="306"/>
      <c r="AJ277" s="306"/>
      <c r="AK277" s="306"/>
      <c r="AL277" s="306"/>
      <c r="AM277" s="306"/>
      <c r="AN277" s="306"/>
      <c r="AO277" s="306"/>
      <c r="AP277" s="306"/>
      <c r="AQ277" s="306"/>
      <c r="AR277" s="306"/>
      <c r="AS277" s="306"/>
      <c r="AT277" s="306"/>
      <c r="AU277" s="306"/>
      <c r="AV277" s="306"/>
      <c r="AW277" s="306"/>
      <c r="AX277" s="306"/>
      <c r="AY277" s="306"/>
      <c r="AZ277" s="306"/>
    </row>
    <row r="278" spans="1:52" ht="17.100000000000001" customHeight="1">
      <c r="A278" s="306"/>
      <c r="B278" s="306"/>
      <c r="C278" s="418"/>
      <c r="D278" s="418"/>
      <c r="E278" s="418"/>
      <c r="F278" s="418"/>
      <c r="G278" s="418"/>
      <c r="H278" s="418"/>
      <c r="I278" s="418"/>
      <c r="J278" s="418"/>
      <c r="K278" s="418"/>
      <c r="L278" s="418"/>
      <c r="M278" s="418"/>
      <c r="N278" s="418"/>
      <c r="O278" s="418"/>
      <c r="P278" s="418"/>
      <c r="Q278" s="418"/>
      <c r="R278" s="418"/>
      <c r="S278" s="418"/>
      <c r="T278" s="418"/>
      <c r="U278" s="418"/>
      <c r="V278" s="418"/>
      <c r="W278" s="418"/>
      <c r="X278" s="418"/>
      <c r="Y278" s="418"/>
      <c r="Z278" s="418"/>
      <c r="AA278" s="418"/>
      <c r="AB278" s="418"/>
      <c r="AC278" s="418"/>
      <c r="AD278" s="418"/>
      <c r="AE278" s="306"/>
      <c r="AF278" s="306"/>
      <c r="AG278" s="306"/>
      <c r="AH278" s="306"/>
      <c r="AI278" s="306"/>
      <c r="AJ278" s="306"/>
      <c r="AK278" s="306"/>
      <c r="AL278" s="306"/>
      <c r="AM278" s="306"/>
      <c r="AN278" s="306"/>
      <c r="AO278" s="306"/>
      <c r="AP278" s="306"/>
      <c r="AQ278" s="306"/>
      <c r="AR278" s="306"/>
      <c r="AS278" s="306"/>
      <c r="AT278" s="306"/>
      <c r="AU278" s="306"/>
      <c r="AV278" s="306"/>
      <c r="AW278" s="306"/>
      <c r="AX278" s="306"/>
      <c r="AY278" s="306"/>
      <c r="AZ278" s="306"/>
    </row>
    <row r="279" spans="1:52" ht="17.100000000000001" customHeight="1">
      <c r="A279" s="306"/>
      <c r="B279" s="306"/>
      <c r="C279" s="418"/>
      <c r="D279" s="418"/>
      <c r="E279" s="418"/>
      <c r="F279" s="418"/>
      <c r="G279" s="418"/>
      <c r="H279" s="418"/>
      <c r="I279" s="418"/>
      <c r="J279" s="418"/>
      <c r="K279" s="418"/>
      <c r="L279" s="418"/>
      <c r="M279" s="418"/>
      <c r="N279" s="418"/>
      <c r="O279" s="418"/>
      <c r="P279" s="418"/>
      <c r="Q279" s="418"/>
      <c r="R279" s="418"/>
      <c r="S279" s="418"/>
      <c r="T279" s="418"/>
      <c r="U279" s="418"/>
      <c r="V279" s="418"/>
      <c r="W279" s="418"/>
      <c r="X279" s="418"/>
      <c r="Y279" s="418"/>
      <c r="Z279" s="418"/>
      <c r="AA279" s="418"/>
      <c r="AB279" s="418"/>
      <c r="AC279" s="418"/>
      <c r="AD279" s="418"/>
      <c r="AE279" s="306"/>
      <c r="AF279" s="306"/>
      <c r="AG279" s="306"/>
      <c r="AH279" s="306"/>
      <c r="AI279" s="306"/>
      <c r="AJ279" s="306"/>
      <c r="AK279" s="306"/>
      <c r="AL279" s="306"/>
      <c r="AM279" s="306"/>
      <c r="AN279" s="306"/>
      <c r="AO279" s="306"/>
      <c r="AP279" s="306"/>
      <c r="AQ279" s="306"/>
      <c r="AR279" s="306"/>
      <c r="AS279" s="306"/>
      <c r="AT279" s="306"/>
      <c r="AU279" s="306"/>
      <c r="AV279" s="306"/>
      <c r="AW279" s="306"/>
      <c r="AX279" s="306"/>
      <c r="AY279" s="306"/>
      <c r="AZ279" s="306"/>
    </row>
    <row r="280" spans="1:52" ht="17.100000000000001" customHeight="1">
      <c r="A280" s="306"/>
      <c r="B280" s="306"/>
      <c r="C280" s="418"/>
      <c r="D280" s="418"/>
      <c r="E280" s="418"/>
      <c r="F280" s="418"/>
      <c r="G280" s="418"/>
      <c r="H280" s="418"/>
      <c r="I280" s="418"/>
      <c r="J280" s="418"/>
      <c r="K280" s="418"/>
      <c r="L280" s="418"/>
      <c r="M280" s="418"/>
      <c r="N280" s="418"/>
      <c r="O280" s="418"/>
      <c r="P280" s="418"/>
      <c r="Q280" s="418"/>
      <c r="R280" s="418"/>
      <c r="S280" s="418"/>
      <c r="T280" s="418"/>
      <c r="U280" s="418"/>
      <c r="V280" s="418"/>
      <c r="W280" s="418"/>
      <c r="X280" s="418"/>
      <c r="Y280" s="418"/>
      <c r="Z280" s="418"/>
      <c r="AA280" s="418"/>
      <c r="AB280" s="418"/>
      <c r="AC280" s="418"/>
      <c r="AD280" s="418"/>
      <c r="AE280" s="306"/>
      <c r="AF280" s="306"/>
      <c r="AG280" s="306"/>
      <c r="AH280" s="306"/>
      <c r="AI280" s="306"/>
      <c r="AJ280" s="306"/>
      <c r="AK280" s="306"/>
      <c r="AL280" s="306"/>
      <c r="AM280" s="306"/>
      <c r="AN280" s="306"/>
      <c r="AO280" s="306"/>
      <c r="AP280" s="306"/>
      <c r="AQ280" s="306"/>
      <c r="AR280" s="306"/>
      <c r="AS280" s="306"/>
      <c r="AT280" s="306"/>
      <c r="AU280" s="306"/>
      <c r="AV280" s="306"/>
      <c r="AW280" s="306"/>
      <c r="AX280" s="306"/>
      <c r="AY280" s="306"/>
      <c r="AZ280" s="306"/>
    </row>
    <row r="281" spans="1:52" ht="17.100000000000001" customHeight="1">
      <c r="A281" s="306"/>
      <c r="B281" s="306"/>
      <c r="C281" s="418"/>
      <c r="D281" s="418"/>
      <c r="E281" s="418"/>
      <c r="F281" s="418"/>
      <c r="G281" s="418"/>
      <c r="H281" s="418"/>
      <c r="I281" s="418"/>
      <c r="J281" s="418"/>
      <c r="K281" s="418"/>
      <c r="L281" s="418"/>
      <c r="M281" s="418"/>
      <c r="N281" s="418"/>
      <c r="O281" s="418"/>
      <c r="P281" s="418"/>
      <c r="Q281" s="418"/>
      <c r="R281" s="418"/>
      <c r="S281" s="418"/>
      <c r="T281" s="418"/>
      <c r="U281" s="418"/>
      <c r="V281" s="418"/>
      <c r="W281" s="418"/>
      <c r="X281" s="418"/>
      <c r="Y281" s="418"/>
      <c r="Z281" s="418"/>
      <c r="AA281" s="418"/>
      <c r="AB281" s="418"/>
      <c r="AC281" s="418"/>
      <c r="AD281" s="418"/>
      <c r="AE281" s="306"/>
      <c r="AF281" s="306"/>
      <c r="AG281" s="306"/>
      <c r="AH281" s="306"/>
      <c r="AI281" s="306"/>
      <c r="AJ281" s="306"/>
      <c r="AK281" s="306"/>
      <c r="AL281" s="306"/>
      <c r="AM281" s="306"/>
      <c r="AN281" s="306"/>
      <c r="AO281" s="306"/>
      <c r="AP281" s="306"/>
      <c r="AQ281" s="306"/>
      <c r="AR281" s="306"/>
      <c r="AS281" s="306"/>
      <c r="AT281" s="306"/>
      <c r="AU281" s="306"/>
      <c r="AV281" s="306"/>
      <c r="AW281" s="306"/>
      <c r="AX281" s="306"/>
      <c r="AY281" s="306"/>
      <c r="AZ281" s="306"/>
    </row>
    <row r="282" spans="1:52" ht="17.100000000000001" customHeight="1">
      <c r="A282" s="306"/>
      <c r="B282" s="306"/>
      <c r="C282" s="418"/>
      <c r="D282" s="418"/>
      <c r="E282" s="418"/>
      <c r="F282" s="418"/>
      <c r="G282" s="418"/>
      <c r="H282" s="418"/>
      <c r="I282" s="418"/>
      <c r="J282" s="418"/>
      <c r="K282" s="418"/>
      <c r="L282" s="418"/>
      <c r="M282" s="418"/>
      <c r="N282" s="418"/>
      <c r="O282" s="418"/>
      <c r="P282" s="418"/>
      <c r="Q282" s="418"/>
      <c r="R282" s="418"/>
      <c r="S282" s="418"/>
      <c r="T282" s="418"/>
      <c r="U282" s="418"/>
      <c r="V282" s="418"/>
      <c r="W282" s="418"/>
      <c r="X282" s="418"/>
      <c r="Y282" s="418"/>
      <c r="Z282" s="418"/>
      <c r="AA282" s="418"/>
      <c r="AB282" s="418"/>
      <c r="AC282" s="418"/>
      <c r="AD282" s="418"/>
      <c r="AE282" s="306"/>
      <c r="AF282" s="306"/>
      <c r="AG282" s="306"/>
      <c r="AH282" s="306"/>
      <c r="AI282" s="306"/>
      <c r="AJ282" s="306"/>
      <c r="AK282" s="306"/>
      <c r="AL282" s="306"/>
      <c r="AM282" s="306"/>
      <c r="AN282" s="306"/>
      <c r="AO282" s="306"/>
      <c r="AP282" s="306"/>
      <c r="AQ282" s="306"/>
      <c r="AR282" s="306"/>
      <c r="AS282" s="306"/>
      <c r="AT282" s="306"/>
      <c r="AU282" s="306"/>
      <c r="AV282" s="306"/>
      <c r="AW282" s="306"/>
      <c r="AX282" s="306"/>
      <c r="AY282" s="306"/>
      <c r="AZ282" s="306"/>
    </row>
    <row r="283" spans="1:52" ht="17.100000000000001" customHeight="1">
      <c r="A283" s="306"/>
      <c r="B283" s="306"/>
      <c r="C283" s="418"/>
      <c r="D283" s="418"/>
      <c r="E283" s="418"/>
      <c r="F283" s="418"/>
      <c r="G283" s="418"/>
      <c r="H283" s="418"/>
      <c r="I283" s="418"/>
      <c r="J283" s="418"/>
      <c r="K283" s="418"/>
      <c r="L283" s="418"/>
      <c r="M283" s="418"/>
      <c r="N283" s="418"/>
      <c r="O283" s="418"/>
      <c r="P283" s="418"/>
      <c r="Q283" s="418"/>
      <c r="R283" s="418"/>
      <c r="S283" s="418"/>
      <c r="T283" s="418"/>
      <c r="U283" s="418"/>
      <c r="V283" s="418"/>
      <c r="W283" s="418"/>
      <c r="X283" s="418"/>
      <c r="Y283" s="418"/>
      <c r="Z283" s="418"/>
      <c r="AA283" s="418"/>
      <c r="AB283" s="418"/>
      <c r="AC283" s="418"/>
      <c r="AD283" s="418"/>
      <c r="AE283" s="306"/>
      <c r="AF283" s="306"/>
      <c r="AG283" s="306"/>
      <c r="AH283" s="306"/>
      <c r="AI283" s="306"/>
      <c r="AJ283" s="306"/>
      <c r="AK283" s="306"/>
      <c r="AL283" s="306"/>
      <c r="AM283" s="306"/>
      <c r="AN283" s="306"/>
      <c r="AO283" s="306"/>
      <c r="AP283" s="306"/>
      <c r="AQ283" s="306"/>
      <c r="AR283" s="306"/>
      <c r="AS283" s="306"/>
      <c r="AT283" s="306"/>
      <c r="AU283" s="306"/>
      <c r="AV283" s="306"/>
      <c r="AW283" s="306"/>
      <c r="AX283" s="306"/>
      <c r="AY283" s="306"/>
      <c r="AZ283" s="306"/>
    </row>
    <row r="284" spans="1:52" ht="17.100000000000001" customHeight="1">
      <c r="A284" s="306"/>
      <c r="B284" s="306"/>
      <c r="C284" s="418"/>
      <c r="D284" s="418"/>
      <c r="E284" s="418"/>
      <c r="F284" s="418"/>
      <c r="G284" s="418"/>
      <c r="H284" s="418"/>
      <c r="I284" s="418"/>
      <c r="J284" s="418"/>
      <c r="K284" s="418"/>
      <c r="L284" s="418"/>
      <c r="M284" s="418"/>
      <c r="N284" s="418"/>
      <c r="O284" s="418"/>
      <c r="P284" s="418"/>
      <c r="Q284" s="418"/>
      <c r="R284" s="418"/>
      <c r="S284" s="418"/>
      <c r="T284" s="418"/>
      <c r="U284" s="418"/>
      <c r="V284" s="418"/>
      <c r="W284" s="418"/>
      <c r="X284" s="418"/>
      <c r="Y284" s="418"/>
      <c r="Z284" s="418"/>
      <c r="AA284" s="418"/>
      <c r="AB284" s="418"/>
      <c r="AC284" s="418"/>
      <c r="AD284" s="418"/>
      <c r="AE284" s="306"/>
      <c r="AF284" s="306"/>
      <c r="AG284" s="306"/>
      <c r="AH284" s="306"/>
      <c r="AI284" s="306"/>
      <c r="AJ284" s="306"/>
      <c r="AK284" s="306"/>
      <c r="AL284" s="306"/>
      <c r="AM284" s="306"/>
      <c r="AN284" s="306"/>
      <c r="AO284" s="306"/>
      <c r="AP284" s="306"/>
      <c r="AQ284" s="306"/>
      <c r="AR284" s="306"/>
      <c r="AS284" s="306"/>
      <c r="AT284" s="306"/>
      <c r="AU284" s="306"/>
      <c r="AV284" s="306"/>
      <c r="AW284" s="306"/>
      <c r="AX284" s="306"/>
      <c r="AY284" s="306"/>
      <c r="AZ284" s="306"/>
    </row>
    <row r="285" spans="1:52" ht="17.100000000000001" customHeight="1">
      <c r="A285" s="306"/>
      <c r="B285" s="306"/>
      <c r="C285" s="418"/>
      <c r="D285" s="418"/>
      <c r="E285" s="418"/>
      <c r="F285" s="418"/>
      <c r="G285" s="418"/>
      <c r="H285" s="418"/>
      <c r="I285" s="418"/>
      <c r="J285" s="418"/>
      <c r="K285" s="418"/>
      <c r="L285" s="418"/>
      <c r="M285" s="418"/>
      <c r="N285" s="418"/>
      <c r="O285" s="418"/>
      <c r="P285" s="418"/>
      <c r="Q285" s="418"/>
      <c r="R285" s="418"/>
      <c r="S285" s="418"/>
      <c r="T285" s="418"/>
      <c r="U285" s="418"/>
      <c r="V285" s="418"/>
      <c r="W285" s="418"/>
      <c r="X285" s="418"/>
      <c r="Y285" s="418"/>
      <c r="Z285" s="418"/>
      <c r="AA285" s="418"/>
      <c r="AB285" s="418"/>
      <c r="AC285" s="418"/>
      <c r="AD285" s="418"/>
      <c r="AE285" s="306"/>
      <c r="AF285" s="306"/>
      <c r="AG285" s="306"/>
      <c r="AH285" s="306"/>
      <c r="AI285" s="306"/>
      <c r="AJ285" s="306"/>
      <c r="AK285" s="306"/>
      <c r="AL285" s="306"/>
      <c r="AM285" s="306"/>
      <c r="AN285" s="306"/>
      <c r="AO285" s="306"/>
      <c r="AP285" s="306"/>
      <c r="AQ285" s="306"/>
      <c r="AR285" s="306"/>
      <c r="AS285" s="306"/>
      <c r="AT285" s="306"/>
      <c r="AU285" s="306"/>
      <c r="AV285" s="306"/>
      <c r="AW285" s="306"/>
      <c r="AX285" s="306"/>
      <c r="AY285" s="306"/>
      <c r="AZ285" s="306"/>
    </row>
    <row r="286" spans="1:52" ht="17.100000000000001" customHeight="1">
      <c r="A286" s="306"/>
      <c r="B286" s="306"/>
      <c r="C286" s="418"/>
      <c r="D286" s="418"/>
      <c r="E286" s="418"/>
      <c r="F286" s="418"/>
      <c r="G286" s="418"/>
      <c r="H286" s="418"/>
      <c r="I286" s="418"/>
      <c r="J286" s="418"/>
      <c r="K286" s="418"/>
      <c r="L286" s="418"/>
      <c r="M286" s="418"/>
      <c r="N286" s="418"/>
      <c r="O286" s="418"/>
      <c r="P286" s="418"/>
      <c r="Q286" s="418"/>
      <c r="R286" s="418"/>
      <c r="S286" s="418"/>
      <c r="T286" s="418"/>
      <c r="U286" s="418"/>
      <c r="V286" s="418"/>
      <c r="W286" s="418"/>
      <c r="X286" s="418"/>
      <c r="Y286" s="418"/>
      <c r="Z286" s="418"/>
      <c r="AA286" s="418"/>
      <c r="AB286" s="418"/>
      <c r="AC286" s="418"/>
      <c r="AD286" s="418"/>
      <c r="AE286" s="306"/>
      <c r="AF286" s="306"/>
      <c r="AG286" s="306"/>
      <c r="AH286" s="306"/>
      <c r="AI286" s="306"/>
      <c r="AJ286" s="306"/>
      <c r="AK286" s="306"/>
      <c r="AL286" s="306"/>
      <c r="AM286" s="306"/>
      <c r="AN286" s="306"/>
      <c r="AO286" s="306"/>
      <c r="AP286" s="306"/>
      <c r="AQ286" s="306"/>
      <c r="AR286" s="306"/>
      <c r="AS286" s="306"/>
      <c r="AT286" s="306"/>
      <c r="AU286" s="306"/>
      <c r="AV286" s="306"/>
      <c r="AW286" s="306"/>
      <c r="AX286" s="306"/>
      <c r="AY286" s="306"/>
      <c r="AZ286" s="306"/>
    </row>
    <row r="287" spans="1:52" ht="17.100000000000001" customHeight="1">
      <c r="A287" s="306"/>
      <c r="B287" s="306"/>
      <c r="C287" s="418"/>
      <c r="D287" s="418"/>
      <c r="E287" s="418"/>
      <c r="F287" s="418"/>
      <c r="G287" s="418"/>
      <c r="H287" s="418"/>
      <c r="I287" s="418"/>
      <c r="J287" s="418"/>
      <c r="K287" s="418"/>
      <c r="L287" s="418"/>
      <c r="M287" s="418"/>
      <c r="N287" s="418"/>
      <c r="O287" s="418"/>
      <c r="P287" s="418"/>
      <c r="Q287" s="418"/>
      <c r="R287" s="418"/>
      <c r="S287" s="418"/>
      <c r="T287" s="418"/>
      <c r="U287" s="418"/>
      <c r="V287" s="418"/>
      <c r="W287" s="418"/>
      <c r="X287" s="418"/>
      <c r="Y287" s="418"/>
      <c r="Z287" s="418"/>
      <c r="AA287" s="418"/>
      <c r="AB287" s="418"/>
      <c r="AC287" s="418"/>
      <c r="AD287" s="418"/>
      <c r="AE287" s="306"/>
      <c r="AF287" s="306"/>
      <c r="AG287" s="306"/>
      <c r="AH287" s="306"/>
      <c r="AI287" s="306"/>
      <c r="AJ287" s="306"/>
      <c r="AK287" s="306"/>
      <c r="AL287" s="306"/>
      <c r="AM287" s="306"/>
      <c r="AN287" s="306"/>
      <c r="AO287" s="306"/>
      <c r="AP287" s="306"/>
      <c r="AQ287" s="306"/>
      <c r="AR287" s="306"/>
      <c r="AS287" s="306"/>
      <c r="AT287" s="306"/>
      <c r="AU287" s="306"/>
      <c r="AV287" s="306"/>
      <c r="AW287" s="306"/>
      <c r="AX287" s="306"/>
      <c r="AY287" s="306"/>
      <c r="AZ287" s="306"/>
    </row>
    <row r="288" spans="1:52" ht="17.100000000000001" customHeight="1">
      <c r="A288" s="306"/>
      <c r="B288" s="306"/>
      <c r="C288" s="418"/>
      <c r="D288" s="418"/>
      <c r="E288" s="418"/>
      <c r="F288" s="418"/>
      <c r="G288" s="418"/>
      <c r="H288" s="418"/>
      <c r="I288" s="418"/>
      <c r="J288" s="418"/>
      <c r="K288" s="418"/>
      <c r="L288" s="418"/>
      <c r="M288" s="418"/>
      <c r="N288" s="418"/>
      <c r="O288" s="418"/>
      <c r="P288" s="418"/>
      <c r="Q288" s="418"/>
      <c r="R288" s="418"/>
      <c r="S288" s="418"/>
      <c r="T288" s="418"/>
      <c r="U288" s="418"/>
      <c r="V288" s="418"/>
      <c r="W288" s="418"/>
      <c r="X288" s="418"/>
      <c r="Y288" s="418"/>
      <c r="Z288" s="418"/>
      <c r="AA288" s="418"/>
      <c r="AB288" s="418"/>
      <c r="AC288" s="418"/>
      <c r="AD288" s="418"/>
      <c r="AE288" s="306"/>
      <c r="AF288" s="306"/>
      <c r="AG288" s="306"/>
      <c r="AH288" s="306"/>
      <c r="AI288" s="306"/>
      <c r="AJ288" s="306"/>
      <c r="AK288" s="306"/>
      <c r="AL288" s="306"/>
      <c r="AM288" s="306"/>
      <c r="AN288" s="306"/>
      <c r="AO288" s="306"/>
      <c r="AP288" s="306"/>
      <c r="AQ288" s="306"/>
      <c r="AR288" s="306"/>
      <c r="AS288" s="306"/>
      <c r="AT288" s="306"/>
      <c r="AU288" s="306"/>
      <c r="AV288" s="306"/>
      <c r="AW288" s="306"/>
      <c r="AX288" s="306"/>
      <c r="AY288" s="306"/>
      <c r="AZ288" s="306"/>
    </row>
    <row r="289" spans="1:52" ht="17.100000000000001" customHeight="1">
      <c r="A289" s="306"/>
      <c r="B289" s="306"/>
      <c r="C289" s="418"/>
      <c r="D289" s="418"/>
      <c r="E289" s="418"/>
      <c r="F289" s="418"/>
      <c r="G289" s="418"/>
      <c r="H289" s="418"/>
      <c r="I289" s="418"/>
      <c r="J289" s="418"/>
      <c r="K289" s="418"/>
      <c r="L289" s="418"/>
      <c r="M289" s="418"/>
      <c r="N289" s="418"/>
      <c r="O289" s="418"/>
      <c r="P289" s="418"/>
      <c r="Q289" s="418"/>
      <c r="R289" s="418"/>
      <c r="S289" s="418"/>
      <c r="T289" s="418"/>
      <c r="U289" s="418"/>
      <c r="V289" s="418"/>
      <c r="W289" s="418"/>
      <c r="X289" s="418"/>
      <c r="Y289" s="418"/>
      <c r="Z289" s="418"/>
      <c r="AA289" s="418"/>
      <c r="AB289" s="418"/>
      <c r="AC289" s="418"/>
      <c r="AD289" s="418"/>
      <c r="AE289" s="306"/>
      <c r="AF289" s="306"/>
      <c r="AG289" s="306"/>
      <c r="AH289" s="306"/>
      <c r="AI289" s="306"/>
      <c r="AJ289" s="306"/>
      <c r="AK289" s="306"/>
      <c r="AL289" s="306"/>
      <c r="AM289" s="306"/>
      <c r="AN289" s="306"/>
      <c r="AO289" s="306"/>
      <c r="AP289" s="306"/>
      <c r="AQ289" s="306"/>
      <c r="AR289" s="306"/>
      <c r="AS289" s="306"/>
      <c r="AT289" s="306"/>
      <c r="AU289" s="306"/>
      <c r="AV289" s="306"/>
      <c r="AW289" s="306"/>
      <c r="AX289" s="306"/>
      <c r="AY289" s="306"/>
      <c r="AZ289" s="306"/>
    </row>
    <row r="290" spans="1:52" ht="17.100000000000001" customHeight="1">
      <c r="A290" s="306"/>
      <c r="B290" s="306"/>
      <c r="C290" s="418"/>
      <c r="D290" s="418"/>
      <c r="E290" s="418"/>
      <c r="F290" s="418"/>
      <c r="G290" s="418"/>
      <c r="H290" s="418"/>
      <c r="I290" s="418"/>
      <c r="J290" s="418"/>
      <c r="K290" s="418"/>
      <c r="L290" s="418"/>
      <c r="M290" s="418"/>
      <c r="N290" s="418"/>
      <c r="O290" s="418"/>
      <c r="P290" s="418"/>
      <c r="Q290" s="418"/>
      <c r="R290" s="418"/>
      <c r="S290" s="418"/>
      <c r="T290" s="418"/>
      <c r="U290" s="418"/>
      <c r="V290" s="418"/>
      <c r="W290" s="418"/>
      <c r="X290" s="418"/>
      <c r="Y290" s="418"/>
      <c r="Z290" s="418"/>
      <c r="AA290" s="418"/>
      <c r="AB290" s="418"/>
      <c r="AC290" s="418"/>
      <c r="AD290" s="418"/>
      <c r="AE290" s="306"/>
      <c r="AF290" s="306"/>
      <c r="AG290" s="306"/>
      <c r="AH290" s="306"/>
      <c r="AI290" s="306"/>
      <c r="AJ290" s="306"/>
      <c r="AK290" s="306"/>
      <c r="AL290" s="306"/>
      <c r="AM290" s="306"/>
      <c r="AN290" s="306"/>
      <c r="AO290" s="306"/>
      <c r="AP290" s="306"/>
      <c r="AQ290" s="306"/>
      <c r="AR290" s="306"/>
      <c r="AS290" s="306"/>
      <c r="AT290" s="306"/>
      <c r="AU290" s="306"/>
      <c r="AV290" s="306"/>
      <c r="AW290" s="306"/>
      <c r="AX290" s="306"/>
      <c r="AY290" s="306"/>
      <c r="AZ290" s="306"/>
    </row>
    <row r="291" spans="1:52" ht="17.100000000000001" customHeight="1">
      <c r="A291" s="306"/>
      <c r="B291" s="306"/>
      <c r="C291" s="418"/>
      <c r="D291" s="418"/>
      <c r="E291" s="418"/>
      <c r="F291" s="418"/>
      <c r="G291" s="418"/>
      <c r="H291" s="418"/>
      <c r="I291" s="418"/>
      <c r="J291" s="418"/>
      <c r="K291" s="418"/>
      <c r="L291" s="418"/>
      <c r="M291" s="418"/>
      <c r="N291" s="418"/>
      <c r="O291" s="418"/>
      <c r="P291" s="418"/>
      <c r="Q291" s="418"/>
      <c r="R291" s="418"/>
      <c r="S291" s="418"/>
      <c r="T291" s="418"/>
      <c r="U291" s="418"/>
      <c r="V291" s="418"/>
      <c r="W291" s="418"/>
      <c r="X291" s="418"/>
      <c r="Y291" s="418"/>
      <c r="Z291" s="418"/>
      <c r="AA291" s="418"/>
      <c r="AB291" s="418"/>
      <c r="AC291" s="418"/>
      <c r="AD291" s="418"/>
      <c r="AE291" s="306"/>
      <c r="AF291" s="306"/>
      <c r="AG291" s="306"/>
      <c r="AH291" s="306"/>
      <c r="AI291" s="306"/>
      <c r="AJ291" s="306"/>
      <c r="AK291" s="306"/>
      <c r="AL291" s="306"/>
      <c r="AM291" s="306"/>
      <c r="AN291" s="306"/>
      <c r="AO291" s="306"/>
      <c r="AP291" s="306"/>
      <c r="AQ291" s="306"/>
      <c r="AR291" s="306"/>
      <c r="AS291" s="306"/>
      <c r="AT291" s="306"/>
      <c r="AU291" s="306"/>
      <c r="AV291" s="306"/>
      <c r="AW291" s="306"/>
      <c r="AX291" s="306"/>
      <c r="AY291" s="306"/>
      <c r="AZ291" s="306"/>
    </row>
    <row r="292" spans="1:52" ht="17.100000000000001" customHeight="1">
      <c r="A292" s="306"/>
      <c r="B292" s="306"/>
      <c r="C292" s="418"/>
      <c r="D292" s="418"/>
      <c r="E292" s="418"/>
      <c r="F292" s="418"/>
      <c r="G292" s="418"/>
      <c r="H292" s="418"/>
      <c r="I292" s="418"/>
      <c r="J292" s="418"/>
      <c r="K292" s="418"/>
      <c r="L292" s="418"/>
      <c r="M292" s="418"/>
      <c r="N292" s="418"/>
      <c r="O292" s="418"/>
      <c r="P292" s="418"/>
      <c r="Q292" s="418"/>
      <c r="R292" s="418"/>
      <c r="S292" s="418"/>
      <c r="T292" s="418"/>
      <c r="U292" s="418"/>
      <c r="V292" s="418"/>
      <c r="W292" s="418"/>
      <c r="X292" s="418"/>
      <c r="Y292" s="418"/>
      <c r="Z292" s="418"/>
      <c r="AA292" s="418"/>
      <c r="AB292" s="418"/>
      <c r="AC292" s="418"/>
      <c r="AD292" s="418"/>
      <c r="AE292" s="306"/>
      <c r="AF292" s="306"/>
      <c r="AG292" s="306"/>
      <c r="AH292" s="306"/>
      <c r="AI292" s="306"/>
      <c r="AJ292" s="306"/>
      <c r="AK292" s="306"/>
      <c r="AL292" s="306"/>
      <c r="AM292" s="306"/>
      <c r="AN292" s="306"/>
      <c r="AO292" s="306"/>
      <c r="AP292" s="306"/>
      <c r="AQ292" s="306"/>
      <c r="AR292" s="306"/>
      <c r="AS292" s="306"/>
      <c r="AT292" s="306"/>
      <c r="AU292" s="306"/>
      <c r="AV292" s="306"/>
      <c r="AW292" s="306"/>
      <c r="AX292" s="306"/>
      <c r="AY292" s="306"/>
      <c r="AZ292" s="306"/>
    </row>
    <row r="293" spans="1:52" ht="17.100000000000001" customHeight="1">
      <c r="A293" s="306"/>
      <c r="B293" s="306"/>
      <c r="C293" s="418"/>
      <c r="D293" s="418"/>
      <c r="E293" s="418"/>
      <c r="F293" s="418"/>
      <c r="G293" s="418"/>
      <c r="H293" s="418"/>
      <c r="I293" s="418"/>
      <c r="J293" s="418"/>
      <c r="K293" s="418"/>
      <c r="L293" s="418"/>
      <c r="M293" s="418"/>
      <c r="N293" s="418"/>
      <c r="O293" s="418"/>
      <c r="P293" s="418"/>
      <c r="Q293" s="418"/>
      <c r="R293" s="418"/>
      <c r="S293" s="418"/>
      <c r="T293" s="418"/>
      <c r="U293" s="418"/>
      <c r="V293" s="418"/>
      <c r="W293" s="418"/>
      <c r="X293" s="418"/>
      <c r="Y293" s="418"/>
      <c r="Z293" s="418"/>
      <c r="AA293" s="418"/>
      <c r="AB293" s="418"/>
      <c r="AC293" s="418"/>
      <c r="AD293" s="418"/>
      <c r="AE293" s="306"/>
      <c r="AF293" s="306"/>
      <c r="AG293" s="306"/>
      <c r="AH293" s="306"/>
      <c r="AI293" s="306"/>
      <c r="AJ293" s="306"/>
      <c r="AK293" s="306"/>
      <c r="AL293" s="306"/>
      <c r="AM293" s="306"/>
      <c r="AN293" s="306"/>
      <c r="AO293" s="306"/>
      <c r="AP293" s="306"/>
      <c r="AQ293" s="306"/>
      <c r="AR293" s="306"/>
      <c r="AS293" s="306"/>
      <c r="AT293" s="306"/>
      <c r="AU293" s="306"/>
      <c r="AV293" s="306"/>
      <c r="AW293" s="306"/>
      <c r="AX293" s="306"/>
      <c r="AY293" s="306"/>
      <c r="AZ293" s="306"/>
    </row>
    <row r="294" spans="1:52" ht="17.100000000000001" customHeight="1">
      <c r="A294" s="306"/>
      <c r="B294" s="306"/>
      <c r="C294" s="418"/>
      <c r="D294" s="418"/>
      <c r="E294" s="418"/>
      <c r="F294" s="418"/>
      <c r="G294" s="418"/>
      <c r="H294" s="418"/>
      <c r="I294" s="418"/>
      <c r="J294" s="418"/>
      <c r="K294" s="418"/>
      <c r="L294" s="418"/>
      <c r="M294" s="418"/>
      <c r="N294" s="418"/>
      <c r="O294" s="418"/>
      <c r="P294" s="418"/>
      <c r="Q294" s="418"/>
      <c r="R294" s="418"/>
      <c r="S294" s="418"/>
      <c r="T294" s="418"/>
      <c r="U294" s="418"/>
      <c r="V294" s="418"/>
      <c r="W294" s="418"/>
      <c r="X294" s="418"/>
      <c r="Y294" s="418"/>
      <c r="Z294" s="418"/>
      <c r="AA294" s="418"/>
      <c r="AB294" s="418"/>
      <c r="AC294" s="418"/>
      <c r="AD294" s="418"/>
      <c r="AE294" s="306"/>
      <c r="AF294" s="306"/>
      <c r="AG294" s="306"/>
      <c r="AH294" s="306"/>
      <c r="AI294" s="306"/>
      <c r="AJ294" s="306"/>
      <c r="AK294" s="306"/>
      <c r="AL294" s="306"/>
      <c r="AM294" s="306"/>
      <c r="AN294" s="306"/>
      <c r="AO294" s="306"/>
      <c r="AP294" s="306"/>
      <c r="AQ294" s="306"/>
      <c r="AR294" s="306"/>
      <c r="AS294" s="306"/>
      <c r="AT294" s="306"/>
      <c r="AU294" s="306"/>
      <c r="AV294" s="306"/>
      <c r="AW294" s="306"/>
      <c r="AX294" s="306"/>
      <c r="AY294" s="306"/>
      <c r="AZ294" s="306"/>
    </row>
    <row r="295" spans="1:52" ht="17.100000000000001" customHeight="1">
      <c r="A295" s="306"/>
      <c r="B295" s="306"/>
      <c r="C295" s="418"/>
      <c r="D295" s="418"/>
      <c r="E295" s="418"/>
      <c r="F295" s="418"/>
      <c r="G295" s="418"/>
      <c r="H295" s="418"/>
      <c r="I295" s="418"/>
      <c r="J295" s="418"/>
      <c r="K295" s="418"/>
      <c r="L295" s="418"/>
      <c r="M295" s="418"/>
      <c r="N295" s="418"/>
      <c r="O295" s="418"/>
      <c r="P295" s="418"/>
      <c r="Q295" s="418"/>
      <c r="R295" s="418"/>
      <c r="S295" s="418"/>
      <c r="T295" s="418"/>
      <c r="U295" s="418"/>
      <c r="V295" s="418"/>
      <c r="W295" s="418"/>
      <c r="X295" s="418"/>
      <c r="Y295" s="418"/>
      <c r="Z295" s="418"/>
      <c r="AA295" s="418"/>
      <c r="AB295" s="418"/>
      <c r="AC295" s="418"/>
      <c r="AD295" s="418"/>
      <c r="AE295" s="306"/>
      <c r="AF295" s="306"/>
      <c r="AG295" s="306"/>
      <c r="AH295" s="306"/>
      <c r="AI295" s="306"/>
      <c r="AJ295" s="306"/>
      <c r="AK295" s="306"/>
      <c r="AL295" s="306"/>
      <c r="AM295" s="306"/>
      <c r="AN295" s="306"/>
      <c r="AO295" s="306"/>
      <c r="AP295" s="306"/>
      <c r="AQ295" s="306"/>
      <c r="AR295" s="306"/>
      <c r="AS295" s="306"/>
      <c r="AT295" s="306"/>
      <c r="AU295" s="306"/>
      <c r="AV295" s="306"/>
      <c r="AW295" s="306"/>
      <c r="AX295" s="306"/>
      <c r="AY295" s="306"/>
      <c r="AZ295" s="306"/>
    </row>
    <row r="296" spans="1:52" ht="17.100000000000001" customHeight="1">
      <c r="A296" s="306"/>
      <c r="B296" s="306"/>
      <c r="C296" s="418"/>
      <c r="D296" s="418"/>
      <c r="E296" s="418"/>
      <c r="F296" s="418"/>
      <c r="G296" s="418"/>
      <c r="H296" s="418"/>
      <c r="I296" s="418"/>
      <c r="J296" s="418"/>
      <c r="K296" s="418"/>
      <c r="L296" s="418"/>
      <c r="M296" s="418"/>
      <c r="N296" s="418"/>
      <c r="O296" s="418"/>
      <c r="P296" s="418"/>
      <c r="Q296" s="418"/>
      <c r="R296" s="418"/>
      <c r="S296" s="418"/>
      <c r="T296" s="418"/>
      <c r="U296" s="418"/>
      <c r="V296" s="418"/>
      <c r="W296" s="418"/>
      <c r="X296" s="418"/>
      <c r="Y296" s="418"/>
      <c r="Z296" s="418"/>
      <c r="AA296" s="418"/>
      <c r="AB296" s="418"/>
      <c r="AC296" s="418"/>
      <c r="AD296" s="418"/>
      <c r="AE296" s="306"/>
      <c r="AF296" s="306"/>
      <c r="AG296" s="306"/>
      <c r="AH296" s="306"/>
      <c r="AI296" s="306"/>
      <c r="AJ296" s="306"/>
      <c r="AK296" s="306"/>
      <c r="AL296" s="306"/>
      <c r="AM296" s="306"/>
      <c r="AN296" s="306"/>
      <c r="AO296" s="306"/>
      <c r="AP296" s="306"/>
      <c r="AQ296" s="306"/>
      <c r="AR296" s="306"/>
      <c r="AS296" s="306"/>
      <c r="AT296" s="306"/>
      <c r="AU296" s="306"/>
      <c r="AV296" s="306"/>
      <c r="AW296" s="306"/>
      <c r="AX296" s="306"/>
      <c r="AY296" s="306"/>
      <c r="AZ296" s="306"/>
    </row>
    <row r="297" spans="1:52" ht="17.100000000000001" customHeight="1">
      <c r="A297" s="306"/>
      <c r="B297" s="306"/>
      <c r="C297" s="418"/>
      <c r="D297" s="418"/>
      <c r="E297" s="418"/>
      <c r="F297" s="418"/>
      <c r="G297" s="418"/>
      <c r="H297" s="418"/>
      <c r="I297" s="418"/>
      <c r="J297" s="418"/>
      <c r="K297" s="418"/>
      <c r="L297" s="418"/>
      <c r="M297" s="418"/>
      <c r="N297" s="418"/>
      <c r="O297" s="418"/>
      <c r="P297" s="418"/>
      <c r="Q297" s="418"/>
      <c r="R297" s="418"/>
      <c r="S297" s="418"/>
      <c r="T297" s="418"/>
      <c r="U297" s="418"/>
      <c r="V297" s="418"/>
      <c r="W297" s="418"/>
      <c r="X297" s="418"/>
      <c r="Y297" s="418"/>
      <c r="Z297" s="418"/>
      <c r="AA297" s="418"/>
      <c r="AB297" s="418"/>
      <c r="AC297" s="418"/>
      <c r="AD297" s="418"/>
      <c r="AE297" s="306"/>
      <c r="AF297" s="306"/>
      <c r="AG297" s="306"/>
      <c r="AH297" s="306"/>
      <c r="AI297" s="306"/>
      <c r="AJ297" s="306"/>
      <c r="AK297" s="306"/>
      <c r="AL297" s="306"/>
      <c r="AM297" s="306"/>
      <c r="AN297" s="306"/>
      <c r="AO297" s="306"/>
      <c r="AP297" s="306"/>
      <c r="AQ297" s="306"/>
      <c r="AR297" s="306"/>
      <c r="AS297" s="306"/>
      <c r="AT297" s="306"/>
      <c r="AU297" s="306"/>
      <c r="AV297" s="306"/>
      <c r="AW297" s="306"/>
      <c r="AX297" s="306"/>
      <c r="AY297" s="306"/>
      <c r="AZ297" s="306"/>
    </row>
    <row r="298" spans="1:52" ht="17.100000000000001" customHeight="1">
      <c r="A298" s="306"/>
      <c r="B298" s="306"/>
      <c r="C298" s="418"/>
      <c r="D298" s="418"/>
      <c r="E298" s="418"/>
      <c r="F298" s="418"/>
      <c r="G298" s="418"/>
      <c r="H298" s="418"/>
      <c r="I298" s="418"/>
      <c r="J298" s="418"/>
      <c r="K298" s="418"/>
      <c r="L298" s="418"/>
      <c r="M298" s="418"/>
      <c r="N298" s="418"/>
      <c r="O298" s="418"/>
      <c r="P298" s="418"/>
      <c r="Q298" s="418"/>
      <c r="R298" s="418"/>
      <c r="S298" s="418"/>
      <c r="T298" s="418"/>
      <c r="U298" s="418"/>
      <c r="V298" s="418"/>
      <c r="W298" s="418"/>
      <c r="X298" s="418"/>
      <c r="Y298" s="418"/>
      <c r="Z298" s="418"/>
      <c r="AA298" s="418"/>
      <c r="AB298" s="418"/>
      <c r="AC298" s="418"/>
      <c r="AD298" s="418"/>
      <c r="AE298" s="306"/>
      <c r="AF298" s="306"/>
      <c r="AG298" s="306"/>
      <c r="AH298" s="306"/>
      <c r="AI298" s="306"/>
      <c r="AJ298" s="306"/>
      <c r="AK298" s="306"/>
      <c r="AL298" s="306"/>
      <c r="AM298" s="306"/>
      <c r="AN298" s="306"/>
      <c r="AO298" s="306"/>
      <c r="AP298" s="306"/>
      <c r="AQ298" s="306"/>
      <c r="AR298" s="306"/>
      <c r="AS298" s="306"/>
      <c r="AT298" s="306"/>
      <c r="AU298" s="306"/>
      <c r="AV298" s="306"/>
      <c r="AW298" s="306"/>
      <c r="AX298" s="306"/>
      <c r="AY298" s="306"/>
      <c r="AZ298" s="306"/>
    </row>
    <row r="299" spans="1:52" ht="17.100000000000001" customHeight="1">
      <c r="A299" s="306"/>
      <c r="B299" s="306"/>
      <c r="C299" s="418"/>
      <c r="D299" s="418"/>
      <c r="E299" s="418"/>
      <c r="F299" s="418"/>
      <c r="G299" s="418"/>
      <c r="H299" s="418"/>
      <c r="I299" s="418"/>
      <c r="J299" s="418"/>
      <c r="K299" s="418"/>
      <c r="L299" s="418"/>
      <c r="M299" s="418"/>
      <c r="N299" s="418"/>
      <c r="O299" s="418"/>
      <c r="P299" s="418"/>
      <c r="Q299" s="418"/>
      <c r="R299" s="418"/>
      <c r="S299" s="418"/>
      <c r="T299" s="418"/>
      <c r="U299" s="418"/>
      <c r="V299" s="418"/>
      <c r="W299" s="418"/>
      <c r="X299" s="418"/>
      <c r="Y299" s="418"/>
      <c r="Z299" s="418"/>
      <c r="AA299" s="418"/>
      <c r="AB299" s="418"/>
      <c r="AC299" s="418"/>
      <c r="AD299" s="418"/>
      <c r="AE299" s="306"/>
      <c r="AF299" s="306"/>
      <c r="AG299" s="306"/>
      <c r="AH299" s="306"/>
      <c r="AI299" s="306"/>
      <c r="AJ299" s="306"/>
      <c r="AK299" s="306"/>
      <c r="AL299" s="306"/>
      <c r="AM299" s="306"/>
      <c r="AN299" s="306"/>
      <c r="AO299" s="306"/>
      <c r="AP299" s="306"/>
      <c r="AQ299" s="306"/>
      <c r="AR299" s="306"/>
      <c r="AS299" s="306"/>
      <c r="AT299" s="306"/>
      <c r="AU299" s="306"/>
      <c r="AV299" s="306"/>
      <c r="AW299" s="306"/>
      <c r="AX299" s="306"/>
      <c r="AY299" s="306"/>
      <c r="AZ299" s="306"/>
    </row>
    <row r="300" spans="1:52" ht="17.100000000000001" customHeight="1">
      <c r="A300" s="306"/>
      <c r="B300" s="306"/>
      <c r="C300" s="418"/>
      <c r="D300" s="418"/>
      <c r="E300" s="418"/>
      <c r="F300" s="418"/>
      <c r="G300" s="418"/>
      <c r="H300" s="418"/>
      <c r="I300" s="418"/>
      <c r="J300" s="418"/>
      <c r="K300" s="418"/>
      <c r="L300" s="418"/>
      <c r="M300" s="418"/>
      <c r="N300" s="418"/>
      <c r="O300" s="418"/>
      <c r="P300" s="418"/>
      <c r="Q300" s="418"/>
      <c r="R300" s="418"/>
      <c r="S300" s="418"/>
      <c r="T300" s="418"/>
      <c r="U300" s="418"/>
      <c r="V300" s="418"/>
      <c r="W300" s="418"/>
      <c r="X300" s="418"/>
      <c r="Y300" s="418"/>
      <c r="Z300" s="418"/>
      <c r="AA300" s="418"/>
      <c r="AB300" s="418"/>
      <c r="AC300" s="418"/>
      <c r="AD300" s="418"/>
      <c r="AE300" s="306"/>
      <c r="AF300" s="306"/>
      <c r="AG300" s="306"/>
      <c r="AH300" s="306"/>
      <c r="AI300" s="306"/>
      <c r="AJ300" s="306"/>
      <c r="AK300" s="306"/>
      <c r="AL300" s="306"/>
      <c r="AM300" s="306"/>
      <c r="AN300" s="306"/>
      <c r="AO300" s="306"/>
      <c r="AP300" s="306"/>
      <c r="AQ300" s="306"/>
      <c r="AR300" s="306"/>
      <c r="AS300" s="306"/>
      <c r="AT300" s="306"/>
      <c r="AU300" s="306"/>
      <c r="AV300" s="306"/>
      <c r="AW300" s="306"/>
      <c r="AX300" s="306"/>
      <c r="AY300" s="306"/>
      <c r="AZ300" s="306"/>
    </row>
  </sheetData>
  <phoneticPr fontId="64" type="noConversion"/>
  <pageMargins left="0.75" right="0.75" top="1" bottom="1" header="0.5" footer="0.5"/>
  <pageSetup paperSize="9" firstPageNumber="4294963191" orientation="portrait" horizontalDpi="1200" verticalDpi="12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90" r:id="rId3" name="Drop Down 6">
              <controlPr defaultSize="0" autoLine="0" autoPict="0">
                <anchor moveWithCells="1">
                  <from>
                    <xdr:col>1</xdr:col>
                    <xdr:colOff>9525</xdr:colOff>
                    <xdr:row>82</xdr:row>
                    <xdr:rowOff>9525</xdr:rowOff>
                  </from>
                  <to>
                    <xdr:col>1</xdr:col>
                    <xdr:colOff>1752600</xdr:colOff>
                    <xdr:row>82</xdr:row>
                    <xdr:rowOff>200025</xdr:rowOff>
                  </to>
                </anchor>
              </controlPr>
            </control>
          </mc:Choice>
        </mc:AlternateContent>
        <mc:AlternateContent xmlns:mc="http://schemas.openxmlformats.org/markup-compatibility/2006">
          <mc:Choice Requires="x14">
            <control shapeId="16392" r:id="rId4" name="Drop Down 8">
              <controlPr defaultSize="0" autoLine="0" autoPict="0">
                <anchor moveWithCells="1">
                  <from>
                    <xdr:col>1</xdr:col>
                    <xdr:colOff>9525</xdr:colOff>
                    <xdr:row>83</xdr:row>
                    <xdr:rowOff>0</xdr:rowOff>
                  </from>
                  <to>
                    <xdr:col>1</xdr:col>
                    <xdr:colOff>1752600</xdr:colOff>
                    <xdr:row>83</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emplate/>
  <TotalTime>157255200</TotalTime>
  <Pages>0</Pages>
  <Words>0</Words>
  <Characters>0</Characters>
  <Application>Microsoft Excel</Application>
  <DocSecurity>0</DocSecurity>
  <PresentationFormat/>
  <Lines>0</Lines>
  <Paragraphs>0</Paragraphs>
  <Slides>0</Slides>
  <Notes>0</Notes>
  <HiddenSlides>0</HiddenSlides>
  <MMClips>0</MMClips>
  <ScaleCrop>false</ScaleCrop>
  <HeadingPairs>
    <vt:vector size="4" baseType="variant">
      <vt:variant>
        <vt:lpstr>工作表</vt:lpstr>
      </vt:variant>
      <vt:variant>
        <vt:i4>19</vt:i4>
      </vt:variant>
      <vt:variant>
        <vt:lpstr>命名范围</vt:lpstr>
      </vt:variant>
      <vt:variant>
        <vt:i4>10</vt:i4>
      </vt:variant>
    </vt:vector>
  </HeadingPairs>
  <TitlesOfParts>
    <vt:vector size="29" baseType="lpstr">
      <vt:lpstr>模型说明</vt:lpstr>
      <vt:lpstr>公司说明</vt:lpstr>
      <vt:lpstr>Financial summary</vt:lpstr>
      <vt:lpstr>财务摘要</vt:lpstr>
      <vt:lpstr>财务分析</vt:lpstr>
      <vt:lpstr>预测汇总.shadow</vt:lpstr>
      <vt:lpstr>SYSDATA</vt:lpstr>
      <vt:lpstr>收入拆分</vt:lpstr>
      <vt:lpstr>利润表</vt:lpstr>
      <vt:lpstr>CAPEX</vt:lpstr>
      <vt:lpstr>资产负债</vt:lpstr>
      <vt:lpstr>现金流量</vt:lpstr>
      <vt:lpstr>复杂FCFF</vt:lpstr>
      <vt:lpstr>DDM</vt:lpstr>
      <vt:lpstr>资金成本</vt:lpstr>
      <vt:lpstr>可比公司分析</vt:lpstr>
      <vt:lpstr>预测汇总</vt:lpstr>
      <vt:lpstr>子公司</vt:lpstr>
      <vt:lpstr>季报分析</vt:lpstr>
      <vt:lpstr>cellVersion</vt:lpstr>
      <vt:lpstr>cellYear2d</vt:lpstr>
      <vt:lpstr>cellYears1c</vt:lpstr>
      <vt:lpstr>cellYears21</vt:lpstr>
      <vt:lpstr>cellYears21b</vt:lpstr>
      <vt:lpstr>cellYears22</vt:lpstr>
      <vt:lpstr>cellYears22b</vt:lpstr>
      <vt:lpstr>cellYears2c</vt:lpstr>
      <vt:lpstr>cellYears2cOLD</vt:lpstr>
      <vt:lpstr>cellYears2dOLD</vt:lpstr>
    </vt:vector>
  </TitlesOfParts>
  <Company>sywg</Company>
  <LinksUpToDate>false</LinksUpToDate>
  <CharactersWithSpaces>0</CharactersWithSpaces>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chenl</dc:creator>
  <cp:lastModifiedBy>郭德培</cp:lastModifiedBy>
  <cp:revision/>
  <cp:lastPrinted>2018-06-25T07:36:21Z</cp:lastPrinted>
  <dcterms:created xsi:type="dcterms:W3CDTF">2004-04-01T03:06:28Z</dcterms:created>
  <dcterms:modified xsi:type="dcterms:W3CDTF">2020-04-10T06:39:03Z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2052-6.6.0.2877</vt:lpwstr>
  </property>
</Properties>
</file>