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3"/>
  </bookViews>
  <sheets>
    <sheet name="未整理原素材" sheetId="1" r:id="rId1"/>
    <sheet name="第一步-人工阅读" sheetId="2" r:id="rId2"/>
    <sheet name="第二步-检查JSON" sheetId="4" r:id="rId3"/>
    <sheet name="第三步-术语检查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<sst xmlns="http://schemas.openxmlformats.org/spreadsheetml/2006/main" count="1597" uniqueCount="579">
  <si>
    <t>序号</t>
  </si>
  <si>
    <t>term</t>
  </si>
  <si>
    <t>中文名字</t>
  </si>
  <si>
    <t>X</t>
  </si>
  <si>
    <t>maj7#5sus4</t>
  </si>
  <si>
    <t>大七升五挂四</t>
  </si>
  <si>
    <t>dom7#5sus4</t>
  </si>
  <si>
    <t>属七升五挂四</t>
  </si>
  <si>
    <t>sus4</t>
  </si>
  <si>
    <t>挂四</t>
  </si>
  <si>
    <t>maj7sus4</t>
  </si>
  <si>
    <t>大七挂四</t>
  </si>
  <si>
    <t>dom7sus4</t>
  </si>
  <si>
    <t>属七挂四</t>
  </si>
  <si>
    <t>aug3</t>
  </si>
  <si>
    <t>增三</t>
  </si>
  <si>
    <t>maj7b6</t>
  </si>
  <si>
    <t>大七降六</t>
  </si>
  <si>
    <t>maj7#5</t>
  </si>
  <si>
    <t>大七升五</t>
  </si>
  <si>
    <t>aug7</t>
  </si>
  <si>
    <t>增七</t>
  </si>
  <si>
    <t>dom7b13</t>
  </si>
  <si>
    <t>属七降十三</t>
  </si>
  <si>
    <t>maj3</t>
  </si>
  <si>
    <t>大三</t>
  </si>
  <si>
    <t>maj7</t>
  </si>
  <si>
    <t>大七</t>
  </si>
  <si>
    <t>dom7</t>
  </si>
  <si>
    <t>属七</t>
  </si>
  <si>
    <t>maj6</t>
  </si>
  <si>
    <t>大六</t>
  </si>
  <si>
    <t>dom7add13</t>
  </si>
  <si>
    <t>属七加十三音</t>
  </si>
  <si>
    <t>dom7b6</t>
  </si>
  <si>
    <t>属七降六</t>
  </si>
  <si>
    <t>maj3b5</t>
  </si>
  <si>
    <t>大三降五</t>
  </si>
  <si>
    <t>maj7b5</t>
  </si>
  <si>
    <t>大七降五</t>
  </si>
  <si>
    <t>dom7b5</t>
  </si>
  <si>
    <t>属七降五</t>
  </si>
  <si>
    <t>maj7#11</t>
  </si>
  <si>
    <t>大七升十一</t>
  </si>
  <si>
    <t>dom7#11</t>
  </si>
  <si>
    <t>属七升十一</t>
  </si>
  <si>
    <t>maj6#11</t>
  </si>
  <si>
    <t>大六升十一</t>
  </si>
  <si>
    <t>dom7b5b13</t>
  </si>
  <si>
    <t>属七降五降十三</t>
  </si>
  <si>
    <t>min3#5</t>
  </si>
  <si>
    <t>小三升五</t>
  </si>
  <si>
    <t>min7#5</t>
  </si>
  <si>
    <t>小七升五</t>
  </si>
  <si>
    <t>min3</t>
  </si>
  <si>
    <t>小三</t>
  </si>
  <si>
    <t>mm7</t>
  </si>
  <si>
    <t>小大七</t>
  </si>
  <si>
    <t>min7</t>
  </si>
  <si>
    <t>小七</t>
  </si>
  <si>
    <t>min6</t>
  </si>
  <si>
    <t>小六</t>
  </si>
  <si>
    <t>mm7b6</t>
  </si>
  <si>
    <t>小大七降六</t>
  </si>
  <si>
    <t>dim3</t>
  </si>
  <si>
    <t>减三</t>
  </si>
  <si>
    <t>dimmaj7</t>
  </si>
  <si>
    <t>减大七</t>
  </si>
  <si>
    <t>halfdim7</t>
  </si>
  <si>
    <t>半减七</t>
  </si>
  <si>
    <t>dim7</t>
  </si>
  <si>
    <t>减七</t>
  </si>
  <si>
    <t>min3add11</t>
  </si>
  <si>
    <t>小三加十一音</t>
  </si>
  <si>
    <t>min7add11</t>
  </si>
  <si>
    <t>小七加十一音</t>
  </si>
  <si>
    <t>aug3#9</t>
  </si>
  <si>
    <t>增三升九</t>
  </si>
  <si>
    <t>dom7alt</t>
  </si>
  <si>
    <t>属七变化</t>
  </si>
  <si>
    <t>dom7#9</t>
  </si>
  <si>
    <t>属七升九</t>
  </si>
  <si>
    <t>dom13#9</t>
  </si>
  <si>
    <t>属十三升九</t>
  </si>
  <si>
    <t>dom7#9b13</t>
  </si>
  <si>
    <t>属七升九降十三</t>
  </si>
  <si>
    <t>大七升九升十一</t>
  </si>
  <si>
    <t>dom7#9#11</t>
  </si>
  <si>
    <t>属七升九升十一</t>
  </si>
  <si>
    <t>dom13#9#11</t>
  </si>
  <si>
    <t>属十三升九升十一</t>
  </si>
  <si>
    <t>dom7#9#11b13</t>
  </si>
  <si>
    <t>属七升九升十一降十三</t>
  </si>
  <si>
    <t>sus2</t>
  </si>
  <si>
    <t>挂二</t>
  </si>
  <si>
    <t>maj9#5sus4</t>
  </si>
  <si>
    <t>大九升五挂四</t>
  </si>
  <si>
    <t>sus4add9</t>
  </si>
  <si>
    <t>挂四加九音</t>
  </si>
  <si>
    <t>maj9sus4</t>
  </si>
  <si>
    <t>大九挂四</t>
  </si>
  <si>
    <t>dom11</t>
  </si>
  <si>
    <t>属十一</t>
  </si>
  <si>
    <t>dom9sus4</t>
  </si>
  <si>
    <t>属九挂四</t>
  </si>
  <si>
    <t>dom13sus4</t>
  </si>
  <si>
    <t>属十三挂四</t>
  </si>
  <si>
    <t>dom9omit5</t>
  </si>
  <si>
    <t>属九省略五音</t>
  </si>
  <si>
    <t>dom13omit5</t>
  </si>
  <si>
    <t>属十三省略五音</t>
  </si>
  <si>
    <t>aug3add9</t>
  </si>
  <si>
    <t>增三加九音</t>
  </si>
  <si>
    <t>maj9#5</t>
  </si>
  <si>
    <t>大九升五</t>
  </si>
  <si>
    <t>dom9#5</t>
  </si>
  <si>
    <t>属九升五</t>
  </si>
  <si>
    <t>dom9b13</t>
  </si>
  <si>
    <t>属九降十三</t>
  </si>
  <si>
    <t>maj3add9</t>
  </si>
  <si>
    <t>大三加九音</t>
  </si>
  <si>
    <t>maj9</t>
  </si>
  <si>
    <t>大九</t>
  </si>
  <si>
    <t>dom9</t>
  </si>
  <si>
    <t>属九</t>
  </si>
  <si>
    <t>maj69</t>
  </si>
  <si>
    <t>六九</t>
  </si>
  <si>
    <t>maj13</t>
  </si>
  <si>
    <t>大十三</t>
  </si>
  <si>
    <t>maj7add13</t>
  </si>
  <si>
    <t>大七加十三音</t>
  </si>
  <si>
    <t>dom13</t>
  </si>
  <si>
    <t>属十三</t>
  </si>
  <si>
    <t>maj9b5</t>
  </si>
  <si>
    <t>大九降五</t>
  </si>
  <si>
    <t>dom9b5</t>
  </si>
  <si>
    <t>属九降五</t>
  </si>
  <si>
    <t>dom13b5</t>
  </si>
  <si>
    <t>属十三降五</t>
  </si>
  <si>
    <t>dom9#5#11</t>
  </si>
  <si>
    <t>属九升五升十一</t>
  </si>
  <si>
    <t>maj9#11</t>
  </si>
  <si>
    <t>大九升十一</t>
  </si>
  <si>
    <t>dom9#11</t>
  </si>
  <si>
    <t>属九升十一</t>
  </si>
  <si>
    <t>maj69#11</t>
  </si>
  <si>
    <t>六九升十一</t>
  </si>
  <si>
    <t>maj13#11</t>
  </si>
  <si>
    <t>大十三升十一</t>
  </si>
  <si>
    <t>dom13#11</t>
  </si>
  <si>
    <t>属十三升十一</t>
  </si>
  <si>
    <t>dom9#11b13</t>
  </si>
  <si>
    <t>属九升十一降十三</t>
  </si>
  <si>
    <t>min9#5</t>
  </si>
  <si>
    <t>小九升五</t>
  </si>
  <si>
    <t>min3add9</t>
  </si>
  <si>
    <t>小三加九音</t>
  </si>
  <si>
    <t>mm9</t>
  </si>
  <si>
    <t>小大九</t>
  </si>
  <si>
    <t>min9</t>
  </si>
  <si>
    <t>小九</t>
  </si>
  <si>
    <t>min69</t>
  </si>
  <si>
    <t>小六九</t>
  </si>
  <si>
    <t>min13</t>
  </si>
  <si>
    <t>小十三</t>
  </si>
  <si>
    <t>mm9b6</t>
  </si>
  <si>
    <t>小大九降六</t>
  </si>
  <si>
    <t>min9b5</t>
  </si>
  <si>
    <t>小九降五</t>
  </si>
  <si>
    <t>min11#5</t>
  </si>
  <si>
    <t>小十一升五</t>
  </si>
  <si>
    <t>min11</t>
  </si>
  <si>
    <t>小十一</t>
  </si>
  <si>
    <t>dom7b9sus4</t>
  </si>
  <si>
    <t>属七降九挂四</t>
  </si>
  <si>
    <t>dom11b9</t>
  </si>
  <si>
    <t>属十一降九</t>
  </si>
  <si>
    <t>dom7b9b13sus4</t>
  </si>
  <si>
    <t>属七降九降十三挂四</t>
  </si>
  <si>
    <t>dom7b9</t>
  </si>
  <si>
    <t>属七降九</t>
  </si>
  <si>
    <t>dom7#5b9</t>
  </si>
  <si>
    <t>属七升五降九</t>
  </si>
  <si>
    <t>maj3b9</t>
  </si>
  <si>
    <t>大三降九</t>
  </si>
  <si>
    <t>maj7b9</t>
  </si>
  <si>
    <t>大七降九</t>
  </si>
  <si>
    <t>dom13b9</t>
  </si>
  <si>
    <t>属十三降九</t>
  </si>
  <si>
    <t>dom7b9b13</t>
  </si>
  <si>
    <t>属七降九降十三</t>
  </si>
  <si>
    <t>dom7#5b9#11</t>
  </si>
  <si>
    <t>属七升五降九升十一</t>
  </si>
  <si>
    <t>dom7b9#11</t>
  </si>
  <si>
    <t>属七降九升十一</t>
  </si>
  <si>
    <t>dom13b9#11</t>
  </si>
  <si>
    <t>属十三降九升十一</t>
  </si>
  <si>
    <t>种类</t>
  </si>
  <si>
    <t>type</t>
  </si>
  <si>
    <t>cnName</t>
  </si>
  <si>
    <t>chordKey</t>
  </si>
  <si>
    <t>scoreDisplay</t>
  </si>
  <si>
    <t>intervals</t>
  </si>
  <si>
    <t>notesNum</t>
  </si>
  <si>
    <t>三和弦</t>
  </si>
  <si>
    <t>chord3</t>
  </si>
  <si>
    <t>M3,P5</t>
  </si>
  <si>
    <t>m</t>
  </si>
  <si>
    <t>m3,P5</t>
  </si>
  <si>
    <t>+</t>
  </si>
  <si>
    <t>m3,d5</t>
  </si>
  <si>
    <t>°</t>
  </si>
  <si>
    <t>M3,A5</t>
  </si>
  <si>
    <t>大三减五</t>
  </si>
  <si>
    <t>M3,d5</t>
  </si>
  <si>
    <t>加音和弦</t>
  </si>
  <si>
    <t>add</t>
  </si>
  <si>
    <t>大六（大三加十三音）</t>
  </si>
  <si>
    <t>maj3add6</t>
  </si>
  <si>
    <t>M3,P5,M6</t>
  </si>
  <si>
    <t>小六（小三加十三音）</t>
  </si>
  <si>
    <t>min3add6</t>
  </si>
  <si>
    <t>m6</t>
  </si>
  <si>
    <t>m3,P5,M6</t>
  </si>
  <si>
    <t>maj3add6add9</t>
  </si>
  <si>
    <t>6/9</t>
  </si>
  <si>
    <t>M3,P5,M6,M9</t>
  </si>
  <si>
    <t>min3add6add9</t>
  </si>
  <si>
    <t>m6/9</t>
  </si>
  <si>
    <t>m3,P5,M6,M9</t>
  </si>
  <si>
    <t>大三加九音（二音）</t>
  </si>
  <si>
    <t>add9</t>
  </si>
  <si>
    <t>M3,P5,M9</t>
  </si>
  <si>
    <t>大三加十一音（四音）</t>
  </si>
  <si>
    <t>maj3add11</t>
  </si>
  <si>
    <t>add11</t>
  </si>
  <si>
    <t>M3,P5,P11</t>
  </si>
  <si>
    <t>小三加九音（二音）</t>
  </si>
  <si>
    <t>madd9</t>
  </si>
  <si>
    <t>m3,P5,M9</t>
  </si>
  <si>
    <t>小三加十一音（四音）</t>
  </si>
  <si>
    <t>madd11</t>
  </si>
  <si>
    <t>m3,P5,P11</t>
  </si>
  <si>
    <t>大七加十一音（四音）</t>
  </si>
  <si>
    <t>maj7add11</t>
  </si>
  <si>
    <t>M7add11</t>
  </si>
  <si>
    <t>M3,P5,M7,P11</t>
  </si>
  <si>
    <t>属七加六音</t>
  </si>
  <si>
    <t>dom7add6</t>
  </si>
  <si>
    <t>7/6</t>
  </si>
  <si>
    <t>M3,P5,M6,m7</t>
  </si>
  <si>
    <t>增六和弦</t>
  </si>
  <si>
    <t>aug6</t>
  </si>
  <si>
    <t>意大利增六</t>
  </si>
  <si>
    <t>itaug6</t>
  </si>
  <si>
    <t>It+6</t>
  </si>
  <si>
    <t>A4,m6</t>
  </si>
  <si>
    <t>法国增六</t>
  </si>
  <si>
    <t>fraug6</t>
  </si>
  <si>
    <t>Fr+6</t>
  </si>
  <si>
    <t>M2,A4,m6</t>
  </si>
  <si>
    <t>德国增六</t>
  </si>
  <si>
    <t>graug6</t>
  </si>
  <si>
    <t>Gr+6</t>
  </si>
  <si>
    <t>m3,A4,m6</t>
  </si>
  <si>
    <t>七和弦</t>
  </si>
  <si>
    <t>chord7</t>
  </si>
  <si>
    <t>M7</t>
  </si>
  <si>
    <t>M3,P5,M7</t>
  </si>
  <si>
    <t>7</t>
  </si>
  <si>
    <t>M3,P5,m7</t>
  </si>
  <si>
    <t>m7</t>
  </si>
  <si>
    <t>m3,P5,m7</t>
  </si>
  <si>
    <t>ø</t>
  </si>
  <si>
    <t>m3,d5,m7</t>
  </si>
  <si>
    <t>°7</t>
  </si>
  <si>
    <t>m3,d5,d7</t>
  </si>
  <si>
    <t>minmaj7</t>
  </si>
  <si>
    <t>mM7</t>
  </si>
  <si>
    <t>m3,P5,M7</t>
  </si>
  <si>
    <t>增七（属七升五）</t>
  </si>
  <si>
    <t>dom7#5</t>
  </si>
  <si>
    <t>+7</t>
  </si>
  <si>
    <t>M3,A5,m7</t>
  </si>
  <si>
    <t>增大七</t>
  </si>
  <si>
    <t>augmaj7</t>
  </si>
  <si>
    <t>+M7</t>
  </si>
  <si>
    <t>M3,A5,M7</t>
  </si>
  <si>
    <t>七和弦（变音）</t>
  </si>
  <si>
    <t>chord7alt</t>
  </si>
  <si>
    <t>7b5</t>
  </si>
  <si>
    <t>M3,d5,m7</t>
  </si>
  <si>
    <t>7b9</t>
  </si>
  <si>
    <t>M3,P5,m7,m2</t>
  </si>
  <si>
    <t>7#9</t>
  </si>
  <si>
    <t>M3,P5,m7,A2</t>
  </si>
  <si>
    <t>7#11</t>
  </si>
  <si>
    <t>M3,P5,m7,A11</t>
  </si>
  <si>
    <t>7b13</t>
  </si>
  <si>
    <t>M3,P5,m7,m13</t>
  </si>
  <si>
    <t>属七降五降九</t>
  </si>
  <si>
    <t>dom7b5b9</t>
  </si>
  <si>
    <t>7b5b9</t>
  </si>
  <si>
    <t>M3,d5,m7,m9</t>
  </si>
  <si>
    <t>属七降五升九</t>
  </si>
  <si>
    <t>dom7b5#9</t>
  </si>
  <si>
    <t>7b5#9</t>
  </si>
  <si>
    <t>M3,d5,m7,A9</t>
  </si>
  <si>
    <t>M7b5</t>
  </si>
  <si>
    <t>M3,d5,M7</t>
  </si>
  <si>
    <t>大七增五</t>
  </si>
  <si>
    <t>M7#5</t>
  </si>
  <si>
    <t>M7b9</t>
  </si>
  <si>
    <t>M3,P5,M7,m9</t>
  </si>
  <si>
    <t>大七降十三</t>
  </si>
  <si>
    <t>maj7b13</t>
  </si>
  <si>
    <t>M7b13</t>
  </si>
  <si>
    <t>M3,P5,M7,m13</t>
  </si>
  <si>
    <t>M7#11</t>
  </si>
  <si>
    <t>M3,P5,M7,A11</t>
  </si>
  <si>
    <t>m7#5</t>
  </si>
  <si>
    <t>m3,A5,m7</t>
  </si>
  <si>
    <t>小大七降五</t>
  </si>
  <si>
    <t>minmaj7b5</t>
  </si>
  <si>
    <t>mM7b5</t>
  </si>
  <si>
    <t>m3,d5,M7</t>
  </si>
  <si>
    <t>小大七升五</t>
  </si>
  <si>
    <t>minmaj7#5</t>
  </si>
  <si>
    <t>mM7#5</t>
  </si>
  <si>
    <t>m3,A5,M7</t>
  </si>
  <si>
    <t>增七降九（属七升五降九）</t>
  </si>
  <si>
    <t>+7b9</t>
  </si>
  <si>
    <t>M3,A5,m7,m9</t>
  </si>
  <si>
    <t>增七升九（属七升五升九）</t>
  </si>
  <si>
    <t>dom7#5#9</t>
  </si>
  <si>
    <t>+7#9</t>
  </si>
  <si>
    <t>M3,A5,m7,A9</t>
  </si>
  <si>
    <t>挂留和弦</t>
  </si>
  <si>
    <t>sus</t>
  </si>
  <si>
    <t>M2,P5</t>
  </si>
  <si>
    <t>P4,P5</t>
  </si>
  <si>
    <t>属七挂二</t>
  </si>
  <si>
    <t>dom7sus2</t>
  </si>
  <si>
    <t>7sus2</t>
  </si>
  <si>
    <t>M2,P5,m7</t>
  </si>
  <si>
    <t>7sus4</t>
  </si>
  <si>
    <t>P4,P5,m7</t>
  </si>
  <si>
    <t>大七挂二</t>
  </si>
  <si>
    <t>maj7sus2</t>
  </si>
  <si>
    <t>M7sus2</t>
  </si>
  <si>
    <t>M2,P5,M7</t>
  </si>
  <si>
    <t>M7sus4</t>
  </si>
  <si>
    <t>P4,P5,M7</t>
  </si>
  <si>
    <t>9sus4</t>
  </si>
  <si>
    <t>P4,P5,m7,M9</t>
  </si>
  <si>
    <t>M9sus4</t>
  </si>
  <si>
    <t>P4,P5,M7,M9</t>
  </si>
  <si>
    <t>13sus4</t>
  </si>
  <si>
    <t>P4,P5,m7,M9,M13</t>
  </si>
  <si>
    <t>大十三挂四</t>
  </si>
  <si>
    <t>maj13sus4</t>
  </si>
  <si>
    <t>M13sus4</t>
  </si>
  <si>
    <t>P4,P5,M7,M9,M13</t>
  </si>
  <si>
    <t>大十三挂二</t>
  </si>
  <si>
    <t>maj13sus2</t>
  </si>
  <si>
    <t>M13sus2</t>
  </si>
  <si>
    <t>M2,P5,M7,M13</t>
  </si>
  <si>
    <t>九和弦</t>
  </si>
  <si>
    <t>chord9</t>
  </si>
  <si>
    <t>M9</t>
  </si>
  <si>
    <t>M3,P5,M7,M9</t>
  </si>
  <si>
    <t>dom9b9</t>
  </si>
  <si>
    <t>9</t>
  </si>
  <si>
    <t>M3,P5,m7,M9</t>
  </si>
  <si>
    <t>m9</t>
  </si>
  <si>
    <t>m3,P5,m7,M9</t>
  </si>
  <si>
    <t>minmaj9</t>
  </si>
  <si>
    <t>mM9</t>
  </si>
  <si>
    <t>m3,P5,M7,M9</t>
  </si>
  <si>
    <t>增九（属九升五）</t>
  </si>
  <si>
    <t>+9</t>
  </si>
  <si>
    <t>M3,A5,m7,M9</t>
  </si>
  <si>
    <t>九和弦（变音）</t>
  </si>
  <si>
    <t>属九降九</t>
  </si>
  <si>
    <t>9b9</t>
  </si>
  <si>
    <t>M3,P5,m7,m9</t>
  </si>
  <si>
    <t>属九降十一</t>
  </si>
  <si>
    <t>dom9b11</t>
  </si>
  <si>
    <t>9b11</t>
  </si>
  <si>
    <t>M3,P5,m7,M9,d11</t>
  </si>
  <si>
    <t>9#11</t>
  </si>
  <si>
    <t>M3,P5,m7,M9,A11</t>
  </si>
  <si>
    <t>9b13</t>
  </si>
  <si>
    <t>M3,P5,m7,M9,m13</t>
  </si>
  <si>
    <t>M9b5</t>
  </si>
  <si>
    <t>M3,d5,M7,M9</t>
  </si>
  <si>
    <t>M9#5</t>
  </si>
  <si>
    <t>M3,A5,M7,M9</t>
  </si>
  <si>
    <t>M9#11</t>
  </si>
  <si>
    <t>M3,P5,M7,M9,A11</t>
  </si>
  <si>
    <t>大九降十三</t>
  </si>
  <si>
    <t>maj9b13</t>
  </si>
  <si>
    <t>M9b13</t>
  </si>
  <si>
    <t>M3,P5,M7,M9,m13</t>
  </si>
  <si>
    <t>m9b5</t>
  </si>
  <si>
    <t>m3,d5,m7,M9</t>
  </si>
  <si>
    <t>小九降九</t>
  </si>
  <si>
    <t>min9b9</t>
  </si>
  <si>
    <t>m9b9</t>
  </si>
  <si>
    <t>m3,P5,m7,m9</t>
  </si>
  <si>
    <t>十一和弦</t>
  </si>
  <si>
    <t>chord11</t>
  </si>
  <si>
    <t>大十一</t>
  </si>
  <si>
    <t>maj11</t>
  </si>
  <si>
    <t>M11</t>
  </si>
  <si>
    <t>M3,P5,M7,M9,P11</t>
  </si>
  <si>
    <t>11</t>
  </si>
  <si>
    <t>M3,P5,m7,M9,P11</t>
  </si>
  <si>
    <t>m11</t>
  </si>
  <si>
    <t>m3,P5,m7,M9,P11</t>
  </si>
  <si>
    <t>小大十一</t>
  </si>
  <si>
    <t>minmaj11</t>
  </si>
  <si>
    <t>mM11</t>
  </si>
  <si>
    <t>m3,P5,M7,M9,P11</t>
  </si>
  <si>
    <t>十一和弦（变音）</t>
  </si>
  <si>
    <t>属十一降五</t>
  </si>
  <si>
    <t>dom11b5</t>
  </si>
  <si>
    <t>11b5</t>
  </si>
  <si>
    <t>M3,d5,m7,M9,P11</t>
  </si>
  <si>
    <t>属十一升五</t>
  </si>
  <si>
    <t>dom11#5</t>
  </si>
  <si>
    <t>11#5</t>
  </si>
  <si>
    <t>M3,A5,m7,M9,P11</t>
  </si>
  <si>
    <t>11b9</t>
  </si>
  <si>
    <t>M3,P5,m7,m9,P11</t>
  </si>
  <si>
    <t>属十一升九</t>
  </si>
  <si>
    <t>dom11#9</t>
  </si>
  <si>
    <t>11#9</t>
  </si>
  <si>
    <t>M3,P5,m7,A9,P11</t>
  </si>
  <si>
    <t>属十一降十三</t>
  </si>
  <si>
    <t>dom11b13</t>
  </si>
  <si>
    <t>11b13</t>
  </si>
  <si>
    <t>M3,P5,m7,M9,P11,m13</t>
  </si>
  <si>
    <t>小十一降五</t>
  </si>
  <si>
    <t>min11b5</t>
  </si>
  <si>
    <t>m11b5</t>
  </si>
  <si>
    <t>m3,d5,m7,M9,P11</t>
  </si>
  <si>
    <t>十三和弦</t>
  </si>
  <si>
    <t>chord13</t>
  </si>
  <si>
    <t>M13</t>
  </si>
  <si>
    <t>M3,P5,M7,M9,P11,M13</t>
  </si>
  <si>
    <t>13</t>
  </si>
  <si>
    <t>M3,P5,m7,M9,P11,M13</t>
  </si>
  <si>
    <t>m13</t>
  </si>
  <si>
    <t>m3,P5,m7,M9,P11,M13</t>
  </si>
  <si>
    <t>小大十三</t>
  </si>
  <si>
    <t>minmaj13</t>
  </si>
  <si>
    <t>mM13</t>
  </si>
  <si>
    <t>m3,P5,M7,M9,P11,M13</t>
  </si>
  <si>
    <t>十三和弦（变音）</t>
  </si>
  <si>
    <t>13b5</t>
  </si>
  <si>
    <t>M3,d5,m7,M9,P11,M13</t>
  </si>
  <si>
    <t>属十三升五</t>
  </si>
  <si>
    <t>dom13#5</t>
  </si>
  <si>
    <t>13#5</t>
  </si>
  <si>
    <t>M3,A5,m7,M9,P11,M13</t>
  </si>
  <si>
    <t>13b9</t>
  </si>
  <si>
    <t>M3,P5,m7,m9,P11,M13</t>
  </si>
  <si>
    <t>13#9</t>
  </si>
  <si>
    <t>M3,P5,m7,A9,M13</t>
  </si>
  <si>
    <t>13#11</t>
  </si>
  <si>
    <t>M3,P5,m7,M9,A11,M13</t>
  </si>
  <si>
    <t>大十三降五</t>
  </si>
  <si>
    <t>maj13b5</t>
  </si>
  <si>
    <t>M13b5</t>
  </si>
  <si>
    <t>M3,d5,M7,M9,M13</t>
  </si>
  <si>
    <t>大十三升五</t>
  </si>
  <si>
    <t>maj13#5</t>
  </si>
  <si>
    <t>M13#5</t>
  </si>
  <si>
    <t>M3,A5,M7,M9,M13</t>
  </si>
  <si>
    <t>大十三降九</t>
  </si>
  <si>
    <t>maj13b9</t>
  </si>
  <si>
    <t>M13b9</t>
  </si>
  <si>
    <t>M3,P5,M7,m9,M13</t>
  </si>
  <si>
    <t>M13#11</t>
  </si>
  <si>
    <t>M3,P5,M7,M9,A11,M13</t>
  </si>
  <si>
    <t>intervalList</t>
  </si>
  <si>
    <t/>
  </si>
  <si>
    <t>[["maj",3],["p",5]]</t>
  </si>
  <si>
    <t>[["min",3],["p",5]]</t>
  </si>
  <si>
    <t>[["min",3],["dim",5]]</t>
  </si>
  <si>
    <t>[["maj",3],["aug",5]]</t>
  </si>
  <si>
    <t>[["maj",3],["dim",5]]</t>
  </si>
  <si>
    <t>[["maj",3],["p",5],["maj",6]]</t>
  </si>
  <si>
    <t>[["min",3],["p",5],["maj",6]]</t>
  </si>
  <si>
    <t>[["maj",3],["p",5],["maj",6],["maj",9]]</t>
  </si>
  <si>
    <t>[["min",3],["p",5],["maj",6],["maj",9]]</t>
  </si>
  <si>
    <t>[["maj",3],["p",5],["maj",9]]</t>
  </si>
  <si>
    <t>[["maj",3],["p",5],["p",11]]</t>
  </si>
  <si>
    <t>[["min",3],["p",5],["maj",9]]</t>
  </si>
  <si>
    <t>[["min",3],["p",5],["p",11]]</t>
  </si>
  <si>
    <t>[["maj",3],["p",5],["maj",7],["p",11]]</t>
  </si>
  <si>
    <t>[["maj",3],["p",5],["maj",6],["min",7]]</t>
  </si>
  <si>
    <t>[["aug",4],["min",6]]</t>
  </si>
  <si>
    <t>[["maj",2],["aug",4],["min",6]]</t>
  </si>
  <si>
    <t>[["min",3],["aug",4],["min",6]]</t>
  </si>
  <si>
    <t>[["maj",3],["p",5],["maj",7]]</t>
  </si>
  <si>
    <t>[["maj",3],["p",5],["min",7]]</t>
  </si>
  <si>
    <t>[["min",3],["p",5],["min",7]]</t>
  </si>
  <si>
    <t>[["min",3],["dim",5],["min",7]]</t>
  </si>
  <si>
    <t>[["min",3],["dim",5],["dim",7]]</t>
  </si>
  <si>
    <t>[["min",3],["p",5],["maj",7]]</t>
  </si>
  <si>
    <t>[["maj",3],["aug",5],["min",7]]</t>
  </si>
  <si>
    <t>[["maj",3],["aug",5],["maj",7]]</t>
  </si>
  <si>
    <t>[["maj",3],["dim",5],["min",7]]</t>
  </si>
  <si>
    <t>[["maj",3],["p",5],["min",7],["min",9]]</t>
  </si>
  <si>
    <t>[["maj",3],["p",5],["min",7],["aug",9]]</t>
  </si>
  <si>
    <t>[["maj",3],["p",5],["min",7],["aug",11]]</t>
  </si>
  <si>
    <t>[["maj",3],["p",5],["min",7],["min",13]]</t>
  </si>
  <si>
    <t>[["maj",3],["dim",5],["min",7],["min",9]]</t>
  </si>
  <si>
    <t>[["maj",3],["dim",5],["min",7],["aug",9]]</t>
  </si>
  <si>
    <t>[["maj",3],["dim",5],["maj",7]]</t>
  </si>
  <si>
    <t>[["maj",3],["p",5],["maj",7],["min",9]]</t>
  </si>
  <si>
    <t>[["maj",3],["p",5],["maj",7],["min",13]]</t>
  </si>
  <si>
    <t>[["maj",3],["p",5],["maj",7],["aug",11]]</t>
  </si>
  <si>
    <t>[["min",3],["aug",5],["min",7]]</t>
  </si>
  <si>
    <t>[["min",3],["dim",5],["maj",7]]</t>
  </si>
  <si>
    <t>[["min",3],["aug",5],["maj",7]]</t>
  </si>
  <si>
    <t>[["maj",3],["aug",5],["min",7],["min",9]]</t>
  </si>
  <si>
    <t>[["maj",3],["aug",5],["min",7],["aug",9]]</t>
  </si>
  <si>
    <t>[["maj",2],["p",5]]</t>
  </si>
  <si>
    <t>[["p",4],["p",5]]</t>
  </si>
  <si>
    <t>[["maj",2],["p",5],["min",7]]</t>
  </si>
  <si>
    <t>[["p",4],["p",5],["min",7]]</t>
  </si>
  <si>
    <t>[["maj",2],["p",5],["maj",7]]</t>
  </si>
  <si>
    <t>[["p",4],["p",5],["maj",7]]</t>
  </si>
  <si>
    <t>[["p",4],["p",5],["min",7],["maj",9]]</t>
  </si>
  <si>
    <t>[["p",4],["p",5],["maj",7],["maj",9]]</t>
  </si>
  <si>
    <t>[["p",4],["p",5],["min",7],["maj",9],["maj",13]]</t>
  </si>
  <si>
    <t>[["p",4],["p",5],["maj",7],["maj",9],["maj",13]]</t>
  </si>
  <si>
    <t>[["maj",2],["p",5],["maj",7],["maj",13]]</t>
  </si>
  <si>
    <t>[["maj",3],["p",5],["maj",7],["maj",9]]</t>
  </si>
  <si>
    <t>[["maj",3],["p",5],["min",7],["maj",9]]</t>
  </si>
  <si>
    <t>[["min",3],["p",5],["min",7],["maj",9]]</t>
  </si>
  <si>
    <t>[["min",3],["p",5],["maj",7],["maj",9]]</t>
  </si>
  <si>
    <t>[["maj",3],["aug",5],["min",7],["maj",9]]</t>
  </si>
  <si>
    <t>[["maj",3],["p",5],["min",7],["maj",9],["dim",11]]</t>
  </si>
  <si>
    <t>[["maj",3],["p",5],["min",7],["maj",9],["aug",11]]</t>
  </si>
  <si>
    <t>[["maj",3],["p",5],["min",7],["maj",9],["min",13]]</t>
  </si>
  <si>
    <t>[["maj",3],["dim",5],["maj",7],["maj",9]]</t>
  </si>
  <si>
    <t>[["maj",3],["aug",5],["maj",7],["maj",9]]</t>
  </si>
  <si>
    <t>[["maj",3],["p",5],["maj",7],["maj",9],["aug",11]]</t>
  </si>
  <si>
    <t>[["maj",3],["p",5],["maj",7],["maj",9],["min",13]]</t>
  </si>
  <si>
    <t>[["min",3],["dim",5],["min",7],["maj",9]]</t>
  </si>
  <si>
    <t>[["min",3],["p",5],["min",7],["min",9]]</t>
  </si>
  <si>
    <t>[["maj",3],["p",5],["maj",7],["maj",9],["p",11]]</t>
  </si>
  <si>
    <t>[["maj",3],["p",5],["min",7],["maj",9],["p",11]]</t>
  </si>
  <si>
    <t>[["min",3],["p",5],["min",7],["maj",9],["p",11]]</t>
  </si>
  <si>
    <t>[["min",3],["p",5],["maj",7],["maj",9],["p",11]]</t>
  </si>
  <si>
    <t>[["maj",3],["dim",5],["min",7],["maj",9],["p",11]]</t>
  </si>
  <si>
    <t>[["maj",3],["aug",5],["min",7],["maj",9],["p",11]]</t>
  </si>
  <si>
    <t>[["maj",3],["p",5],["min",7],["min",9],["p",11]]</t>
  </si>
  <si>
    <t>[["maj",3],["p",5],["min",7],["aug",9],["p",11]]</t>
  </si>
  <si>
    <t>[["maj",3],["p",5],["min",7],["maj",9],["p",11],["min",13]]</t>
  </si>
  <si>
    <t>[["min",3],["dim",5],["min",7],["maj",9],["p",11]]</t>
  </si>
  <si>
    <t>[["maj",3],["p",5],["maj",7],["maj",9],["p",11],["maj",13]]</t>
  </si>
  <si>
    <t>[["maj",3],["p",5],["min",7],["maj",9],["p",11],["maj",13]]</t>
  </si>
  <si>
    <t>[["min",3],["p",5],["min",7],["maj",9],["p",11],["maj",13]]</t>
  </si>
  <si>
    <t>[["min",3],["p",5],["maj",7],["maj",9],["p",11],["maj",13]]</t>
  </si>
  <si>
    <t>[["maj",3],["dim",5],["min",7],["maj",9],["p",11],["maj",13]]</t>
  </si>
  <si>
    <t>[["maj",3],["aug",5],["min",7],["maj",9],["p",11],["maj",13]]</t>
  </si>
  <si>
    <t>[["maj",3],["p",5],["min",7],["min",9],["p",11],["maj",13]]</t>
  </si>
  <si>
    <t>[["maj",3],["p",5],["min",7],["aug",9],["maj",13]]</t>
  </si>
  <si>
    <t>[["maj",3],["p",5],["min",7],["maj",9],["aug",11],["maj",13]]</t>
  </si>
  <si>
    <t>[["maj",3],["dim",5],["maj",7],["maj",9],["maj",13]]</t>
  </si>
  <si>
    <t>[["maj",3],["aug",5],["maj",7],["maj",9],["maj",13]]</t>
  </si>
  <si>
    <t>[["maj",3],["p",5],["maj",7],["min",9],["maj",13]]</t>
  </si>
  <si>
    <t>[["maj",3],["p",5],["maj",7],["maj",9],["aug",11],["maj",13]]</t>
  </si>
  <si>
    <t>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</si>
</sst>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iSans Normal"/>
      <charset val="134"/>
    </font>
    <font>
      <sz val="11"/>
      <color theme="1"/>
      <name val="MiSans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zoomScale="148" zoomScaleNormal="148" topLeftCell="A29" workbookViewId="0">
      <selection activeCell="E106" sqref="E106"/>
    </sheetView>
  </sheetViews>
  <sheetFormatPr defaultColWidth="9.23333333333333" defaultRowHeight="13.5" outlineLevelCol="6"/>
  <cols>
    <col min="2" max="2" width="21" style="3" customWidth="1"/>
    <col min="3" max="3" width="25.225" style="3" customWidth="1"/>
    <col min="4" max="4" width="37.2416666666667" customWidth="1"/>
    <col min="5" max="5" width="30.425" customWidth="1"/>
    <col min="6" max="6" width="27.7083333333333" customWidth="1"/>
    <col min="7" max="7" width="22.2666666666667" customWidth="1"/>
  </cols>
  <sheetData>
    <row r="1" ht="14.25" spans="1:7">
      <c r="A1" s="4" t="s">
        <v>0</v>
      </c>
      <c r="B1" s="5" t="s">
        <v>1</v>
      </c>
      <c r="C1" s="5" t="s">
        <v>2</v>
      </c>
      <c r="D1" s="4" t="str">
        <f>"和弦类型标识"</f>
        <v>和弦类型标识</v>
      </c>
      <c r="E1" s="4" t="str">
        <f>"音程"</f>
        <v>音程</v>
      </c>
      <c r="F1" s="4" t="str">
        <f>"和弦类型"</f>
        <v>和弦类型</v>
      </c>
      <c r="G1" s="4" t="str">
        <f>"音程结构"</f>
        <v>音程结构</v>
      </c>
    </row>
    <row r="2" ht="14.25" spans="1:7">
      <c r="A2" s="4">
        <v>1</v>
      </c>
      <c r="B2" s="5" t="s">
        <v>3</v>
      </c>
      <c r="C2" s="5"/>
      <c r="D2" s="4" t="str">
        <f>"5"</f>
        <v>5</v>
      </c>
      <c r="E2" s="4" t="str">
        <f>"5P"</f>
        <v>5P</v>
      </c>
      <c r="F2" s="4" t="str">
        <f>"fifth"</f>
        <v>fifth</v>
      </c>
      <c r="G2" s="4" t="str">
        <f t="shared" ref="G2:G7" si="0">"Unknown"</f>
        <v>Unknown</v>
      </c>
    </row>
    <row r="3" ht="14.25" spans="1:7">
      <c r="A3" s="4">
        <v>2</v>
      </c>
      <c r="B3" s="5" t="s">
        <v>4</v>
      </c>
      <c r="C3" s="5" t="s">
        <v>5</v>
      </c>
      <c r="D3" s="4" t="str">
        <f>"M7#5sus4"</f>
        <v>M7#5sus4</v>
      </c>
      <c r="E3" s="4" t="str">
        <f>"4P,5A,7M"</f>
        <v>4P,5A,7M</v>
      </c>
      <c r="F3" s="4" t="str">
        <f t="shared" ref="F3:F6" si="1">""</f>
        <v/>
      </c>
      <c r="G3" s="4" t="str">
        <f>"Augmented"</f>
        <v>Augmented</v>
      </c>
    </row>
    <row r="4" ht="14.25" spans="1:7">
      <c r="A4" s="4">
        <v>3</v>
      </c>
      <c r="B4" s="5" t="s">
        <v>6</v>
      </c>
      <c r="C4" s="5" t="s">
        <v>7</v>
      </c>
      <c r="D4" s="4" t="str">
        <f>"7#5sus4"</f>
        <v>7#5sus4</v>
      </c>
      <c r="E4" s="4" t="str">
        <f>"4P,5A,7m"</f>
        <v>4P,5A,7m</v>
      </c>
      <c r="F4" s="4" t="str">
        <f t="shared" si="1"/>
        <v/>
      </c>
      <c r="G4" s="4" t="str">
        <f>"Augmented"</f>
        <v>Augmented</v>
      </c>
    </row>
    <row r="5" ht="14.25" spans="1:7">
      <c r="A5" s="4">
        <v>4</v>
      </c>
      <c r="B5" s="5" t="s">
        <v>8</v>
      </c>
      <c r="C5" s="5" t="s">
        <v>9</v>
      </c>
      <c r="D5" s="4" t="str">
        <f>"sus4,sus"</f>
        <v>sus4,sus</v>
      </c>
      <c r="E5" s="4" t="str">
        <f>"4P,5P"</f>
        <v>4P,5P</v>
      </c>
      <c r="F5" s="4" t="str">
        <f>"suspended fourth"</f>
        <v>suspended fourth</v>
      </c>
      <c r="G5" s="4" t="str">
        <f t="shared" si="0"/>
        <v>Unknown</v>
      </c>
    </row>
    <row r="6" ht="14.25" spans="1:7">
      <c r="A6" s="4">
        <v>5</v>
      </c>
      <c r="B6" s="5" t="s">
        <v>10</v>
      </c>
      <c r="C6" s="5" t="s">
        <v>11</v>
      </c>
      <c r="D6" s="4" t="str">
        <f>"M7sus4"</f>
        <v>M7sus4</v>
      </c>
      <c r="E6" s="4" t="str">
        <f>"4P,5P,7M"</f>
        <v>4P,5P,7M</v>
      </c>
      <c r="F6" s="4" t="str">
        <f t="shared" si="1"/>
        <v/>
      </c>
      <c r="G6" s="4" t="str">
        <f t="shared" si="0"/>
        <v>Unknown</v>
      </c>
    </row>
    <row r="7" ht="14.25" spans="1:7">
      <c r="A7" s="4">
        <v>6</v>
      </c>
      <c r="B7" s="5" t="s">
        <v>12</v>
      </c>
      <c r="C7" s="5" t="s">
        <v>13</v>
      </c>
      <c r="D7" s="4" t="str">
        <f>"7sus4,7sus"</f>
        <v>7sus4,7sus</v>
      </c>
      <c r="E7" s="4" t="str">
        <f>"4P,5P,7m"</f>
        <v>4P,5P,7m</v>
      </c>
      <c r="F7" s="4" t="str">
        <f>"suspended fourth seventh"</f>
        <v>suspended fourth seventh</v>
      </c>
      <c r="G7" s="4" t="str">
        <f t="shared" si="0"/>
        <v>Unknown</v>
      </c>
    </row>
    <row r="8" ht="14.25" spans="1:7">
      <c r="A8" s="4">
        <v>7</v>
      </c>
      <c r="B8" s="5" t="s">
        <v>3</v>
      </c>
      <c r="C8" s="5"/>
      <c r="D8" s="4" t="str">
        <f>"7no5"</f>
        <v>7no5</v>
      </c>
      <c r="E8" s="4" t="str">
        <f>"3M,7m"</f>
        <v>3M,7m</v>
      </c>
      <c r="F8" s="4" t="str">
        <f t="shared" ref="F8:F13" si="2">""</f>
        <v/>
      </c>
      <c r="G8" s="4" t="str">
        <f t="shared" ref="G8:G26" si="3">"Major"</f>
        <v>Major</v>
      </c>
    </row>
    <row r="9" ht="14.25" spans="1:7">
      <c r="A9" s="4">
        <v>8</v>
      </c>
      <c r="B9" s="5" t="s">
        <v>14</v>
      </c>
      <c r="C9" s="5" t="s">
        <v>15</v>
      </c>
      <c r="D9" s="4" t="str">
        <f>"aug,+,+5,^#5"</f>
        <v>aug,+,+5,^#5</v>
      </c>
      <c r="E9" s="4" t="str">
        <f>"3M,5A"</f>
        <v>3M,5A</v>
      </c>
      <c r="F9" s="4" t="str">
        <f>"augmented"</f>
        <v>augmented</v>
      </c>
      <c r="G9" s="4" t="str">
        <f t="shared" ref="G9:G12" si="4">"Augmented"</f>
        <v>Augmented</v>
      </c>
    </row>
    <row r="10" ht="14.25" spans="1:7">
      <c r="A10" s="4">
        <v>9</v>
      </c>
      <c r="B10" s="5" t="s">
        <v>16</v>
      </c>
      <c r="C10" s="5" t="s">
        <v>17</v>
      </c>
      <c r="D10" s="4" t="str">
        <f>"M7b6,^7b6"</f>
        <v>M7b6,^7b6</v>
      </c>
      <c r="E10" s="4" t="str">
        <f>"3M,6m,7M"</f>
        <v>3M,6m,7M</v>
      </c>
      <c r="F10" s="4" t="str">
        <f>"major seventh flat sixth"</f>
        <v>major seventh flat sixth</v>
      </c>
      <c r="G10" s="4" t="str">
        <f t="shared" si="3"/>
        <v>Major</v>
      </c>
    </row>
    <row r="11" ht="14.25" spans="1:7">
      <c r="A11" s="4">
        <v>10</v>
      </c>
      <c r="B11" s="5" t="s">
        <v>18</v>
      </c>
      <c r="C11" s="5" t="s">
        <v>19</v>
      </c>
      <c r="D11" s="4" t="str">
        <f>"maj7#5,maj7+5,+maj7,^7#5"</f>
        <v>maj7#5,maj7+5,+maj7,^7#5</v>
      </c>
      <c r="E11" s="4" t="str">
        <f>"3M,5A,7M"</f>
        <v>3M,5A,7M</v>
      </c>
      <c r="F11" s="4" t="str">
        <f>"augmented seventh"</f>
        <v>augmented seventh</v>
      </c>
      <c r="G11" s="4" t="str">
        <f t="shared" si="4"/>
        <v>Augmented</v>
      </c>
    </row>
    <row r="12" ht="14.25" spans="1:7">
      <c r="A12" s="4">
        <v>11</v>
      </c>
      <c r="B12" s="5" t="s">
        <v>20</v>
      </c>
      <c r="C12" s="5" t="s">
        <v>21</v>
      </c>
      <c r="D12" s="4" t="str">
        <f>"7#5,+7,7+,7aug,aug7"</f>
        <v>7#5,+7,7+,7aug,aug7</v>
      </c>
      <c r="E12" s="4" t="str">
        <f>"3M,5A,7m"</f>
        <v>3M,5A,7m</v>
      </c>
      <c r="F12" s="4" t="str">
        <f t="shared" si="2"/>
        <v/>
      </c>
      <c r="G12" s="4" t="str">
        <f t="shared" si="4"/>
        <v>Augmented</v>
      </c>
    </row>
    <row r="13" ht="14.25" spans="1:7">
      <c r="A13" s="4">
        <v>12</v>
      </c>
      <c r="B13" s="5" t="s">
        <v>22</v>
      </c>
      <c r="C13" s="5" t="s">
        <v>23</v>
      </c>
      <c r="D13" s="4" t="str">
        <f>"7b13"</f>
        <v>7b13</v>
      </c>
      <c r="E13" s="4" t="str">
        <f>"3M,7m,13m"</f>
        <v>3M,7m,13m</v>
      </c>
      <c r="F13" s="4" t="str">
        <f t="shared" si="2"/>
        <v/>
      </c>
      <c r="G13" s="4" t="str">
        <f t="shared" si="3"/>
        <v>Major</v>
      </c>
    </row>
    <row r="14" ht="14.25" spans="1:7">
      <c r="A14" s="4">
        <v>13</v>
      </c>
      <c r="B14" s="5" t="s">
        <v>24</v>
      </c>
      <c r="C14" s="5" t="s">
        <v>25</v>
      </c>
      <c r="D14" s="4" t="str">
        <f>"M,^,"</f>
        <v>M,^,</v>
      </c>
      <c r="E14" s="4" t="str">
        <f>"3M,5P"</f>
        <v>3M,5P</v>
      </c>
      <c r="F14" s="4" t="str">
        <f>"major"</f>
        <v>major</v>
      </c>
      <c r="G14" s="4" t="str">
        <f t="shared" si="3"/>
        <v>Major</v>
      </c>
    </row>
    <row r="15" ht="14.25" spans="1:7">
      <c r="A15" s="4">
        <v>14</v>
      </c>
      <c r="B15" s="5" t="s">
        <v>26</v>
      </c>
      <c r="C15" s="5" t="s">
        <v>27</v>
      </c>
      <c r="D15" s="4" t="str">
        <f>"maj7,Δ,ma7,M7,Maj7,^7"</f>
        <v>maj7,Δ,ma7,M7,Maj7,^7</v>
      </c>
      <c r="E15" s="4" t="str">
        <f>"3M,5P,7M"</f>
        <v>3M,5P,7M</v>
      </c>
      <c r="F15" s="4" t="str">
        <f>"major seventh"</f>
        <v>major seventh</v>
      </c>
      <c r="G15" s="4" t="str">
        <f t="shared" si="3"/>
        <v>Major</v>
      </c>
    </row>
    <row r="16" ht="14.25" spans="1:7">
      <c r="A16" s="4">
        <v>15</v>
      </c>
      <c r="B16" s="5" t="s">
        <v>28</v>
      </c>
      <c r="C16" s="5" t="s">
        <v>29</v>
      </c>
      <c r="D16" s="4" t="str">
        <f>"7,dom"</f>
        <v>7,dom</v>
      </c>
      <c r="E16" s="4" t="str">
        <f>"3M,5P,7m"</f>
        <v>3M,5P,7m</v>
      </c>
      <c r="F16" s="4" t="str">
        <f>"dominant seventh"</f>
        <v>dominant seventh</v>
      </c>
      <c r="G16" s="4" t="str">
        <f t="shared" si="3"/>
        <v>Major</v>
      </c>
    </row>
    <row r="17" ht="14.25" spans="1:7">
      <c r="A17" s="4">
        <v>16</v>
      </c>
      <c r="B17" s="5" t="s">
        <v>30</v>
      </c>
      <c r="C17" s="5" t="s">
        <v>31</v>
      </c>
      <c r="D17" s="4" t="str">
        <f>"6,add6,add13,M6"</f>
        <v>6,add6,add13,M6</v>
      </c>
      <c r="E17" s="4" t="str">
        <f>"3M,5P,6M"</f>
        <v>3M,5P,6M</v>
      </c>
      <c r="F17" s="4" t="str">
        <f>"sixth"</f>
        <v>sixth</v>
      </c>
      <c r="G17" s="4" t="str">
        <f t="shared" si="3"/>
        <v>Major</v>
      </c>
    </row>
    <row r="18" ht="14.25" spans="1:7">
      <c r="A18" s="4">
        <v>17</v>
      </c>
      <c r="B18" s="5" t="s">
        <v>32</v>
      </c>
      <c r="C18" s="5" t="s">
        <v>33</v>
      </c>
      <c r="D18" s="4" t="str">
        <f>"7add6,67,7add13"</f>
        <v>7add6,67,7add13</v>
      </c>
      <c r="E18" s="4" t="str">
        <f>"3M,5P,7m,13M"</f>
        <v>3M,5P,7m,13M</v>
      </c>
      <c r="F18" s="4" t="str">
        <f t="shared" ref="F18:F22" si="5">""</f>
        <v/>
      </c>
      <c r="G18" s="4" t="str">
        <f t="shared" si="3"/>
        <v>Major</v>
      </c>
    </row>
    <row r="19" ht="14.25" spans="1:7">
      <c r="A19" s="4">
        <v>18</v>
      </c>
      <c r="B19" s="5" t="s">
        <v>34</v>
      </c>
      <c r="C19" s="5" t="s">
        <v>35</v>
      </c>
      <c r="D19" s="4" t="str">
        <f>"7b6"</f>
        <v>7b6</v>
      </c>
      <c r="E19" s="4" t="str">
        <f>"3M,5P,6m,7m"</f>
        <v>3M,5P,6m,7m</v>
      </c>
      <c r="F19" s="4" t="str">
        <f t="shared" si="5"/>
        <v/>
      </c>
      <c r="G19" s="4" t="str">
        <f t="shared" si="3"/>
        <v>Major</v>
      </c>
    </row>
    <row r="20" ht="14.25" spans="1:7">
      <c r="A20" s="4">
        <v>19</v>
      </c>
      <c r="B20" s="5" t="s">
        <v>36</v>
      </c>
      <c r="C20" s="5" t="s">
        <v>37</v>
      </c>
      <c r="D20" s="4" t="str">
        <f>"Mb5"</f>
        <v>Mb5</v>
      </c>
      <c r="E20" s="4" t="str">
        <f>"3M,5d"</f>
        <v>3M,5d</v>
      </c>
      <c r="F20" s="4" t="str">
        <f t="shared" si="5"/>
        <v/>
      </c>
      <c r="G20" s="4" t="str">
        <f t="shared" si="3"/>
        <v>Major</v>
      </c>
    </row>
    <row r="21" ht="14.25" spans="1:7">
      <c r="A21" s="4">
        <v>20</v>
      </c>
      <c r="B21" s="5" t="s">
        <v>38</v>
      </c>
      <c r="C21" s="5" t="s">
        <v>39</v>
      </c>
      <c r="D21" s="4" t="str">
        <f>"M7b5"</f>
        <v>M7b5</v>
      </c>
      <c r="E21" s="4" t="str">
        <f>"3M,5d,7M"</f>
        <v>3M,5d,7M</v>
      </c>
      <c r="F21" s="4" t="str">
        <f t="shared" si="5"/>
        <v/>
      </c>
      <c r="G21" s="4" t="str">
        <f t="shared" si="3"/>
        <v>Major</v>
      </c>
    </row>
    <row r="22" ht="14.25" spans="1:7">
      <c r="A22" s="4">
        <v>21</v>
      </c>
      <c r="B22" s="5" t="s">
        <v>40</v>
      </c>
      <c r="C22" s="5" t="s">
        <v>41</v>
      </c>
      <c r="D22" s="4" t="str">
        <f>"7b5"</f>
        <v>7b5</v>
      </c>
      <c r="E22" s="4" t="str">
        <f>"3M,5d,7m"</f>
        <v>3M,5d,7m</v>
      </c>
      <c r="F22" s="4" t="str">
        <f t="shared" si="5"/>
        <v/>
      </c>
      <c r="G22" s="4" t="str">
        <f t="shared" si="3"/>
        <v>Major</v>
      </c>
    </row>
    <row r="23" ht="14.25" spans="1:7">
      <c r="A23" s="4">
        <v>22</v>
      </c>
      <c r="B23" s="5" t="s">
        <v>42</v>
      </c>
      <c r="C23" s="5" t="s">
        <v>43</v>
      </c>
      <c r="D23" s="4" t="str">
        <f>"maj#4,Δ#4,Δ#11,M7#11,^7#11,maj7#11"</f>
        <v>maj#4,Δ#4,Δ#11,M7#11,^7#11,maj7#11</v>
      </c>
      <c r="E23" s="4" t="str">
        <f>"3M,5P,7M,11A"</f>
        <v>3M,5P,7M,11A</v>
      </c>
      <c r="F23" s="4" t="str">
        <f>"major seventh sharp eleventh"</f>
        <v>major seventh sharp eleventh</v>
      </c>
      <c r="G23" s="4" t="str">
        <f t="shared" si="3"/>
        <v>Major</v>
      </c>
    </row>
    <row r="24" ht="14.25" spans="1:7">
      <c r="A24" s="4">
        <v>23</v>
      </c>
      <c r="B24" s="5" t="s">
        <v>44</v>
      </c>
      <c r="C24" s="5" t="s">
        <v>45</v>
      </c>
      <c r="D24" s="4" t="str">
        <f>"7#11,7#4"</f>
        <v>7#11,7#4</v>
      </c>
      <c r="E24" s="4" t="str">
        <f>"3M,5P,7m,11A"</f>
        <v>3M,5P,7m,11A</v>
      </c>
      <c r="F24" s="4" t="str">
        <f>"lydian dominant seventh"</f>
        <v>lydian dominant seventh</v>
      </c>
      <c r="G24" s="4" t="str">
        <f t="shared" si="3"/>
        <v>Major</v>
      </c>
    </row>
    <row r="25" ht="14.25" spans="1:7">
      <c r="A25" s="4">
        <v>24</v>
      </c>
      <c r="B25" s="5" t="s">
        <v>46</v>
      </c>
      <c r="C25" s="5" t="s">
        <v>47</v>
      </c>
      <c r="D25" s="4" t="str">
        <f>"M6#11,M6b5,6#11,6b5"</f>
        <v>M6#11,M6b5,6#11,6b5</v>
      </c>
      <c r="E25" s="4" t="str">
        <f>"3M,5P,6M,11A"</f>
        <v>3M,5P,6M,11A</v>
      </c>
      <c r="F25" s="4" t="str">
        <f t="shared" ref="F25:F29" si="6">""</f>
        <v/>
      </c>
      <c r="G25" s="4" t="str">
        <f t="shared" si="3"/>
        <v>Major</v>
      </c>
    </row>
    <row r="26" ht="14.25" spans="1:7">
      <c r="A26" s="4">
        <v>25</v>
      </c>
      <c r="B26" s="5" t="s">
        <v>48</v>
      </c>
      <c r="C26" s="5" t="s">
        <v>49</v>
      </c>
      <c r="D26" s="4" t="str">
        <f>"7#11b13,7b5b13"</f>
        <v>7#11b13,7b5b13</v>
      </c>
      <c r="E26" s="4" t="str">
        <f>"3M,5P,7m,11A,13m"</f>
        <v>3M,5P,7m,11A,13m</v>
      </c>
      <c r="F26" s="4" t="str">
        <f t="shared" si="6"/>
        <v/>
      </c>
      <c r="G26" s="4" t="str">
        <f t="shared" si="3"/>
        <v>Major</v>
      </c>
    </row>
    <row r="27" ht="14.25" spans="1:7">
      <c r="A27" s="4">
        <v>26</v>
      </c>
      <c r="B27" s="5" t="s">
        <v>50</v>
      </c>
      <c r="C27" s="5" t="s">
        <v>51</v>
      </c>
      <c r="D27" s="4" t="str">
        <f>"m#5,-#5,m+"</f>
        <v>m#5,-#5,m+</v>
      </c>
      <c r="E27" s="4" t="str">
        <f>"3m,5A"</f>
        <v>3m,5A</v>
      </c>
      <c r="F27" s="4" t="str">
        <f>"minor augmented"</f>
        <v>minor augmented</v>
      </c>
      <c r="G27" s="4" t="str">
        <f>"Augmented"</f>
        <v>Augmented</v>
      </c>
    </row>
    <row r="28" ht="14.25" spans="1:7">
      <c r="A28" s="4">
        <v>27</v>
      </c>
      <c r="B28" s="4" t="s">
        <v>3</v>
      </c>
      <c r="C28" s="4"/>
      <c r="D28" s="4" t="str">
        <f>"mb6M7"</f>
        <v>mb6M7</v>
      </c>
      <c r="E28" s="4" t="str">
        <f>"3m,6m,7M"</f>
        <v>3m,6m,7M</v>
      </c>
      <c r="F28" s="4" t="str">
        <f t="shared" si="6"/>
        <v/>
      </c>
      <c r="G28" s="4" t="str">
        <f t="shared" ref="G28:G34" si="7">"Minor"</f>
        <v>Minor</v>
      </c>
    </row>
    <row r="29" ht="14.25" spans="1:7">
      <c r="A29" s="4">
        <v>28</v>
      </c>
      <c r="B29" s="5" t="s">
        <v>52</v>
      </c>
      <c r="C29" s="5" t="s">
        <v>53</v>
      </c>
      <c r="D29" s="4" t="str">
        <f>"m7#5"</f>
        <v>m7#5</v>
      </c>
      <c r="E29" s="4" t="str">
        <f>"3m,5A,6m,7m"</f>
        <v>3m,5A,6m,7m</v>
      </c>
      <c r="F29" s="4" t="str">
        <f t="shared" si="6"/>
        <v/>
      </c>
      <c r="G29" s="4" t="str">
        <f t="shared" si="7"/>
        <v>Minor</v>
      </c>
    </row>
    <row r="30" ht="14.25" spans="1:7">
      <c r="A30" s="4">
        <v>29</v>
      </c>
      <c r="B30" s="5" t="s">
        <v>54</v>
      </c>
      <c r="C30" s="5" t="s">
        <v>55</v>
      </c>
      <c r="D30" s="4" t="str">
        <f>"m,min,-"</f>
        <v>m,min,-</v>
      </c>
      <c r="E30" s="4" t="str">
        <f>"3m,5P"</f>
        <v>3m,5P</v>
      </c>
      <c r="F30" s="4" t="str">
        <f>"minor"</f>
        <v>minor</v>
      </c>
      <c r="G30" s="4" t="str">
        <f t="shared" si="7"/>
        <v>Minor</v>
      </c>
    </row>
    <row r="31" ht="14.25" spans="1:7">
      <c r="A31" s="4">
        <v>30</v>
      </c>
      <c r="B31" s="5" t="s">
        <v>56</v>
      </c>
      <c r="C31" s="5" t="s">
        <v>57</v>
      </c>
      <c r="D31" s="4" t="str">
        <f>"m/ma7,m/maj7,mM7,mMaj7,m/M7,-Δ7,mΔ,-^7"</f>
        <v>m/ma7,m/maj7,mM7,mMaj7,m/M7,-Δ7,mΔ,-^7</v>
      </c>
      <c r="E31" s="4" t="str">
        <f>"3m,5P,7M"</f>
        <v>3m,5P,7M</v>
      </c>
      <c r="F31" s="4" t="str">
        <f>"minor/major seventh"</f>
        <v>minor/major seventh</v>
      </c>
      <c r="G31" s="4" t="str">
        <f t="shared" si="7"/>
        <v>Minor</v>
      </c>
    </row>
    <row r="32" ht="14.25" spans="1:7">
      <c r="A32" s="4">
        <v>31</v>
      </c>
      <c r="B32" s="5" t="s">
        <v>58</v>
      </c>
      <c r="C32" s="5" t="s">
        <v>59</v>
      </c>
      <c r="D32" s="4" t="str">
        <f>"m7,min7,mi7,-7"</f>
        <v>m7,min7,mi7,-7</v>
      </c>
      <c r="E32" s="4" t="str">
        <f>"3m,5P,7m"</f>
        <v>3m,5P,7m</v>
      </c>
      <c r="F32" s="4" t="str">
        <f>"minor seventh"</f>
        <v>minor seventh</v>
      </c>
      <c r="G32" s="4" t="str">
        <f t="shared" si="7"/>
        <v>Minor</v>
      </c>
    </row>
    <row r="33" ht="14.25" spans="1:7">
      <c r="A33" s="4">
        <v>32</v>
      </c>
      <c r="B33" s="5" t="s">
        <v>60</v>
      </c>
      <c r="C33" s="5" t="s">
        <v>61</v>
      </c>
      <c r="D33" s="4" t="str">
        <f>"m6,-6"</f>
        <v>m6,-6</v>
      </c>
      <c r="E33" s="4" t="str">
        <f>"3m,5P,6M"</f>
        <v>3m,5P,6M</v>
      </c>
      <c r="F33" s="4" t="str">
        <f>"minor sixth"</f>
        <v>minor sixth</v>
      </c>
      <c r="G33" s="4" t="str">
        <f t="shared" si="7"/>
        <v>Minor</v>
      </c>
    </row>
    <row r="34" ht="14.25" spans="1:7">
      <c r="A34" s="4">
        <v>33</v>
      </c>
      <c r="B34" s="5" t="s">
        <v>62</v>
      </c>
      <c r="C34" s="5" t="s">
        <v>63</v>
      </c>
      <c r="D34" s="4" t="str">
        <f>"mMaj7b6"</f>
        <v>mMaj7b6</v>
      </c>
      <c r="E34" s="4" t="str">
        <f>"3m,5P,6m,7M"</f>
        <v>3m,5P,6m,7M</v>
      </c>
      <c r="F34" s="4" t="str">
        <f t="shared" ref="F34:F44" si="8">""</f>
        <v/>
      </c>
      <c r="G34" s="4" t="str">
        <f t="shared" si="7"/>
        <v>Minor</v>
      </c>
    </row>
    <row r="35" ht="14.25" spans="1:7">
      <c r="A35" s="4">
        <v>34</v>
      </c>
      <c r="B35" s="5" t="s">
        <v>64</v>
      </c>
      <c r="C35" s="5" t="s">
        <v>65</v>
      </c>
      <c r="D35" s="4" t="str">
        <f>"dim,°,o"</f>
        <v>dim,°,o</v>
      </c>
      <c r="E35" s="4" t="str">
        <f>"3m,5d"</f>
        <v>3m,5d</v>
      </c>
      <c r="F35" s="4" t="str">
        <f>"diminished"</f>
        <v>diminished</v>
      </c>
      <c r="G35" s="4" t="str">
        <f t="shared" ref="G35:G39" si="9">"Diminished"</f>
        <v>Diminished</v>
      </c>
    </row>
    <row r="36" ht="14.25" spans="1:7">
      <c r="A36" s="4">
        <v>35</v>
      </c>
      <c r="B36" s="5" t="s">
        <v>66</v>
      </c>
      <c r="C36" s="5" t="s">
        <v>67</v>
      </c>
      <c r="D36" s="4" t="str">
        <f>"oM7"</f>
        <v>oM7</v>
      </c>
      <c r="E36" s="4" t="str">
        <f>"3m,5d,7M"</f>
        <v>3m,5d,7M</v>
      </c>
      <c r="F36" s="4" t="str">
        <f t="shared" si="8"/>
        <v/>
      </c>
      <c r="G36" s="4" t="str">
        <f t="shared" si="9"/>
        <v>Diminished</v>
      </c>
    </row>
    <row r="37" ht="14.25" spans="1:7">
      <c r="A37" s="4">
        <v>36</v>
      </c>
      <c r="B37" s="5" t="s">
        <v>68</v>
      </c>
      <c r="C37" s="5" t="s">
        <v>69</v>
      </c>
      <c r="D37" s="4" t="str">
        <f>"m7b5,ø,-7b5,h7,h"</f>
        <v>m7b5,ø,-7b5,h7,h</v>
      </c>
      <c r="E37" s="4" t="str">
        <f>"3m,5d,7m"</f>
        <v>3m,5d,7m</v>
      </c>
      <c r="F37" s="4" t="str">
        <f>"half-diminished"</f>
        <v>half-diminished</v>
      </c>
      <c r="G37" s="4" t="str">
        <f t="shared" si="9"/>
        <v>Diminished</v>
      </c>
    </row>
    <row r="38" ht="14.25" spans="1:7">
      <c r="A38" s="4">
        <v>37</v>
      </c>
      <c r="B38" s="5" t="s">
        <v>70</v>
      </c>
      <c r="C38" s="5" t="s">
        <v>71</v>
      </c>
      <c r="D38" s="4" t="str">
        <f>"dim7,°7,o7"</f>
        <v>dim7,°7,o7</v>
      </c>
      <c r="E38" s="4" t="str">
        <f>"3m,5d,7d"</f>
        <v>3m,5d,7d</v>
      </c>
      <c r="F38" s="4" t="str">
        <f>"diminished seventh"</f>
        <v>diminished seventh</v>
      </c>
      <c r="G38" s="4" t="str">
        <f t="shared" si="9"/>
        <v>Diminished</v>
      </c>
    </row>
    <row r="39" ht="14.25" spans="1:7">
      <c r="A39" s="4">
        <v>38</v>
      </c>
      <c r="B39" s="5" t="s">
        <v>3</v>
      </c>
      <c r="C39" s="5"/>
      <c r="D39" s="4" t="str">
        <f>"o7M7"</f>
        <v>o7M7</v>
      </c>
      <c r="E39" s="4" t="str">
        <f>"3m,5d,6M,7M"</f>
        <v>3m,5d,6M,7M</v>
      </c>
      <c r="F39" s="4" t="str">
        <f t="shared" si="8"/>
        <v/>
      </c>
      <c r="G39" s="4" t="str">
        <f t="shared" si="9"/>
        <v>Diminished</v>
      </c>
    </row>
    <row r="40" ht="14.25" spans="1:7">
      <c r="A40" s="4">
        <v>39</v>
      </c>
      <c r="B40" s="5" t="s">
        <v>3</v>
      </c>
      <c r="C40" s="5"/>
      <c r="D40" s="4" t="str">
        <f>"4,quartal"</f>
        <v>4,quartal</v>
      </c>
      <c r="E40" s="4" t="str">
        <f>"4P,7m,10m"</f>
        <v>4P,7m,10m</v>
      </c>
      <c r="F40" s="4" t="str">
        <f t="shared" si="8"/>
        <v/>
      </c>
      <c r="G40" s="4" t="str">
        <f>"Unknown"</f>
        <v>Unknown</v>
      </c>
    </row>
    <row r="41" ht="14.25" spans="1:7">
      <c r="A41" s="4">
        <v>40</v>
      </c>
      <c r="B41" s="5" t="s">
        <v>72</v>
      </c>
      <c r="C41" s="5" t="s">
        <v>73</v>
      </c>
      <c r="D41" s="4" t="str">
        <f>"madd4"</f>
        <v>madd4</v>
      </c>
      <c r="E41" s="4" t="str">
        <f>"3m,4P,5P"</f>
        <v>3m,4P,5P</v>
      </c>
      <c r="F41" s="4" t="str">
        <f t="shared" si="8"/>
        <v/>
      </c>
      <c r="G41" s="4" t="str">
        <f>"Minor"</f>
        <v>Minor</v>
      </c>
    </row>
    <row r="42" ht="14.25" spans="1:7">
      <c r="A42" s="4">
        <v>41</v>
      </c>
      <c r="B42" s="5" t="s">
        <v>74</v>
      </c>
      <c r="C42" s="5" t="s">
        <v>75</v>
      </c>
      <c r="D42" s="4" t="str">
        <f>"m7add11,m7add4"</f>
        <v>m7add11,m7add4</v>
      </c>
      <c r="E42" s="4" t="str">
        <f>"3m,5P,7m,11P"</f>
        <v>3m,5P,7m,11P</v>
      </c>
      <c r="F42" s="4" t="str">
        <f t="shared" si="8"/>
        <v/>
      </c>
      <c r="G42" s="4" t="str">
        <f>"Minor"</f>
        <v>Minor</v>
      </c>
    </row>
    <row r="43" ht="14.25" spans="1:7">
      <c r="A43" s="4">
        <v>42</v>
      </c>
      <c r="B43" s="5" t="s">
        <v>76</v>
      </c>
      <c r="C43" s="5" t="s">
        <v>77</v>
      </c>
      <c r="D43" s="4" t="str">
        <f>"+add#9"</f>
        <v>+add#9</v>
      </c>
      <c r="E43" s="4" t="str">
        <f>"3M,5A,9A"</f>
        <v>3M,5A,9A</v>
      </c>
      <c r="F43" s="4" t="str">
        <f t="shared" si="8"/>
        <v/>
      </c>
      <c r="G43" s="4" t="str">
        <f>"Augmented"</f>
        <v>Augmented</v>
      </c>
    </row>
    <row r="44" ht="14.25" spans="1:7">
      <c r="A44" s="4">
        <v>43</v>
      </c>
      <c r="B44" s="5" t="s">
        <v>78</v>
      </c>
      <c r="C44" s="5" t="s">
        <v>79</v>
      </c>
      <c r="D44" s="4" t="str">
        <f>"7#5#9,7#9#5,7alt"</f>
        <v>7#5#9,7#9#5,7alt</v>
      </c>
      <c r="E44" s="4" t="str">
        <f>"3M,5A,7m,9A"</f>
        <v>3M,5A,7m,9A</v>
      </c>
      <c r="F44" s="4" t="str">
        <f t="shared" si="8"/>
        <v/>
      </c>
      <c r="G44" s="4" t="str">
        <f>"Augmented"</f>
        <v>Augmented</v>
      </c>
    </row>
    <row r="45" ht="14.25" spans="1:7">
      <c r="A45" s="4">
        <v>44</v>
      </c>
      <c r="B45" s="5" t="s">
        <v>80</v>
      </c>
      <c r="C45" s="5" t="s">
        <v>81</v>
      </c>
      <c r="D45" s="4" t="str">
        <f>"7#9"</f>
        <v>7#9</v>
      </c>
      <c r="E45" s="4" t="str">
        <f>"3M,5P,7m,9A"</f>
        <v>3M,5P,7m,9A</v>
      </c>
      <c r="F45" s="4" t="str">
        <f>"dominant sharp ninth"</f>
        <v>dominant sharp ninth</v>
      </c>
      <c r="G45" s="4" t="str">
        <f t="shared" ref="G45:G51" si="10">"Major"</f>
        <v>Major</v>
      </c>
    </row>
    <row r="46" ht="14.25" spans="1:7">
      <c r="A46" s="4">
        <v>45</v>
      </c>
      <c r="B46" s="5" t="s">
        <v>82</v>
      </c>
      <c r="C46" s="5" t="s">
        <v>83</v>
      </c>
      <c r="D46" s="4" t="str">
        <f>"13#9"</f>
        <v>13#9</v>
      </c>
      <c r="E46" s="4" t="str">
        <f>"3M,5P,7m,9A,13M"</f>
        <v>3M,5P,7m,9A,13M</v>
      </c>
      <c r="F46" s="4" t="str">
        <f t="shared" ref="F46:F51" si="11">""</f>
        <v/>
      </c>
      <c r="G46" s="4" t="str">
        <f t="shared" si="10"/>
        <v>Major</v>
      </c>
    </row>
    <row r="47" ht="14.25" spans="1:7">
      <c r="A47" s="4">
        <v>46</v>
      </c>
      <c r="B47" s="5" t="s">
        <v>84</v>
      </c>
      <c r="C47" s="5" t="s">
        <v>85</v>
      </c>
      <c r="D47" s="4" t="str">
        <f>"7#9b13"</f>
        <v>7#9b13</v>
      </c>
      <c r="E47" s="4" t="str">
        <f>"3M,5P,7m,9A,13m"</f>
        <v>3M,5P,7m,9A,13m</v>
      </c>
      <c r="F47" s="4" t="str">
        <f t="shared" si="11"/>
        <v/>
      </c>
      <c r="G47" s="4" t="str">
        <f t="shared" si="10"/>
        <v>Major</v>
      </c>
    </row>
    <row r="48" ht="14.25" spans="1:7">
      <c r="A48" s="4">
        <v>47</v>
      </c>
      <c r="B48" s="4" t="str">
        <f>"maj7#9#11"</f>
        <v>maj7#9#11</v>
      </c>
      <c r="C48" s="4" t="s">
        <v>86</v>
      </c>
      <c r="D48" s="4" t="str">
        <f>"maj7#9#11"</f>
        <v>maj7#9#11</v>
      </c>
      <c r="E48" s="4" t="str">
        <f>"3M,5P,7M,9A,11A"</f>
        <v>3M,5P,7M,9A,11A</v>
      </c>
      <c r="F48" s="4" t="str">
        <f t="shared" si="11"/>
        <v/>
      </c>
      <c r="G48" s="4" t="str">
        <f t="shared" si="10"/>
        <v>Major</v>
      </c>
    </row>
    <row r="49" ht="14.25" spans="1:7">
      <c r="A49" s="4">
        <v>48</v>
      </c>
      <c r="B49" s="5" t="s">
        <v>87</v>
      </c>
      <c r="C49" s="5" t="s">
        <v>88</v>
      </c>
      <c r="D49" s="4" t="str">
        <f>"7#9#11,7b5#9,7#9b5"</f>
        <v>7#9#11,7b5#9,7#9b5</v>
      </c>
      <c r="E49" s="4" t="str">
        <f>"3M,5P,7m,9A,11A"</f>
        <v>3M,5P,7m,9A,11A</v>
      </c>
      <c r="F49" s="4" t="str">
        <f t="shared" si="11"/>
        <v/>
      </c>
      <c r="G49" s="4" t="str">
        <f t="shared" si="10"/>
        <v>Major</v>
      </c>
    </row>
    <row r="50" ht="14.25" spans="1:7">
      <c r="A50" s="4">
        <v>49</v>
      </c>
      <c r="B50" s="5" t="s">
        <v>89</v>
      </c>
      <c r="C50" s="5" t="s">
        <v>90</v>
      </c>
      <c r="D50" s="4" t="str">
        <f>"13#9#11"</f>
        <v>13#9#11</v>
      </c>
      <c r="E50" s="4" t="str">
        <f>"3M,5P,7m,9A,11A,13M"</f>
        <v>3M,5P,7m,9A,11A,13M</v>
      </c>
      <c r="F50" s="4" t="str">
        <f t="shared" si="11"/>
        <v/>
      </c>
      <c r="G50" s="4" t="str">
        <f t="shared" si="10"/>
        <v>Major</v>
      </c>
    </row>
    <row r="51" ht="14.25" spans="1:7">
      <c r="A51" s="4">
        <v>50</v>
      </c>
      <c r="B51" s="5" t="s">
        <v>91</v>
      </c>
      <c r="C51" s="5" t="s">
        <v>92</v>
      </c>
      <c r="D51" s="4" t="str">
        <f>"7#9#11b13"</f>
        <v>7#9#11b13</v>
      </c>
      <c r="E51" s="4" t="str">
        <f>"3M,5P,7m,9A,11A,13m"</f>
        <v>3M,5P,7m,9A,11A,13m</v>
      </c>
      <c r="F51" s="4" t="str">
        <f t="shared" si="11"/>
        <v/>
      </c>
      <c r="G51" s="4" t="str">
        <f t="shared" si="10"/>
        <v>Major</v>
      </c>
    </row>
    <row r="52" ht="14.25" spans="1:7">
      <c r="A52" s="4">
        <v>51</v>
      </c>
      <c r="B52" s="5" t="s">
        <v>93</v>
      </c>
      <c r="C52" s="5" t="s">
        <v>94</v>
      </c>
      <c r="D52" s="4" t="str">
        <f>"sus2"</f>
        <v>sus2</v>
      </c>
      <c r="E52" s="4" t="str">
        <f>"2M,5P"</f>
        <v>2M,5P</v>
      </c>
      <c r="F52" s="4" t="str">
        <f>"suspended second"</f>
        <v>suspended second</v>
      </c>
      <c r="G52" s="4" t="str">
        <f t="shared" ref="G52:G58" si="12">"Unknown"</f>
        <v>Unknown</v>
      </c>
    </row>
    <row r="53" ht="14.25" spans="1:7">
      <c r="A53" s="4">
        <v>52</v>
      </c>
      <c r="B53" s="5" t="s">
        <v>95</v>
      </c>
      <c r="C53" s="5" t="s">
        <v>96</v>
      </c>
      <c r="D53" s="4" t="str">
        <f>"M9#5sus4"</f>
        <v>M9#5sus4</v>
      </c>
      <c r="E53" s="4" t="str">
        <f>"4P,5A,7M,9M"</f>
        <v>4P,5A,7M,9M</v>
      </c>
      <c r="F53" s="4" t="str">
        <f t="shared" ref="F53:F55" si="13">""</f>
        <v/>
      </c>
      <c r="G53" s="4" t="str">
        <f>"Augmented"</f>
        <v>Augmented</v>
      </c>
    </row>
    <row r="54" ht="14.25" spans="1:7">
      <c r="A54" s="4">
        <v>53</v>
      </c>
      <c r="B54" s="5" t="s">
        <v>97</v>
      </c>
      <c r="C54" s="5" t="s">
        <v>98</v>
      </c>
      <c r="D54" s="4" t="str">
        <f>"sus24,sus4add9"</f>
        <v>sus24,sus4add9</v>
      </c>
      <c r="E54" s="4" t="str">
        <f>"2M,4P,5P"</f>
        <v>2M,4P,5P</v>
      </c>
      <c r="F54" s="4" t="str">
        <f t="shared" si="13"/>
        <v/>
      </c>
      <c r="G54" s="4" t="str">
        <f t="shared" si="12"/>
        <v>Unknown</v>
      </c>
    </row>
    <row r="55" ht="14.25" spans="1:7">
      <c r="A55" s="4">
        <v>54</v>
      </c>
      <c r="B55" s="5" t="s">
        <v>99</v>
      </c>
      <c r="C55" s="5" t="s">
        <v>100</v>
      </c>
      <c r="D55" s="4" t="str">
        <f>"M9sus4"</f>
        <v>M9sus4</v>
      </c>
      <c r="E55" s="4" t="str">
        <f>"4P,5P,7M,9M"</f>
        <v>4P,5P,7M,9M</v>
      </c>
      <c r="F55" s="4" t="str">
        <f t="shared" si="13"/>
        <v/>
      </c>
      <c r="G55" s="4" t="str">
        <f t="shared" si="12"/>
        <v>Unknown</v>
      </c>
    </row>
    <row r="56" ht="14.25" spans="1:7">
      <c r="A56" s="4">
        <v>55</v>
      </c>
      <c r="B56" s="5" t="s">
        <v>101</v>
      </c>
      <c r="C56" s="5" t="s">
        <v>102</v>
      </c>
      <c r="D56" s="4" t="str">
        <f>"11"</f>
        <v>11</v>
      </c>
      <c r="E56" s="4" t="str">
        <f>"5P,7m,9M,11P"</f>
        <v>5P,7m,9M,11P</v>
      </c>
      <c r="F56" s="4" t="str">
        <f>"eleventh"</f>
        <v>eleventh</v>
      </c>
      <c r="G56" s="4" t="str">
        <f t="shared" si="12"/>
        <v>Unknown</v>
      </c>
    </row>
    <row r="57" ht="14.25" spans="1:7">
      <c r="A57" s="4">
        <v>56</v>
      </c>
      <c r="B57" s="5" t="s">
        <v>103</v>
      </c>
      <c r="C57" s="5" t="s">
        <v>104</v>
      </c>
      <c r="D57" s="4" t="str">
        <f>"9sus4,9sus"</f>
        <v>9sus4,9sus</v>
      </c>
      <c r="E57" s="4" t="str">
        <f>"4P,5P,7m,9M"</f>
        <v>4P,5P,7m,9M</v>
      </c>
      <c r="F57" s="4" t="str">
        <f t="shared" ref="F57:F65" si="14">""</f>
        <v/>
      </c>
      <c r="G57" s="4" t="str">
        <f t="shared" si="12"/>
        <v>Unknown</v>
      </c>
    </row>
    <row r="58" ht="14.25" spans="1:7">
      <c r="A58" s="4">
        <v>57</v>
      </c>
      <c r="B58" s="5" t="s">
        <v>105</v>
      </c>
      <c r="C58" s="5" t="s">
        <v>106</v>
      </c>
      <c r="D58" s="4" t="str">
        <f>"13sus4,13sus"</f>
        <v>13sus4,13sus</v>
      </c>
      <c r="E58" s="4" t="str">
        <f>"4P,5P,7m,9M,13M"</f>
        <v>4P,5P,7m,9M,13M</v>
      </c>
      <c r="F58" s="4" t="str">
        <f t="shared" si="14"/>
        <v/>
      </c>
      <c r="G58" s="4" t="str">
        <f t="shared" si="12"/>
        <v>Unknown</v>
      </c>
    </row>
    <row r="59" ht="14.25" spans="1:7">
      <c r="A59" s="4">
        <v>58</v>
      </c>
      <c r="B59" s="5" t="s">
        <v>107</v>
      </c>
      <c r="C59" s="5" t="s">
        <v>108</v>
      </c>
      <c r="D59" s="4" t="str">
        <f>"9no5"</f>
        <v>9no5</v>
      </c>
      <c r="E59" s="4" t="str">
        <f>"3M,7m,9M"</f>
        <v>3M,7m,9M</v>
      </c>
      <c r="F59" s="4" t="str">
        <f t="shared" si="14"/>
        <v/>
      </c>
      <c r="G59" s="4" t="str">
        <f t="shared" ref="G59:G74" si="15">"Major"</f>
        <v>Major</v>
      </c>
    </row>
    <row r="60" ht="14.25" spans="1:7">
      <c r="A60" s="4">
        <v>59</v>
      </c>
      <c r="B60" s="5" t="s">
        <v>109</v>
      </c>
      <c r="C60" s="5" t="s">
        <v>110</v>
      </c>
      <c r="D60" s="4" t="str">
        <f>"13no5"</f>
        <v>13no5</v>
      </c>
      <c r="E60" s="4" t="str">
        <f>"3M,7m,9M,13M"</f>
        <v>3M,7m,9M,13M</v>
      </c>
      <c r="F60" s="4" t="str">
        <f t="shared" si="14"/>
        <v/>
      </c>
      <c r="G60" s="4" t="str">
        <f t="shared" si="15"/>
        <v>Major</v>
      </c>
    </row>
    <row r="61" ht="14.25" spans="1:7">
      <c r="A61" s="4">
        <v>60</v>
      </c>
      <c r="B61" s="5" t="s">
        <v>111</v>
      </c>
      <c r="C61" s="5" t="s">
        <v>112</v>
      </c>
      <c r="D61" s="4" t="str">
        <f>"M#5add9,+add9"</f>
        <v>M#5add9,+add9</v>
      </c>
      <c r="E61" s="4" t="str">
        <f>"3M,5A,9M"</f>
        <v>3M,5A,9M</v>
      </c>
      <c r="F61" s="4" t="str">
        <f t="shared" si="14"/>
        <v/>
      </c>
      <c r="G61" s="4" t="str">
        <f t="shared" ref="G61:G63" si="16">"Augmented"</f>
        <v>Augmented</v>
      </c>
    </row>
    <row r="62" ht="14.25" spans="1:7">
      <c r="A62" s="4">
        <v>61</v>
      </c>
      <c r="B62" s="5" t="s">
        <v>113</v>
      </c>
      <c r="C62" s="5" t="s">
        <v>114</v>
      </c>
      <c r="D62" s="4" t="str">
        <f>"maj9#5,Maj9#5"</f>
        <v>maj9#5,Maj9#5</v>
      </c>
      <c r="E62" s="4" t="str">
        <f>"3M,5A,7M,9M"</f>
        <v>3M,5A,7M,9M</v>
      </c>
      <c r="F62" s="4" t="str">
        <f t="shared" si="14"/>
        <v/>
      </c>
      <c r="G62" s="4" t="str">
        <f t="shared" si="16"/>
        <v>Augmented</v>
      </c>
    </row>
    <row r="63" ht="14.25" spans="1:7">
      <c r="A63" s="4">
        <v>62</v>
      </c>
      <c r="B63" s="5" t="s">
        <v>115</v>
      </c>
      <c r="C63" s="5" t="s">
        <v>116</v>
      </c>
      <c r="D63" s="4" t="str">
        <f>"9#5,9+"</f>
        <v>9#5,9+</v>
      </c>
      <c r="E63" s="4" t="str">
        <f>"3M,5A,7m,9M"</f>
        <v>3M,5A,7m,9M</v>
      </c>
      <c r="F63" s="4" t="str">
        <f t="shared" si="14"/>
        <v/>
      </c>
      <c r="G63" s="4" t="str">
        <f t="shared" si="16"/>
        <v>Augmented</v>
      </c>
    </row>
    <row r="64" ht="14.25" spans="1:7">
      <c r="A64" s="4">
        <v>63</v>
      </c>
      <c r="B64" s="5" t="s">
        <v>117</v>
      </c>
      <c r="C64" s="5" t="s">
        <v>118</v>
      </c>
      <c r="D64" s="4" t="str">
        <f>"9b13"</f>
        <v>9b13</v>
      </c>
      <c r="E64" s="4" t="str">
        <f>"3M,7m,9M,13m"</f>
        <v>3M,7m,9M,13m</v>
      </c>
      <c r="F64" s="4" t="str">
        <f t="shared" si="14"/>
        <v/>
      </c>
      <c r="G64" s="4" t="str">
        <f t="shared" si="15"/>
        <v>Major</v>
      </c>
    </row>
    <row r="65" ht="14.25" spans="1:7">
      <c r="A65" s="4">
        <v>64</v>
      </c>
      <c r="B65" s="5" t="s">
        <v>119</v>
      </c>
      <c r="C65" s="5" t="s">
        <v>120</v>
      </c>
      <c r="D65" s="4" t="str">
        <f>"Madd9,2,add9,add2"</f>
        <v>Madd9,2,add9,add2</v>
      </c>
      <c r="E65" s="4" t="str">
        <f>"3M,5P,9M"</f>
        <v>3M,5P,9M</v>
      </c>
      <c r="F65" s="4" t="str">
        <f t="shared" si="14"/>
        <v/>
      </c>
      <c r="G65" s="4" t="str">
        <f t="shared" si="15"/>
        <v>Major</v>
      </c>
    </row>
    <row r="66" ht="14.25" spans="1:7">
      <c r="A66" s="4">
        <v>65</v>
      </c>
      <c r="B66" s="5" t="s">
        <v>121</v>
      </c>
      <c r="C66" s="5" t="s">
        <v>122</v>
      </c>
      <c r="D66" s="4" t="str">
        <f>"maj9,Δ9,^9"</f>
        <v>maj9,Δ9,^9</v>
      </c>
      <c r="E66" s="4" t="str">
        <f>"3M,5P,7M,9M"</f>
        <v>3M,5P,7M,9M</v>
      </c>
      <c r="F66" s="4" t="str">
        <f>"major ninth"</f>
        <v>major ninth</v>
      </c>
      <c r="G66" s="4" t="str">
        <f t="shared" si="15"/>
        <v>Major</v>
      </c>
    </row>
    <row r="67" ht="14.25" spans="1:7">
      <c r="A67" s="4">
        <v>66</v>
      </c>
      <c r="B67" s="5" t="s">
        <v>123</v>
      </c>
      <c r="C67" s="5" t="s">
        <v>124</v>
      </c>
      <c r="D67" s="4" t="str">
        <f>"9"</f>
        <v>9</v>
      </c>
      <c r="E67" s="4" t="str">
        <f>"3M,5P,7m,9M"</f>
        <v>3M,5P,7m,9M</v>
      </c>
      <c r="F67" s="4" t="str">
        <f>"dominant ninth"</f>
        <v>dominant ninth</v>
      </c>
      <c r="G67" s="4" t="str">
        <f t="shared" si="15"/>
        <v>Major</v>
      </c>
    </row>
    <row r="68" ht="14.25" spans="1:7">
      <c r="A68" s="4">
        <v>67</v>
      </c>
      <c r="B68" s="5" t="s">
        <v>125</v>
      </c>
      <c r="C68" s="5" t="s">
        <v>126</v>
      </c>
      <c r="D68" s="4" t="str">
        <f>"6/9,69,M69"</f>
        <v>6/9,69,M69</v>
      </c>
      <c r="E68" s="4" t="str">
        <f>"3M,5P,6M,9M"</f>
        <v>3M,5P,6M,9M</v>
      </c>
      <c r="F68" s="4" t="str">
        <f>"sixth/ninth"</f>
        <v>sixth/ninth</v>
      </c>
      <c r="G68" s="4" t="str">
        <f t="shared" si="15"/>
        <v>Major</v>
      </c>
    </row>
    <row r="69" ht="14.25" spans="1:7">
      <c r="A69" s="4">
        <v>68</v>
      </c>
      <c r="B69" s="5" t="s">
        <v>127</v>
      </c>
      <c r="C69" s="5" t="s">
        <v>128</v>
      </c>
      <c r="D69" s="4" t="str">
        <f>"maj13,Maj13,^13"</f>
        <v>maj13,Maj13,^13</v>
      </c>
      <c r="E69" s="4" t="str">
        <f>"3M,5P,7M,9M,13M"</f>
        <v>3M,5P,7M,9M,13M</v>
      </c>
      <c r="F69" s="4" t="str">
        <f>"major thirteenth"</f>
        <v>major thirteenth</v>
      </c>
      <c r="G69" s="4" t="str">
        <f t="shared" si="15"/>
        <v>Major</v>
      </c>
    </row>
    <row r="70" ht="14.25" spans="1:7">
      <c r="A70" s="4">
        <v>69</v>
      </c>
      <c r="B70" s="5" t="s">
        <v>129</v>
      </c>
      <c r="C70" s="5" t="s">
        <v>130</v>
      </c>
      <c r="D70" s="4" t="str">
        <f>"M7add13"</f>
        <v>M7add13</v>
      </c>
      <c r="E70" s="4" t="str">
        <f>"3M,5P,6M,7M,9M"</f>
        <v>3M,5P,6M,7M,9M</v>
      </c>
      <c r="F70" s="4" t="str">
        <f t="shared" ref="F70:F75" si="17">""</f>
        <v/>
      </c>
      <c r="G70" s="4" t="str">
        <f t="shared" si="15"/>
        <v>Major</v>
      </c>
    </row>
    <row r="71" ht="14.25" spans="1:7">
      <c r="A71" s="4">
        <v>70</v>
      </c>
      <c r="B71" s="5" t="s">
        <v>131</v>
      </c>
      <c r="C71" s="5" t="s">
        <v>132</v>
      </c>
      <c r="D71" s="4" t="str">
        <f>"13"</f>
        <v>13</v>
      </c>
      <c r="E71" s="4" t="str">
        <f>"3M,5P,7m,9M,13M"</f>
        <v>3M,5P,7m,9M,13M</v>
      </c>
      <c r="F71" s="4" t="str">
        <f>"dominant thirteenth"</f>
        <v>dominant thirteenth</v>
      </c>
      <c r="G71" s="4" t="str">
        <f t="shared" si="15"/>
        <v>Major</v>
      </c>
    </row>
    <row r="72" ht="14.25" spans="1:7">
      <c r="A72" s="4">
        <v>71</v>
      </c>
      <c r="B72" s="5" t="s">
        <v>133</v>
      </c>
      <c r="C72" s="5" t="s">
        <v>134</v>
      </c>
      <c r="D72" s="4" t="str">
        <f>"M9b5"</f>
        <v>M9b5</v>
      </c>
      <c r="E72" s="4" t="str">
        <f>"3M,5d,7M,9M"</f>
        <v>3M,5d,7M,9M</v>
      </c>
      <c r="F72" s="4" t="str">
        <f t="shared" si="17"/>
        <v/>
      </c>
      <c r="G72" s="4" t="str">
        <f t="shared" si="15"/>
        <v>Major</v>
      </c>
    </row>
    <row r="73" ht="14.25" spans="1:7">
      <c r="A73" s="4">
        <v>72</v>
      </c>
      <c r="B73" s="5" t="s">
        <v>135</v>
      </c>
      <c r="C73" s="5" t="s">
        <v>136</v>
      </c>
      <c r="D73" s="4" t="str">
        <f>"9b5"</f>
        <v>9b5</v>
      </c>
      <c r="E73" s="4" t="str">
        <f>"3M,5d,7m,9M"</f>
        <v>3M,5d,7m,9M</v>
      </c>
      <c r="F73" s="4" t="str">
        <f t="shared" si="17"/>
        <v/>
      </c>
      <c r="G73" s="4" t="str">
        <f t="shared" si="15"/>
        <v>Major</v>
      </c>
    </row>
    <row r="74" ht="14.25" spans="1:7">
      <c r="A74" s="4">
        <v>73</v>
      </c>
      <c r="B74" s="5" t="s">
        <v>137</v>
      </c>
      <c r="C74" s="5" t="s">
        <v>138</v>
      </c>
      <c r="D74" s="4" t="str">
        <f>"13b5"</f>
        <v>13b5</v>
      </c>
      <c r="E74" s="4" t="str">
        <f>"3M,5d,6M,7m,9M"</f>
        <v>3M,5d,6M,7m,9M</v>
      </c>
      <c r="F74" s="4" t="str">
        <f t="shared" si="17"/>
        <v/>
      </c>
      <c r="G74" s="4" t="str">
        <f t="shared" si="15"/>
        <v>Major</v>
      </c>
    </row>
    <row r="75" ht="14.25" spans="1:7">
      <c r="A75" s="4">
        <v>74</v>
      </c>
      <c r="B75" s="5" t="s">
        <v>139</v>
      </c>
      <c r="C75" s="5" t="s">
        <v>140</v>
      </c>
      <c r="D75" s="4" t="str">
        <f>"9#5#11"</f>
        <v>9#5#11</v>
      </c>
      <c r="E75" s="4" t="str">
        <f>"3M,5A,7m,9M,11A"</f>
        <v>3M,5A,7m,9M,11A</v>
      </c>
      <c r="F75" s="4" t="str">
        <f t="shared" si="17"/>
        <v/>
      </c>
      <c r="G75" s="4" t="str">
        <f>"Augmented"</f>
        <v>Augmented</v>
      </c>
    </row>
    <row r="76" ht="14.25" spans="1:7">
      <c r="A76" s="4">
        <v>75</v>
      </c>
      <c r="B76" s="5" t="s">
        <v>141</v>
      </c>
      <c r="C76" s="5" t="s">
        <v>142</v>
      </c>
      <c r="D76" s="4" t="str">
        <f>"maj9#11,Δ9#11,^9#11"</f>
        <v>maj9#11,Δ9#11,^9#11</v>
      </c>
      <c r="E76" s="4" t="str">
        <f>"3M,5P,7M,9M,11A"</f>
        <v>3M,5P,7M,9M,11A</v>
      </c>
      <c r="F76" s="4" t="str">
        <f>"major sharp eleventh (lydian)"</f>
        <v>major sharp eleventh (lydian)</v>
      </c>
      <c r="G76" s="4" t="str">
        <f t="shared" ref="G76:G81" si="18">"Major"</f>
        <v>Major</v>
      </c>
    </row>
    <row r="77" ht="14.25" spans="1:7">
      <c r="A77" s="4">
        <v>76</v>
      </c>
      <c r="B77" s="5" t="s">
        <v>143</v>
      </c>
      <c r="C77" s="5" t="s">
        <v>144</v>
      </c>
      <c r="D77" s="4" t="str">
        <f>"9#11,9+4,9#4"</f>
        <v>9#11,9+4,9#4</v>
      </c>
      <c r="E77" s="4" t="str">
        <f>"3M,5P,7m,9M,11A"</f>
        <v>3M,5P,7m,9M,11A</v>
      </c>
      <c r="F77" s="4" t="str">
        <f t="shared" ref="F77:F83" si="19">""</f>
        <v/>
      </c>
      <c r="G77" s="4" t="str">
        <f t="shared" si="18"/>
        <v>Major</v>
      </c>
    </row>
    <row r="78" ht="14.25" spans="1:7">
      <c r="A78" s="4">
        <v>77</v>
      </c>
      <c r="B78" s="5" t="s">
        <v>145</v>
      </c>
      <c r="C78" s="5" t="s">
        <v>146</v>
      </c>
      <c r="D78" s="4" t="str">
        <f>"69#11"</f>
        <v>69#11</v>
      </c>
      <c r="E78" s="4" t="str">
        <f>"3M,5P,6M,9M,11A"</f>
        <v>3M,5P,6M,9M,11A</v>
      </c>
      <c r="F78" s="4" t="str">
        <f t="shared" si="19"/>
        <v/>
      </c>
      <c r="G78" s="4" t="str">
        <f t="shared" si="18"/>
        <v>Major</v>
      </c>
    </row>
    <row r="79" ht="14.25" spans="1:7">
      <c r="A79" s="4">
        <v>78</v>
      </c>
      <c r="B79" s="5" t="s">
        <v>147</v>
      </c>
      <c r="C79" s="5" t="s">
        <v>148</v>
      </c>
      <c r="D79" s="4" t="str">
        <f>"M13#11,maj13#11,M13+4,M13#4"</f>
        <v>M13#11,maj13#11,M13+4,M13#4</v>
      </c>
      <c r="E79" s="4" t="str">
        <f>"3M,5P,7M,9M,11A,13M"</f>
        <v>3M,5P,7M,9M,11A,13M</v>
      </c>
      <c r="F79" s="4" t="str">
        <f t="shared" si="19"/>
        <v/>
      </c>
      <c r="G79" s="4" t="str">
        <f t="shared" si="18"/>
        <v>Major</v>
      </c>
    </row>
    <row r="80" ht="14.25" spans="1:7">
      <c r="A80" s="4">
        <v>79</v>
      </c>
      <c r="B80" s="5" t="s">
        <v>149</v>
      </c>
      <c r="C80" s="5" t="s">
        <v>150</v>
      </c>
      <c r="D80" s="4" t="str">
        <f>"13#11,13+4,13#4"</f>
        <v>13#11,13+4,13#4</v>
      </c>
      <c r="E80" s="4" t="str">
        <f>"3M,5P,7m,9M,11A,13M"</f>
        <v>3M,5P,7m,9M,11A,13M</v>
      </c>
      <c r="F80" s="4" t="str">
        <f t="shared" si="19"/>
        <v/>
      </c>
      <c r="G80" s="4" t="str">
        <f t="shared" si="18"/>
        <v>Major</v>
      </c>
    </row>
    <row r="81" ht="14.25" spans="1:7">
      <c r="A81" s="4">
        <v>80</v>
      </c>
      <c r="B81" s="5" t="s">
        <v>151</v>
      </c>
      <c r="C81" s="5" t="s">
        <v>152</v>
      </c>
      <c r="D81" s="4" t="str">
        <f>"9#11b13,9b5b13"</f>
        <v>9#11b13,9b5b13</v>
      </c>
      <c r="E81" s="4" t="str">
        <f>"3M,5P,7m,9M,11A,13m"</f>
        <v>3M,5P,7m,9M,11A,13m</v>
      </c>
      <c r="F81" s="4" t="str">
        <f t="shared" si="19"/>
        <v/>
      </c>
      <c r="G81" s="4" t="str">
        <f t="shared" si="18"/>
        <v>Major</v>
      </c>
    </row>
    <row r="82" ht="14.25" spans="1:7">
      <c r="A82" s="4">
        <v>81</v>
      </c>
      <c r="B82" s="5" t="s">
        <v>153</v>
      </c>
      <c r="C82" s="5" t="s">
        <v>154</v>
      </c>
      <c r="D82" s="4" t="str">
        <f>"m9#5"</f>
        <v>m9#5</v>
      </c>
      <c r="E82" s="4" t="str">
        <f>"3m,6m,7m,9M"</f>
        <v>3m,6m,7m,9M</v>
      </c>
      <c r="F82" s="4" t="str">
        <f t="shared" si="19"/>
        <v/>
      </c>
      <c r="G82" s="4" t="str">
        <f t="shared" ref="G82:G88" si="20">"Minor"</f>
        <v>Minor</v>
      </c>
    </row>
    <row r="83" ht="14.25" spans="1:7">
      <c r="A83" s="4">
        <v>82</v>
      </c>
      <c r="B83" s="5" t="s">
        <v>155</v>
      </c>
      <c r="C83" s="5" t="s">
        <v>156</v>
      </c>
      <c r="D83" s="4" t="str">
        <f>"madd9"</f>
        <v>madd9</v>
      </c>
      <c r="E83" s="4" t="str">
        <f>"3m,5P,9M"</f>
        <v>3m,5P,9M</v>
      </c>
      <c r="F83" s="4" t="str">
        <f t="shared" si="19"/>
        <v/>
      </c>
      <c r="G83" s="4" t="str">
        <f t="shared" si="20"/>
        <v>Minor</v>
      </c>
    </row>
    <row r="84" ht="14.25" spans="1:7">
      <c r="A84" s="4">
        <v>83</v>
      </c>
      <c r="B84" s="5" t="s">
        <v>157</v>
      </c>
      <c r="C84" s="5" t="s">
        <v>158</v>
      </c>
      <c r="D84" s="4" t="str">
        <f>"mM9,mMaj9,-^9"</f>
        <v>mM9,mMaj9,-^9</v>
      </c>
      <c r="E84" s="4" t="str">
        <f>"3m,5P,7M,9M"</f>
        <v>3m,5P,7M,9M</v>
      </c>
      <c r="F84" s="4" t="str">
        <f>"minor/major ninth"</f>
        <v>minor/major ninth</v>
      </c>
      <c r="G84" s="4" t="str">
        <f t="shared" si="20"/>
        <v>Minor</v>
      </c>
    </row>
    <row r="85" ht="14.25" spans="1:7">
      <c r="A85" s="4">
        <v>84</v>
      </c>
      <c r="B85" s="5" t="s">
        <v>159</v>
      </c>
      <c r="C85" s="5" t="s">
        <v>160</v>
      </c>
      <c r="D85" s="4" t="str">
        <f>"m9,-9"</f>
        <v>m9,-9</v>
      </c>
      <c r="E85" s="4" t="str">
        <f>"3m,5P,7m,9M"</f>
        <v>3m,5P,7m,9M</v>
      </c>
      <c r="F85" s="4" t="str">
        <f>"minor ninth"</f>
        <v>minor ninth</v>
      </c>
      <c r="G85" s="4" t="str">
        <f t="shared" si="20"/>
        <v>Minor</v>
      </c>
    </row>
    <row r="86" ht="14.25" spans="1:7">
      <c r="A86" s="4">
        <v>85</v>
      </c>
      <c r="B86" s="5" t="s">
        <v>161</v>
      </c>
      <c r="C86" s="5" t="s">
        <v>162</v>
      </c>
      <c r="D86" s="4" t="str">
        <f>"m69,-69"</f>
        <v>m69,-69</v>
      </c>
      <c r="E86" s="4" t="str">
        <f>"3m,5P,6M,9M"</f>
        <v>3m,5P,6M,9M</v>
      </c>
      <c r="F86" s="4" t="str">
        <f t="shared" ref="F86:F90" si="21">""</f>
        <v/>
      </c>
      <c r="G86" s="4" t="str">
        <f t="shared" si="20"/>
        <v>Minor</v>
      </c>
    </row>
    <row r="87" ht="14.25" spans="1:7">
      <c r="A87" s="4">
        <v>86</v>
      </c>
      <c r="B87" s="5" t="s">
        <v>163</v>
      </c>
      <c r="C87" s="5" t="s">
        <v>164</v>
      </c>
      <c r="D87" s="4" t="str">
        <f>"m13,-13"</f>
        <v>m13,-13</v>
      </c>
      <c r="E87" s="4" t="str">
        <f>"3m,5P,7m,9M,13M"</f>
        <v>3m,5P,7m,9M,13M</v>
      </c>
      <c r="F87" s="4" t="str">
        <f>"minor thirteenth"</f>
        <v>minor thirteenth</v>
      </c>
      <c r="G87" s="4" t="str">
        <f t="shared" si="20"/>
        <v>Minor</v>
      </c>
    </row>
    <row r="88" ht="14.25" spans="1:7">
      <c r="A88" s="4">
        <v>87</v>
      </c>
      <c r="B88" s="5" t="s">
        <v>165</v>
      </c>
      <c r="C88" s="5" t="s">
        <v>166</v>
      </c>
      <c r="D88" s="4" t="str">
        <f>"mMaj9b6"</f>
        <v>mMaj9b6</v>
      </c>
      <c r="E88" s="4" t="str">
        <f>"3m,5P,6m,7M,9M"</f>
        <v>3m,5P,6m,7M,9M</v>
      </c>
      <c r="F88" s="4" t="str">
        <f t="shared" si="21"/>
        <v/>
      </c>
      <c r="G88" s="4" t="str">
        <f t="shared" si="20"/>
        <v>Minor</v>
      </c>
    </row>
    <row r="89" ht="14.25" spans="1:7">
      <c r="A89" s="4">
        <v>88</v>
      </c>
      <c r="B89" s="5" t="s">
        <v>167</v>
      </c>
      <c r="C89" s="5" t="s">
        <v>168</v>
      </c>
      <c r="D89" s="4" t="str">
        <f>"m9b5"</f>
        <v>m9b5</v>
      </c>
      <c r="E89" s="4" t="str">
        <f>"2M,3m,5d,7m"</f>
        <v>2M,3m,5d,7m</v>
      </c>
      <c r="F89" s="4" t="str">
        <f t="shared" si="21"/>
        <v/>
      </c>
      <c r="G89" s="4" t="str">
        <f>"Diminished"</f>
        <v>Diminished</v>
      </c>
    </row>
    <row r="90" ht="14.25" spans="1:7">
      <c r="A90" s="4">
        <v>89</v>
      </c>
      <c r="B90" s="5" t="s">
        <v>169</v>
      </c>
      <c r="C90" s="5" t="s">
        <v>170</v>
      </c>
      <c r="D90" s="4" t="str">
        <f>"m11A"</f>
        <v>m11A</v>
      </c>
      <c r="E90" s="4" t="str">
        <f>"3m,5A,7m,9M,11P"</f>
        <v>3m,5A,7m,9M,11P</v>
      </c>
      <c r="F90" s="4" t="str">
        <f t="shared" si="21"/>
        <v/>
      </c>
      <c r="G90" s="4" t="str">
        <f>"Augmented"</f>
        <v>Augmented</v>
      </c>
    </row>
    <row r="91" ht="14.25" spans="1:7">
      <c r="A91" s="4">
        <v>90</v>
      </c>
      <c r="B91" s="5" t="s">
        <v>171</v>
      </c>
      <c r="C91" s="5" t="s">
        <v>172</v>
      </c>
      <c r="D91" s="4" t="str">
        <f>"m11,-11"</f>
        <v>m11,-11</v>
      </c>
      <c r="E91" s="4" t="str">
        <f>"3m,5P,7m,9M,11P"</f>
        <v>3m,5P,7m,9M,11P</v>
      </c>
      <c r="F91" s="4" t="str">
        <f>"minor eleventh"</f>
        <v>minor eleventh</v>
      </c>
      <c r="G91" s="4" t="str">
        <f>"Minor"</f>
        <v>Minor</v>
      </c>
    </row>
    <row r="92" ht="14.25" spans="1:7">
      <c r="A92" s="4">
        <v>91</v>
      </c>
      <c r="B92" s="5" t="s">
        <v>173</v>
      </c>
      <c r="C92" s="5" t="s">
        <v>174</v>
      </c>
      <c r="D92" s="4" t="str">
        <f>"b9sus,phryg,7b9sus,7b9sus4"</f>
        <v>b9sus,phryg,7b9sus,7b9sus4</v>
      </c>
      <c r="E92" s="4" t="str">
        <f>"4P,5P,7m,9m"</f>
        <v>4P,5P,7m,9m</v>
      </c>
      <c r="F92" s="4" t="str">
        <f>"suspended fourth flat ninth"</f>
        <v>suspended fourth flat ninth</v>
      </c>
      <c r="G92" s="4" t="str">
        <f t="shared" ref="G92:G94" si="22">"Unknown"</f>
        <v>Unknown</v>
      </c>
    </row>
    <row r="93" ht="14.25" spans="1:7">
      <c r="A93" s="4">
        <v>92</v>
      </c>
      <c r="B93" s="5" t="s">
        <v>175</v>
      </c>
      <c r="C93" s="5" t="s">
        <v>176</v>
      </c>
      <c r="D93" s="4" t="str">
        <f>"11b9"</f>
        <v>11b9</v>
      </c>
      <c r="E93" s="4" t="str">
        <f>"5P,7m,9m,11P"</f>
        <v>5P,7m,9m,11P</v>
      </c>
      <c r="F93" s="4" t="str">
        <f t="shared" ref="F93:F98" si="23">""</f>
        <v/>
      </c>
      <c r="G93" s="4" t="str">
        <f t="shared" si="22"/>
        <v>Unknown</v>
      </c>
    </row>
    <row r="94" ht="14.25" spans="1:7">
      <c r="A94" s="4">
        <v>93</v>
      </c>
      <c r="B94" s="5" t="s">
        <v>177</v>
      </c>
      <c r="C94" s="5" t="s">
        <v>178</v>
      </c>
      <c r="D94" s="4" t="str">
        <f>"7sus4b9b13,7b9b13sus4"</f>
        <v>7sus4b9b13,7b9b13sus4</v>
      </c>
      <c r="E94" s="4" t="str">
        <f>"4P,5P,7m,9m,13m"</f>
        <v>4P,5P,7m,9m,13m</v>
      </c>
      <c r="F94" s="4" t="str">
        <f t="shared" si="23"/>
        <v/>
      </c>
      <c r="G94" s="4" t="str">
        <f t="shared" si="22"/>
        <v>Unknown</v>
      </c>
    </row>
    <row r="95" ht="14.25" spans="1:7">
      <c r="A95" s="4">
        <v>94</v>
      </c>
      <c r="B95" s="5" t="s">
        <v>179</v>
      </c>
      <c r="C95" s="5" t="s">
        <v>180</v>
      </c>
      <c r="D95" s="4" t="str">
        <f>"alt7"</f>
        <v>alt7</v>
      </c>
      <c r="E95" s="4" t="str">
        <f>"3M,7m,9m"</f>
        <v>3M,7m,9m</v>
      </c>
      <c r="F95" s="4" t="str">
        <f>"altered"</f>
        <v>altered</v>
      </c>
      <c r="G95" s="4" t="str">
        <f t="shared" ref="G95:G101" si="24">"Major"</f>
        <v>Major</v>
      </c>
    </row>
    <row r="96" ht="14.25" spans="1:7">
      <c r="A96" s="4">
        <v>95</v>
      </c>
      <c r="B96" s="5" t="s">
        <v>181</v>
      </c>
      <c r="C96" s="5" t="s">
        <v>182</v>
      </c>
      <c r="D96" s="4" t="str">
        <f>"7#5b9,7b9#5"</f>
        <v>7#5b9,7b9#5</v>
      </c>
      <c r="E96" s="4" t="str">
        <f>"3M,5A,7m,9m"</f>
        <v>3M,5A,7m,9m</v>
      </c>
      <c r="F96" s="4" t="str">
        <f t="shared" si="23"/>
        <v/>
      </c>
      <c r="G96" s="4" t="str">
        <f>"Augmented"</f>
        <v>Augmented</v>
      </c>
    </row>
    <row r="97" ht="14.25" spans="1:7">
      <c r="A97" s="4">
        <v>96</v>
      </c>
      <c r="B97" s="5" t="s">
        <v>183</v>
      </c>
      <c r="C97" s="5" t="s">
        <v>184</v>
      </c>
      <c r="D97" s="4" t="str">
        <f>"Maddb9"</f>
        <v>Maddb9</v>
      </c>
      <c r="E97" s="4" t="str">
        <f>"3M,5P,9m"</f>
        <v>3M,5P,9m</v>
      </c>
      <c r="F97" s="4" t="str">
        <f t="shared" si="23"/>
        <v/>
      </c>
      <c r="G97" s="4" t="str">
        <f t="shared" si="24"/>
        <v>Major</v>
      </c>
    </row>
    <row r="98" ht="14.25" spans="1:7">
      <c r="A98" s="4">
        <v>97</v>
      </c>
      <c r="B98" s="5" t="s">
        <v>185</v>
      </c>
      <c r="C98" s="5" t="s">
        <v>186</v>
      </c>
      <c r="D98" s="4" t="str">
        <f>"M7b9"</f>
        <v>M7b9</v>
      </c>
      <c r="E98" s="4" t="str">
        <f>"3M,5P,7M,9m"</f>
        <v>3M,5P,7M,9m</v>
      </c>
      <c r="F98" s="4" t="str">
        <f t="shared" si="23"/>
        <v/>
      </c>
      <c r="G98" s="4" t="str">
        <f t="shared" si="24"/>
        <v>Major</v>
      </c>
    </row>
    <row r="99" ht="14.25" spans="1:7">
      <c r="A99" s="4">
        <v>98</v>
      </c>
      <c r="B99" s="5" t="s">
        <v>179</v>
      </c>
      <c r="C99" s="5" t="s">
        <v>180</v>
      </c>
      <c r="D99" s="4" t="str">
        <f>"7b9"</f>
        <v>7b9</v>
      </c>
      <c r="E99" s="4" t="str">
        <f>"3M,5P,7m,9m"</f>
        <v>3M,5P,7m,9m</v>
      </c>
      <c r="F99" s="4" t="str">
        <f>"dominant flat ninth"</f>
        <v>dominant flat ninth</v>
      </c>
      <c r="G99" s="4" t="str">
        <f t="shared" si="24"/>
        <v>Major</v>
      </c>
    </row>
    <row r="100" ht="14.25" spans="1:7">
      <c r="A100" s="4">
        <v>99</v>
      </c>
      <c r="B100" s="5" t="s">
        <v>187</v>
      </c>
      <c r="C100" s="5" t="s">
        <v>188</v>
      </c>
      <c r="D100" s="4" t="str">
        <f>"13b9"</f>
        <v>13b9</v>
      </c>
      <c r="E100" s="4" t="str">
        <f>"3M,5P,7m,9m,13M"</f>
        <v>3M,5P,7m,9m,13M</v>
      </c>
      <c r="F100" s="4" t="str">
        <f t="shared" ref="F100:F107" si="25">""</f>
        <v/>
      </c>
      <c r="G100" s="4" t="str">
        <f t="shared" si="24"/>
        <v>Major</v>
      </c>
    </row>
    <row r="101" ht="14.25" spans="1:7">
      <c r="A101" s="4">
        <v>100</v>
      </c>
      <c r="B101" s="5" t="s">
        <v>189</v>
      </c>
      <c r="C101" s="5" t="s">
        <v>190</v>
      </c>
      <c r="D101" s="4" t="str">
        <f>"7b9b13"</f>
        <v>7b9b13</v>
      </c>
      <c r="E101" s="4" t="str">
        <f>"3M,5P,7m,9m,13m"</f>
        <v>3M,5P,7m,9m,13m</v>
      </c>
      <c r="F101" s="4" t="str">
        <f t="shared" si="25"/>
        <v/>
      </c>
      <c r="G101" s="4" t="str">
        <f t="shared" si="24"/>
        <v>Major</v>
      </c>
    </row>
    <row r="102" ht="14.25" spans="1:7">
      <c r="A102" s="4">
        <v>101</v>
      </c>
      <c r="B102" s="5" t="s">
        <v>191</v>
      </c>
      <c r="C102" s="5" t="s">
        <v>192</v>
      </c>
      <c r="D102" s="4" t="str">
        <f>"7#5b9#11"</f>
        <v>7#5b9#11</v>
      </c>
      <c r="E102" s="4" t="str">
        <f>"3M,5A,7m,9m,11A"</f>
        <v>3M,5A,7m,9m,11A</v>
      </c>
      <c r="F102" s="4" t="str">
        <f t="shared" si="25"/>
        <v/>
      </c>
      <c r="G102" s="4" t="str">
        <f>"Augmented"</f>
        <v>Augmented</v>
      </c>
    </row>
    <row r="103" ht="14.25" spans="1:7">
      <c r="A103" s="4">
        <v>102</v>
      </c>
      <c r="B103" s="5" t="s">
        <v>193</v>
      </c>
      <c r="C103" s="5" t="s">
        <v>194</v>
      </c>
      <c r="D103" s="4" t="str">
        <f>"7b9#11,7b5b9,7b9b5"</f>
        <v>7b9#11,7b5b9,7b9b5</v>
      </c>
      <c r="E103" s="4" t="str">
        <f>"3M,5P,7m,9m,11A"</f>
        <v>3M,5P,7m,9m,11A</v>
      </c>
      <c r="F103" s="4" t="str">
        <f t="shared" si="25"/>
        <v/>
      </c>
      <c r="G103" s="4" t="str">
        <f t="shared" ref="G103:G105" si="26">"Major"</f>
        <v>Major</v>
      </c>
    </row>
    <row r="104" ht="14.25" spans="1:7">
      <c r="A104" s="4">
        <v>103</v>
      </c>
      <c r="B104" s="5" t="s">
        <v>195</v>
      </c>
      <c r="C104" s="5" t="s">
        <v>196</v>
      </c>
      <c r="D104" s="4" t="str">
        <f>"13b9#11"</f>
        <v>13b9#11</v>
      </c>
      <c r="E104" s="4" t="str">
        <f>"3M,5P,7m,9m,11A,13M"</f>
        <v>3M,5P,7m,9m,11A,13M</v>
      </c>
      <c r="F104" s="4" t="str">
        <f t="shared" si="25"/>
        <v/>
      </c>
      <c r="G104" s="4" t="str">
        <f t="shared" si="26"/>
        <v>Major</v>
      </c>
    </row>
    <row r="105" ht="14.25" spans="1:7">
      <c r="A105" s="4">
        <v>104</v>
      </c>
      <c r="B105" s="5"/>
      <c r="C105" s="5"/>
      <c r="D105" s="4" t="str">
        <f>"7b9b13#11,7b9#11b13,7b5b9b13"</f>
        <v>7b9b13#11,7b9#11b13,7b5b9b13</v>
      </c>
      <c r="E105" s="4" t="str">
        <f>"3M,5P,7m,9m,11A,13m"</f>
        <v>3M,5P,7m,9m,11A,13m</v>
      </c>
      <c r="F105" s="4" t="str">
        <f t="shared" si="25"/>
        <v/>
      </c>
      <c r="G105" s="4" t="str">
        <f t="shared" si="26"/>
        <v>Major</v>
      </c>
    </row>
    <row r="106" ht="14.25" spans="1:7">
      <c r="A106" s="4">
        <v>105</v>
      </c>
      <c r="B106" s="5"/>
      <c r="C106" s="5"/>
      <c r="D106" s="4" t="str">
        <f>"mb6b9"</f>
        <v>mb6b9</v>
      </c>
      <c r="E106" s="4" t="str">
        <f>"3m,6m,9m"</f>
        <v>3m,6m,9m</v>
      </c>
      <c r="F106" s="4" t="str">
        <f t="shared" si="25"/>
        <v/>
      </c>
      <c r="G106" s="4" t="str">
        <f>"Minor"</f>
        <v>Minor</v>
      </c>
    </row>
    <row r="107" ht="14.25" spans="1:7">
      <c r="A107" s="4">
        <v>106</v>
      </c>
      <c r="B107" s="5" t="s">
        <v>3</v>
      </c>
      <c r="C107" s="5"/>
      <c r="D107" s="4" t="str">
        <f>"7b9#9"</f>
        <v>7b9#9</v>
      </c>
      <c r="E107" s="4" t="str">
        <f>"3M,5P,7m,9m,9A"</f>
        <v>3M,5P,7m,9m,9A</v>
      </c>
      <c r="F107" s="4" t="str">
        <f t="shared" si="25"/>
        <v/>
      </c>
      <c r="G107" s="4" t="str">
        <f>"Major"</f>
        <v>Major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zoomScale="107" zoomScaleNormal="107" workbookViewId="0">
      <selection activeCell="G68" sqref="G68"/>
    </sheetView>
  </sheetViews>
  <sheetFormatPr defaultColWidth="9.23333333333333" defaultRowHeight="16.5" outlineLevelCol="7"/>
  <cols>
    <col min="1" max="1" width="9.23333333333333" style="2"/>
    <col min="2" max="2" width="18.6916666666667" style="2" customWidth="1"/>
    <col min="3" max="3" width="18.6916666666667" style="1" customWidth="1"/>
    <col min="4" max="4" width="28.5583333333333" style="2" customWidth="1"/>
    <col min="5" max="5" width="18.8" style="1" customWidth="1"/>
    <col min="6" max="6" width="16.125" style="1" customWidth="1"/>
    <col min="7" max="7" width="28.8666666666667" style="2" customWidth="1"/>
    <col min="8" max="8" width="39.3833333333333" style="2" customWidth="1"/>
    <col min="9" max="16384" width="9.23333333333333" style="2"/>
  </cols>
  <sheetData>
    <row r="1" spans="1:8">
      <c r="A1" s="2" t="s">
        <v>0</v>
      </c>
      <c r="B1" s="2" t="s">
        <v>197</v>
      </c>
      <c r="C1" s="1" t="s">
        <v>198</v>
      </c>
      <c r="D1" s="2" t="s">
        <v>199</v>
      </c>
      <c r="E1" s="1" t="s">
        <v>200</v>
      </c>
      <c r="F1" s="1" t="s">
        <v>201</v>
      </c>
      <c r="G1" s="2" t="s">
        <v>202</v>
      </c>
      <c r="H1" s="2" t="s">
        <v>203</v>
      </c>
    </row>
    <row r="2" spans="1:8">
      <c r="A2" s="2">
        <v>1</v>
      </c>
      <c r="B2" s="2" t="s">
        <v>204</v>
      </c>
      <c r="C2" s="1" t="s">
        <v>205</v>
      </c>
      <c r="D2" s="2" t="s">
        <v>25</v>
      </c>
      <c r="E2" s="1" t="s">
        <v>24</v>
      </c>
      <c r="G2" s="2" t="s">
        <v>206</v>
      </c>
      <c r="H2" s="2">
        <f>LEN(G2)-LEN(SUBSTITUTE(G2,",",""))+2</f>
        <v>3</v>
      </c>
    </row>
    <row r="3" spans="1:8">
      <c r="A3" s="2">
        <v>2</v>
      </c>
      <c r="B3" s="2" t="s">
        <v>204</v>
      </c>
      <c r="C3" s="1" t="s">
        <v>205</v>
      </c>
      <c r="D3" s="2" t="s">
        <v>55</v>
      </c>
      <c r="E3" s="1" t="s">
        <v>54</v>
      </c>
      <c r="F3" s="1" t="s">
        <v>207</v>
      </c>
      <c r="G3" s="2" t="s">
        <v>208</v>
      </c>
      <c r="H3" s="2">
        <f t="shared" ref="H3:H34" si="0">LEN(G3)-LEN(SUBSTITUTE(G3,",",""))+2</f>
        <v>3</v>
      </c>
    </row>
    <row r="4" spans="1:8">
      <c r="A4" s="2">
        <v>3</v>
      </c>
      <c r="B4" s="2" t="s">
        <v>204</v>
      </c>
      <c r="C4" s="1" t="s">
        <v>205</v>
      </c>
      <c r="D4" s="2" t="s">
        <v>65</v>
      </c>
      <c r="E4" s="1" t="s">
        <v>64</v>
      </c>
      <c r="F4" s="1" t="s">
        <v>209</v>
      </c>
      <c r="G4" s="2" t="s">
        <v>210</v>
      </c>
      <c r="H4" s="2">
        <f t="shared" si="0"/>
        <v>3</v>
      </c>
    </row>
    <row r="5" spans="1:8">
      <c r="A5" s="2">
        <v>4</v>
      </c>
      <c r="B5" s="2" t="s">
        <v>204</v>
      </c>
      <c r="C5" s="1" t="s">
        <v>205</v>
      </c>
      <c r="D5" s="2" t="s">
        <v>15</v>
      </c>
      <c r="E5" s="1" t="s">
        <v>14</v>
      </c>
      <c r="F5" s="1" t="s">
        <v>211</v>
      </c>
      <c r="G5" s="2" t="s">
        <v>212</v>
      </c>
      <c r="H5" s="2">
        <f t="shared" si="0"/>
        <v>3</v>
      </c>
    </row>
    <row r="6" spans="1:8">
      <c r="A6" s="2">
        <v>5</v>
      </c>
      <c r="B6" s="2" t="s">
        <v>204</v>
      </c>
      <c r="C6" s="1" t="s">
        <v>205</v>
      </c>
      <c r="D6" s="2" t="s">
        <v>213</v>
      </c>
      <c r="E6" s="1" t="s">
        <v>36</v>
      </c>
      <c r="F6" s="1">
        <v>-5</v>
      </c>
      <c r="G6" s="2" t="s">
        <v>214</v>
      </c>
      <c r="H6" s="2">
        <f t="shared" si="0"/>
        <v>3</v>
      </c>
    </row>
    <row r="7" spans="1:8">
      <c r="A7" s="2">
        <v>6</v>
      </c>
      <c r="B7" s="2" t="s">
        <v>215</v>
      </c>
      <c r="C7" s="1" t="s">
        <v>216</v>
      </c>
      <c r="D7" s="2" t="s">
        <v>217</v>
      </c>
      <c r="E7" s="1" t="s">
        <v>218</v>
      </c>
      <c r="F7" s="1">
        <v>6</v>
      </c>
      <c r="G7" s="2" t="s">
        <v>219</v>
      </c>
      <c r="H7" s="2">
        <f t="shared" si="0"/>
        <v>4</v>
      </c>
    </row>
    <row r="8" spans="1:8">
      <c r="A8" s="2">
        <v>7</v>
      </c>
      <c r="B8" s="2" t="s">
        <v>215</v>
      </c>
      <c r="C8" s="1" t="s">
        <v>216</v>
      </c>
      <c r="D8" s="2" t="s">
        <v>220</v>
      </c>
      <c r="E8" s="1" t="s">
        <v>221</v>
      </c>
      <c r="F8" s="1" t="s">
        <v>222</v>
      </c>
      <c r="G8" s="2" t="s">
        <v>223</v>
      </c>
      <c r="H8" s="2">
        <f t="shared" si="0"/>
        <v>4</v>
      </c>
    </row>
    <row r="9" spans="1:8">
      <c r="A9" s="2">
        <v>8</v>
      </c>
      <c r="B9" s="2" t="s">
        <v>215</v>
      </c>
      <c r="C9" s="1" t="s">
        <v>216</v>
      </c>
      <c r="D9" s="2" t="s">
        <v>126</v>
      </c>
      <c r="E9" s="1" t="s">
        <v>224</v>
      </c>
      <c r="F9" s="1" t="s">
        <v>225</v>
      </c>
      <c r="G9" s="2" t="s">
        <v>226</v>
      </c>
      <c r="H9" s="2">
        <f t="shared" si="0"/>
        <v>5</v>
      </c>
    </row>
    <row r="10" spans="1:8">
      <c r="A10" s="2">
        <v>9</v>
      </c>
      <c r="B10" s="2" t="s">
        <v>215</v>
      </c>
      <c r="C10" s="1" t="s">
        <v>216</v>
      </c>
      <c r="D10" s="2" t="s">
        <v>162</v>
      </c>
      <c r="E10" s="1" t="s">
        <v>227</v>
      </c>
      <c r="F10" s="1" t="s">
        <v>228</v>
      </c>
      <c r="G10" s="2" t="s">
        <v>229</v>
      </c>
      <c r="H10" s="2">
        <f t="shared" si="0"/>
        <v>5</v>
      </c>
    </row>
    <row r="11" spans="1:8">
      <c r="A11" s="2">
        <v>10</v>
      </c>
      <c r="B11" s="2" t="s">
        <v>215</v>
      </c>
      <c r="C11" s="1" t="s">
        <v>216</v>
      </c>
      <c r="D11" s="2" t="s">
        <v>230</v>
      </c>
      <c r="E11" s="1" t="s">
        <v>119</v>
      </c>
      <c r="F11" s="1" t="s">
        <v>231</v>
      </c>
      <c r="G11" s="2" t="s">
        <v>232</v>
      </c>
      <c r="H11" s="2">
        <f t="shared" si="0"/>
        <v>4</v>
      </c>
    </row>
    <row r="12" spans="1:8">
      <c r="A12" s="2">
        <v>11</v>
      </c>
      <c r="B12" s="2" t="s">
        <v>215</v>
      </c>
      <c r="C12" s="1" t="s">
        <v>216</v>
      </c>
      <c r="D12" s="2" t="s">
        <v>233</v>
      </c>
      <c r="E12" s="1" t="s">
        <v>234</v>
      </c>
      <c r="F12" s="1" t="s">
        <v>235</v>
      </c>
      <c r="G12" s="2" t="s">
        <v>236</v>
      </c>
      <c r="H12" s="2">
        <f t="shared" si="0"/>
        <v>4</v>
      </c>
    </row>
    <row r="13" spans="1:8">
      <c r="A13" s="2">
        <v>12</v>
      </c>
      <c r="B13" s="2" t="s">
        <v>215</v>
      </c>
      <c r="C13" s="1" t="s">
        <v>216</v>
      </c>
      <c r="D13" s="2" t="s">
        <v>237</v>
      </c>
      <c r="E13" s="1" t="s">
        <v>155</v>
      </c>
      <c r="F13" s="1" t="s">
        <v>238</v>
      </c>
      <c r="G13" s="2" t="s">
        <v>239</v>
      </c>
      <c r="H13" s="2">
        <f t="shared" si="0"/>
        <v>4</v>
      </c>
    </row>
    <row r="14" spans="1:8">
      <c r="A14" s="2">
        <v>13</v>
      </c>
      <c r="B14" s="2" t="s">
        <v>215</v>
      </c>
      <c r="C14" s="1" t="s">
        <v>216</v>
      </c>
      <c r="D14" s="2" t="s">
        <v>240</v>
      </c>
      <c r="E14" s="1" t="s">
        <v>72</v>
      </c>
      <c r="F14" s="1" t="s">
        <v>241</v>
      </c>
      <c r="G14" s="2" t="s">
        <v>242</v>
      </c>
      <c r="H14" s="2">
        <f t="shared" si="0"/>
        <v>4</v>
      </c>
    </row>
    <row r="15" spans="1:8">
      <c r="A15" s="2">
        <v>14</v>
      </c>
      <c r="B15" s="2" t="s">
        <v>215</v>
      </c>
      <c r="C15" s="1" t="s">
        <v>216</v>
      </c>
      <c r="D15" s="2" t="s">
        <v>243</v>
      </c>
      <c r="E15" s="1" t="s">
        <v>244</v>
      </c>
      <c r="F15" s="1" t="s">
        <v>245</v>
      </c>
      <c r="G15" s="2" t="s">
        <v>246</v>
      </c>
      <c r="H15" s="2">
        <f t="shared" si="0"/>
        <v>5</v>
      </c>
    </row>
    <row r="16" spans="1:8">
      <c r="A16" s="2">
        <v>15</v>
      </c>
      <c r="B16" s="2" t="s">
        <v>215</v>
      </c>
      <c r="C16" s="1" t="s">
        <v>216</v>
      </c>
      <c r="D16" s="2" t="s">
        <v>247</v>
      </c>
      <c r="E16" s="1" t="s">
        <v>248</v>
      </c>
      <c r="F16" s="1" t="s">
        <v>249</v>
      </c>
      <c r="G16" s="2" t="s">
        <v>250</v>
      </c>
      <c r="H16" s="2">
        <f t="shared" si="0"/>
        <v>5</v>
      </c>
    </row>
    <row r="17" spans="1:8">
      <c r="A17" s="2">
        <v>16</v>
      </c>
      <c r="B17" s="2" t="s">
        <v>251</v>
      </c>
      <c r="C17" s="1" t="s">
        <v>252</v>
      </c>
      <c r="D17" s="2" t="s">
        <v>253</v>
      </c>
      <c r="E17" s="1" t="s">
        <v>254</v>
      </c>
      <c r="F17" s="1" t="s">
        <v>255</v>
      </c>
      <c r="G17" s="2" t="s">
        <v>256</v>
      </c>
      <c r="H17" s="2">
        <f t="shared" si="0"/>
        <v>3</v>
      </c>
    </row>
    <row r="18" spans="1:8">
      <c r="A18" s="2">
        <v>17</v>
      </c>
      <c r="B18" s="2" t="s">
        <v>251</v>
      </c>
      <c r="C18" s="1" t="s">
        <v>252</v>
      </c>
      <c r="D18" s="2" t="s">
        <v>257</v>
      </c>
      <c r="E18" s="1" t="s">
        <v>258</v>
      </c>
      <c r="F18" s="1" t="s">
        <v>259</v>
      </c>
      <c r="G18" s="2" t="s">
        <v>260</v>
      </c>
      <c r="H18" s="2">
        <f t="shared" si="0"/>
        <v>4</v>
      </c>
    </row>
    <row r="19" spans="1:8">
      <c r="A19" s="2">
        <v>18</v>
      </c>
      <c r="B19" s="2" t="s">
        <v>251</v>
      </c>
      <c r="C19" s="1" t="s">
        <v>252</v>
      </c>
      <c r="D19" s="2" t="s">
        <v>261</v>
      </c>
      <c r="E19" s="1" t="s">
        <v>262</v>
      </c>
      <c r="F19" s="1" t="s">
        <v>263</v>
      </c>
      <c r="G19" s="2" t="s">
        <v>264</v>
      </c>
      <c r="H19" s="2">
        <f t="shared" si="0"/>
        <v>4</v>
      </c>
    </row>
    <row r="20" spans="1:8">
      <c r="A20" s="2">
        <v>19</v>
      </c>
      <c r="B20" s="2" t="s">
        <v>265</v>
      </c>
      <c r="C20" s="1" t="s">
        <v>266</v>
      </c>
      <c r="D20" s="2" t="s">
        <v>27</v>
      </c>
      <c r="E20" s="1" t="s">
        <v>26</v>
      </c>
      <c r="F20" s="1" t="s">
        <v>267</v>
      </c>
      <c r="G20" s="2" t="s">
        <v>268</v>
      </c>
      <c r="H20" s="2">
        <f t="shared" si="0"/>
        <v>4</v>
      </c>
    </row>
    <row r="21" spans="1:8">
      <c r="A21" s="2">
        <v>20</v>
      </c>
      <c r="B21" s="2" t="s">
        <v>265</v>
      </c>
      <c r="C21" s="1" t="s">
        <v>266</v>
      </c>
      <c r="D21" s="2" t="s">
        <v>29</v>
      </c>
      <c r="E21" s="1" t="s">
        <v>28</v>
      </c>
      <c r="F21" s="1" t="s">
        <v>269</v>
      </c>
      <c r="G21" s="2" t="s">
        <v>270</v>
      </c>
      <c r="H21" s="2">
        <f t="shared" si="0"/>
        <v>4</v>
      </c>
    </row>
    <row r="22" spans="1:8">
      <c r="A22" s="2">
        <v>21</v>
      </c>
      <c r="B22" s="2" t="s">
        <v>265</v>
      </c>
      <c r="C22" s="1" t="s">
        <v>266</v>
      </c>
      <c r="D22" s="2" t="s">
        <v>59</v>
      </c>
      <c r="E22" s="1" t="s">
        <v>58</v>
      </c>
      <c r="F22" s="1" t="s">
        <v>271</v>
      </c>
      <c r="G22" s="2" t="s">
        <v>272</v>
      </c>
      <c r="H22" s="2">
        <f t="shared" si="0"/>
        <v>4</v>
      </c>
    </row>
    <row r="23" spans="1:8">
      <c r="A23" s="2">
        <v>22</v>
      </c>
      <c r="B23" s="2" t="s">
        <v>265</v>
      </c>
      <c r="C23" s="1" t="s">
        <v>266</v>
      </c>
      <c r="D23" s="2" t="s">
        <v>69</v>
      </c>
      <c r="E23" s="1" t="s">
        <v>68</v>
      </c>
      <c r="F23" s="1" t="s">
        <v>273</v>
      </c>
      <c r="G23" s="2" t="s">
        <v>274</v>
      </c>
      <c r="H23" s="2">
        <f t="shared" si="0"/>
        <v>4</v>
      </c>
    </row>
    <row r="24" spans="1:8">
      <c r="A24" s="2">
        <v>23</v>
      </c>
      <c r="B24" s="2" t="s">
        <v>265</v>
      </c>
      <c r="C24" s="1" t="s">
        <v>266</v>
      </c>
      <c r="D24" s="2" t="s">
        <v>71</v>
      </c>
      <c r="E24" s="1" t="s">
        <v>70</v>
      </c>
      <c r="F24" s="1" t="s">
        <v>275</v>
      </c>
      <c r="G24" s="2" t="s">
        <v>276</v>
      </c>
      <c r="H24" s="2">
        <f t="shared" si="0"/>
        <v>4</v>
      </c>
    </row>
    <row r="25" spans="1:8">
      <c r="A25" s="2">
        <v>24</v>
      </c>
      <c r="B25" s="2" t="s">
        <v>265</v>
      </c>
      <c r="C25" s="1" t="s">
        <v>266</v>
      </c>
      <c r="D25" s="2" t="s">
        <v>57</v>
      </c>
      <c r="E25" s="1" t="s">
        <v>277</v>
      </c>
      <c r="F25" s="1" t="s">
        <v>278</v>
      </c>
      <c r="G25" s="2" t="s">
        <v>279</v>
      </c>
      <c r="H25" s="2">
        <f t="shared" si="0"/>
        <v>4</v>
      </c>
    </row>
    <row r="26" spans="1:8">
      <c r="A26" s="2">
        <v>25</v>
      </c>
      <c r="B26" s="2" t="s">
        <v>265</v>
      </c>
      <c r="C26" s="1" t="s">
        <v>266</v>
      </c>
      <c r="D26" s="2" t="s">
        <v>280</v>
      </c>
      <c r="E26" s="1" t="s">
        <v>281</v>
      </c>
      <c r="F26" s="1" t="s">
        <v>282</v>
      </c>
      <c r="G26" s="2" t="s">
        <v>283</v>
      </c>
      <c r="H26" s="2">
        <f t="shared" si="0"/>
        <v>4</v>
      </c>
    </row>
    <row r="27" spans="1:8">
      <c r="A27" s="2">
        <v>26</v>
      </c>
      <c r="B27" s="2" t="s">
        <v>265</v>
      </c>
      <c r="C27" s="1" t="s">
        <v>266</v>
      </c>
      <c r="D27" s="2" t="s">
        <v>284</v>
      </c>
      <c r="E27" s="1" t="s">
        <v>285</v>
      </c>
      <c r="F27" s="1" t="s">
        <v>286</v>
      </c>
      <c r="G27" s="2" t="s">
        <v>287</v>
      </c>
      <c r="H27" s="2">
        <f t="shared" si="0"/>
        <v>4</v>
      </c>
    </row>
    <row r="28" spans="1:8">
      <c r="A28" s="2">
        <v>27</v>
      </c>
      <c r="B28" s="2" t="s">
        <v>288</v>
      </c>
      <c r="C28" s="1" t="s">
        <v>289</v>
      </c>
      <c r="D28" s="2" t="s">
        <v>41</v>
      </c>
      <c r="E28" s="1" t="s">
        <v>40</v>
      </c>
      <c r="F28" s="1" t="s">
        <v>290</v>
      </c>
      <c r="G28" s="2" t="s">
        <v>291</v>
      </c>
      <c r="H28" s="2">
        <f t="shared" si="0"/>
        <v>4</v>
      </c>
    </row>
    <row r="29" spans="1:8">
      <c r="A29" s="2">
        <v>28</v>
      </c>
      <c r="B29" s="2" t="s">
        <v>288</v>
      </c>
      <c r="C29" s="1" t="s">
        <v>289</v>
      </c>
      <c r="D29" s="2" t="s">
        <v>180</v>
      </c>
      <c r="E29" s="1" t="s">
        <v>179</v>
      </c>
      <c r="F29" s="1" t="s">
        <v>292</v>
      </c>
      <c r="G29" s="2" t="s">
        <v>293</v>
      </c>
      <c r="H29" s="2">
        <f t="shared" si="0"/>
        <v>5</v>
      </c>
    </row>
    <row r="30" spans="1:8">
      <c r="A30" s="2">
        <v>29</v>
      </c>
      <c r="B30" s="2" t="s">
        <v>288</v>
      </c>
      <c r="C30" s="1" t="s">
        <v>289</v>
      </c>
      <c r="D30" s="2" t="s">
        <v>81</v>
      </c>
      <c r="E30" s="1" t="s">
        <v>80</v>
      </c>
      <c r="F30" s="1" t="s">
        <v>294</v>
      </c>
      <c r="G30" s="2" t="s">
        <v>295</v>
      </c>
      <c r="H30" s="2">
        <f t="shared" si="0"/>
        <v>5</v>
      </c>
    </row>
    <row r="31" spans="1:8">
      <c r="A31" s="2">
        <v>30</v>
      </c>
      <c r="B31" s="2" t="s">
        <v>288</v>
      </c>
      <c r="C31" s="1" t="s">
        <v>289</v>
      </c>
      <c r="D31" s="2" t="s">
        <v>45</v>
      </c>
      <c r="E31" s="1" t="s">
        <v>44</v>
      </c>
      <c r="F31" s="1" t="s">
        <v>296</v>
      </c>
      <c r="G31" s="2" t="s">
        <v>297</v>
      </c>
      <c r="H31" s="2">
        <f t="shared" si="0"/>
        <v>5</v>
      </c>
    </row>
    <row r="32" spans="1:8">
      <c r="A32" s="2">
        <v>31</v>
      </c>
      <c r="B32" s="2" t="s">
        <v>288</v>
      </c>
      <c r="C32" s="1" t="s">
        <v>289</v>
      </c>
      <c r="D32" s="2" t="s">
        <v>23</v>
      </c>
      <c r="E32" s="1" t="s">
        <v>22</v>
      </c>
      <c r="F32" s="1" t="s">
        <v>298</v>
      </c>
      <c r="G32" s="2" t="s">
        <v>299</v>
      </c>
      <c r="H32" s="2">
        <f t="shared" si="0"/>
        <v>5</v>
      </c>
    </row>
    <row r="33" spans="1:8">
      <c r="A33" s="2">
        <v>32</v>
      </c>
      <c r="B33" s="2" t="s">
        <v>288</v>
      </c>
      <c r="C33" s="1" t="s">
        <v>289</v>
      </c>
      <c r="D33" s="2" t="s">
        <v>300</v>
      </c>
      <c r="E33" s="1" t="s">
        <v>301</v>
      </c>
      <c r="F33" s="1" t="s">
        <v>302</v>
      </c>
      <c r="G33" s="2" t="s">
        <v>303</v>
      </c>
      <c r="H33" s="2">
        <f t="shared" si="0"/>
        <v>5</v>
      </c>
    </row>
    <row r="34" spans="1:8">
      <c r="A34" s="2">
        <v>33</v>
      </c>
      <c r="B34" s="2" t="s">
        <v>288</v>
      </c>
      <c r="C34" s="1" t="s">
        <v>289</v>
      </c>
      <c r="D34" s="2" t="s">
        <v>304</v>
      </c>
      <c r="E34" s="1" t="s">
        <v>305</v>
      </c>
      <c r="F34" s="1" t="s">
        <v>306</v>
      </c>
      <c r="G34" s="2" t="s">
        <v>307</v>
      </c>
      <c r="H34" s="2">
        <f t="shared" si="0"/>
        <v>5</v>
      </c>
    </row>
    <row r="35" spans="1:8">
      <c r="A35" s="2">
        <v>34</v>
      </c>
      <c r="B35" s="2" t="s">
        <v>288</v>
      </c>
      <c r="C35" s="1" t="s">
        <v>289</v>
      </c>
      <c r="D35" s="2" t="s">
        <v>39</v>
      </c>
      <c r="E35" s="1" t="s">
        <v>38</v>
      </c>
      <c r="F35" s="1" t="s">
        <v>308</v>
      </c>
      <c r="G35" s="2" t="s">
        <v>309</v>
      </c>
      <c r="H35" s="2">
        <f t="shared" ref="H35:H66" si="1">LEN(G35)-LEN(SUBSTITUTE(G35,",",""))+2</f>
        <v>4</v>
      </c>
    </row>
    <row r="36" spans="1:8">
      <c r="A36" s="2">
        <v>35</v>
      </c>
      <c r="B36" s="2" t="s">
        <v>288</v>
      </c>
      <c r="C36" s="1" t="s">
        <v>289</v>
      </c>
      <c r="D36" s="2" t="s">
        <v>310</v>
      </c>
      <c r="E36" s="1" t="s">
        <v>18</v>
      </c>
      <c r="F36" s="1" t="s">
        <v>311</v>
      </c>
      <c r="G36" s="2" t="s">
        <v>287</v>
      </c>
      <c r="H36" s="2">
        <f t="shared" si="1"/>
        <v>4</v>
      </c>
    </row>
    <row r="37" spans="1:8">
      <c r="A37" s="2">
        <v>36</v>
      </c>
      <c r="B37" s="2" t="s">
        <v>288</v>
      </c>
      <c r="C37" s="1" t="s">
        <v>289</v>
      </c>
      <c r="D37" s="2" t="s">
        <v>186</v>
      </c>
      <c r="E37" s="1" t="s">
        <v>185</v>
      </c>
      <c r="F37" s="1" t="s">
        <v>312</v>
      </c>
      <c r="G37" s="2" t="s">
        <v>313</v>
      </c>
      <c r="H37" s="2">
        <f t="shared" si="1"/>
        <v>5</v>
      </c>
    </row>
    <row r="38" spans="1:8">
      <c r="A38" s="2">
        <v>37</v>
      </c>
      <c r="B38" s="2" t="s">
        <v>288</v>
      </c>
      <c r="C38" s="1" t="s">
        <v>289</v>
      </c>
      <c r="D38" s="2" t="s">
        <v>314</v>
      </c>
      <c r="E38" s="1" t="s">
        <v>315</v>
      </c>
      <c r="F38" s="1" t="s">
        <v>316</v>
      </c>
      <c r="G38" s="2" t="s">
        <v>317</v>
      </c>
      <c r="H38" s="2">
        <f t="shared" si="1"/>
        <v>5</v>
      </c>
    </row>
    <row r="39" spans="1:8">
      <c r="A39" s="2">
        <v>38</v>
      </c>
      <c r="B39" s="2" t="s">
        <v>288</v>
      </c>
      <c r="C39" s="1" t="s">
        <v>289</v>
      </c>
      <c r="D39" s="2" t="s">
        <v>43</v>
      </c>
      <c r="E39" s="1" t="s">
        <v>42</v>
      </c>
      <c r="F39" s="1" t="s">
        <v>318</v>
      </c>
      <c r="G39" s="2" t="s">
        <v>319</v>
      </c>
      <c r="H39" s="2">
        <f t="shared" si="1"/>
        <v>5</v>
      </c>
    </row>
    <row r="40" spans="1:8">
      <c r="A40" s="2">
        <v>39</v>
      </c>
      <c r="B40" s="2" t="s">
        <v>288</v>
      </c>
      <c r="C40" s="1" t="s">
        <v>289</v>
      </c>
      <c r="D40" s="2" t="s">
        <v>53</v>
      </c>
      <c r="E40" s="1" t="s">
        <v>52</v>
      </c>
      <c r="F40" s="1" t="s">
        <v>320</v>
      </c>
      <c r="G40" s="2" t="s">
        <v>321</v>
      </c>
      <c r="H40" s="2">
        <f t="shared" si="1"/>
        <v>4</v>
      </c>
    </row>
    <row r="41" spans="1:8">
      <c r="A41" s="2">
        <v>40</v>
      </c>
      <c r="B41" s="2" t="s">
        <v>288</v>
      </c>
      <c r="C41" s="1" t="s">
        <v>289</v>
      </c>
      <c r="D41" s="2" t="s">
        <v>322</v>
      </c>
      <c r="E41" s="1" t="s">
        <v>323</v>
      </c>
      <c r="F41" s="1" t="s">
        <v>324</v>
      </c>
      <c r="G41" s="2" t="s">
        <v>325</v>
      </c>
      <c r="H41" s="2">
        <f t="shared" si="1"/>
        <v>4</v>
      </c>
    </row>
    <row r="42" spans="1:8">
      <c r="A42" s="2">
        <v>41</v>
      </c>
      <c r="B42" s="2" t="s">
        <v>288</v>
      </c>
      <c r="C42" s="1" t="s">
        <v>289</v>
      </c>
      <c r="D42" s="2" t="s">
        <v>326</v>
      </c>
      <c r="E42" s="1" t="s">
        <v>327</v>
      </c>
      <c r="F42" s="1" t="s">
        <v>328</v>
      </c>
      <c r="G42" s="2" t="s">
        <v>329</v>
      </c>
      <c r="H42" s="2">
        <f t="shared" si="1"/>
        <v>4</v>
      </c>
    </row>
    <row r="43" spans="1:8">
      <c r="A43" s="2">
        <v>42</v>
      </c>
      <c r="B43" s="2" t="s">
        <v>288</v>
      </c>
      <c r="C43" s="1" t="s">
        <v>289</v>
      </c>
      <c r="D43" s="2" t="s">
        <v>330</v>
      </c>
      <c r="E43" s="1" t="s">
        <v>181</v>
      </c>
      <c r="F43" s="1" t="s">
        <v>331</v>
      </c>
      <c r="G43" s="2" t="s">
        <v>332</v>
      </c>
      <c r="H43" s="2">
        <f t="shared" si="1"/>
        <v>5</v>
      </c>
    </row>
    <row r="44" spans="1:8">
      <c r="A44" s="2">
        <v>43</v>
      </c>
      <c r="B44" s="2" t="s">
        <v>288</v>
      </c>
      <c r="C44" s="1" t="s">
        <v>289</v>
      </c>
      <c r="D44" s="2" t="s">
        <v>333</v>
      </c>
      <c r="E44" s="1" t="s">
        <v>334</v>
      </c>
      <c r="F44" s="1" t="s">
        <v>335</v>
      </c>
      <c r="G44" s="2" t="s">
        <v>336</v>
      </c>
      <c r="H44" s="2">
        <f t="shared" si="1"/>
        <v>5</v>
      </c>
    </row>
    <row r="45" spans="1:8">
      <c r="A45" s="2">
        <v>44</v>
      </c>
      <c r="B45" s="2" t="s">
        <v>337</v>
      </c>
      <c r="C45" s="1" t="s">
        <v>338</v>
      </c>
      <c r="D45" s="2" t="s">
        <v>94</v>
      </c>
      <c r="E45" s="1" t="s">
        <v>93</v>
      </c>
      <c r="F45" s="1" t="s">
        <v>93</v>
      </c>
      <c r="G45" s="2" t="s">
        <v>339</v>
      </c>
      <c r="H45" s="2">
        <f t="shared" si="1"/>
        <v>3</v>
      </c>
    </row>
    <row r="46" spans="1:8">
      <c r="A46" s="2">
        <v>45</v>
      </c>
      <c r="B46" s="2" t="s">
        <v>337</v>
      </c>
      <c r="C46" s="1" t="s">
        <v>338</v>
      </c>
      <c r="D46" s="2" t="s">
        <v>9</v>
      </c>
      <c r="E46" s="1" t="s">
        <v>8</v>
      </c>
      <c r="F46" s="1" t="s">
        <v>8</v>
      </c>
      <c r="G46" s="2" t="s">
        <v>340</v>
      </c>
      <c r="H46" s="2">
        <f t="shared" si="1"/>
        <v>3</v>
      </c>
    </row>
    <row r="47" spans="1:8">
      <c r="A47" s="2">
        <v>46</v>
      </c>
      <c r="B47" s="2" t="s">
        <v>337</v>
      </c>
      <c r="C47" s="1" t="s">
        <v>338</v>
      </c>
      <c r="D47" s="2" t="s">
        <v>341</v>
      </c>
      <c r="E47" s="1" t="s">
        <v>342</v>
      </c>
      <c r="F47" s="1" t="s">
        <v>343</v>
      </c>
      <c r="G47" s="2" t="s">
        <v>344</v>
      </c>
      <c r="H47" s="2">
        <f t="shared" si="1"/>
        <v>4</v>
      </c>
    </row>
    <row r="48" spans="1:8">
      <c r="A48" s="2">
        <v>47</v>
      </c>
      <c r="B48" s="2" t="s">
        <v>337</v>
      </c>
      <c r="C48" s="1" t="s">
        <v>338</v>
      </c>
      <c r="D48" s="2" t="s">
        <v>13</v>
      </c>
      <c r="E48" s="1" t="s">
        <v>12</v>
      </c>
      <c r="F48" s="1" t="s">
        <v>345</v>
      </c>
      <c r="G48" s="2" t="s">
        <v>346</v>
      </c>
      <c r="H48" s="2">
        <f t="shared" si="1"/>
        <v>4</v>
      </c>
    </row>
    <row r="49" spans="1:8">
      <c r="A49" s="2">
        <v>48</v>
      </c>
      <c r="B49" s="2" t="s">
        <v>337</v>
      </c>
      <c r="C49" s="1" t="s">
        <v>338</v>
      </c>
      <c r="D49" s="2" t="s">
        <v>347</v>
      </c>
      <c r="E49" s="1" t="s">
        <v>348</v>
      </c>
      <c r="F49" s="1" t="s">
        <v>349</v>
      </c>
      <c r="G49" s="2" t="s">
        <v>350</v>
      </c>
      <c r="H49" s="2">
        <f t="shared" si="1"/>
        <v>4</v>
      </c>
    </row>
    <row r="50" spans="1:8">
      <c r="A50" s="2">
        <v>49</v>
      </c>
      <c r="B50" s="2" t="s">
        <v>337</v>
      </c>
      <c r="C50" s="1" t="s">
        <v>338</v>
      </c>
      <c r="D50" s="2" t="s">
        <v>11</v>
      </c>
      <c r="E50" s="1" t="s">
        <v>10</v>
      </c>
      <c r="F50" s="1" t="s">
        <v>351</v>
      </c>
      <c r="G50" s="2" t="s">
        <v>352</v>
      </c>
      <c r="H50" s="2">
        <f t="shared" si="1"/>
        <v>4</v>
      </c>
    </row>
    <row r="51" spans="1:8">
      <c r="A51" s="2">
        <v>50</v>
      </c>
      <c r="B51" s="2" t="s">
        <v>337</v>
      </c>
      <c r="C51" s="1" t="s">
        <v>338</v>
      </c>
      <c r="D51" s="2" t="s">
        <v>104</v>
      </c>
      <c r="E51" s="1" t="s">
        <v>103</v>
      </c>
      <c r="F51" s="1" t="s">
        <v>353</v>
      </c>
      <c r="G51" s="2" t="s">
        <v>354</v>
      </c>
      <c r="H51" s="2">
        <f t="shared" si="1"/>
        <v>5</v>
      </c>
    </row>
    <row r="52" spans="1:8">
      <c r="A52" s="2">
        <v>51</v>
      </c>
      <c r="B52" s="2" t="s">
        <v>337</v>
      </c>
      <c r="C52" s="1" t="s">
        <v>338</v>
      </c>
      <c r="D52" s="2" t="s">
        <v>100</v>
      </c>
      <c r="E52" s="1" t="s">
        <v>99</v>
      </c>
      <c r="F52" s="1" t="s">
        <v>355</v>
      </c>
      <c r="G52" s="2" t="s">
        <v>356</v>
      </c>
      <c r="H52" s="2">
        <f t="shared" si="1"/>
        <v>5</v>
      </c>
    </row>
    <row r="53" spans="1:8">
      <c r="A53" s="2">
        <v>52</v>
      </c>
      <c r="B53" s="2" t="s">
        <v>337</v>
      </c>
      <c r="C53" s="1" t="s">
        <v>338</v>
      </c>
      <c r="D53" s="2" t="s">
        <v>106</v>
      </c>
      <c r="E53" s="1" t="s">
        <v>105</v>
      </c>
      <c r="F53" s="1" t="s">
        <v>357</v>
      </c>
      <c r="G53" s="2" t="s">
        <v>358</v>
      </c>
      <c r="H53" s="2">
        <f t="shared" si="1"/>
        <v>6</v>
      </c>
    </row>
    <row r="54" spans="1:8">
      <c r="A54" s="2">
        <v>53</v>
      </c>
      <c r="B54" s="2" t="s">
        <v>337</v>
      </c>
      <c r="C54" s="1" t="s">
        <v>338</v>
      </c>
      <c r="D54" s="2" t="s">
        <v>359</v>
      </c>
      <c r="E54" s="1" t="s">
        <v>360</v>
      </c>
      <c r="F54" s="1" t="s">
        <v>361</v>
      </c>
      <c r="G54" s="2" t="s">
        <v>362</v>
      </c>
      <c r="H54" s="2">
        <f t="shared" si="1"/>
        <v>6</v>
      </c>
    </row>
    <row r="55" spans="1:8">
      <c r="A55" s="2">
        <v>54</v>
      </c>
      <c r="B55" s="2" t="s">
        <v>337</v>
      </c>
      <c r="C55" s="1" t="s">
        <v>338</v>
      </c>
      <c r="D55" s="2" t="s">
        <v>363</v>
      </c>
      <c r="E55" s="1" t="s">
        <v>364</v>
      </c>
      <c r="F55" s="1" t="s">
        <v>365</v>
      </c>
      <c r="G55" s="2" t="s">
        <v>366</v>
      </c>
      <c r="H55" s="2">
        <f t="shared" si="1"/>
        <v>5</v>
      </c>
    </row>
    <row r="56" spans="1:8">
      <c r="A56" s="2">
        <v>55</v>
      </c>
      <c r="B56" s="2" t="s">
        <v>367</v>
      </c>
      <c r="C56" s="1" t="s">
        <v>368</v>
      </c>
      <c r="D56" s="2" t="s">
        <v>122</v>
      </c>
      <c r="E56" s="1" t="s">
        <v>121</v>
      </c>
      <c r="F56" s="1" t="s">
        <v>369</v>
      </c>
      <c r="G56" s="2" t="s">
        <v>370</v>
      </c>
      <c r="H56" s="2">
        <f t="shared" si="1"/>
        <v>5</v>
      </c>
    </row>
    <row r="57" spans="1:8">
      <c r="A57" s="2">
        <v>56</v>
      </c>
      <c r="B57" s="2" t="s">
        <v>367</v>
      </c>
      <c r="C57" s="1" t="s">
        <v>368</v>
      </c>
      <c r="D57" s="2" t="s">
        <v>124</v>
      </c>
      <c r="E57" s="1" t="s">
        <v>371</v>
      </c>
      <c r="F57" s="1" t="s">
        <v>372</v>
      </c>
      <c r="G57" s="2" t="s">
        <v>373</v>
      </c>
      <c r="H57" s="2">
        <f t="shared" si="1"/>
        <v>5</v>
      </c>
    </row>
    <row r="58" spans="1:8">
      <c r="A58" s="2">
        <v>57</v>
      </c>
      <c r="B58" s="2" t="s">
        <v>367</v>
      </c>
      <c r="C58" s="1" t="s">
        <v>368</v>
      </c>
      <c r="D58" s="2" t="s">
        <v>160</v>
      </c>
      <c r="E58" s="1" t="s">
        <v>159</v>
      </c>
      <c r="F58" s="1" t="s">
        <v>374</v>
      </c>
      <c r="G58" s="2" t="s">
        <v>375</v>
      </c>
      <c r="H58" s="2">
        <f t="shared" si="1"/>
        <v>5</v>
      </c>
    </row>
    <row r="59" spans="1:8">
      <c r="A59" s="2">
        <v>58</v>
      </c>
      <c r="B59" s="2" t="s">
        <v>367</v>
      </c>
      <c r="C59" s="1" t="s">
        <v>368</v>
      </c>
      <c r="D59" s="2" t="s">
        <v>158</v>
      </c>
      <c r="E59" s="1" t="s">
        <v>376</v>
      </c>
      <c r="F59" s="1" t="s">
        <v>377</v>
      </c>
      <c r="G59" s="2" t="s">
        <v>378</v>
      </c>
      <c r="H59" s="2">
        <f t="shared" si="1"/>
        <v>5</v>
      </c>
    </row>
    <row r="60" spans="1:8">
      <c r="A60" s="2">
        <v>59</v>
      </c>
      <c r="B60" s="2" t="s">
        <v>367</v>
      </c>
      <c r="C60" s="1" t="s">
        <v>368</v>
      </c>
      <c r="D60" s="2" t="s">
        <v>379</v>
      </c>
      <c r="E60" s="1" t="s">
        <v>115</v>
      </c>
      <c r="F60" s="1" t="s">
        <v>380</v>
      </c>
      <c r="G60" s="2" t="s">
        <v>381</v>
      </c>
      <c r="H60" s="2">
        <f t="shared" si="1"/>
        <v>5</v>
      </c>
    </row>
    <row r="61" spans="1:8">
      <c r="A61" s="2">
        <v>60</v>
      </c>
      <c r="B61" s="2" t="s">
        <v>382</v>
      </c>
      <c r="C61" s="1" t="s">
        <v>368</v>
      </c>
      <c r="D61" s="2" t="s">
        <v>383</v>
      </c>
      <c r="E61" s="1" t="s">
        <v>123</v>
      </c>
      <c r="F61" s="1" t="s">
        <v>384</v>
      </c>
      <c r="G61" s="2" t="s">
        <v>385</v>
      </c>
      <c r="H61" s="2">
        <f t="shared" si="1"/>
        <v>5</v>
      </c>
    </row>
    <row r="62" spans="1:8">
      <c r="A62" s="2">
        <v>61</v>
      </c>
      <c r="B62" s="2" t="s">
        <v>382</v>
      </c>
      <c r="C62" s="1" t="s">
        <v>368</v>
      </c>
      <c r="D62" s="2" t="s">
        <v>386</v>
      </c>
      <c r="E62" s="1" t="s">
        <v>387</v>
      </c>
      <c r="F62" s="1" t="s">
        <v>388</v>
      </c>
      <c r="G62" s="2" t="s">
        <v>389</v>
      </c>
      <c r="H62" s="2">
        <f t="shared" si="1"/>
        <v>6</v>
      </c>
    </row>
    <row r="63" spans="1:8">
      <c r="A63" s="2">
        <v>62</v>
      </c>
      <c r="B63" s="2" t="s">
        <v>382</v>
      </c>
      <c r="C63" s="1" t="s">
        <v>368</v>
      </c>
      <c r="D63" s="2" t="s">
        <v>144</v>
      </c>
      <c r="E63" s="1" t="s">
        <v>143</v>
      </c>
      <c r="F63" s="1" t="s">
        <v>390</v>
      </c>
      <c r="G63" s="2" t="s">
        <v>391</v>
      </c>
      <c r="H63" s="2">
        <f t="shared" si="1"/>
        <v>6</v>
      </c>
    </row>
    <row r="64" spans="1:8">
      <c r="A64" s="2">
        <v>63</v>
      </c>
      <c r="B64" s="2" t="s">
        <v>382</v>
      </c>
      <c r="C64" s="1" t="s">
        <v>368</v>
      </c>
      <c r="D64" s="2" t="s">
        <v>118</v>
      </c>
      <c r="E64" s="1" t="s">
        <v>117</v>
      </c>
      <c r="F64" s="1" t="s">
        <v>392</v>
      </c>
      <c r="G64" s="2" t="s">
        <v>393</v>
      </c>
      <c r="H64" s="2">
        <f t="shared" si="1"/>
        <v>6</v>
      </c>
    </row>
    <row r="65" spans="1:8">
      <c r="A65" s="2">
        <v>64</v>
      </c>
      <c r="B65" s="2" t="s">
        <v>382</v>
      </c>
      <c r="C65" s="1" t="s">
        <v>368</v>
      </c>
      <c r="D65" s="2" t="s">
        <v>134</v>
      </c>
      <c r="E65" s="1" t="s">
        <v>133</v>
      </c>
      <c r="F65" s="1" t="s">
        <v>394</v>
      </c>
      <c r="G65" s="2" t="s">
        <v>395</v>
      </c>
      <c r="H65" s="2">
        <f t="shared" si="1"/>
        <v>5</v>
      </c>
    </row>
    <row r="66" spans="1:8">
      <c r="A66" s="2">
        <v>65</v>
      </c>
      <c r="B66" s="2" t="s">
        <v>382</v>
      </c>
      <c r="C66" s="1" t="s">
        <v>368</v>
      </c>
      <c r="D66" s="2" t="s">
        <v>114</v>
      </c>
      <c r="E66" s="1" t="s">
        <v>113</v>
      </c>
      <c r="F66" s="1" t="s">
        <v>396</v>
      </c>
      <c r="G66" s="2" t="s">
        <v>397</v>
      </c>
      <c r="H66" s="2">
        <f t="shared" si="1"/>
        <v>5</v>
      </c>
    </row>
    <row r="67" spans="1:8">
      <c r="A67" s="2">
        <v>66</v>
      </c>
      <c r="B67" s="2" t="s">
        <v>382</v>
      </c>
      <c r="C67" s="1" t="s">
        <v>368</v>
      </c>
      <c r="D67" s="2" t="s">
        <v>142</v>
      </c>
      <c r="E67" s="1" t="s">
        <v>141</v>
      </c>
      <c r="F67" s="1" t="s">
        <v>398</v>
      </c>
      <c r="G67" s="2" t="s">
        <v>399</v>
      </c>
      <c r="H67" s="2">
        <f t="shared" ref="H67:H93" si="2">LEN(G67)-LEN(SUBSTITUTE(G67,",",""))+2</f>
        <v>6</v>
      </c>
    </row>
    <row r="68" spans="1:8">
      <c r="A68" s="2">
        <v>67</v>
      </c>
      <c r="B68" s="2" t="s">
        <v>382</v>
      </c>
      <c r="C68" s="1" t="s">
        <v>368</v>
      </c>
      <c r="D68" s="2" t="s">
        <v>400</v>
      </c>
      <c r="E68" s="1" t="s">
        <v>401</v>
      </c>
      <c r="F68" s="1" t="s">
        <v>402</v>
      </c>
      <c r="G68" s="2" t="s">
        <v>403</v>
      </c>
      <c r="H68" s="2">
        <f t="shared" si="2"/>
        <v>6</v>
      </c>
    </row>
    <row r="69" spans="1:8">
      <c r="A69" s="2">
        <v>68</v>
      </c>
      <c r="B69" s="2" t="s">
        <v>382</v>
      </c>
      <c r="C69" s="1" t="s">
        <v>368</v>
      </c>
      <c r="D69" s="2" t="s">
        <v>168</v>
      </c>
      <c r="E69" s="1" t="s">
        <v>167</v>
      </c>
      <c r="F69" s="1" t="s">
        <v>404</v>
      </c>
      <c r="G69" s="2" t="s">
        <v>405</v>
      </c>
      <c r="H69" s="2">
        <f t="shared" si="2"/>
        <v>5</v>
      </c>
    </row>
    <row r="70" spans="1:8">
      <c r="A70" s="2">
        <v>69</v>
      </c>
      <c r="B70" s="2" t="s">
        <v>382</v>
      </c>
      <c r="C70" s="1" t="s">
        <v>368</v>
      </c>
      <c r="D70" s="2" t="s">
        <v>406</v>
      </c>
      <c r="E70" s="1" t="s">
        <v>407</v>
      </c>
      <c r="F70" s="1" t="s">
        <v>408</v>
      </c>
      <c r="G70" s="2" t="s">
        <v>409</v>
      </c>
      <c r="H70" s="2">
        <f t="shared" si="2"/>
        <v>5</v>
      </c>
    </row>
    <row r="71" spans="1:8">
      <c r="A71" s="2">
        <v>70</v>
      </c>
      <c r="B71" s="2" t="s">
        <v>410</v>
      </c>
      <c r="C71" s="1" t="s">
        <v>411</v>
      </c>
      <c r="D71" s="2" t="s">
        <v>412</v>
      </c>
      <c r="E71" s="1" t="s">
        <v>413</v>
      </c>
      <c r="F71" s="1" t="s">
        <v>414</v>
      </c>
      <c r="G71" s="2" t="s">
        <v>415</v>
      </c>
      <c r="H71" s="2">
        <f t="shared" si="2"/>
        <v>6</v>
      </c>
    </row>
    <row r="72" spans="1:8">
      <c r="A72" s="2">
        <v>71</v>
      </c>
      <c r="B72" s="2" t="s">
        <v>410</v>
      </c>
      <c r="C72" s="1" t="s">
        <v>411</v>
      </c>
      <c r="D72" s="2" t="s">
        <v>102</v>
      </c>
      <c r="E72" s="1" t="s">
        <v>101</v>
      </c>
      <c r="F72" s="1" t="s">
        <v>416</v>
      </c>
      <c r="G72" s="2" t="s">
        <v>417</v>
      </c>
      <c r="H72" s="2">
        <f t="shared" si="2"/>
        <v>6</v>
      </c>
    </row>
    <row r="73" spans="1:8">
      <c r="A73" s="2">
        <v>72</v>
      </c>
      <c r="B73" s="2" t="s">
        <v>410</v>
      </c>
      <c r="C73" s="1" t="s">
        <v>411</v>
      </c>
      <c r="D73" s="2" t="s">
        <v>172</v>
      </c>
      <c r="E73" s="1" t="s">
        <v>171</v>
      </c>
      <c r="F73" s="1" t="s">
        <v>418</v>
      </c>
      <c r="G73" s="2" t="s">
        <v>419</v>
      </c>
      <c r="H73" s="2">
        <f t="shared" si="2"/>
        <v>6</v>
      </c>
    </row>
    <row r="74" spans="1:8">
      <c r="A74" s="2">
        <v>73</v>
      </c>
      <c r="B74" s="2" t="s">
        <v>410</v>
      </c>
      <c r="C74" s="1" t="s">
        <v>411</v>
      </c>
      <c r="D74" s="2" t="s">
        <v>420</v>
      </c>
      <c r="E74" s="1" t="s">
        <v>421</v>
      </c>
      <c r="F74" s="1" t="s">
        <v>422</v>
      </c>
      <c r="G74" s="2" t="s">
        <v>423</v>
      </c>
      <c r="H74" s="2">
        <f t="shared" si="2"/>
        <v>6</v>
      </c>
    </row>
    <row r="75" spans="1:8">
      <c r="A75" s="2">
        <v>74</v>
      </c>
      <c r="B75" s="2" t="s">
        <v>424</v>
      </c>
      <c r="C75" s="1" t="s">
        <v>411</v>
      </c>
      <c r="D75" s="2" t="s">
        <v>425</v>
      </c>
      <c r="E75" s="1" t="s">
        <v>426</v>
      </c>
      <c r="F75" s="1" t="s">
        <v>427</v>
      </c>
      <c r="G75" s="2" t="s">
        <v>428</v>
      </c>
      <c r="H75" s="2">
        <f t="shared" si="2"/>
        <v>6</v>
      </c>
    </row>
    <row r="76" spans="1:8">
      <c r="A76" s="2">
        <v>75</v>
      </c>
      <c r="B76" s="2" t="s">
        <v>424</v>
      </c>
      <c r="C76" s="1" t="s">
        <v>411</v>
      </c>
      <c r="D76" s="2" t="s">
        <v>429</v>
      </c>
      <c r="E76" s="1" t="s">
        <v>430</v>
      </c>
      <c r="F76" s="1" t="s">
        <v>431</v>
      </c>
      <c r="G76" s="2" t="s">
        <v>432</v>
      </c>
      <c r="H76" s="2">
        <f t="shared" si="2"/>
        <v>6</v>
      </c>
    </row>
    <row r="77" spans="1:8">
      <c r="A77" s="2">
        <v>76</v>
      </c>
      <c r="B77" s="2" t="s">
        <v>424</v>
      </c>
      <c r="C77" s="1" t="s">
        <v>411</v>
      </c>
      <c r="D77" s="2" t="s">
        <v>176</v>
      </c>
      <c r="E77" s="1" t="s">
        <v>175</v>
      </c>
      <c r="F77" s="1" t="s">
        <v>433</v>
      </c>
      <c r="G77" s="2" t="s">
        <v>434</v>
      </c>
      <c r="H77" s="2">
        <f t="shared" si="2"/>
        <v>6</v>
      </c>
    </row>
    <row r="78" spans="1:8">
      <c r="A78" s="2">
        <v>77</v>
      </c>
      <c r="B78" s="2" t="s">
        <v>424</v>
      </c>
      <c r="C78" s="1" t="s">
        <v>411</v>
      </c>
      <c r="D78" s="2" t="s">
        <v>435</v>
      </c>
      <c r="E78" s="1" t="s">
        <v>436</v>
      </c>
      <c r="F78" s="1" t="s">
        <v>437</v>
      </c>
      <c r="G78" s="2" t="s">
        <v>438</v>
      </c>
      <c r="H78" s="2">
        <f t="shared" si="2"/>
        <v>6</v>
      </c>
    </row>
    <row r="79" spans="1:8">
      <c r="A79" s="2">
        <v>78</v>
      </c>
      <c r="B79" s="2" t="s">
        <v>424</v>
      </c>
      <c r="C79" s="1" t="s">
        <v>411</v>
      </c>
      <c r="D79" s="2" t="s">
        <v>439</v>
      </c>
      <c r="E79" s="1" t="s">
        <v>440</v>
      </c>
      <c r="F79" s="1" t="s">
        <v>441</v>
      </c>
      <c r="G79" s="2" t="s">
        <v>442</v>
      </c>
      <c r="H79" s="2">
        <f t="shared" si="2"/>
        <v>7</v>
      </c>
    </row>
    <row r="80" spans="1:8">
      <c r="A80" s="2">
        <v>79</v>
      </c>
      <c r="B80" s="2" t="s">
        <v>424</v>
      </c>
      <c r="C80" s="1" t="s">
        <v>411</v>
      </c>
      <c r="D80" s="2" t="s">
        <v>443</v>
      </c>
      <c r="E80" s="1" t="s">
        <v>444</v>
      </c>
      <c r="F80" s="1" t="s">
        <v>445</v>
      </c>
      <c r="G80" s="2" t="s">
        <v>446</v>
      </c>
      <c r="H80" s="2">
        <f t="shared" si="2"/>
        <v>6</v>
      </c>
    </row>
    <row r="81" spans="1:8">
      <c r="A81" s="2">
        <v>80</v>
      </c>
      <c r="B81" s="2" t="s">
        <v>447</v>
      </c>
      <c r="C81" s="1" t="s">
        <v>448</v>
      </c>
      <c r="D81" s="2" t="s">
        <v>128</v>
      </c>
      <c r="E81" s="1" t="s">
        <v>127</v>
      </c>
      <c r="F81" s="1" t="s">
        <v>449</v>
      </c>
      <c r="G81" s="2" t="s">
        <v>450</v>
      </c>
      <c r="H81" s="2">
        <f t="shared" si="2"/>
        <v>7</v>
      </c>
    </row>
    <row r="82" spans="1:8">
      <c r="A82" s="2">
        <v>81</v>
      </c>
      <c r="B82" s="2" t="s">
        <v>447</v>
      </c>
      <c r="C82" s="1" t="s">
        <v>448</v>
      </c>
      <c r="D82" s="2" t="s">
        <v>132</v>
      </c>
      <c r="E82" s="1" t="s">
        <v>131</v>
      </c>
      <c r="F82" s="1" t="s">
        <v>451</v>
      </c>
      <c r="G82" s="2" t="s">
        <v>452</v>
      </c>
      <c r="H82" s="2">
        <f t="shared" si="2"/>
        <v>7</v>
      </c>
    </row>
    <row r="83" spans="1:8">
      <c r="A83" s="2">
        <v>82</v>
      </c>
      <c r="B83" s="2" t="s">
        <v>447</v>
      </c>
      <c r="C83" s="1" t="s">
        <v>448</v>
      </c>
      <c r="D83" s="2" t="s">
        <v>164</v>
      </c>
      <c r="E83" s="1" t="s">
        <v>163</v>
      </c>
      <c r="F83" s="1" t="s">
        <v>453</v>
      </c>
      <c r="G83" s="2" t="s">
        <v>454</v>
      </c>
      <c r="H83" s="2">
        <f t="shared" si="2"/>
        <v>7</v>
      </c>
    </row>
    <row r="84" spans="1:8">
      <c r="A84" s="2">
        <v>83</v>
      </c>
      <c r="B84" s="2" t="s">
        <v>447</v>
      </c>
      <c r="C84" s="1" t="s">
        <v>448</v>
      </c>
      <c r="D84" s="2" t="s">
        <v>455</v>
      </c>
      <c r="E84" s="1" t="s">
        <v>456</v>
      </c>
      <c r="F84" s="1" t="s">
        <v>457</v>
      </c>
      <c r="G84" s="2" t="s">
        <v>458</v>
      </c>
      <c r="H84" s="2">
        <f t="shared" si="2"/>
        <v>7</v>
      </c>
    </row>
    <row r="85" spans="1:8">
      <c r="A85" s="2">
        <v>84</v>
      </c>
      <c r="B85" s="2" t="s">
        <v>459</v>
      </c>
      <c r="C85" s="1" t="s">
        <v>448</v>
      </c>
      <c r="D85" s="2" t="s">
        <v>138</v>
      </c>
      <c r="E85" s="1" t="s">
        <v>137</v>
      </c>
      <c r="F85" s="1" t="s">
        <v>460</v>
      </c>
      <c r="G85" s="2" t="s">
        <v>461</v>
      </c>
      <c r="H85" s="2">
        <f t="shared" si="2"/>
        <v>7</v>
      </c>
    </row>
    <row r="86" spans="1:8">
      <c r="A86" s="2">
        <v>85</v>
      </c>
      <c r="B86" s="2" t="s">
        <v>459</v>
      </c>
      <c r="C86" s="1" t="s">
        <v>448</v>
      </c>
      <c r="D86" s="2" t="s">
        <v>462</v>
      </c>
      <c r="E86" s="1" t="s">
        <v>463</v>
      </c>
      <c r="F86" s="1" t="s">
        <v>464</v>
      </c>
      <c r="G86" s="2" t="s">
        <v>465</v>
      </c>
      <c r="H86" s="2">
        <f t="shared" si="2"/>
        <v>7</v>
      </c>
    </row>
    <row r="87" spans="1:8">
      <c r="A87" s="2">
        <v>86</v>
      </c>
      <c r="B87" s="2" t="s">
        <v>459</v>
      </c>
      <c r="C87" s="1" t="s">
        <v>448</v>
      </c>
      <c r="D87" s="2" t="s">
        <v>188</v>
      </c>
      <c r="E87" s="1" t="s">
        <v>187</v>
      </c>
      <c r="F87" s="1" t="s">
        <v>466</v>
      </c>
      <c r="G87" s="2" t="s">
        <v>467</v>
      </c>
      <c r="H87" s="2">
        <f t="shared" si="2"/>
        <v>7</v>
      </c>
    </row>
    <row r="88" spans="1:8">
      <c r="A88" s="2">
        <v>87</v>
      </c>
      <c r="B88" s="2" t="s">
        <v>459</v>
      </c>
      <c r="C88" s="1" t="s">
        <v>448</v>
      </c>
      <c r="D88" s="2" t="s">
        <v>83</v>
      </c>
      <c r="E88" s="1" t="s">
        <v>82</v>
      </c>
      <c r="F88" s="1" t="s">
        <v>468</v>
      </c>
      <c r="G88" s="2" t="s">
        <v>469</v>
      </c>
      <c r="H88" s="2">
        <f t="shared" si="2"/>
        <v>6</v>
      </c>
    </row>
    <row r="89" spans="1:8">
      <c r="A89" s="2">
        <v>88</v>
      </c>
      <c r="B89" s="2" t="s">
        <v>459</v>
      </c>
      <c r="C89" s="1" t="s">
        <v>448</v>
      </c>
      <c r="D89" s="2" t="s">
        <v>150</v>
      </c>
      <c r="E89" s="1" t="s">
        <v>149</v>
      </c>
      <c r="F89" s="1" t="s">
        <v>470</v>
      </c>
      <c r="G89" s="2" t="s">
        <v>471</v>
      </c>
      <c r="H89" s="2">
        <f t="shared" si="2"/>
        <v>7</v>
      </c>
    </row>
    <row r="90" spans="1:8">
      <c r="A90" s="2">
        <v>89</v>
      </c>
      <c r="B90" s="2" t="s">
        <v>459</v>
      </c>
      <c r="C90" s="1" t="s">
        <v>448</v>
      </c>
      <c r="D90" s="2" t="s">
        <v>472</v>
      </c>
      <c r="E90" s="1" t="s">
        <v>473</v>
      </c>
      <c r="F90" s="1" t="s">
        <v>474</v>
      </c>
      <c r="G90" s="2" t="s">
        <v>475</v>
      </c>
      <c r="H90" s="2">
        <f t="shared" si="2"/>
        <v>6</v>
      </c>
    </row>
    <row r="91" spans="1:8">
      <c r="A91" s="2">
        <v>90</v>
      </c>
      <c r="B91" s="2" t="s">
        <v>459</v>
      </c>
      <c r="C91" s="1" t="s">
        <v>448</v>
      </c>
      <c r="D91" s="2" t="s">
        <v>476</v>
      </c>
      <c r="E91" s="1" t="s">
        <v>477</v>
      </c>
      <c r="F91" s="1" t="s">
        <v>478</v>
      </c>
      <c r="G91" s="2" t="s">
        <v>479</v>
      </c>
      <c r="H91" s="2">
        <f t="shared" si="2"/>
        <v>6</v>
      </c>
    </row>
    <row r="92" spans="1:8">
      <c r="A92" s="2">
        <v>91</v>
      </c>
      <c r="B92" s="2" t="s">
        <v>459</v>
      </c>
      <c r="C92" s="1" t="s">
        <v>448</v>
      </c>
      <c r="D92" s="2" t="s">
        <v>480</v>
      </c>
      <c r="E92" s="1" t="s">
        <v>481</v>
      </c>
      <c r="F92" s="1" t="s">
        <v>482</v>
      </c>
      <c r="G92" s="2" t="s">
        <v>483</v>
      </c>
      <c r="H92" s="2">
        <f t="shared" si="2"/>
        <v>6</v>
      </c>
    </row>
    <row r="93" spans="1:8">
      <c r="A93" s="2">
        <v>92</v>
      </c>
      <c r="B93" s="2" t="s">
        <v>459</v>
      </c>
      <c r="C93" s="1" t="s">
        <v>448</v>
      </c>
      <c r="D93" s="2" t="s">
        <v>148</v>
      </c>
      <c r="E93" s="1" t="s">
        <v>147</v>
      </c>
      <c r="F93" s="1" t="s">
        <v>484</v>
      </c>
      <c r="G93" s="2" t="s">
        <v>485</v>
      </c>
      <c r="H93" s="2">
        <f t="shared" si="2"/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zoomScale="107" zoomScaleNormal="107" topLeftCell="A41" workbookViewId="0">
      <selection activeCell="G69" sqref="G69"/>
    </sheetView>
  </sheetViews>
  <sheetFormatPr defaultColWidth="9.23333333333333" defaultRowHeight="16.5" outlineLevelCol="7"/>
  <cols>
    <col min="1" max="1" width="9.23333333333333" style="2"/>
    <col min="2" max="2" width="18.6916666666667" style="2" customWidth="1"/>
    <col min="3" max="3" width="18.6916666666667" style="1" customWidth="1"/>
    <col min="4" max="4" width="28.5583333333333" style="2" customWidth="1"/>
    <col min="5" max="5" width="18.8" style="1" customWidth="1"/>
    <col min="6" max="6" width="16.125" style="1" customWidth="1"/>
    <col min="7" max="7" width="72.0416666666667" style="2" customWidth="1"/>
    <col min="8" max="16384" width="9.23333333333333" style="2"/>
  </cols>
  <sheetData>
    <row r="1" spans="1:8">
      <c r="A1" s="2" t="s">
        <v>0</v>
      </c>
      <c r="B1" s="2" t="s">
        <v>197</v>
      </c>
      <c r="C1" s="1" t="s">
        <v>198</v>
      </c>
      <c r="D1" s="2" t="s">
        <v>199</v>
      </c>
      <c r="E1" s="1" t="s">
        <v>200</v>
      </c>
      <c r="F1" s="1" t="s">
        <v>201</v>
      </c>
      <c r="G1" s="2" t="s">
        <v>486</v>
      </c>
      <c r="H1" s="2" t="s">
        <v>203</v>
      </c>
    </row>
    <row r="2" spans="1:8">
      <c r="A2" s="2">
        <v>1</v>
      </c>
      <c r="B2" s="2" t="s">
        <v>204</v>
      </c>
      <c r="C2" s="1" t="s">
        <v>205</v>
      </c>
      <c r="D2" s="2" t="s">
        <v>25</v>
      </c>
      <c r="E2" s="1" t="s">
        <v>24</v>
      </c>
      <c r="F2" s="6" t="s">
        <v>487</v>
      </c>
      <c r="G2" s="2" t="s">
        <v>488</v>
      </c>
      <c r="H2" s="2">
        <v>3</v>
      </c>
    </row>
    <row r="3" spans="1:8">
      <c r="A3" s="2">
        <v>2</v>
      </c>
      <c r="B3" s="2" t="s">
        <v>204</v>
      </c>
      <c r="C3" s="1" t="s">
        <v>205</v>
      </c>
      <c r="D3" s="2" t="s">
        <v>55</v>
      </c>
      <c r="E3" s="1" t="s">
        <v>54</v>
      </c>
      <c r="F3" s="1" t="s">
        <v>207</v>
      </c>
      <c r="G3" s="2" t="s">
        <v>489</v>
      </c>
      <c r="H3" s="2">
        <v>3</v>
      </c>
    </row>
    <row r="4" spans="1:8">
      <c r="A4" s="2">
        <v>3</v>
      </c>
      <c r="B4" s="2" t="s">
        <v>204</v>
      </c>
      <c r="C4" s="1" t="s">
        <v>205</v>
      </c>
      <c r="D4" s="2" t="s">
        <v>65</v>
      </c>
      <c r="E4" s="1" t="s">
        <v>64</v>
      </c>
      <c r="F4" s="1" t="s">
        <v>209</v>
      </c>
      <c r="G4" s="2" t="s">
        <v>490</v>
      </c>
      <c r="H4" s="2">
        <v>3</v>
      </c>
    </row>
    <row r="5" spans="1:8">
      <c r="A5" s="2">
        <v>4</v>
      </c>
      <c r="B5" s="2" t="s">
        <v>204</v>
      </c>
      <c r="C5" s="1" t="s">
        <v>205</v>
      </c>
      <c r="D5" s="2" t="s">
        <v>15</v>
      </c>
      <c r="E5" s="1" t="s">
        <v>14</v>
      </c>
      <c r="F5" s="1" t="s">
        <v>211</v>
      </c>
      <c r="G5" s="2" t="s">
        <v>491</v>
      </c>
      <c r="H5" s="2">
        <v>3</v>
      </c>
    </row>
    <row r="6" spans="1:8">
      <c r="A6" s="2">
        <v>5</v>
      </c>
      <c r="B6" s="2" t="s">
        <v>204</v>
      </c>
      <c r="C6" s="1" t="s">
        <v>205</v>
      </c>
      <c r="D6" s="2" t="s">
        <v>213</v>
      </c>
      <c r="E6" s="1" t="s">
        <v>36</v>
      </c>
      <c r="F6" s="1">
        <v>-5</v>
      </c>
      <c r="G6" s="2" t="s">
        <v>492</v>
      </c>
      <c r="H6" s="2">
        <v>3</v>
      </c>
    </row>
    <row r="7" spans="1:8">
      <c r="A7" s="2">
        <v>6</v>
      </c>
      <c r="B7" s="2" t="s">
        <v>215</v>
      </c>
      <c r="C7" s="1" t="s">
        <v>216</v>
      </c>
      <c r="D7" s="2" t="s">
        <v>217</v>
      </c>
      <c r="E7" s="1" t="s">
        <v>218</v>
      </c>
      <c r="F7" s="1">
        <v>6</v>
      </c>
      <c r="G7" s="2" t="s">
        <v>493</v>
      </c>
      <c r="H7" s="2">
        <v>4</v>
      </c>
    </row>
    <row r="8" spans="1:8">
      <c r="A8" s="2">
        <v>7</v>
      </c>
      <c r="B8" s="2" t="s">
        <v>215</v>
      </c>
      <c r="C8" s="1" t="s">
        <v>216</v>
      </c>
      <c r="D8" s="2" t="s">
        <v>220</v>
      </c>
      <c r="E8" s="1" t="s">
        <v>221</v>
      </c>
      <c r="F8" s="1" t="s">
        <v>222</v>
      </c>
      <c r="G8" s="2" t="s">
        <v>494</v>
      </c>
      <c r="H8" s="2">
        <v>4</v>
      </c>
    </row>
    <row r="9" spans="1:8">
      <c r="A9" s="2">
        <v>8</v>
      </c>
      <c r="B9" s="2" t="s">
        <v>215</v>
      </c>
      <c r="C9" s="1" t="s">
        <v>216</v>
      </c>
      <c r="D9" s="2" t="s">
        <v>126</v>
      </c>
      <c r="E9" s="1" t="s">
        <v>224</v>
      </c>
      <c r="F9" s="1" t="s">
        <v>225</v>
      </c>
      <c r="G9" s="2" t="s">
        <v>495</v>
      </c>
      <c r="H9" s="2">
        <v>5</v>
      </c>
    </row>
    <row r="10" spans="1:8">
      <c r="A10" s="2">
        <v>9</v>
      </c>
      <c r="B10" s="2" t="s">
        <v>215</v>
      </c>
      <c r="C10" s="1" t="s">
        <v>216</v>
      </c>
      <c r="D10" s="2" t="s">
        <v>162</v>
      </c>
      <c r="E10" s="1" t="s">
        <v>227</v>
      </c>
      <c r="F10" s="1" t="s">
        <v>228</v>
      </c>
      <c r="G10" s="2" t="s">
        <v>496</v>
      </c>
      <c r="H10" s="2">
        <v>5</v>
      </c>
    </row>
    <row r="11" spans="1:8">
      <c r="A11" s="2">
        <v>10</v>
      </c>
      <c r="B11" s="2" t="s">
        <v>215</v>
      </c>
      <c r="C11" s="1" t="s">
        <v>216</v>
      </c>
      <c r="D11" s="2" t="s">
        <v>230</v>
      </c>
      <c r="E11" s="1" t="s">
        <v>119</v>
      </c>
      <c r="F11" s="1" t="s">
        <v>231</v>
      </c>
      <c r="G11" s="2" t="s">
        <v>497</v>
      </c>
      <c r="H11" s="2">
        <v>4</v>
      </c>
    </row>
    <row r="12" spans="1:8">
      <c r="A12" s="2">
        <v>11</v>
      </c>
      <c r="B12" s="2" t="s">
        <v>215</v>
      </c>
      <c r="C12" s="1" t="s">
        <v>216</v>
      </c>
      <c r="D12" s="2" t="s">
        <v>233</v>
      </c>
      <c r="E12" s="1" t="s">
        <v>234</v>
      </c>
      <c r="F12" s="1" t="s">
        <v>235</v>
      </c>
      <c r="G12" s="2" t="s">
        <v>498</v>
      </c>
      <c r="H12" s="2">
        <v>4</v>
      </c>
    </row>
    <row r="13" spans="1:8">
      <c r="A13" s="2">
        <v>12</v>
      </c>
      <c r="B13" s="2" t="s">
        <v>215</v>
      </c>
      <c r="C13" s="1" t="s">
        <v>216</v>
      </c>
      <c r="D13" s="2" t="s">
        <v>237</v>
      </c>
      <c r="E13" s="1" t="s">
        <v>155</v>
      </c>
      <c r="F13" s="1" t="s">
        <v>238</v>
      </c>
      <c r="G13" s="2" t="s">
        <v>499</v>
      </c>
      <c r="H13" s="2">
        <v>4</v>
      </c>
    </row>
    <row r="14" spans="1:8">
      <c r="A14" s="2">
        <v>13</v>
      </c>
      <c r="B14" s="2" t="s">
        <v>215</v>
      </c>
      <c r="C14" s="1" t="s">
        <v>216</v>
      </c>
      <c r="D14" s="2" t="s">
        <v>240</v>
      </c>
      <c r="E14" s="1" t="s">
        <v>72</v>
      </c>
      <c r="F14" s="1" t="s">
        <v>241</v>
      </c>
      <c r="G14" s="2" t="s">
        <v>500</v>
      </c>
      <c r="H14" s="2">
        <v>4</v>
      </c>
    </row>
    <row r="15" spans="1:8">
      <c r="A15" s="2">
        <v>14</v>
      </c>
      <c r="B15" s="2" t="s">
        <v>215</v>
      </c>
      <c r="C15" s="1" t="s">
        <v>216</v>
      </c>
      <c r="D15" s="2" t="s">
        <v>243</v>
      </c>
      <c r="E15" s="1" t="s">
        <v>244</v>
      </c>
      <c r="F15" s="1" t="s">
        <v>245</v>
      </c>
      <c r="G15" s="2" t="s">
        <v>501</v>
      </c>
      <c r="H15" s="2">
        <v>5</v>
      </c>
    </row>
    <row r="16" spans="1:8">
      <c r="A16" s="2">
        <v>15</v>
      </c>
      <c r="B16" s="2" t="s">
        <v>215</v>
      </c>
      <c r="C16" s="1" t="s">
        <v>216</v>
      </c>
      <c r="D16" s="2" t="s">
        <v>247</v>
      </c>
      <c r="E16" s="1" t="s">
        <v>248</v>
      </c>
      <c r="F16" s="1" t="s">
        <v>249</v>
      </c>
      <c r="G16" s="2" t="s">
        <v>502</v>
      </c>
      <c r="H16" s="2">
        <v>5</v>
      </c>
    </row>
    <row r="17" spans="1:8">
      <c r="A17" s="2">
        <v>16</v>
      </c>
      <c r="B17" s="2" t="s">
        <v>251</v>
      </c>
      <c r="C17" s="1" t="s">
        <v>252</v>
      </c>
      <c r="D17" s="2" t="s">
        <v>253</v>
      </c>
      <c r="E17" s="1" t="s">
        <v>254</v>
      </c>
      <c r="F17" s="1" t="s">
        <v>255</v>
      </c>
      <c r="G17" s="2" t="s">
        <v>503</v>
      </c>
      <c r="H17" s="2">
        <v>3</v>
      </c>
    </row>
    <row r="18" spans="1:8">
      <c r="A18" s="2">
        <v>17</v>
      </c>
      <c r="B18" s="2" t="s">
        <v>251</v>
      </c>
      <c r="C18" s="1" t="s">
        <v>252</v>
      </c>
      <c r="D18" s="2" t="s">
        <v>257</v>
      </c>
      <c r="E18" s="1" t="s">
        <v>258</v>
      </c>
      <c r="F18" s="1" t="s">
        <v>259</v>
      </c>
      <c r="G18" s="2" t="s">
        <v>504</v>
      </c>
      <c r="H18" s="2">
        <v>4</v>
      </c>
    </row>
    <row r="19" spans="1:8">
      <c r="A19" s="2">
        <v>18</v>
      </c>
      <c r="B19" s="2" t="s">
        <v>251</v>
      </c>
      <c r="C19" s="1" t="s">
        <v>252</v>
      </c>
      <c r="D19" s="2" t="s">
        <v>261</v>
      </c>
      <c r="E19" s="1" t="s">
        <v>262</v>
      </c>
      <c r="F19" s="1" t="s">
        <v>263</v>
      </c>
      <c r="G19" s="2" t="s">
        <v>505</v>
      </c>
      <c r="H19" s="2">
        <v>4</v>
      </c>
    </row>
    <row r="20" spans="1:8">
      <c r="A20" s="2">
        <v>19</v>
      </c>
      <c r="B20" s="2" t="s">
        <v>265</v>
      </c>
      <c r="C20" s="1" t="s">
        <v>266</v>
      </c>
      <c r="D20" s="2" t="s">
        <v>27</v>
      </c>
      <c r="E20" s="1" t="s">
        <v>26</v>
      </c>
      <c r="F20" s="1" t="s">
        <v>267</v>
      </c>
      <c r="G20" s="2" t="s">
        <v>506</v>
      </c>
      <c r="H20" s="2">
        <v>4</v>
      </c>
    </row>
    <row r="21" spans="1:8">
      <c r="A21" s="2">
        <v>20</v>
      </c>
      <c r="B21" s="2" t="s">
        <v>265</v>
      </c>
      <c r="C21" s="1" t="s">
        <v>266</v>
      </c>
      <c r="D21" s="2" t="s">
        <v>29</v>
      </c>
      <c r="E21" s="1" t="s">
        <v>28</v>
      </c>
      <c r="F21" s="1" t="s">
        <v>269</v>
      </c>
      <c r="G21" s="2" t="s">
        <v>507</v>
      </c>
      <c r="H21" s="2">
        <v>4</v>
      </c>
    </row>
    <row r="22" spans="1:8">
      <c r="A22" s="2">
        <v>21</v>
      </c>
      <c r="B22" s="2" t="s">
        <v>265</v>
      </c>
      <c r="C22" s="1" t="s">
        <v>266</v>
      </c>
      <c r="D22" s="2" t="s">
        <v>59</v>
      </c>
      <c r="E22" s="1" t="s">
        <v>58</v>
      </c>
      <c r="F22" s="1" t="s">
        <v>271</v>
      </c>
      <c r="G22" s="2" t="s">
        <v>508</v>
      </c>
      <c r="H22" s="2">
        <v>4</v>
      </c>
    </row>
    <row r="23" spans="1:8">
      <c r="A23" s="2">
        <v>22</v>
      </c>
      <c r="B23" s="2" t="s">
        <v>265</v>
      </c>
      <c r="C23" s="1" t="s">
        <v>266</v>
      </c>
      <c r="D23" s="2" t="s">
        <v>69</v>
      </c>
      <c r="E23" s="1" t="s">
        <v>68</v>
      </c>
      <c r="F23" s="1" t="s">
        <v>273</v>
      </c>
      <c r="G23" s="2" t="s">
        <v>509</v>
      </c>
      <c r="H23" s="2">
        <v>4</v>
      </c>
    </row>
    <row r="24" spans="1:8">
      <c r="A24" s="2">
        <v>23</v>
      </c>
      <c r="B24" s="2" t="s">
        <v>265</v>
      </c>
      <c r="C24" s="1" t="s">
        <v>266</v>
      </c>
      <c r="D24" s="2" t="s">
        <v>71</v>
      </c>
      <c r="E24" s="1" t="s">
        <v>70</v>
      </c>
      <c r="F24" s="1" t="s">
        <v>275</v>
      </c>
      <c r="G24" s="2" t="s">
        <v>510</v>
      </c>
      <c r="H24" s="2">
        <v>4</v>
      </c>
    </row>
    <row r="25" spans="1:8">
      <c r="A25" s="2">
        <v>24</v>
      </c>
      <c r="B25" s="2" t="s">
        <v>265</v>
      </c>
      <c r="C25" s="1" t="s">
        <v>266</v>
      </c>
      <c r="D25" s="2" t="s">
        <v>57</v>
      </c>
      <c r="E25" s="1" t="s">
        <v>277</v>
      </c>
      <c r="F25" s="1" t="s">
        <v>278</v>
      </c>
      <c r="G25" s="2" t="s">
        <v>511</v>
      </c>
      <c r="H25" s="2">
        <v>4</v>
      </c>
    </row>
    <row r="26" spans="1:8">
      <c r="A26" s="2">
        <v>25</v>
      </c>
      <c r="B26" s="2" t="s">
        <v>265</v>
      </c>
      <c r="C26" s="1" t="s">
        <v>266</v>
      </c>
      <c r="D26" s="2" t="s">
        <v>280</v>
      </c>
      <c r="E26" s="1" t="s">
        <v>281</v>
      </c>
      <c r="F26" s="1" t="s">
        <v>282</v>
      </c>
      <c r="G26" s="2" t="s">
        <v>512</v>
      </c>
      <c r="H26" s="2">
        <v>4</v>
      </c>
    </row>
    <row r="27" spans="1:8">
      <c r="A27" s="2">
        <v>26</v>
      </c>
      <c r="B27" s="2" t="s">
        <v>265</v>
      </c>
      <c r="C27" s="1" t="s">
        <v>266</v>
      </c>
      <c r="D27" s="2" t="s">
        <v>284</v>
      </c>
      <c r="E27" s="1" t="s">
        <v>285</v>
      </c>
      <c r="F27" s="1" t="s">
        <v>286</v>
      </c>
      <c r="G27" s="2" t="s">
        <v>513</v>
      </c>
      <c r="H27" s="2">
        <v>4</v>
      </c>
    </row>
    <row r="28" spans="1:8">
      <c r="A28" s="2">
        <v>27</v>
      </c>
      <c r="B28" s="2" t="s">
        <v>288</v>
      </c>
      <c r="C28" s="1" t="s">
        <v>289</v>
      </c>
      <c r="D28" s="2" t="s">
        <v>41</v>
      </c>
      <c r="E28" s="1" t="s">
        <v>40</v>
      </c>
      <c r="F28" s="1" t="s">
        <v>290</v>
      </c>
      <c r="G28" s="2" t="s">
        <v>514</v>
      </c>
      <c r="H28" s="2">
        <v>4</v>
      </c>
    </row>
    <row r="29" spans="1:8">
      <c r="A29" s="2">
        <v>28</v>
      </c>
      <c r="B29" s="2" t="s">
        <v>288</v>
      </c>
      <c r="C29" s="1" t="s">
        <v>289</v>
      </c>
      <c r="D29" s="2" t="s">
        <v>180</v>
      </c>
      <c r="E29" s="1" t="s">
        <v>179</v>
      </c>
      <c r="F29" s="1" t="s">
        <v>292</v>
      </c>
      <c r="G29" s="2" t="s">
        <v>515</v>
      </c>
      <c r="H29" s="2">
        <v>5</v>
      </c>
    </row>
    <row r="30" spans="1:8">
      <c r="A30" s="2">
        <v>29</v>
      </c>
      <c r="B30" s="2" t="s">
        <v>288</v>
      </c>
      <c r="C30" s="1" t="s">
        <v>289</v>
      </c>
      <c r="D30" s="2" t="s">
        <v>81</v>
      </c>
      <c r="E30" s="1" t="s">
        <v>80</v>
      </c>
      <c r="F30" s="1" t="s">
        <v>294</v>
      </c>
      <c r="G30" s="2" t="s">
        <v>516</v>
      </c>
      <c r="H30" s="2">
        <v>5</v>
      </c>
    </row>
    <row r="31" spans="1:8">
      <c r="A31" s="2">
        <v>30</v>
      </c>
      <c r="B31" s="2" t="s">
        <v>288</v>
      </c>
      <c r="C31" s="1" t="s">
        <v>289</v>
      </c>
      <c r="D31" s="2" t="s">
        <v>45</v>
      </c>
      <c r="E31" s="1" t="s">
        <v>44</v>
      </c>
      <c r="F31" s="1" t="s">
        <v>296</v>
      </c>
      <c r="G31" s="2" t="s">
        <v>517</v>
      </c>
      <c r="H31" s="2">
        <v>5</v>
      </c>
    </row>
    <row r="32" spans="1:8">
      <c r="A32" s="2">
        <v>31</v>
      </c>
      <c r="B32" s="2" t="s">
        <v>288</v>
      </c>
      <c r="C32" s="1" t="s">
        <v>289</v>
      </c>
      <c r="D32" s="2" t="s">
        <v>23</v>
      </c>
      <c r="E32" s="1" t="s">
        <v>22</v>
      </c>
      <c r="F32" s="1" t="s">
        <v>298</v>
      </c>
      <c r="G32" s="2" t="s">
        <v>518</v>
      </c>
      <c r="H32" s="2">
        <v>5</v>
      </c>
    </row>
    <row r="33" spans="1:8">
      <c r="A33" s="2">
        <v>32</v>
      </c>
      <c r="B33" s="2" t="s">
        <v>288</v>
      </c>
      <c r="C33" s="1" t="s">
        <v>289</v>
      </c>
      <c r="D33" s="2" t="s">
        <v>300</v>
      </c>
      <c r="E33" s="1" t="s">
        <v>301</v>
      </c>
      <c r="F33" s="1" t="s">
        <v>302</v>
      </c>
      <c r="G33" s="2" t="s">
        <v>519</v>
      </c>
      <c r="H33" s="2">
        <v>5</v>
      </c>
    </row>
    <row r="34" spans="1:8">
      <c r="A34" s="2">
        <v>33</v>
      </c>
      <c r="B34" s="2" t="s">
        <v>288</v>
      </c>
      <c r="C34" s="1" t="s">
        <v>289</v>
      </c>
      <c r="D34" s="2" t="s">
        <v>304</v>
      </c>
      <c r="E34" s="1" t="s">
        <v>305</v>
      </c>
      <c r="F34" s="1" t="s">
        <v>306</v>
      </c>
      <c r="G34" s="2" t="s">
        <v>520</v>
      </c>
      <c r="H34" s="2">
        <v>5</v>
      </c>
    </row>
    <row r="35" spans="1:8">
      <c r="A35" s="2">
        <v>34</v>
      </c>
      <c r="B35" s="2" t="s">
        <v>288</v>
      </c>
      <c r="C35" s="1" t="s">
        <v>289</v>
      </c>
      <c r="D35" s="2" t="s">
        <v>39</v>
      </c>
      <c r="E35" s="1" t="s">
        <v>38</v>
      </c>
      <c r="F35" s="1" t="s">
        <v>308</v>
      </c>
      <c r="G35" s="2" t="s">
        <v>521</v>
      </c>
      <c r="H35" s="2">
        <v>4</v>
      </c>
    </row>
    <row r="36" spans="1:8">
      <c r="A36" s="2">
        <v>35</v>
      </c>
      <c r="B36" s="2" t="s">
        <v>288</v>
      </c>
      <c r="C36" s="1" t="s">
        <v>289</v>
      </c>
      <c r="D36" s="2" t="s">
        <v>310</v>
      </c>
      <c r="E36" s="1" t="s">
        <v>18</v>
      </c>
      <c r="F36" s="1" t="s">
        <v>311</v>
      </c>
      <c r="G36" s="2" t="s">
        <v>513</v>
      </c>
      <c r="H36" s="2">
        <v>4</v>
      </c>
    </row>
    <row r="37" spans="1:8">
      <c r="A37" s="2">
        <v>36</v>
      </c>
      <c r="B37" s="2" t="s">
        <v>288</v>
      </c>
      <c r="C37" s="1" t="s">
        <v>289</v>
      </c>
      <c r="D37" s="2" t="s">
        <v>186</v>
      </c>
      <c r="E37" s="1" t="s">
        <v>185</v>
      </c>
      <c r="F37" s="1" t="s">
        <v>312</v>
      </c>
      <c r="G37" s="2" t="s">
        <v>522</v>
      </c>
      <c r="H37" s="2">
        <v>5</v>
      </c>
    </row>
    <row r="38" spans="1:8">
      <c r="A38" s="2">
        <v>37</v>
      </c>
      <c r="B38" s="2" t="s">
        <v>288</v>
      </c>
      <c r="C38" s="1" t="s">
        <v>289</v>
      </c>
      <c r="D38" s="2" t="s">
        <v>314</v>
      </c>
      <c r="E38" s="1" t="s">
        <v>315</v>
      </c>
      <c r="F38" s="1" t="s">
        <v>316</v>
      </c>
      <c r="G38" s="2" t="s">
        <v>523</v>
      </c>
      <c r="H38" s="2">
        <v>5</v>
      </c>
    </row>
    <row r="39" spans="1:8">
      <c r="A39" s="2">
        <v>38</v>
      </c>
      <c r="B39" s="2" t="s">
        <v>288</v>
      </c>
      <c r="C39" s="1" t="s">
        <v>289</v>
      </c>
      <c r="D39" s="2" t="s">
        <v>43</v>
      </c>
      <c r="E39" s="1" t="s">
        <v>42</v>
      </c>
      <c r="F39" s="1" t="s">
        <v>318</v>
      </c>
      <c r="G39" s="2" t="s">
        <v>524</v>
      </c>
      <c r="H39" s="2">
        <v>5</v>
      </c>
    </row>
    <row r="40" spans="1:8">
      <c r="A40" s="2">
        <v>39</v>
      </c>
      <c r="B40" s="2" t="s">
        <v>288</v>
      </c>
      <c r="C40" s="1" t="s">
        <v>289</v>
      </c>
      <c r="D40" s="2" t="s">
        <v>53</v>
      </c>
      <c r="E40" s="1" t="s">
        <v>52</v>
      </c>
      <c r="F40" s="1" t="s">
        <v>320</v>
      </c>
      <c r="G40" s="2" t="s">
        <v>525</v>
      </c>
      <c r="H40" s="2">
        <v>4</v>
      </c>
    </row>
    <row r="41" spans="1:8">
      <c r="A41" s="2">
        <v>40</v>
      </c>
      <c r="B41" s="2" t="s">
        <v>288</v>
      </c>
      <c r="C41" s="1" t="s">
        <v>289</v>
      </c>
      <c r="D41" s="2" t="s">
        <v>322</v>
      </c>
      <c r="E41" s="1" t="s">
        <v>323</v>
      </c>
      <c r="F41" s="1" t="s">
        <v>324</v>
      </c>
      <c r="G41" s="2" t="s">
        <v>526</v>
      </c>
      <c r="H41" s="2">
        <v>4</v>
      </c>
    </row>
    <row r="42" spans="1:8">
      <c r="A42" s="2">
        <v>41</v>
      </c>
      <c r="B42" s="2" t="s">
        <v>288</v>
      </c>
      <c r="C42" s="1" t="s">
        <v>289</v>
      </c>
      <c r="D42" s="2" t="s">
        <v>326</v>
      </c>
      <c r="E42" s="1" t="s">
        <v>327</v>
      </c>
      <c r="F42" s="1" t="s">
        <v>328</v>
      </c>
      <c r="G42" s="2" t="s">
        <v>527</v>
      </c>
      <c r="H42" s="2">
        <v>4</v>
      </c>
    </row>
    <row r="43" spans="1:8">
      <c r="A43" s="2">
        <v>42</v>
      </c>
      <c r="B43" s="2" t="s">
        <v>288</v>
      </c>
      <c r="C43" s="1" t="s">
        <v>289</v>
      </c>
      <c r="D43" s="2" t="s">
        <v>330</v>
      </c>
      <c r="E43" s="1" t="s">
        <v>181</v>
      </c>
      <c r="F43" s="1" t="s">
        <v>331</v>
      </c>
      <c r="G43" s="2" t="s">
        <v>528</v>
      </c>
      <c r="H43" s="2">
        <v>5</v>
      </c>
    </row>
    <row r="44" spans="1:8">
      <c r="A44" s="2">
        <v>43</v>
      </c>
      <c r="B44" s="2" t="s">
        <v>288</v>
      </c>
      <c r="C44" s="1" t="s">
        <v>289</v>
      </c>
      <c r="D44" s="2" t="s">
        <v>333</v>
      </c>
      <c r="E44" s="1" t="s">
        <v>334</v>
      </c>
      <c r="F44" s="1" t="s">
        <v>335</v>
      </c>
      <c r="G44" s="2" t="s">
        <v>529</v>
      </c>
      <c r="H44" s="2">
        <v>5</v>
      </c>
    </row>
    <row r="45" spans="1:8">
      <c r="A45" s="2">
        <v>44</v>
      </c>
      <c r="B45" s="2" t="s">
        <v>337</v>
      </c>
      <c r="C45" s="1" t="s">
        <v>338</v>
      </c>
      <c r="D45" s="2" t="s">
        <v>94</v>
      </c>
      <c r="E45" s="1" t="s">
        <v>93</v>
      </c>
      <c r="F45" s="1" t="s">
        <v>93</v>
      </c>
      <c r="G45" s="2" t="s">
        <v>530</v>
      </c>
      <c r="H45" s="2">
        <v>3</v>
      </c>
    </row>
    <row r="46" spans="1:8">
      <c r="A46" s="2">
        <v>45</v>
      </c>
      <c r="B46" s="2" t="s">
        <v>337</v>
      </c>
      <c r="C46" s="1" t="s">
        <v>338</v>
      </c>
      <c r="D46" s="2" t="s">
        <v>9</v>
      </c>
      <c r="E46" s="1" t="s">
        <v>8</v>
      </c>
      <c r="F46" s="1" t="s">
        <v>8</v>
      </c>
      <c r="G46" s="2" t="s">
        <v>531</v>
      </c>
      <c r="H46" s="2">
        <v>3</v>
      </c>
    </row>
    <row r="47" spans="1:8">
      <c r="A47" s="2">
        <v>46</v>
      </c>
      <c r="B47" s="2" t="s">
        <v>337</v>
      </c>
      <c r="C47" s="1" t="s">
        <v>338</v>
      </c>
      <c r="D47" s="2" t="s">
        <v>341</v>
      </c>
      <c r="E47" s="1" t="s">
        <v>342</v>
      </c>
      <c r="F47" s="1" t="s">
        <v>343</v>
      </c>
      <c r="G47" s="2" t="s">
        <v>532</v>
      </c>
      <c r="H47" s="2">
        <v>4</v>
      </c>
    </row>
    <row r="48" spans="1:8">
      <c r="A48" s="2">
        <v>47</v>
      </c>
      <c r="B48" s="2" t="s">
        <v>337</v>
      </c>
      <c r="C48" s="1" t="s">
        <v>338</v>
      </c>
      <c r="D48" s="2" t="s">
        <v>13</v>
      </c>
      <c r="E48" s="1" t="s">
        <v>12</v>
      </c>
      <c r="F48" s="1" t="s">
        <v>345</v>
      </c>
      <c r="G48" s="2" t="s">
        <v>533</v>
      </c>
      <c r="H48" s="2">
        <v>4</v>
      </c>
    </row>
    <row r="49" spans="1:8">
      <c r="A49" s="2">
        <v>48</v>
      </c>
      <c r="B49" s="2" t="s">
        <v>337</v>
      </c>
      <c r="C49" s="1" t="s">
        <v>338</v>
      </c>
      <c r="D49" s="2" t="s">
        <v>347</v>
      </c>
      <c r="E49" s="1" t="s">
        <v>348</v>
      </c>
      <c r="F49" s="1" t="s">
        <v>349</v>
      </c>
      <c r="G49" s="2" t="s">
        <v>534</v>
      </c>
      <c r="H49" s="2">
        <v>4</v>
      </c>
    </row>
    <row r="50" spans="1:8">
      <c r="A50" s="2">
        <v>49</v>
      </c>
      <c r="B50" s="2" t="s">
        <v>337</v>
      </c>
      <c r="C50" s="1" t="s">
        <v>338</v>
      </c>
      <c r="D50" s="2" t="s">
        <v>11</v>
      </c>
      <c r="E50" s="1" t="s">
        <v>10</v>
      </c>
      <c r="F50" s="1" t="s">
        <v>351</v>
      </c>
      <c r="G50" s="2" t="s">
        <v>535</v>
      </c>
      <c r="H50" s="2">
        <v>4</v>
      </c>
    </row>
    <row r="51" spans="1:8">
      <c r="A51" s="2">
        <v>50</v>
      </c>
      <c r="B51" s="2" t="s">
        <v>337</v>
      </c>
      <c r="C51" s="1" t="s">
        <v>338</v>
      </c>
      <c r="D51" s="2" t="s">
        <v>104</v>
      </c>
      <c r="E51" s="1" t="s">
        <v>103</v>
      </c>
      <c r="F51" s="1" t="s">
        <v>353</v>
      </c>
      <c r="G51" s="2" t="s">
        <v>536</v>
      </c>
      <c r="H51" s="2">
        <v>5</v>
      </c>
    </row>
    <row r="52" spans="1:8">
      <c r="A52" s="2">
        <v>51</v>
      </c>
      <c r="B52" s="2" t="s">
        <v>337</v>
      </c>
      <c r="C52" s="1" t="s">
        <v>338</v>
      </c>
      <c r="D52" s="2" t="s">
        <v>100</v>
      </c>
      <c r="E52" s="1" t="s">
        <v>99</v>
      </c>
      <c r="F52" s="1" t="s">
        <v>355</v>
      </c>
      <c r="G52" s="2" t="s">
        <v>537</v>
      </c>
      <c r="H52" s="2">
        <v>5</v>
      </c>
    </row>
    <row r="53" spans="1:8">
      <c r="A53" s="2">
        <v>52</v>
      </c>
      <c r="B53" s="2" t="s">
        <v>337</v>
      </c>
      <c r="C53" s="1" t="s">
        <v>338</v>
      </c>
      <c r="D53" s="2" t="s">
        <v>106</v>
      </c>
      <c r="E53" s="1" t="s">
        <v>105</v>
      </c>
      <c r="F53" s="1" t="s">
        <v>357</v>
      </c>
      <c r="G53" s="2" t="s">
        <v>538</v>
      </c>
      <c r="H53" s="2">
        <v>6</v>
      </c>
    </row>
    <row r="54" spans="1:8">
      <c r="A54" s="2">
        <v>53</v>
      </c>
      <c r="B54" s="2" t="s">
        <v>337</v>
      </c>
      <c r="C54" s="1" t="s">
        <v>338</v>
      </c>
      <c r="D54" s="2" t="s">
        <v>359</v>
      </c>
      <c r="E54" s="1" t="s">
        <v>360</v>
      </c>
      <c r="F54" s="1" t="s">
        <v>361</v>
      </c>
      <c r="G54" s="2" t="s">
        <v>539</v>
      </c>
      <c r="H54" s="2">
        <v>6</v>
      </c>
    </row>
    <row r="55" spans="1:8">
      <c r="A55" s="2">
        <v>54</v>
      </c>
      <c r="B55" s="2" t="s">
        <v>337</v>
      </c>
      <c r="C55" s="1" t="s">
        <v>338</v>
      </c>
      <c r="D55" s="2" t="s">
        <v>363</v>
      </c>
      <c r="E55" s="1" t="s">
        <v>364</v>
      </c>
      <c r="F55" s="1" t="s">
        <v>365</v>
      </c>
      <c r="G55" s="2" t="s">
        <v>540</v>
      </c>
      <c r="H55" s="2">
        <v>5</v>
      </c>
    </row>
    <row r="56" spans="1:8">
      <c r="A56" s="2">
        <v>55</v>
      </c>
      <c r="B56" s="2" t="s">
        <v>367</v>
      </c>
      <c r="C56" s="1" t="s">
        <v>368</v>
      </c>
      <c r="D56" s="2" t="s">
        <v>122</v>
      </c>
      <c r="E56" s="1" t="s">
        <v>121</v>
      </c>
      <c r="F56" s="1" t="s">
        <v>369</v>
      </c>
      <c r="G56" s="2" t="s">
        <v>541</v>
      </c>
      <c r="H56" s="2">
        <v>5</v>
      </c>
    </row>
    <row r="57" spans="1:8">
      <c r="A57" s="2">
        <v>56</v>
      </c>
      <c r="B57" s="2" t="s">
        <v>367</v>
      </c>
      <c r="C57" s="1" t="s">
        <v>368</v>
      </c>
      <c r="D57" s="2" t="s">
        <v>124</v>
      </c>
      <c r="E57" s="1" t="s">
        <v>123</v>
      </c>
      <c r="F57" s="1" t="s">
        <v>372</v>
      </c>
      <c r="G57" s="2" t="s">
        <v>542</v>
      </c>
      <c r="H57" s="2">
        <v>5</v>
      </c>
    </row>
    <row r="58" spans="1:8">
      <c r="A58" s="2">
        <v>57</v>
      </c>
      <c r="B58" s="2" t="s">
        <v>367</v>
      </c>
      <c r="C58" s="1" t="s">
        <v>368</v>
      </c>
      <c r="D58" s="2" t="s">
        <v>160</v>
      </c>
      <c r="E58" s="1" t="s">
        <v>159</v>
      </c>
      <c r="F58" s="1" t="s">
        <v>374</v>
      </c>
      <c r="G58" s="2" t="s">
        <v>543</v>
      </c>
      <c r="H58" s="2">
        <v>5</v>
      </c>
    </row>
    <row r="59" spans="1:8">
      <c r="A59" s="2">
        <v>58</v>
      </c>
      <c r="B59" s="2" t="s">
        <v>367</v>
      </c>
      <c r="C59" s="1" t="s">
        <v>368</v>
      </c>
      <c r="D59" s="2" t="s">
        <v>158</v>
      </c>
      <c r="E59" s="1" t="s">
        <v>376</v>
      </c>
      <c r="F59" s="1" t="s">
        <v>377</v>
      </c>
      <c r="G59" s="2" t="s">
        <v>544</v>
      </c>
      <c r="H59" s="2">
        <v>5</v>
      </c>
    </row>
    <row r="60" spans="1:8">
      <c r="A60" s="2">
        <v>59</v>
      </c>
      <c r="B60" s="2" t="s">
        <v>367</v>
      </c>
      <c r="C60" s="1" t="s">
        <v>368</v>
      </c>
      <c r="D60" s="2" t="s">
        <v>379</v>
      </c>
      <c r="E60" s="1" t="s">
        <v>115</v>
      </c>
      <c r="F60" s="1" t="s">
        <v>380</v>
      </c>
      <c r="G60" s="2" t="s">
        <v>545</v>
      </c>
      <c r="H60" s="2">
        <v>5</v>
      </c>
    </row>
    <row r="61" spans="1:8">
      <c r="A61" s="2">
        <v>60</v>
      </c>
      <c r="B61" s="2" t="s">
        <v>382</v>
      </c>
      <c r="C61" s="1" t="s">
        <v>368</v>
      </c>
      <c r="D61" s="2" t="s">
        <v>383</v>
      </c>
      <c r="E61" s="1" t="s">
        <v>371</v>
      </c>
      <c r="F61" s="1" t="s">
        <v>384</v>
      </c>
      <c r="G61" s="2" t="s">
        <v>515</v>
      </c>
      <c r="H61" s="2">
        <v>5</v>
      </c>
    </row>
    <row r="62" spans="1:8">
      <c r="A62" s="2">
        <v>61</v>
      </c>
      <c r="B62" s="2" t="s">
        <v>382</v>
      </c>
      <c r="C62" s="1" t="s">
        <v>368</v>
      </c>
      <c r="D62" s="2" t="s">
        <v>386</v>
      </c>
      <c r="E62" s="1" t="s">
        <v>387</v>
      </c>
      <c r="F62" s="1" t="s">
        <v>388</v>
      </c>
      <c r="G62" s="2" t="s">
        <v>546</v>
      </c>
      <c r="H62" s="2">
        <v>6</v>
      </c>
    </row>
    <row r="63" spans="1:8">
      <c r="A63" s="2">
        <v>62</v>
      </c>
      <c r="B63" s="2" t="s">
        <v>382</v>
      </c>
      <c r="C63" s="1" t="s">
        <v>368</v>
      </c>
      <c r="D63" s="2" t="s">
        <v>144</v>
      </c>
      <c r="E63" s="1" t="s">
        <v>143</v>
      </c>
      <c r="F63" s="1" t="s">
        <v>390</v>
      </c>
      <c r="G63" s="2" t="s">
        <v>547</v>
      </c>
      <c r="H63" s="2">
        <v>6</v>
      </c>
    </row>
    <row r="64" spans="1:8">
      <c r="A64" s="2">
        <v>63</v>
      </c>
      <c r="B64" s="2" t="s">
        <v>382</v>
      </c>
      <c r="C64" s="1" t="s">
        <v>368</v>
      </c>
      <c r="D64" s="2" t="s">
        <v>118</v>
      </c>
      <c r="E64" s="1" t="s">
        <v>117</v>
      </c>
      <c r="F64" s="1" t="s">
        <v>392</v>
      </c>
      <c r="G64" s="2" t="s">
        <v>548</v>
      </c>
      <c r="H64" s="2">
        <v>6</v>
      </c>
    </row>
    <row r="65" spans="1:8">
      <c r="A65" s="2">
        <v>64</v>
      </c>
      <c r="B65" s="2" t="s">
        <v>382</v>
      </c>
      <c r="C65" s="1" t="s">
        <v>368</v>
      </c>
      <c r="D65" s="2" t="s">
        <v>134</v>
      </c>
      <c r="E65" s="1" t="s">
        <v>133</v>
      </c>
      <c r="F65" s="1" t="s">
        <v>394</v>
      </c>
      <c r="G65" s="2" t="s">
        <v>549</v>
      </c>
      <c r="H65" s="2">
        <v>5</v>
      </c>
    </row>
    <row r="66" spans="1:8">
      <c r="A66" s="2">
        <v>65</v>
      </c>
      <c r="B66" s="2" t="s">
        <v>382</v>
      </c>
      <c r="C66" s="1" t="s">
        <v>368</v>
      </c>
      <c r="D66" s="2" t="s">
        <v>114</v>
      </c>
      <c r="E66" s="1" t="s">
        <v>113</v>
      </c>
      <c r="F66" s="1" t="s">
        <v>396</v>
      </c>
      <c r="G66" s="2" t="s">
        <v>550</v>
      </c>
      <c r="H66" s="2">
        <v>5</v>
      </c>
    </row>
    <row r="67" spans="1:8">
      <c r="A67" s="2">
        <v>66</v>
      </c>
      <c r="B67" s="2" t="s">
        <v>382</v>
      </c>
      <c r="C67" s="1" t="s">
        <v>368</v>
      </c>
      <c r="D67" s="2" t="s">
        <v>142</v>
      </c>
      <c r="E67" s="1" t="s">
        <v>141</v>
      </c>
      <c r="F67" s="1" t="s">
        <v>398</v>
      </c>
      <c r="G67" s="2" t="s">
        <v>551</v>
      </c>
      <c r="H67" s="2">
        <v>6</v>
      </c>
    </row>
    <row r="68" spans="1:8">
      <c r="A68" s="2">
        <v>67</v>
      </c>
      <c r="B68" s="2" t="s">
        <v>382</v>
      </c>
      <c r="C68" s="1" t="s">
        <v>368</v>
      </c>
      <c r="D68" s="2" t="s">
        <v>400</v>
      </c>
      <c r="E68" s="1" t="s">
        <v>401</v>
      </c>
      <c r="F68" s="1" t="s">
        <v>402</v>
      </c>
      <c r="G68" s="2" t="s">
        <v>552</v>
      </c>
      <c r="H68" s="2">
        <v>6</v>
      </c>
    </row>
    <row r="69" spans="1:8">
      <c r="A69" s="2">
        <v>68</v>
      </c>
      <c r="B69" s="2" t="s">
        <v>382</v>
      </c>
      <c r="C69" s="1" t="s">
        <v>368</v>
      </c>
      <c r="D69" s="2" t="s">
        <v>168</v>
      </c>
      <c r="E69" s="1" t="s">
        <v>167</v>
      </c>
      <c r="F69" s="1" t="s">
        <v>404</v>
      </c>
      <c r="G69" s="2" t="s">
        <v>553</v>
      </c>
      <c r="H69" s="2">
        <v>5</v>
      </c>
    </row>
    <row r="70" spans="1:8">
      <c r="A70" s="2">
        <v>69</v>
      </c>
      <c r="B70" s="2" t="s">
        <v>382</v>
      </c>
      <c r="C70" s="1" t="s">
        <v>368</v>
      </c>
      <c r="D70" s="2" t="s">
        <v>406</v>
      </c>
      <c r="E70" s="1" t="s">
        <v>407</v>
      </c>
      <c r="F70" s="1" t="s">
        <v>408</v>
      </c>
      <c r="G70" s="2" t="s">
        <v>554</v>
      </c>
      <c r="H70" s="2">
        <v>5</v>
      </c>
    </row>
    <row r="71" spans="1:8">
      <c r="A71" s="2">
        <v>70</v>
      </c>
      <c r="B71" s="2" t="s">
        <v>410</v>
      </c>
      <c r="C71" s="1" t="s">
        <v>411</v>
      </c>
      <c r="D71" s="2" t="s">
        <v>412</v>
      </c>
      <c r="E71" s="1" t="s">
        <v>413</v>
      </c>
      <c r="F71" s="1" t="s">
        <v>414</v>
      </c>
      <c r="G71" s="2" t="s">
        <v>555</v>
      </c>
      <c r="H71" s="2">
        <v>6</v>
      </c>
    </row>
    <row r="72" spans="1:8">
      <c r="A72" s="2">
        <v>71</v>
      </c>
      <c r="B72" s="2" t="s">
        <v>410</v>
      </c>
      <c r="C72" s="1" t="s">
        <v>411</v>
      </c>
      <c r="D72" s="2" t="s">
        <v>102</v>
      </c>
      <c r="E72" s="1" t="s">
        <v>101</v>
      </c>
      <c r="F72" s="1" t="s">
        <v>416</v>
      </c>
      <c r="G72" s="2" t="s">
        <v>556</v>
      </c>
      <c r="H72" s="2">
        <v>6</v>
      </c>
    </row>
    <row r="73" spans="1:8">
      <c r="A73" s="2">
        <v>72</v>
      </c>
      <c r="B73" s="2" t="s">
        <v>410</v>
      </c>
      <c r="C73" s="1" t="s">
        <v>411</v>
      </c>
      <c r="D73" s="2" t="s">
        <v>172</v>
      </c>
      <c r="E73" s="1" t="s">
        <v>171</v>
      </c>
      <c r="F73" s="1" t="s">
        <v>418</v>
      </c>
      <c r="G73" s="2" t="s">
        <v>557</v>
      </c>
      <c r="H73" s="2">
        <v>6</v>
      </c>
    </row>
    <row r="74" spans="1:8">
      <c r="A74" s="2">
        <v>73</v>
      </c>
      <c r="B74" s="2" t="s">
        <v>410</v>
      </c>
      <c r="C74" s="1" t="s">
        <v>411</v>
      </c>
      <c r="D74" s="2" t="s">
        <v>420</v>
      </c>
      <c r="E74" s="1" t="s">
        <v>421</v>
      </c>
      <c r="F74" s="1" t="s">
        <v>422</v>
      </c>
      <c r="G74" s="2" t="s">
        <v>558</v>
      </c>
      <c r="H74" s="2">
        <v>6</v>
      </c>
    </row>
    <row r="75" spans="1:8">
      <c r="A75" s="2">
        <v>74</v>
      </c>
      <c r="B75" s="2" t="s">
        <v>424</v>
      </c>
      <c r="C75" s="1" t="s">
        <v>411</v>
      </c>
      <c r="D75" s="2" t="s">
        <v>425</v>
      </c>
      <c r="E75" s="1" t="s">
        <v>426</v>
      </c>
      <c r="F75" s="1" t="s">
        <v>427</v>
      </c>
      <c r="G75" s="2" t="s">
        <v>559</v>
      </c>
      <c r="H75" s="2">
        <v>6</v>
      </c>
    </row>
    <row r="76" spans="1:8">
      <c r="A76" s="2">
        <v>75</v>
      </c>
      <c r="B76" s="2" t="s">
        <v>424</v>
      </c>
      <c r="C76" s="1" t="s">
        <v>411</v>
      </c>
      <c r="D76" s="2" t="s">
        <v>429</v>
      </c>
      <c r="E76" s="1" t="s">
        <v>430</v>
      </c>
      <c r="F76" s="1" t="s">
        <v>431</v>
      </c>
      <c r="G76" s="2" t="s">
        <v>560</v>
      </c>
      <c r="H76" s="2">
        <v>6</v>
      </c>
    </row>
    <row r="77" spans="1:8">
      <c r="A77" s="2">
        <v>76</v>
      </c>
      <c r="B77" s="2" t="s">
        <v>424</v>
      </c>
      <c r="C77" s="1" t="s">
        <v>411</v>
      </c>
      <c r="D77" s="2" t="s">
        <v>176</v>
      </c>
      <c r="E77" s="1" t="s">
        <v>175</v>
      </c>
      <c r="F77" s="1" t="s">
        <v>433</v>
      </c>
      <c r="G77" s="2" t="s">
        <v>561</v>
      </c>
      <c r="H77" s="2">
        <v>6</v>
      </c>
    </row>
    <row r="78" spans="1:8">
      <c r="A78" s="2">
        <v>77</v>
      </c>
      <c r="B78" s="2" t="s">
        <v>424</v>
      </c>
      <c r="C78" s="1" t="s">
        <v>411</v>
      </c>
      <c r="D78" s="2" t="s">
        <v>435</v>
      </c>
      <c r="E78" s="1" t="s">
        <v>436</v>
      </c>
      <c r="F78" s="1" t="s">
        <v>437</v>
      </c>
      <c r="G78" s="2" t="s">
        <v>562</v>
      </c>
      <c r="H78" s="2">
        <v>6</v>
      </c>
    </row>
    <row r="79" spans="1:8">
      <c r="A79" s="2">
        <v>78</v>
      </c>
      <c r="B79" s="2" t="s">
        <v>424</v>
      </c>
      <c r="C79" s="1" t="s">
        <v>411</v>
      </c>
      <c r="D79" s="2" t="s">
        <v>439</v>
      </c>
      <c r="E79" s="1" t="s">
        <v>440</v>
      </c>
      <c r="F79" s="1" t="s">
        <v>441</v>
      </c>
      <c r="G79" s="2" t="s">
        <v>563</v>
      </c>
      <c r="H79" s="2">
        <v>7</v>
      </c>
    </row>
    <row r="80" spans="1:8">
      <c r="A80" s="2">
        <v>79</v>
      </c>
      <c r="B80" s="2" t="s">
        <v>424</v>
      </c>
      <c r="C80" s="1" t="s">
        <v>411</v>
      </c>
      <c r="D80" s="2" t="s">
        <v>443</v>
      </c>
      <c r="E80" s="1" t="s">
        <v>444</v>
      </c>
      <c r="F80" s="1" t="s">
        <v>445</v>
      </c>
      <c r="G80" s="2" t="s">
        <v>564</v>
      </c>
      <c r="H80" s="2">
        <v>6</v>
      </c>
    </row>
    <row r="81" spans="1:8">
      <c r="A81" s="2">
        <v>80</v>
      </c>
      <c r="B81" s="2" t="s">
        <v>447</v>
      </c>
      <c r="C81" s="1" t="s">
        <v>448</v>
      </c>
      <c r="D81" s="2" t="s">
        <v>128</v>
      </c>
      <c r="E81" s="1" t="s">
        <v>127</v>
      </c>
      <c r="F81" s="1" t="s">
        <v>449</v>
      </c>
      <c r="G81" s="2" t="s">
        <v>565</v>
      </c>
      <c r="H81" s="2">
        <v>7</v>
      </c>
    </row>
    <row r="82" spans="1:8">
      <c r="A82" s="2">
        <v>81</v>
      </c>
      <c r="B82" s="2" t="s">
        <v>447</v>
      </c>
      <c r="C82" s="1" t="s">
        <v>448</v>
      </c>
      <c r="D82" s="2" t="s">
        <v>132</v>
      </c>
      <c r="E82" s="1" t="s">
        <v>131</v>
      </c>
      <c r="F82" s="1" t="s">
        <v>451</v>
      </c>
      <c r="G82" s="2" t="s">
        <v>566</v>
      </c>
      <c r="H82" s="2">
        <v>7</v>
      </c>
    </row>
    <row r="83" spans="1:8">
      <c r="A83" s="2">
        <v>82</v>
      </c>
      <c r="B83" s="2" t="s">
        <v>447</v>
      </c>
      <c r="C83" s="1" t="s">
        <v>448</v>
      </c>
      <c r="D83" s="2" t="s">
        <v>164</v>
      </c>
      <c r="E83" s="1" t="s">
        <v>163</v>
      </c>
      <c r="F83" s="1" t="s">
        <v>453</v>
      </c>
      <c r="G83" s="2" t="s">
        <v>567</v>
      </c>
      <c r="H83" s="2">
        <v>7</v>
      </c>
    </row>
    <row r="84" spans="1:8">
      <c r="A84" s="2">
        <v>83</v>
      </c>
      <c r="B84" s="2" t="s">
        <v>447</v>
      </c>
      <c r="C84" s="1" t="s">
        <v>448</v>
      </c>
      <c r="D84" s="2" t="s">
        <v>455</v>
      </c>
      <c r="E84" s="1" t="s">
        <v>456</v>
      </c>
      <c r="F84" s="1" t="s">
        <v>457</v>
      </c>
      <c r="G84" s="2" t="s">
        <v>568</v>
      </c>
      <c r="H84" s="2">
        <v>7</v>
      </c>
    </row>
    <row r="85" spans="1:8">
      <c r="A85" s="2">
        <v>84</v>
      </c>
      <c r="B85" s="2" t="s">
        <v>459</v>
      </c>
      <c r="C85" s="1" t="s">
        <v>448</v>
      </c>
      <c r="D85" s="2" t="s">
        <v>138</v>
      </c>
      <c r="E85" s="1" t="s">
        <v>137</v>
      </c>
      <c r="F85" s="1" t="s">
        <v>460</v>
      </c>
      <c r="G85" s="2" t="s">
        <v>569</v>
      </c>
      <c r="H85" s="2">
        <v>7</v>
      </c>
    </row>
    <row r="86" spans="1:8">
      <c r="A86" s="2">
        <v>85</v>
      </c>
      <c r="B86" s="2" t="s">
        <v>459</v>
      </c>
      <c r="C86" s="1" t="s">
        <v>448</v>
      </c>
      <c r="D86" s="2" t="s">
        <v>462</v>
      </c>
      <c r="E86" s="1" t="s">
        <v>463</v>
      </c>
      <c r="F86" s="1" t="s">
        <v>464</v>
      </c>
      <c r="G86" s="2" t="s">
        <v>570</v>
      </c>
      <c r="H86" s="2">
        <v>7</v>
      </c>
    </row>
    <row r="87" spans="1:8">
      <c r="A87" s="2">
        <v>86</v>
      </c>
      <c r="B87" s="2" t="s">
        <v>459</v>
      </c>
      <c r="C87" s="1" t="s">
        <v>448</v>
      </c>
      <c r="D87" s="2" t="s">
        <v>188</v>
      </c>
      <c r="E87" s="1" t="s">
        <v>187</v>
      </c>
      <c r="F87" s="1" t="s">
        <v>466</v>
      </c>
      <c r="G87" s="2" t="s">
        <v>571</v>
      </c>
      <c r="H87" s="2">
        <v>7</v>
      </c>
    </row>
    <row r="88" spans="1:8">
      <c r="A88" s="2">
        <v>87</v>
      </c>
      <c r="B88" s="2" t="s">
        <v>459</v>
      </c>
      <c r="C88" s="1" t="s">
        <v>448</v>
      </c>
      <c r="D88" s="2" t="s">
        <v>83</v>
      </c>
      <c r="E88" s="1" t="s">
        <v>82</v>
      </c>
      <c r="F88" s="1" t="s">
        <v>468</v>
      </c>
      <c r="G88" s="2" t="s">
        <v>572</v>
      </c>
      <c r="H88" s="2">
        <v>6</v>
      </c>
    </row>
    <row r="89" spans="1:8">
      <c r="A89" s="2">
        <v>88</v>
      </c>
      <c r="B89" s="2" t="s">
        <v>459</v>
      </c>
      <c r="C89" s="1" t="s">
        <v>448</v>
      </c>
      <c r="D89" s="2" t="s">
        <v>150</v>
      </c>
      <c r="E89" s="1" t="s">
        <v>149</v>
      </c>
      <c r="F89" s="1" t="s">
        <v>470</v>
      </c>
      <c r="G89" s="2" t="s">
        <v>573</v>
      </c>
      <c r="H89" s="2">
        <v>7</v>
      </c>
    </row>
    <row r="90" spans="1:8">
      <c r="A90" s="2">
        <v>89</v>
      </c>
      <c r="B90" s="2" t="s">
        <v>459</v>
      </c>
      <c r="C90" s="1" t="s">
        <v>448</v>
      </c>
      <c r="D90" s="2" t="s">
        <v>472</v>
      </c>
      <c r="E90" s="1" t="s">
        <v>473</v>
      </c>
      <c r="F90" s="1" t="s">
        <v>474</v>
      </c>
      <c r="G90" s="2" t="s">
        <v>574</v>
      </c>
      <c r="H90" s="2">
        <v>6</v>
      </c>
    </row>
    <row r="91" spans="1:8">
      <c r="A91" s="2">
        <v>90</v>
      </c>
      <c r="B91" s="2" t="s">
        <v>459</v>
      </c>
      <c r="C91" s="1" t="s">
        <v>448</v>
      </c>
      <c r="D91" s="2" t="s">
        <v>476</v>
      </c>
      <c r="E91" s="1" t="s">
        <v>477</v>
      </c>
      <c r="F91" s="1" t="s">
        <v>478</v>
      </c>
      <c r="G91" s="2" t="s">
        <v>575</v>
      </c>
      <c r="H91" s="2">
        <v>6</v>
      </c>
    </row>
    <row r="92" spans="1:8">
      <c r="A92" s="2">
        <v>91</v>
      </c>
      <c r="B92" s="2" t="s">
        <v>459</v>
      </c>
      <c r="C92" s="1" t="s">
        <v>448</v>
      </c>
      <c r="D92" s="2" t="s">
        <v>480</v>
      </c>
      <c r="E92" s="1" t="s">
        <v>481</v>
      </c>
      <c r="F92" s="1" t="s">
        <v>482</v>
      </c>
      <c r="G92" s="2" t="s">
        <v>576</v>
      </c>
      <c r="H92" s="2">
        <v>6</v>
      </c>
    </row>
    <row r="93" spans="1:8">
      <c r="A93" s="2">
        <v>92</v>
      </c>
      <c r="B93" s="2" t="s">
        <v>459</v>
      </c>
      <c r="C93" s="1" t="s">
        <v>448</v>
      </c>
      <c r="D93" s="2" t="s">
        <v>148</v>
      </c>
      <c r="E93" s="1" t="s">
        <v>147</v>
      </c>
      <c r="F93" s="1" t="s">
        <v>484</v>
      </c>
      <c r="G93" s="2" t="s">
        <v>577</v>
      </c>
      <c r="H93" s="2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workbookViewId="0">
      <selection activeCell="E2" sqref="E$1:E$1048576"/>
    </sheetView>
  </sheetViews>
  <sheetFormatPr defaultColWidth="9.23333333333333" defaultRowHeight="16.5" outlineLevelCol="4"/>
  <cols>
    <col min="1" max="1" width="18.6916666666667" style="1" customWidth="1"/>
    <col min="2" max="2" width="18.8" style="1" customWidth="1"/>
    <col min="4" max="4" width="35.7333333333333" customWidth="1"/>
  </cols>
  <sheetData>
    <row r="1" spans="1:2">
      <c r="A1" s="1" t="s">
        <v>198</v>
      </c>
      <c r="B1" s="1" t="s">
        <v>200</v>
      </c>
    </row>
    <row r="2" spans="1:5">
      <c r="A2" s="1" t="s">
        <v>205</v>
      </c>
      <c r="B2" s="1" t="s">
        <v>24</v>
      </c>
      <c r="C2" t="s">
        <v>578</v>
      </c>
      <c r="D2" t="str">
        <f>_xlfn.CONCAT(C2,B2,C2,":",C2,B2,C2,",")</f>
        <v>"maj3":"maj3",</v>
      </c>
      <c r="E2" t="str">
        <f>_xlfn.CONCAT(C2,B2,C2,"|")</f>
        <v>"maj3"|</v>
      </c>
    </row>
    <row r="3" spans="1:5">
      <c r="A3" s="1" t="s">
        <v>205</v>
      </c>
      <c r="B3" s="1" t="s">
        <v>54</v>
      </c>
      <c r="C3" t="s">
        <v>578</v>
      </c>
      <c r="D3" t="str">
        <f t="shared" ref="D3:D34" si="0">_xlfn.CONCAT(C3,B3,C3,":",C3,B3,C3,",")</f>
        <v>"min3":"min3",</v>
      </c>
      <c r="E3" t="str">
        <f t="shared" ref="E3:E34" si="1">_xlfn.CONCAT(C3,B3,C3,"|")</f>
        <v>"min3"|</v>
      </c>
    </row>
    <row r="4" spans="1:5">
      <c r="A4" s="1" t="s">
        <v>205</v>
      </c>
      <c r="B4" s="1" t="s">
        <v>64</v>
      </c>
      <c r="C4" t="s">
        <v>578</v>
      </c>
      <c r="D4" t="str">
        <f t="shared" si="0"/>
        <v>"dim3":"dim3",</v>
      </c>
      <c r="E4" t="str">
        <f t="shared" si="1"/>
        <v>"dim3"|</v>
      </c>
    </row>
    <row r="5" spans="1:5">
      <c r="A5" s="1" t="s">
        <v>205</v>
      </c>
      <c r="B5" s="1" t="s">
        <v>14</v>
      </c>
      <c r="C5" t="s">
        <v>578</v>
      </c>
      <c r="D5" t="str">
        <f t="shared" si="0"/>
        <v>"aug3":"aug3",</v>
      </c>
      <c r="E5" t="str">
        <f t="shared" si="1"/>
        <v>"aug3"|</v>
      </c>
    </row>
    <row r="6" spans="1:5">
      <c r="A6" s="1" t="s">
        <v>205</v>
      </c>
      <c r="B6" s="1" t="s">
        <v>36</v>
      </c>
      <c r="C6" t="s">
        <v>578</v>
      </c>
      <c r="D6" t="str">
        <f t="shared" si="0"/>
        <v>"maj3b5":"maj3b5",</v>
      </c>
      <c r="E6" t="str">
        <f t="shared" si="1"/>
        <v>"maj3b5"|</v>
      </c>
    </row>
    <row r="7" spans="1:5">
      <c r="A7" s="1" t="s">
        <v>216</v>
      </c>
      <c r="B7" s="1" t="s">
        <v>218</v>
      </c>
      <c r="C7" t="s">
        <v>578</v>
      </c>
      <c r="D7" t="str">
        <f t="shared" si="0"/>
        <v>"maj3add6":"maj3add6",</v>
      </c>
      <c r="E7" t="str">
        <f t="shared" si="1"/>
        <v>"maj3add6"|</v>
      </c>
    </row>
    <row r="8" spans="1:5">
      <c r="A8" s="1" t="s">
        <v>216</v>
      </c>
      <c r="B8" s="1" t="s">
        <v>221</v>
      </c>
      <c r="C8" t="s">
        <v>578</v>
      </c>
      <c r="D8" t="str">
        <f t="shared" si="0"/>
        <v>"min3add6":"min3add6",</v>
      </c>
      <c r="E8" t="str">
        <f t="shared" si="1"/>
        <v>"min3add6"|</v>
      </c>
    </row>
    <row r="9" spans="1:5">
      <c r="A9" s="1" t="s">
        <v>216</v>
      </c>
      <c r="B9" s="1" t="s">
        <v>224</v>
      </c>
      <c r="C9" t="s">
        <v>578</v>
      </c>
      <c r="D9" t="str">
        <f t="shared" si="0"/>
        <v>"maj3add6add9":"maj3add6add9",</v>
      </c>
      <c r="E9" t="str">
        <f t="shared" si="1"/>
        <v>"maj3add6add9"|</v>
      </c>
    </row>
    <row r="10" spans="1:5">
      <c r="A10" s="1" t="s">
        <v>216</v>
      </c>
      <c r="B10" s="1" t="s">
        <v>227</v>
      </c>
      <c r="C10" t="s">
        <v>578</v>
      </c>
      <c r="D10" t="str">
        <f t="shared" si="0"/>
        <v>"min3add6add9":"min3add6add9",</v>
      </c>
      <c r="E10" t="str">
        <f t="shared" si="1"/>
        <v>"min3add6add9"|</v>
      </c>
    </row>
    <row r="11" spans="1:5">
      <c r="A11" s="1" t="s">
        <v>216</v>
      </c>
      <c r="B11" s="1" t="s">
        <v>119</v>
      </c>
      <c r="C11" t="s">
        <v>578</v>
      </c>
      <c r="D11" t="str">
        <f t="shared" si="0"/>
        <v>"maj3add9":"maj3add9",</v>
      </c>
      <c r="E11" t="str">
        <f t="shared" si="1"/>
        <v>"maj3add9"|</v>
      </c>
    </row>
    <row r="12" spans="1:5">
      <c r="A12" s="1" t="s">
        <v>216</v>
      </c>
      <c r="B12" s="1" t="s">
        <v>234</v>
      </c>
      <c r="C12" t="s">
        <v>578</v>
      </c>
      <c r="D12" t="str">
        <f t="shared" si="0"/>
        <v>"maj3add11":"maj3add11",</v>
      </c>
      <c r="E12" t="str">
        <f t="shared" si="1"/>
        <v>"maj3add11"|</v>
      </c>
    </row>
    <row r="13" spans="1:5">
      <c r="A13" s="1" t="s">
        <v>216</v>
      </c>
      <c r="B13" s="1" t="s">
        <v>155</v>
      </c>
      <c r="C13" t="s">
        <v>578</v>
      </c>
      <c r="D13" t="str">
        <f t="shared" si="0"/>
        <v>"min3add9":"min3add9",</v>
      </c>
      <c r="E13" t="str">
        <f t="shared" si="1"/>
        <v>"min3add9"|</v>
      </c>
    </row>
    <row r="14" spans="1:5">
      <c r="A14" s="1" t="s">
        <v>216</v>
      </c>
      <c r="B14" s="1" t="s">
        <v>72</v>
      </c>
      <c r="C14" t="s">
        <v>578</v>
      </c>
      <c r="D14" t="str">
        <f t="shared" si="0"/>
        <v>"min3add11":"min3add11",</v>
      </c>
      <c r="E14" t="str">
        <f t="shared" si="1"/>
        <v>"min3add11"|</v>
      </c>
    </row>
    <row r="15" spans="1:5">
      <c r="A15" s="1" t="s">
        <v>216</v>
      </c>
      <c r="B15" s="1" t="s">
        <v>244</v>
      </c>
      <c r="C15" t="s">
        <v>578</v>
      </c>
      <c r="D15" t="str">
        <f t="shared" si="0"/>
        <v>"maj7add11":"maj7add11",</v>
      </c>
      <c r="E15" t="str">
        <f t="shared" si="1"/>
        <v>"maj7add11"|</v>
      </c>
    </row>
    <row r="16" spans="1:5">
      <c r="A16" s="1" t="s">
        <v>216</v>
      </c>
      <c r="B16" s="1" t="s">
        <v>248</v>
      </c>
      <c r="C16" t="s">
        <v>578</v>
      </c>
      <c r="D16" t="str">
        <f t="shared" si="0"/>
        <v>"dom7add6":"dom7add6",</v>
      </c>
      <c r="E16" t="str">
        <f t="shared" si="1"/>
        <v>"dom7add6"|</v>
      </c>
    </row>
    <row r="17" spans="1:5">
      <c r="A17" s="1" t="s">
        <v>252</v>
      </c>
      <c r="B17" s="1" t="s">
        <v>254</v>
      </c>
      <c r="C17" t="s">
        <v>578</v>
      </c>
      <c r="D17" t="str">
        <f t="shared" si="0"/>
        <v>"itaug6":"itaug6",</v>
      </c>
      <c r="E17" t="str">
        <f t="shared" si="1"/>
        <v>"itaug6"|</v>
      </c>
    </row>
    <row r="18" spans="1:5">
      <c r="A18" s="1" t="s">
        <v>252</v>
      </c>
      <c r="B18" s="1" t="s">
        <v>258</v>
      </c>
      <c r="C18" t="s">
        <v>578</v>
      </c>
      <c r="D18" t="str">
        <f t="shared" si="0"/>
        <v>"fraug6":"fraug6",</v>
      </c>
      <c r="E18" t="str">
        <f t="shared" si="1"/>
        <v>"fraug6"|</v>
      </c>
    </row>
    <row r="19" spans="1:5">
      <c r="A19" s="1" t="s">
        <v>252</v>
      </c>
      <c r="B19" s="1" t="s">
        <v>262</v>
      </c>
      <c r="C19" t="s">
        <v>578</v>
      </c>
      <c r="D19" t="str">
        <f t="shared" si="0"/>
        <v>"graug6":"graug6",</v>
      </c>
      <c r="E19" t="str">
        <f t="shared" si="1"/>
        <v>"graug6"|</v>
      </c>
    </row>
    <row r="20" spans="1:5">
      <c r="A20" s="1" t="s">
        <v>266</v>
      </c>
      <c r="B20" s="1" t="s">
        <v>26</v>
      </c>
      <c r="C20" t="s">
        <v>578</v>
      </c>
      <c r="D20" t="str">
        <f t="shared" si="0"/>
        <v>"maj7":"maj7",</v>
      </c>
      <c r="E20" t="str">
        <f t="shared" si="1"/>
        <v>"maj7"|</v>
      </c>
    </row>
    <row r="21" spans="1:5">
      <c r="A21" s="1" t="s">
        <v>266</v>
      </c>
      <c r="B21" s="1" t="s">
        <v>28</v>
      </c>
      <c r="C21" t="s">
        <v>578</v>
      </c>
      <c r="D21" t="str">
        <f t="shared" si="0"/>
        <v>"dom7":"dom7",</v>
      </c>
      <c r="E21" t="str">
        <f t="shared" si="1"/>
        <v>"dom7"|</v>
      </c>
    </row>
    <row r="22" spans="1:5">
      <c r="A22" s="1" t="s">
        <v>266</v>
      </c>
      <c r="B22" s="1" t="s">
        <v>58</v>
      </c>
      <c r="C22" t="s">
        <v>578</v>
      </c>
      <c r="D22" t="str">
        <f t="shared" si="0"/>
        <v>"min7":"min7",</v>
      </c>
      <c r="E22" t="str">
        <f t="shared" si="1"/>
        <v>"min7"|</v>
      </c>
    </row>
    <row r="23" spans="1:5">
      <c r="A23" s="1" t="s">
        <v>266</v>
      </c>
      <c r="B23" s="1" t="s">
        <v>68</v>
      </c>
      <c r="C23" t="s">
        <v>578</v>
      </c>
      <c r="D23" t="str">
        <f t="shared" si="0"/>
        <v>"halfdim7":"halfdim7",</v>
      </c>
      <c r="E23" t="str">
        <f t="shared" si="1"/>
        <v>"halfdim7"|</v>
      </c>
    </row>
    <row r="24" spans="1:5">
      <c r="A24" s="1" t="s">
        <v>266</v>
      </c>
      <c r="B24" s="1" t="s">
        <v>70</v>
      </c>
      <c r="C24" t="s">
        <v>578</v>
      </c>
      <c r="D24" t="str">
        <f t="shared" si="0"/>
        <v>"dim7":"dim7",</v>
      </c>
      <c r="E24" t="str">
        <f t="shared" si="1"/>
        <v>"dim7"|</v>
      </c>
    </row>
    <row r="25" spans="1:5">
      <c r="A25" s="1" t="s">
        <v>266</v>
      </c>
      <c r="B25" s="1" t="s">
        <v>277</v>
      </c>
      <c r="C25" t="s">
        <v>578</v>
      </c>
      <c r="D25" t="str">
        <f t="shared" si="0"/>
        <v>"minmaj7":"minmaj7",</v>
      </c>
      <c r="E25" t="str">
        <f t="shared" si="1"/>
        <v>"minmaj7"|</v>
      </c>
    </row>
    <row r="26" spans="1:5">
      <c r="A26" s="1" t="s">
        <v>266</v>
      </c>
      <c r="B26" s="1" t="s">
        <v>281</v>
      </c>
      <c r="C26" t="s">
        <v>578</v>
      </c>
      <c r="D26" t="str">
        <f t="shared" si="0"/>
        <v>"dom7#5":"dom7#5",</v>
      </c>
      <c r="E26" t="str">
        <f t="shared" si="1"/>
        <v>"dom7#5"|</v>
      </c>
    </row>
    <row r="27" spans="1:5">
      <c r="A27" s="1" t="s">
        <v>266</v>
      </c>
      <c r="B27" s="1" t="s">
        <v>285</v>
      </c>
      <c r="C27" t="s">
        <v>578</v>
      </c>
      <c r="D27" t="str">
        <f t="shared" si="0"/>
        <v>"augmaj7":"augmaj7",</v>
      </c>
      <c r="E27" t="str">
        <f t="shared" si="1"/>
        <v>"augmaj7"|</v>
      </c>
    </row>
    <row r="28" spans="1:5">
      <c r="A28" s="1" t="s">
        <v>289</v>
      </c>
      <c r="B28" s="1" t="s">
        <v>40</v>
      </c>
      <c r="C28" t="s">
        <v>578</v>
      </c>
      <c r="D28" t="str">
        <f t="shared" si="0"/>
        <v>"dom7b5":"dom7b5",</v>
      </c>
      <c r="E28" t="str">
        <f t="shared" si="1"/>
        <v>"dom7b5"|</v>
      </c>
    </row>
    <row r="29" spans="1:5">
      <c r="A29" s="1" t="s">
        <v>289</v>
      </c>
      <c r="B29" s="1" t="s">
        <v>179</v>
      </c>
      <c r="C29" t="s">
        <v>578</v>
      </c>
      <c r="D29" t="str">
        <f t="shared" si="0"/>
        <v>"dom7b9":"dom7b9",</v>
      </c>
      <c r="E29" t="str">
        <f t="shared" si="1"/>
        <v>"dom7b9"|</v>
      </c>
    </row>
    <row r="30" spans="1:5">
      <c r="A30" s="1" t="s">
        <v>289</v>
      </c>
      <c r="B30" s="1" t="s">
        <v>80</v>
      </c>
      <c r="C30" t="s">
        <v>578</v>
      </c>
      <c r="D30" t="str">
        <f t="shared" si="0"/>
        <v>"dom7#9":"dom7#9",</v>
      </c>
      <c r="E30" t="str">
        <f t="shared" si="1"/>
        <v>"dom7#9"|</v>
      </c>
    </row>
    <row r="31" spans="1:5">
      <c r="A31" s="1" t="s">
        <v>289</v>
      </c>
      <c r="B31" s="1" t="s">
        <v>44</v>
      </c>
      <c r="C31" t="s">
        <v>578</v>
      </c>
      <c r="D31" t="str">
        <f t="shared" si="0"/>
        <v>"dom7#11":"dom7#11",</v>
      </c>
      <c r="E31" t="str">
        <f t="shared" si="1"/>
        <v>"dom7#11"|</v>
      </c>
    </row>
    <row r="32" spans="1:5">
      <c r="A32" s="1" t="s">
        <v>289</v>
      </c>
      <c r="B32" s="1" t="s">
        <v>22</v>
      </c>
      <c r="C32" t="s">
        <v>578</v>
      </c>
      <c r="D32" t="str">
        <f t="shared" si="0"/>
        <v>"dom7b13":"dom7b13",</v>
      </c>
      <c r="E32" t="str">
        <f t="shared" si="1"/>
        <v>"dom7b13"|</v>
      </c>
    </row>
    <row r="33" spans="1:5">
      <c r="A33" s="1" t="s">
        <v>289</v>
      </c>
      <c r="B33" s="1" t="s">
        <v>301</v>
      </c>
      <c r="C33" t="s">
        <v>578</v>
      </c>
      <c r="D33" t="str">
        <f t="shared" si="0"/>
        <v>"dom7b5b9":"dom7b5b9",</v>
      </c>
      <c r="E33" t="str">
        <f t="shared" si="1"/>
        <v>"dom7b5b9"|</v>
      </c>
    </row>
    <row r="34" spans="1:5">
      <c r="A34" s="1" t="s">
        <v>289</v>
      </c>
      <c r="B34" s="1" t="s">
        <v>305</v>
      </c>
      <c r="C34" t="s">
        <v>578</v>
      </c>
      <c r="D34" t="str">
        <f t="shared" si="0"/>
        <v>"dom7b5#9":"dom7b5#9",</v>
      </c>
      <c r="E34" t="str">
        <f t="shared" si="1"/>
        <v>"dom7b5#9"|</v>
      </c>
    </row>
    <row r="35" spans="1:5">
      <c r="A35" s="1" t="s">
        <v>289</v>
      </c>
      <c r="B35" s="1" t="s">
        <v>38</v>
      </c>
      <c r="C35" t="s">
        <v>578</v>
      </c>
      <c r="D35" t="str">
        <f t="shared" ref="D35:D66" si="2">_xlfn.CONCAT(C35,B35,C35,":",C35,B35,C35,",")</f>
        <v>"maj7b5":"maj7b5",</v>
      </c>
      <c r="E35" t="str">
        <f t="shared" ref="E35:E66" si="3">_xlfn.CONCAT(C35,B35,C35,"|")</f>
        <v>"maj7b5"|</v>
      </c>
    </row>
    <row r="36" spans="1:5">
      <c r="A36" s="1" t="s">
        <v>289</v>
      </c>
      <c r="B36" s="1" t="s">
        <v>18</v>
      </c>
      <c r="C36" t="s">
        <v>578</v>
      </c>
      <c r="D36" t="str">
        <f t="shared" si="2"/>
        <v>"maj7#5":"maj7#5",</v>
      </c>
      <c r="E36" t="str">
        <f t="shared" si="3"/>
        <v>"maj7#5"|</v>
      </c>
    </row>
    <row r="37" spans="1:5">
      <c r="A37" s="1" t="s">
        <v>289</v>
      </c>
      <c r="B37" s="1" t="s">
        <v>185</v>
      </c>
      <c r="C37" t="s">
        <v>578</v>
      </c>
      <c r="D37" t="str">
        <f t="shared" si="2"/>
        <v>"maj7b9":"maj7b9",</v>
      </c>
      <c r="E37" t="str">
        <f t="shared" si="3"/>
        <v>"maj7b9"|</v>
      </c>
    </row>
    <row r="38" spans="1:5">
      <c r="A38" s="1" t="s">
        <v>289</v>
      </c>
      <c r="B38" s="1" t="s">
        <v>315</v>
      </c>
      <c r="C38" t="s">
        <v>578</v>
      </c>
      <c r="D38" t="str">
        <f t="shared" si="2"/>
        <v>"maj7b13":"maj7b13",</v>
      </c>
      <c r="E38" t="str">
        <f t="shared" si="3"/>
        <v>"maj7b13"|</v>
      </c>
    </row>
    <row r="39" spans="1:5">
      <c r="A39" s="1" t="s">
        <v>289</v>
      </c>
      <c r="B39" s="1" t="s">
        <v>42</v>
      </c>
      <c r="C39" t="s">
        <v>578</v>
      </c>
      <c r="D39" t="str">
        <f t="shared" si="2"/>
        <v>"maj7#11":"maj7#11",</v>
      </c>
      <c r="E39" t="str">
        <f t="shared" si="3"/>
        <v>"maj7#11"|</v>
      </c>
    </row>
    <row r="40" spans="1:5">
      <c r="A40" s="1" t="s">
        <v>289</v>
      </c>
      <c r="B40" s="1" t="s">
        <v>52</v>
      </c>
      <c r="C40" t="s">
        <v>578</v>
      </c>
      <c r="D40" t="str">
        <f t="shared" si="2"/>
        <v>"min7#5":"min7#5",</v>
      </c>
      <c r="E40" t="str">
        <f t="shared" si="3"/>
        <v>"min7#5"|</v>
      </c>
    </row>
    <row r="41" spans="1:5">
      <c r="A41" s="1" t="s">
        <v>289</v>
      </c>
      <c r="B41" s="1" t="s">
        <v>323</v>
      </c>
      <c r="C41" t="s">
        <v>578</v>
      </c>
      <c r="D41" t="str">
        <f t="shared" si="2"/>
        <v>"minmaj7b5":"minmaj7b5",</v>
      </c>
      <c r="E41" t="str">
        <f t="shared" si="3"/>
        <v>"minmaj7b5"|</v>
      </c>
    </row>
    <row r="42" spans="1:5">
      <c r="A42" s="1" t="s">
        <v>289</v>
      </c>
      <c r="B42" s="1" t="s">
        <v>327</v>
      </c>
      <c r="C42" t="s">
        <v>578</v>
      </c>
      <c r="D42" t="str">
        <f t="shared" si="2"/>
        <v>"minmaj7#5":"minmaj7#5",</v>
      </c>
      <c r="E42" t="str">
        <f t="shared" si="3"/>
        <v>"minmaj7#5"|</v>
      </c>
    </row>
    <row r="43" spans="1:5">
      <c r="A43" s="1" t="s">
        <v>289</v>
      </c>
      <c r="B43" s="1" t="s">
        <v>181</v>
      </c>
      <c r="C43" t="s">
        <v>578</v>
      </c>
      <c r="D43" t="str">
        <f t="shared" si="2"/>
        <v>"dom7#5b9":"dom7#5b9",</v>
      </c>
      <c r="E43" t="str">
        <f t="shared" si="3"/>
        <v>"dom7#5b9"|</v>
      </c>
    </row>
    <row r="44" spans="1:5">
      <c r="A44" s="1" t="s">
        <v>289</v>
      </c>
      <c r="B44" s="1" t="s">
        <v>334</v>
      </c>
      <c r="C44" t="s">
        <v>578</v>
      </c>
      <c r="D44" t="str">
        <f t="shared" si="2"/>
        <v>"dom7#5#9":"dom7#5#9",</v>
      </c>
      <c r="E44" t="str">
        <f t="shared" si="3"/>
        <v>"dom7#5#9"|</v>
      </c>
    </row>
    <row r="45" spans="1:5">
      <c r="A45" s="1" t="s">
        <v>338</v>
      </c>
      <c r="B45" s="1" t="s">
        <v>93</v>
      </c>
      <c r="C45" t="s">
        <v>578</v>
      </c>
      <c r="D45" t="str">
        <f t="shared" si="2"/>
        <v>"sus2":"sus2",</v>
      </c>
      <c r="E45" t="str">
        <f t="shared" si="3"/>
        <v>"sus2"|</v>
      </c>
    </row>
    <row r="46" spans="1:5">
      <c r="A46" s="1" t="s">
        <v>338</v>
      </c>
      <c r="B46" s="1" t="s">
        <v>8</v>
      </c>
      <c r="C46" t="s">
        <v>578</v>
      </c>
      <c r="D46" t="str">
        <f t="shared" si="2"/>
        <v>"sus4":"sus4",</v>
      </c>
      <c r="E46" t="str">
        <f t="shared" si="3"/>
        <v>"sus4"|</v>
      </c>
    </row>
    <row r="47" spans="1:5">
      <c r="A47" s="1" t="s">
        <v>338</v>
      </c>
      <c r="B47" s="1" t="s">
        <v>342</v>
      </c>
      <c r="C47" t="s">
        <v>578</v>
      </c>
      <c r="D47" t="str">
        <f t="shared" si="2"/>
        <v>"dom7sus2":"dom7sus2",</v>
      </c>
      <c r="E47" t="str">
        <f t="shared" si="3"/>
        <v>"dom7sus2"|</v>
      </c>
    </row>
    <row r="48" spans="1:5">
      <c r="A48" s="1" t="s">
        <v>338</v>
      </c>
      <c r="B48" s="1" t="s">
        <v>12</v>
      </c>
      <c r="C48" t="s">
        <v>578</v>
      </c>
      <c r="D48" t="str">
        <f t="shared" si="2"/>
        <v>"dom7sus4":"dom7sus4",</v>
      </c>
      <c r="E48" t="str">
        <f t="shared" si="3"/>
        <v>"dom7sus4"|</v>
      </c>
    </row>
    <row r="49" spans="1:5">
      <c r="A49" s="1" t="s">
        <v>338</v>
      </c>
      <c r="B49" s="1" t="s">
        <v>348</v>
      </c>
      <c r="C49" t="s">
        <v>578</v>
      </c>
      <c r="D49" t="str">
        <f t="shared" si="2"/>
        <v>"maj7sus2":"maj7sus2",</v>
      </c>
      <c r="E49" t="str">
        <f t="shared" si="3"/>
        <v>"maj7sus2"|</v>
      </c>
    </row>
    <row r="50" spans="1:5">
      <c r="A50" s="1" t="s">
        <v>338</v>
      </c>
      <c r="B50" s="1" t="s">
        <v>10</v>
      </c>
      <c r="C50" t="s">
        <v>578</v>
      </c>
      <c r="D50" t="str">
        <f t="shared" si="2"/>
        <v>"maj7sus4":"maj7sus4",</v>
      </c>
      <c r="E50" t="str">
        <f t="shared" si="3"/>
        <v>"maj7sus4"|</v>
      </c>
    </row>
    <row r="51" spans="1:5">
      <c r="A51" s="1" t="s">
        <v>338</v>
      </c>
      <c r="B51" s="1" t="s">
        <v>103</v>
      </c>
      <c r="C51" t="s">
        <v>578</v>
      </c>
      <c r="D51" t="str">
        <f t="shared" si="2"/>
        <v>"dom9sus4":"dom9sus4",</v>
      </c>
      <c r="E51" t="str">
        <f t="shared" si="3"/>
        <v>"dom9sus4"|</v>
      </c>
    </row>
    <row r="52" spans="1:5">
      <c r="A52" s="1" t="s">
        <v>338</v>
      </c>
      <c r="B52" s="1" t="s">
        <v>99</v>
      </c>
      <c r="C52" t="s">
        <v>578</v>
      </c>
      <c r="D52" t="str">
        <f t="shared" si="2"/>
        <v>"maj9sus4":"maj9sus4",</v>
      </c>
      <c r="E52" t="str">
        <f t="shared" si="3"/>
        <v>"maj9sus4"|</v>
      </c>
    </row>
    <row r="53" spans="1:5">
      <c r="A53" s="1" t="s">
        <v>338</v>
      </c>
      <c r="B53" s="1" t="s">
        <v>105</v>
      </c>
      <c r="C53" t="s">
        <v>578</v>
      </c>
      <c r="D53" t="str">
        <f t="shared" si="2"/>
        <v>"dom13sus4":"dom13sus4",</v>
      </c>
      <c r="E53" t="str">
        <f t="shared" si="3"/>
        <v>"dom13sus4"|</v>
      </c>
    </row>
    <row r="54" spans="1:5">
      <c r="A54" s="1" t="s">
        <v>338</v>
      </c>
      <c r="B54" s="1" t="s">
        <v>360</v>
      </c>
      <c r="C54" t="s">
        <v>578</v>
      </c>
      <c r="D54" t="str">
        <f t="shared" si="2"/>
        <v>"maj13sus4":"maj13sus4",</v>
      </c>
      <c r="E54" t="str">
        <f t="shared" si="3"/>
        <v>"maj13sus4"|</v>
      </c>
    </row>
    <row r="55" spans="1:5">
      <c r="A55" s="1" t="s">
        <v>338</v>
      </c>
      <c r="B55" s="1" t="s">
        <v>364</v>
      </c>
      <c r="C55" t="s">
        <v>578</v>
      </c>
      <c r="D55" t="str">
        <f t="shared" si="2"/>
        <v>"maj13sus2":"maj13sus2",</v>
      </c>
      <c r="E55" t="str">
        <f t="shared" si="3"/>
        <v>"maj13sus2"|</v>
      </c>
    </row>
    <row r="56" spans="1:5">
      <c r="A56" s="1" t="s">
        <v>368</v>
      </c>
      <c r="B56" s="1" t="s">
        <v>121</v>
      </c>
      <c r="C56" t="s">
        <v>578</v>
      </c>
      <c r="D56" t="str">
        <f t="shared" si="2"/>
        <v>"maj9":"maj9",</v>
      </c>
      <c r="E56" t="str">
        <f t="shared" si="3"/>
        <v>"maj9"|</v>
      </c>
    </row>
    <row r="57" spans="1:5">
      <c r="A57" s="1" t="s">
        <v>368</v>
      </c>
      <c r="B57" s="1" t="s">
        <v>123</v>
      </c>
      <c r="C57" t="s">
        <v>578</v>
      </c>
      <c r="D57" t="str">
        <f t="shared" si="2"/>
        <v>"dom9":"dom9",</v>
      </c>
      <c r="E57" t="str">
        <f t="shared" si="3"/>
        <v>"dom9"|</v>
      </c>
    </row>
    <row r="58" spans="1:5">
      <c r="A58" s="1" t="s">
        <v>368</v>
      </c>
      <c r="B58" s="1" t="s">
        <v>159</v>
      </c>
      <c r="C58" t="s">
        <v>578</v>
      </c>
      <c r="D58" t="str">
        <f t="shared" si="2"/>
        <v>"min9":"min9",</v>
      </c>
      <c r="E58" t="str">
        <f t="shared" si="3"/>
        <v>"min9"|</v>
      </c>
    </row>
    <row r="59" spans="1:5">
      <c r="A59" s="1" t="s">
        <v>368</v>
      </c>
      <c r="B59" s="1" t="s">
        <v>376</v>
      </c>
      <c r="C59" t="s">
        <v>578</v>
      </c>
      <c r="D59" t="str">
        <f t="shared" si="2"/>
        <v>"minmaj9":"minmaj9",</v>
      </c>
      <c r="E59" t="str">
        <f t="shared" si="3"/>
        <v>"minmaj9"|</v>
      </c>
    </row>
    <row r="60" spans="1:5">
      <c r="A60" s="1" t="s">
        <v>368</v>
      </c>
      <c r="B60" s="1" t="s">
        <v>115</v>
      </c>
      <c r="C60" t="s">
        <v>578</v>
      </c>
      <c r="D60" t="str">
        <f t="shared" si="2"/>
        <v>"dom9#5":"dom9#5",</v>
      </c>
      <c r="E60" t="str">
        <f t="shared" si="3"/>
        <v>"dom9#5"|</v>
      </c>
    </row>
    <row r="61" spans="1:5">
      <c r="A61" s="1" t="s">
        <v>368</v>
      </c>
      <c r="B61" s="1" t="s">
        <v>371</v>
      </c>
      <c r="C61" t="s">
        <v>578</v>
      </c>
      <c r="D61" t="str">
        <f t="shared" si="2"/>
        <v>"dom9b9":"dom9b9",</v>
      </c>
      <c r="E61" t="str">
        <f t="shared" si="3"/>
        <v>"dom9b9"|</v>
      </c>
    </row>
    <row r="62" spans="1:5">
      <c r="A62" s="1" t="s">
        <v>368</v>
      </c>
      <c r="B62" s="1" t="s">
        <v>387</v>
      </c>
      <c r="C62" t="s">
        <v>578</v>
      </c>
      <c r="D62" t="str">
        <f t="shared" si="2"/>
        <v>"dom9b11":"dom9b11",</v>
      </c>
      <c r="E62" t="str">
        <f t="shared" si="3"/>
        <v>"dom9b11"|</v>
      </c>
    </row>
    <row r="63" spans="1:5">
      <c r="A63" s="1" t="s">
        <v>368</v>
      </c>
      <c r="B63" s="1" t="s">
        <v>143</v>
      </c>
      <c r="C63" t="s">
        <v>578</v>
      </c>
      <c r="D63" t="str">
        <f t="shared" si="2"/>
        <v>"dom9#11":"dom9#11",</v>
      </c>
      <c r="E63" t="str">
        <f t="shared" si="3"/>
        <v>"dom9#11"|</v>
      </c>
    </row>
    <row r="64" spans="1:5">
      <c r="A64" s="1" t="s">
        <v>368</v>
      </c>
      <c r="B64" s="1" t="s">
        <v>117</v>
      </c>
      <c r="C64" t="s">
        <v>578</v>
      </c>
      <c r="D64" t="str">
        <f t="shared" si="2"/>
        <v>"dom9b13":"dom9b13",</v>
      </c>
      <c r="E64" t="str">
        <f t="shared" si="3"/>
        <v>"dom9b13"|</v>
      </c>
    </row>
    <row r="65" spans="1:5">
      <c r="A65" s="1" t="s">
        <v>368</v>
      </c>
      <c r="B65" s="1" t="s">
        <v>133</v>
      </c>
      <c r="C65" t="s">
        <v>578</v>
      </c>
      <c r="D65" t="str">
        <f t="shared" si="2"/>
        <v>"maj9b5":"maj9b5",</v>
      </c>
      <c r="E65" t="str">
        <f t="shared" si="3"/>
        <v>"maj9b5"|</v>
      </c>
    </row>
    <row r="66" spans="1:5">
      <c r="A66" s="1" t="s">
        <v>368</v>
      </c>
      <c r="B66" s="1" t="s">
        <v>113</v>
      </c>
      <c r="C66" t="s">
        <v>578</v>
      </c>
      <c r="D66" t="str">
        <f t="shared" si="2"/>
        <v>"maj9#5":"maj9#5",</v>
      </c>
      <c r="E66" t="str">
        <f t="shared" si="3"/>
        <v>"maj9#5"|</v>
      </c>
    </row>
    <row r="67" spans="1:5">
      <c r="A67" s="1" t="s">
        <v>368</v>
      </c>
      <c r="B67" s="1" t="s">
        <v>141</v>
      </c>
      <c r="C67" t="s">
        <v>578</v>
      </c>
      <c r="D67" t="str">
        <f t="shared" ref="D67:D93" si="4">_xlfn.CONCAT(C67,B67,C67,":",C67,B67,C67,",")</f>
        <v>"maj9#11":"maj9#11",</v>
      </c>
      <c r="E67" t="str">
        <f t="shared" ref="E67:E93" si="5">_xlfn.CONCAT(C67,B67,C67,"|")</f>
        <v>"maj9#11"|</v>
      </c>
    </row>
    <row r="68" spans="1:5">
      <c r="A68" s="1" t="s">
        <v>368</v>
      </c>
      <c r="B68" s="1" t="s">
        <v>401</v>
      </c>
      <c r="C68" t="s">
        <v>578</v>
      </c>
      <c r="D68" t="str">
        <f t="shared" si="4"/>
        <v>"maj9b13":"maj9b13",</v>
      </c>
      <c r="E68" t="str">
        <f t="shared" si="5"/>
        <v>"maj9b13"|</v>
      </c>
    </row>
    <row r="69" spans="1:5">
      <c r="A69" s="1" t="s">
        <v>368</v>
      </c>
      <c r="B69" s="1" t="s">
        <v>167</v>
      </c>
      <c r="C69" t="s">
        <v>578</v>
      </c>
      <c r="D69" t="str">
        <f t="shared" si="4"/>
        <v>"min9b5":"min9b5",</v>
      </c>
      <c r="E69" t="str">
        <f t="shared" si="5"/>
        <v>"min9b5"|</v>
      </c>
    </row>
    <row r="70" spans="1:5">
      <c r="A70" s="1" t="s">
        <v>368</v>
      </c>
      <c r="B70" s="1" t="s">
        <v>407</v>
      </c>
      <c r="C70" t="s">
        <v>578</v>
      </c>
      <c r="D70" t="str">
        <f t="shared" si="4"/>
        <v>"min9b9":"min9b9",</v>
      </c>
      <c r="E70" t="str">
        <f t="shared" si="5"/>
        <v>"min9b9"|</v>
      </c>
    </row>
    <row r="71" spans="1:5">
      <c r="A71" s="1" t="s">
        <v>411</v>
      </c>
      <c r="B71" s="1" t="s">
        <v>413</v>
      </c>
      <c r="C71" t="s">
        <v>578</v>
      </c>
      <c r="D71" t="str">
        <f t="shared" si="4"/>
        <v>"maj11":"maj11",</v>
      </c>
      <c r="E71" t="str">
        <f t="shared" si="5"/>
        <v>"maj11"|</v>
      </c>
    </row>
    <row r="72" spans="1:5">
      <c r="A72" s="1" t="s">
        <v>411</v>
      </c>
      <c r="B72" s="1" t="s">
        <v>101</v>
      </c>
      <c r="C72" t="s">
        <v>578</v>
      </c>
      <c r="D72" t="str">
        <f t="shared" si="4"/>
        <v>"dom11":"dom11",</v>
      </c>
      <c r="E72" t="str">
        <f t="shared" si="5"/>
        <v>"dom11"|</v>
      </c>
    </row>
    <row r="73" spans="1:5">
      <c r="A73" s="1" t="s">
        <v>411</v>
      </c>
      <c r="B73" s="1" t="s">
        <v>171</v>
      </c>
      <c r="C73" t="s">
        <v>578</v>
      </c>
      <c r="D73" t="str">
        <f t="shared" si="4"/>
        <v>"min11":"min11",</v>
      </c>
      <c r="E73" t="str">
        <f t="shared" si="5"/>
        <v>"min11"|</v>
      </c>
    </row>
    <row r="74" spans="1:5">
      <c r="A74" s="1" t="s">
        <v>411</v>
      </c>
      <c r="B74" s="1" t="s">
        <v>421</v>
      </c>
      <c r="C74" t="s">
        <v>578</v>
      </c>
      <c r="D74" t="str">
        <f t="shared" si="4"/>
        <v>"minmaj11":"minmaj11",</v>
      </c>
      <c r="E74" t="str">
        <f t="shared" si="5"/>
        <v>"minmaj11"|</v>
      </c>
    </row>
    <row r="75" spans="1:5">
      <c r="A75" s="1" t="s">
        <v>411</v>
      </c>
      <c r="B75" s="1" t="s">
        <v>426</v>
      </c>
      <c r="C75" t="s">
        <v>578</v>
      </c>
      <c r="D75" t="str">
        <f t="shared" si="4"/>
        <v>"dom11b5":"dom11b5",</v>
      </c>
      <c r="E75" t="str">
        <f t="shared" si="5"/>
        <v>"dom11b5"|</v>
      </c>
    </row>
    <row r="76" spans="1:5">
      <c r="A76" s="1" t="s">
        <v>411</v>
      </c>
      <c r="B76" s="1" t="s">
        <v>430</v>
      </c>
      <c r="C76" t="s">
        <v>578</v>
      </c>
      <c r="D76" t="str">
        <f t="shared" si="4"/>
        <v>"dom11#5":"dom11#5",</v>
      </c>
      <c r="E76" t="str">
        <f t="shared" si="5"/>
        <v>"dom11#5"|</v>
      </c>
    </row>
    <row r="77" spans="1:5">
      <c r="A77" s="1" t="s">
        <v>411</v>
      </c>
      <c r="B77" s="1" t="s">
        <v>175</v>
      </c>
      <c r="C77" t="s">
        <v>578</v>
      </c>
      <c r="D77" t="str">
        <f t="shared" si="4"/>
        <v>"dom11b9":"dom11b9",</v>
      </c>
      <c r="E77" t="str">
        <f t="shared" si="5"/>
        <v>"dom11b9"|</v>
      </c>
    </row>
    <row r="78" spans="1:5">
      <c r="A78" s="1" t="s">
        <v>411</v>
      </c>
      <c r="B78" s="1" t="s">
        <v>436</v>
      </c>
      <c r="C78" t="s">
        <v>578</v>
      </c>
      <c r="D78" t="str">
        <f t="shared" si="4"/>
        <v>"dom11#9":"dom11#9",</v>
      </c>
      <c r="E78" t="str">
        <f t="shared" si="5"/>
        <v>"dom11#9"|</v>
      </c>
    </row>
    <row r="79" spans="1:5">
      <c r="A79" s="1" t="s">
        <v>411</v>
      </c>
      <c r="B79" s="1" t="s">
        <v>440</v>
      </c>
      <c r="C79" t="s">
        <v>578</v>
      </c>
      <c r="D79" t="str">
        <f t="shared" si="4"/>
        <v>"dom11b13":"dom11b13",</v>
      </c>
      <c r="E79" t="str">
        <f t="shared" si="5"/>
        <v>"dom11b13"|</v>
      </c>
    </row>
    <row r="80" spans="1:5">
      <c r="A80" s="1" t="s">
        <v>411</v>
      </c>
      <c r="B80" s="1" t="s">
        <v>444</v>
      </c>
      <c r="C80" t="s">
        <v>578</v>
      </c>
      <c r="D80" t="str">
        <f t="shared" si="4"/>
        <v>"min11b5":"min11b5",</v>
      </c>
      <c r="E80" t="str">
        <f t="shared" si="5"/>
        <v>"min11b5"|</v>
      </c>
    </row>
    <row r="81" spans="1:5">
      <c r="A81" s="1" t="s">
        <v>448</v>
      </c>
      <c r="B81" s="1" t="s">
        <v>127</v>
      </c>
      <c r="C81" t="s">
        <v>578</v>
      </c>
      <c r="D81" t="str">
        <f t="shared" si="4"/>
        <v>"maj13":"maj13",</v>
      </c>
      <c r="E81" t="str">
        <f t="shared" si="5"/>
        <v>"maj13"|</v>
      </c>
    </row>
    <row r="82" spans="1:5">
      <c r="A82" s="1" t="s">
        <v>448</v>
      </c>
      <c r="B82" s="1" t="s">
        <v>131</v>
      </c>
      <c r="C82" t="s">
        <v>578</v>
      </c>
      <c r="D82" t="str">
        <f t="shared" si="4"/>
        <v>"dom13":"dom13",</v>
      </c>
      <c r="E82" t="str">
        <f t="shared" si="5"/>
        <v>"dom13"|</v>
      </c>
    </row>
    <row r="83" spans="1:5">
      <c r="A83" s="1" t="s">
        <v>448</v>
      </c>
      <c r="B83" s="1" t="s">
        <v>163</v>
      </c>
      <c r="C83" t="s">
        <v>578</v>
      </c>
      <c r="D83" t="str">
        <f t="shared" si="4"/>
        <v>"min13":"min13",</v>
      </c>
      <c r="E83" t="str">
        <f t="shared" si="5"/>
        <v>"min13"|</v>
      </c>
    </row>
    <row r="84" spans="1:5">
      <c r="A84" s="1" t="s">
        <v>448</v>
      </c>
      <c r="B84" s="1" t="s">
        <v>456</v>
      </c>
      <c r="C84" t="s">
        <v>578</v>
      </c>
      <c r="D84" t="str">
        <f t="shared" si="4"/>
        <v>"minmaj13":"minmaj13",</v>
      </c>
      <c r="E84" t="str">
        <f t="shared" si="5"/>
        <v>"minmaj13"|</v>
      </c>
    </row>
    <row r="85" spans="1:5">
      <c r="A85" s="1" t="s">
        <v>448</v>
      </c>
      <c r="B85" s="1" t="s">
        <v>137</v>
      </c>
      <c r="C85" t="s">
        <v>578</v>
      </c>
      <c r="D85" t="str">
        <f t="shared" si="4"/>
        <v>"dom13b5":"dom13b5",</v>
      </c>
      <c r="E85" t="str">
        <f t="shared" si="5"/>
        <v>"dom13b5"|</v>
      </c>
    </row>
    <row r="86" spans="1:5">
      <c r="A86" s="1" t="s">
        <v>448</v>
      </c>
      <c r="B86" s="1" t="s">
        <v>463</v>
      </c>
      <c r="C86" t="s">
        <v>578</v>
      </c>
      <c r="D86" t="str">
        <f t="shared" si="4"/>
        <v>"dom13#5":"dom13#5",</v>
      </c>
      <c r="E86" t="str">
        <f t="shared" si="5"/>
        <v>"dom13#5"|</v>
      </c>
    </row>
    <row r="87" spans="1:5">
      <c r="A87" s="1" t="s">
        <v>448</v>
      </c>
      <c r="B87" s="1" t="s">
        <v>187</v>
      </c>
      <c r="C87" t="s">
        <v>578</v>
      </c>
      <c r="D87" t="str">
        <f t="shared" si="4"/>
        <v>"dom13b9":"dom13b9",</v>
      </c>
      <c r="E87" t="str">
        <f t="shared" si="5"/>
        <v>"dom13b9"|</v>
      </c>
    </row>
    <row r="88" spans="1:5">
      <c r="A88" s="1" t="s">
        <v>448</v>
      </c>
      <c r="B88" s="1" t="s">
        <v>82</v>
      </c>
      <c r="C88" t="s">
        <v>578</v>
      </c>
      <c r="D88" t="str">
        <f t="shared" si="4"/>
        <v>"dom13#9":"dom13#9",</v>
      </c>
      <c r="E88" t="str">
        <f t="shared" si="5"/>
        <v>"dom13#9"|</v>
      </c>
    </row>
    <row r="89" spans="1:5">
      <c r="A89" s="1" t="s">
        <v>448</v>
      </c>
      <c r="B89" s="1" t="s">
        <v>149</v>
      </c>
      <c r="C89" t="s">
        <v>578</v>
      </c>
      <c r="D89" t="str">
        <f t="shared" si="4"/>
        <v>"dom13#11":"dom13#11",</v>
      </c>
      <c r="E89" t="str">
        <f t="shared" si="5"/>
        <v>"dom13#11"|</v>
      </c>
    </row>
    <row r="90" spans="1:5">
      <c r="A90" s="1" t="s">
        <v>448</v>
      </c>
      <c r="B90" s="1" t="s">
        <v>473</v>
      </c>
      <c r="C90" t="s">
        <v>578</v>
      </c>
      <c r="D90" t="str">
        <f t="shared" si="4"/>
        <v>"maj13b5":"maj13b5",</v>
      </c>
      <c r="E90" t="str">
        <f t="shared" si="5"/>
        <v>"maj13b5"|</v>
      </c>
    </row>
    <row r="91" spans="1:5">
      <c r="A91" s="1" t="s">
        <v>448</v>
      </c>
      <c r="B91" s="1" t="s">
        <v>477</v>
      </c>
      <c r="C91" t="s">
        <v>578</v>
      </c>
      <c r="D91" t="str">
        <f t="shared" si="4"/>
        <v>"maj13#5":"maj13#5",</v>
      </c>
      <c r="E91" t="str">
        <f t="shared" si="5"/>
        <v>"maj13#5"|</v>
      </c>
    </row>
    <row r="92" spans="1:5">
      <c r="A92" s="1" t="s">
        <v>448</v>
      </c>
      <c r="B92" s="1" t="s">
        <v>481</v>
      </c>
      <c r="C92" t="s">
        <v>578</v>
      </c>
      <c r="D92" t="str">
        <f t="shared" si="4"/>
        <v>"maj13b9":"maj13b9",</v>
      </c>
      <c r="E92" t="str">
        <f t="shared" si="5"/>
        <v>"maj13b9"|</v>
      </c>
    </row>
    <row r="93" spans="1:5">
      <c r="A93" s="1" t="s">
        <v>448</v>
      </c>
      <c r="B93" s="1" t="s">
        <v>147</v>
      </c>
      <c r="C93" t="s">
        <v>578</v>
      </c>
      <c r="D93" t="str">
        <f t="shared" si="4"/>
        <v>"maj13#11":"maj13#11",</v>
      </c>
      <c r="E93" t="str">
        <f t="shared" si="5"/>
        <v>"maj13#11"|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未整理原素材</vt:lpstr>
      <vt:lpstr>第一步-人工阅读</vt:lpstr>
      <vt:lpstr>第二步-检查JSON</vt:lpstr>
      <vt:lpstr>第三步-术语检查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郭中天</cp:lastModifiedBy>
  <dcterms:created xsi:type="dcterms:W3CDTF">2025-03-02T00:42:00Z</dcterms:created>
  <dcterms:modified xsi:type="dcterms:W3CDTF">2025-04-14T02:49:32Z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4F1D9BC6DBEB48DAA90F02A9A1B65EDD_13</vt:lpwstr>
  </property>
  <property fmtid="{D5CDD505-2E9C-101B-9397-08002B2CF9AE}" pid="3" name="KSOProductBuildVer">
    <vt:lpwstr>2052-12.1.0.20305</vt:lpwstr>
  </property>
</Properties>
</file>