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23" sheetId="1" r:id="rId4"/>
    <sheet state="visible" name="02.23 " sheetId="2" r:id="rId5"/>
    <sheet state="visible" name="03.23 " sheetId="3" r:id="rId6"/>
    <sheet state="visible" name="04.23" sheetId="4" r:id="rId7"/>
    <sheet state="visible" name="05.23" sheetId="5" r:id="rId8"/>
    <sheet state="visible" name="06.23" sheetId="6" r:id="rId9"/>
    <sheet state="visible" name="07.23" sheetId="7" r:id="rId10"/>
    <sheet state="visible" name="08.23" sheetId="8" r:id="rId11"/>
    <sheet state="visible" name="09.23" sheetId="9" r:id="rId12"/>
    <sheet state="visible" name="10.23" sheetId="10" r:id="rId13"/>
    <sheet state="visible" name="11.23" sheetId="11" r:id="rId14"/>
    <sheet state="visible" name="12.23" sheetId="12" r:id="rId15"/>
    <sheet state="visible" name="01.24" sheetId="13" r:id="rId16"/>
    <sheet state="visible" name="02.24" sheetId="14" r:id="rId17"/>
    <sheet state="visible" name="03.24" sheetId="15" r:id="rId18"/>
    <sheet state="visible" name="04.24" sheetId="16" r:id="rId19"/>
    <sheet state="visible" name="05.24" sheetId="17" r:id="rId20"/>
    <sheet state="visible" name="06.24" sheetId="18" r:id="rId21"/>
    <sheet state="visible" name="07.24" sheetId="19" r:id="rId22"/>
    <sheet state="visible" name="08.24" sheetId="20" r:id="rId23"/>
  </sheets>
  <definedNames/>
  <calcPr/>
</workbook>
</file>

<file path=xl/sharedStrings.xml><?xml version="1.0" encoding="utf-8"?>
<sst xmlns="http://schemas.openxmlformats.org/spreadsheetml/2006/main" count="973" uniqueCount="185">
  <si>
    <t>--</t>
  </si>
  <si>
    <t>За месяц</t>
  </si>
  <si>
    <t xml:space="preserve">день </t>
  </si>
  <si>
    <t>Li Kiokos</t>
  </si>
  <si>
    <t>Lotte Reinhardt</t>
  </si>
  <si>
    <t>Luisa Roncancio</t>
  </si>
  <si>
    <t>Reem Alhusseini</t>
  </si>
  <si>
    <t xml:space="preserve"> Sue Chinchidas</t>
  </si>
  <si>
    <t>Flavia Calvi</t>
  </si>
  <si>
    <t>Ivana Milosevic</t>
  </si>
  <si>
    <t>Alina Emanuela</t>
  </si>
  <si>
    <t>Paulina Podwlevska</t>
  </si>
  <si>
    <t>Bogna Srebrny</t>
  </si>
  <si>
    <t>Panna Taszlak</t>
  </si>
  <si>
    <t xml:space="preserve">Дневной баланс </t>
  </si>
  <si>
    <r>
      <rPr>
        <rFont val="Arial"/>
        <b/>
        <color theme="1"/>
        <sz val="12.0"/>
      </rPr>
      <t>ФИО</t>
    </r>
  </si>
  <si>
    <t>Переводчик</t>
  </si>
  <si>
    <t>$0,00</t>
  </si>
  <si>
    <t>Батаева Елена  5355280212948747</t>
  </si>
  <si>
    <t>Никита Бурхан</t>
  </si>
  <si>
    <t>Егор Варивода 5167 9855 6225 7196</t>
  </si>
  <si>
    <t>Карина</t>
  </si>
  <si>
    <t>Валерия Литвин 5363542091659533</t>
  </si>
  <si>
    <t>Максим</t>
  </si>
  <si>
    <t>Манейло Анастасия 5375411412238722</t>
  </si>
  <si>
    <t>Brandy</t>
  </si>
  <si>
    <r>
      <rPr>
        <rFont val="Arial"/>
        <b/>
        <color theme="1"/>
        <sz val="12.0"/>
      </rPr>
      <t>ФИО</t>
    </r>
  </si>
  <si>
    <t>Anca Maria Ariana Calin</t>
  </si>
  <si>
    <t>Sara Alasad</t>
  </si>
  <si>
    <t>Nicole Harp</t>
  </si>
  <si>
    <t>Pimonpan Prapanpat</t>
  </si>
  <si>
    <t>May Ribak</t>
  </si>
  <si>
    <t>Margarita Cuellar Garzon</t>
  </si>
  <si>
    <r>
      <rPr>
        <rFont val="Arial"/>
        <b/>
        <color theme="1"/>
        <sz val="12.0"/>
      </rPr>
      <t>ФИО</t>
    </r>
  </si>
  <si>
    <t>Fine</t>
  </si>
  <si>
    <t>Батаева Елена
5355280212948747</t>
  </si>
  <si>
    <t>Kelly Fan Flitz</t>
  </si>
  <si>
    <t>Алтунин Кирилл Александрович
5354 3210 0266 5322</t>
  </si>
  <si>
    <t>Егор Варивода
5167 9855 6225 7196</t>
  </si>
  <si>
    <t>Сороколетов Алексей
5168755460144807</t>
  </si>
  <si>
    <t>Валерия Литвин 
5363542091659533</t>
  </si>
  <si>
    <t>Victoria Achiroae</t>
  </si>
  <si>
    <t>Гончаренко Дарина Евгеньевна
4441114463070274</t>
  </si>
  <si>
    <t>Пильтий Михаэль Дмитриевич
4441114405524651</t>
  </si>
  <si>
    <t>Li Kiokos 2я смена</t>
  </si>
  <si>
    <t>"+90(цветы)"</t>
  </si>
  <si>
    <t>Margarita Cuellar Garzon День</t>
  </si>
  <si>
    <t>Margarita Cuellar Garzon Ночь</t>
  </si>
  <si>
    <t>Маргарита общий за день</t>
  </si>
  <si>
    <t>Camila Hamidi День</t>
  </si>
  <si>
    <t>Camila Hamidi ночь</t>
  </si>
  <si>
    <t>Camila Hamidi общий</t>
  </si>
  <si>
    <t>"+180(цветы)"</t>
  </si>
  <si>
    <t>Elaina Rose Marino</t>
  </si>
  <si>
    <t>Chloe Anna Alloyd</t>
  </si>
  <si>
    <r>
      <rPr>
        <rFont val="Arial"/>
        <b/>
        <color theme="1"/>
        <sz val="12.0"/>
      </rPr>
      <t>ФИО</t>
    </r>
  </si>
  <si>
    <t>Мороховский Александр Владиславович</t>
  </si>
  <si>
    <t>Kelly Fan Flitz (2)</t>
  </si>
  <si>
    <t>Kelly Fan Flitz общий за день</t>
  </si>
  <si>
    <t xml:space="preserve">Joyce Paula </t>
  </si>
  <si>
    <t xml:space="preserve">Сороколетов Алексей Алексеевич
4441114462828920
</t>
  </si>
  <si>
    <t>Nicole Harp (1)</t>
  </si>
  <si>
    <t>Бероєв Валерій Султанович
4441114421756279</t>
  </si>
  <si>
    <t>Nicole Harp (2)</t>
  </si>
  <si>
    <t>Nicole Harp Общий</t>
  </si>
  <si>
    <t>Li общий за день</t>
  </si>
  <si>
    <t>и</t>
  </si>
  <si>
    <t>"+95 Корзина"
"+90 цветы"</t>
  </si>
  <si>
    <t>Lucila Maria Perez Rodriguez</t>
  </si>
  <si>
    <t>Marysol Borja Ramirez</t>
  </si>
  <si>
    <r>
      <rPr>
        <rFont val="Arial"/>
        <b/>
        <color theme="1"/>
        <sz val="12.0"/>
      </rPr>
      <t>ФИО</t>
    </r>
  </si>
  <si>
    <t>Подарок</t>
  </si>
  <si>
    <t>Подарок Переводчик</t>
  </si>
  <si>
    <t>Подарок Админские</t>
  </si>
  <si>
    <t>Мороховский Александр Владиславович
4731219640030957</t>
  </si>
  <si>
    <t>Максим Жильцов Анатольевич
4441114400029474</t>
  </si>
  <si>
    <t>Лиза</t>
  </si>
  <si>
    <t>Никитенко Діана Юріївна
4149499377504939</t>
  </si>
  <si>
    <t>Фандий Анастасия Андреевна 
 5168752012010800</t>
  </si>
  <si>
    <t>Бут Мария Александровна
 4441111131902847</t>
  </si>
  <si>
    <t>Эдуард
4441111131902847</t>
  </si>
  <si>
    <t>Karina Klatsidis-Jeffery</t>
  </si>
  <si>
    <t>Sandra Denise Gago</t>
  </si>
  <si>
    <t>Stephany Luykono</t>
  </si>
  <si>
    <t>Jiahui Li</t>
  </si>
  <si>
    <t>Lina Molina Franco</t>
  </si>
  <si>
    <t>Имя</t>
  </si>
  <si>
    <t>Оля
binance 761609573
Olha_mass</t>
  </si>
  <si>
    <t>Сэм</t>
  </si>
  <si>
    <t xml:space="preserve">
</t>
  </si>
  <si>
    <t>Rozena Alys</t>
  </si>
  <si>
    <t>Ana Emy Garcia Eranandes Ночь</t>
  </si>
  <si>
    <t>Ana Emy Garcia Eranandes Утро</t>
  </si>
  <si>
    <t>Ana Emy Garcia Eranandes День</t>
  </si>
  <si>
    <t>Ana Emy Garcia Eranandes Общий</t>
  </si>
  <si>
    <t>Ali Chanel</t>
  </si>
  <si>
    <t>Elianis Kucuk Gonzales</t>
  </si>
  <si>
    <t>Joye Erolin</t>
  </si>
  <si>
    <t>Sofia Ratta</t>
  </si>
  <si>
    <t>Stephanie Hobson</t>
  </si>
  <si>
    <t>Agustina Daniela Ramirez Beola</t>
  </si>
  <si>
    <t>Joyce Paula Monteiro Lopes Ferro</t>
  </si>
  <si>
    <t>Батаева Елена
4314 1402 0745 0377</t>
  </si>
  <si>
    <t>Алтунин Кирилл Александрович
5354 3210 8763 0118</t>
  </si>
  <si>
    <t>Саша</t>
  </si>
  <si>
    <t xml:space="preserve">Шкет Сергій Миколайович
4149629352522403
</t>
  </si>
  <si>
    <t>Camila Hamidi</t>
  </si>
  <si>
    <t xml:space="preserve">Alina Emanuela Neagu </t>
  </si>
  <si>
    <t xml:space="preserve">Лена 4314 1402 0745 0377      </t>
  </si>
  <si>
    <t>зубок владимир 5375 4141 3108 0300</t>
  </si>
  <si>
    <t xml:space="preserve">
шепель никита   5269 6108 6609 5061</t>
  </si>
  <si>
    <t>Ana Emy Garcia Eranandes</t>
  </si>
  <si>
    <t>Julieth Marcela Alvares</t>
  </si>
  <si>
    <t>Холодов Александр        
507792347</t>
  </si>
  <si>
    <t>Оля</t>
  </si>
  <si>
    <t>Браила Александр Андреевич 
5168757413768849</t>
  </si>
  <si>
    <t>богдан</t>
  </si>
  <si>
    <t>Sara Gomez Ramirez</t>
  </si>
  <si>
    <t>Sara Mota De Sousa</t>
  </si>
  <si>
    <t>Bruna Soares Alexandre</t>
  </si>
  <si>
    <t>Александр</t>
  </si>
  <si>
    <t xml:space="preserve">Алекс </t>
  </si>
  <si>
    <t>кристина 5168745109939311</t>
  </si>
  <si>
    <t xml:space="preserve"> Анна Едуардівна Дзісяк 5355 2800 1856 3187, ПУМБ</t>
  </si>
  <si>
    <t>Maria Luisa Gomez - Sandoval Gutierrez</t>
  </si>
  <si>
    <t>Elena Bataieva</t>
  </si>
  <si>
    <t>Lidia Alfonsina Pena Alcantara</t>
  </si>
  <si>
    <t>Caroliny Domingees</t>
  </si>
  <si>
    <t xml:space="preserve"> Мелихов Владимир Николаевич 4441 1144 1386 9437Моно банк</t>
  </si>
  <si>
    <t>Chatlada Sripakdee</t>
  </si>
  <si>
    <t>оля</t>
  </si>
  <si>
    <t>Ariadna Fernanda</t>
  </si>
  <si>
    <t>Vanessa Marie Lasofer</t>
  </si>
  <si>
    <t>Maria Alejandra Ramirez Vasco</t>
  </si>
  <si>
    <t>Dobromira Dobreva</t>
  </si>
  <si>
    <t>Заяц Женя 4441114463244929 моно</t>
  </si>
  <si>
    <t>Valery Vanegas Castellon</t>
  </si>
  <si>
    <t>Francielly Gomez</t>
  </si>
  <si>
    <t>Paula Andrea Gomez Zapata</t>
  </si>
  <si>
    <t>Nikolina Vucic</t>
  </si>
  <si>
    <t>Carmen Ofovnik</t>
  </si>
  <si>
    <t>Isa Maria Cane Blancart</t>
  </si>
  <si>
    <t>Никита
5168 7451 4686 1072</t>
  </si>
  <si>
    <t>nick</t>
  </si>
  <si>
    <t>виктория</t>
  </si>
  <si>
    <t>Монобанк
4441111141522049
Yuliia Borysenko</t>
  </si>
  <si>
    <t>Dana Salome</t>
  </si>
  <si>
    <t>Viviana Jacqueline</t>
  </si>
  <si>
    <t>Валерий Иоффе
монобанк - 4441114457367868</t>
  </si>
  <si>
    <t>Мурзак Виктория Анатольевна
Western Union</t>
  </si>
  <si>
    <t>Проверка</t>
  </si>
  <si>
    <t>Егор Варивода
5457082510415263</t>
  </si>
  <si>
    <t>Мурзак Виктория Анатольевна</t>
  </si>
  <si>
    <t>Emma Orok</t>
  </si>
  <si>
    <t>Laura Macias Munera</t>
  </si>
  <si>
    <t>Аля ушла не работает</t>
  </si>
  <si>
    <t>Alix Catalina Duque Arcila</t>
  </si>
  <si>
    <t>Balania Vita Dime</t>
  </si>
  <si>
    <t>Михайленко Даниил Максимович
5375411425082158</t>
  </si>
  <si>
    <t>Савчин Наталія Іванівна 
4149629331908848</t>
  </si>
  <si>
    <t>Valeria Ardila</t>
  </si>
  <si>
    <t>Christine Yubach</t>
  </si>
  <si>
    <t>вика</t>
  </si>
  <si>
    <t>вова</t>
  </si>
  <si>
    <t>Рома 4441114453484725
Monobank</t>
  </si>
  <si>
    <t>Богушевич Виктория Александровна (крипта)</t>
  </si>
  <si>
    <t>аванс 70$</t>
  </si>
  <si>
    <t>Божковський Володимир 
5375414132501692 моно</t>
  </si>
  <si>
    <t>Luana Pinto</t>
  </si>
  <si>
    <t>Jennifer Vannessa Bown</t>
  </si>
  <si>
    <t xml:space="preserve">Имя/день </t>
  </si>
  <si>
    <t>Maria Vakulko</t>
  </si>
  <si>
    <t>Ana Clara De Sousa</t>
  </si>
  <si>
    <t>Konstancja Gorecka</t>
  </si>
  <si>
    <t>Elisabet Mercedes Vasylenko</t>
  </si>
  <si>
    <t>й</t>
  </si>
  <si>
    <t xml:space="preserve">Надя 5375414130094203
Моно </t>
  </si>
  <si>
    <t>Богушевич Виктория Александровна (крипта)   TALmB9usKZcfYM7Cuq7P5SgfUbHJeSk8Hr</t>
  </si>
  <si>
    <t>ChristiChristine Yubachne Yubach</t>
  </si>
  <si>
    <t>Крившич Олександр Владимирович
карта:5169155118780822
Абанк</t>
  </si>
  <si>
    <t>аванс 45</t>
  </si>
  <si>
    <t>Name/Date</t>
  </si>
  <si>
    <t>Month total</t>
  </si>
  <si>
    <t>Name</t>
  </si>
  <si>
    <t>Daily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</si>
</sst>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&quot;$&quot;#,##0.00"/>
  </numFmts>
  <fonts count="81">
    <font>
      <sz val="10.0"/>
      <color rgb="FF000000"/>
      <name val="Calibri"/>
      <scheme val="minor"/>
    </font>
    <font>
      <b/>
      <sz val="12.0"/>
      <color theme="1"/>
      <name val="Arial"/>
    </font>
    <font>
      <sz val="10.0"/>
      <color theme="1"/>
      <name val="Calibri"/>
    </font>
    <font>
      <sz val="12.0"/>
      <color theme="1"/>
      <name val="Arial"/>
    </font>
    <font>
      <sz val="12.0"/>
      <color rgb="FF000000"/>
      <name val="Times New Roman"/>
    </font>
    <font>
      <sz val="12.0"/>
      <color rgb="FF212529"/>
      <name val="Roboto"/>
    </font>
    <font>
      <sz val="12.0"/>
      <color theme="1"/>
      <name val="Calibri"/>
    </font>
    <font>
      <color rgb="FF222222"/>
      <name val="Roboto"/>
    </font>
    <font>
      <sz val="12.0"/>
      <color rgb="FF000000"/>
      <name val="Times"/>
    </font>
    <font>
      <sz val="12.0"/>
      <color rgb="FF212529"/>
      <name val="Arial"/>
    </font>
    <font>
      <color rgb="FF222222"/>
      <name val="Arial"/>
    </font>
    <font>
      <sz val="12.0"/>
      <color rgb="FF000000"/>
      <name val="Arial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Times"/>
    </font>
    <font>
      <sz val="12.0"/>
      <color rgb="FF222222"/>
      <name val="Arial"/>
    </font>
    <font>
      <b/>
      <sz val="12.0"/>
      <color rgb="FF212529"/>
      <name val="Roboto"/>
    </font>
    <font>
      <color theme="1"/>
      <name val="Calibri"/>
    </font>
    <font>
      <sz val="10.0"/>
      <color rgb="FF000000"/>
      <name val="Times New Roman"/>
    </font>
    <font>
      <sz val="12.0"/>
      <color rgb="FF000000"/>
      <name val="Roboto"/>
    </font>
    <font>
      <b/>
      <sz val="12.0"/>
      <color theme="1"/>
      <name val="Calibri"/>
    </font>
    <font>
      <b/>
      <sz val="14.0"/>
      <color theme="1"/>
      <name val="Calibri"/>
    </font>
    <font>
      <b/>
      <sz val="10.0"/>
      <color theme="1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b/>
      <color theme="1"/>
      <name val="Calibri"/>
    </font>
    <font>
      <color rgb="FFFFFFFF"/>
      <name val="Calibri"/>
    </font>
    <font>
      <color theme="1"/>
      <name val="Times"/>
    </font>
    <font>
      <sz val="11.0"/>
      <color theme="1"/>
      <name val="Calibri"/>
    </font>
    <font>
      <sz val="11.0"/>
      <color rgb="FF262626"/>
      <name val="Libre Franklin"/>
    </font>
    <font>
      <sz val="11.0"/>
      <color rgb="FF9C5700"/>
      <name val="Libre Franklin"/>
    </font>
    <font>
      <sz val="11.0"/>
      <color rgb="FF006100"/>
      <name val="Libre Franklin"/>
    </font>
    <font>
      <sz val="11.0"/>
      <color rgb="FFFF0000"/>
      <name val="Libre Franklin"/>
    </font>
    <font>
      <sz val="11.0"/>
      <color rgb="FFF2F2F2"/>
      <name val="Calibri"/>
    </font>
    <font>
      <sz val="11.0"/>
      <color rgb="FF7030A0"/>
      <name val="Calibri"/>
    </font>
    <font>
      <sz val="11.0"/>
      <color rgb="FF0070C0"/>
      <name val="Libre Franklin"/>
    </font>
    <font>
      <sz val="11.0"/>
      <color rgb="FF6F7300"/>
      <name val="Libre Franklin"/>
    </font>
    <font>
      <sz val="12.0"/>
      <color theme="1"/>
      <name val="Roboto"/>
    </font>
    <font>
      <sz val="11.0"/>
      <color rgb="FFFF00CC"/>
      <name val="Calibri"/>
    </font>
    <font/>
    <font>
      <color rgb="FFFFFF00"/>
      <name val="Calibri"/>
    </font>
    <font>
      <color rgb="FFF0F000"/>
      <name val="Calibri"/>
    </font>
    <font>
      <sz val="11.0"/>
      <color rgb="FFFFFF00"/>
      <name val="Calibri"/>
    </font>
    <font>
      <sz val="11.0"/>
      <color rgb="FFF0F000"/>
      <name val="Calibri"/>
    </font>
    <font>
      <sz val="11.0"/>
      <color rgb="FF262626"/>
      <name val="Arial"/>
    </font>
    <font>
      <sz val="11.0"/>
      <color rgb="FF9C5700"/>
      <name val="Arial"/>
    </font>
    <font>
      <sz val="11.0"/>
      <color rgb="FF006100"/>
      <name val="Arial"/>
    </font>
    <font>
      <sz val="11.0"/>
      <color rgb="FF000000"/>
      <name val="Calibri"/>
    </font>
    <font>
      <color rgb="FF000000"/>
      <name val="Calibri"/>
    </font>
    <font>
      <sz val="11.0"/>
      <color rgb="FF6F7300"/>
      <name val="Arial"/>
    </font>
    <font>
      <color rgb="FFFF00CC"/>
      <name val="Calibri"/>
    </font>
    <font>
      <sz val="18.0"/>
      <color rgb="FFFF0000"/>
      <name val="Calibri"/>
    </font>
    <font>
      <color rgb="FFFF0000"/>
      <name val="Calibri"/>
    </font>
    <font>
      <color rgb="FF00FF00"/>
      <name val="Calibri"/>
    </font>
    <font>
      <sz val="11.0"/>
      <color rgb="FF00FF00"/>
      <name val="Calibri"/>
    </font>
    <font>
      <sz val="11.0"/>
      <color rgb="FF1F1F1F"/>
      <name val="Arial"/>
    </font>
    <font>
      <sz val="9.0"/>
      <color rgb="FF212529"/>
      <name val="Roboto"/>
    </font>
    <font>
      <sz val="10.0"/>
      <color rgb="FF212529"/>
      <name val="Roboto"/>
    </font>
    <font>
      <sz val="11.0"/>
      <color rgb="FF212529"/>
      <name val="Roboto"/>
    </font>
    <font>
      <b/>
      <sz val="7.0"/>
      <color theme="1"/>
      <name val="Calibri"/>
    </font>
    <font>
      <sz val="10.0"/>
      <color theme="1"/>
      <name val="Roboto"/>
    </font>
    <font>
      <color rgb="FFFFFF00"/>
      <name val="Arial"/>
    </font>
    <font>
      <color theme="1"/>
      <name val="Times New Roman"/>
    </font>
    <font>
      <sz val="11.0"/>
      <color rgb="FFFFFF00"/>
      <name val="Arial"/>
    </font>
    <font>
      <sz val="11.0"/>
      <color rgb="FF000000"/>
      <name val="Arial"/>
    </font>
    <font>
      <sz val="11.0"/>
      <color rgb="FF444444"/>
      <name val="Calibri"/>
    </font>
    <font>
      <sz val="9.0"/>
      <color rgb="FF000000"/>
      <name val="Arial"/>
    </font>
    <font>
      <sz val="11.0"/>
      <color rgb="FF0070C0"/>
      <name val="Arial"/>
    </font>
    <font>
      <sz val="19.0"/>
      <color theme="1"/>
      <name val="Calibri"/>
    </font>
    <font>
      <color rgb="FF000000"/>
      <name val="Arial"/>
    </font>
    <font>
      <sz val="12.0"/>
      <color theme="0"/>
      <name val="Roboto"/>
    </font>
    <font>
      <color theme="0"/>
      <name val="Calibri"/>
    </font>
    <font>
      <sz val="14.0"/>
      <color rgb="FF212529"/>
      <name val="Roboto"/>
    </font>
    <font>
      <sz val="10.0"/>
      <color rgb="FF1F1F1F"/>
      <name val="Calibri"/>
    </font>
    <font>
      <sz val="19.0"/>
      <color rgb="FFFFFFFF"/>
      <name val="Calibri"/>
    </font>
    <font>
      <sz val="11.0"/>
      <color theme="1"/>
      <name val="Arial"/>
    </font>
    <font>
      <sz val="11.0"/>
      <color rgb="FF212529"/>
      <name val="Arial"/>
    </font>
    <font>
      <sz val="11.0"/>
      <color rgb="FFFFFFFF"/>
      <name val="Arial"/>
    </font>
    <font>
      <color rgb="FF2B0618"/>
      <name val="Calibri"/>
    </font>
    <font>
      <b/>
      <sz val="15.0"/>
      <color theme="1"/>
      <name val="Calibri"/>
    </font>
    <font>
      <sz val="11.0"/>
      <color rgb="FF434343"/>
      <name val="Arial"/>
    </font>
  </fonts>
  <fills count="52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00B050"/>
        <bgColor rgb="FF00B050"/>
      </patternFill>
    </fill>
    <fill>
      <patternFill patternType="solid">
        <fgColor rgb="FFD5A6BD"/>
        <bgColor rgb="FFD5A6BD"/>
      </patternFill>
    </fill>
    <fill>
      <patternFill patternType="solid">
        <fgColor rgb="FFF09090"/>
        <bgColor rgb="FFF09090"/>
      </patternFill>
    </fill>
    <fill>
      <patternFill patternType="solid">
        <fgColor rgb="FF0070C0"/>
        <bgColor rgb="FF0070C0"/>
      </patternFill>
    </fill>
    <fill>
      <patternFill patternType="solid">
        <fgColor rgb="FFEC7C31"/>
        <bgColor rgb="FFEC7C31"/>
      </patternFill>
    </fill>
    <fill>
      <patternFill patternType="solid">
        <fgColor rgb="FFED7D31"/>
        <bgColor rgb="FFED7D31"/>
      </patternFill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  <fill>
      <patternFill patternType="solid">
        <fgColor rgb="FF222222"/>
        <bgColor rgb="FF222222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1F1F1F"/>
        <bgColor rgb="FF1F1F1F"/>
      </patternFill>
    </fill>
    <fill>
      <patternFill patternType="solid">
        <fgColor rgb="FF980000"/>
        <bgColor rgb="FF980000"/>
      </patternFill>
    </fill>
    <fill>
      <patternFill patternType="solid">
        <fgColor rgb="FF999999"/>
        <bgColor rgb="FF999999"/>
      </patternFill>
    </fill>
    <fill>
      <patternFill patternType="solid">
        <fgColor rgb="FF7F6000"/>
        <bgColor rgb="FF7F6000"/>
      </patternFill>
    </fill>
    <fill>
      <patternFill patternType="solid">
        <fgColor rgb="FF016FC5"/>
        <bgColor rgb="FF016FC5"/>
      </patternFill>
    </fill>
    <fill>
      <patternFill patternType="solid">
        <fgColor rgb="FF7030A0"/>
        <bgColor rgb="FF7030A0"/>
      </patternFill>
    </fill>
    <fill>
      <patternFill patternType="solid">
        <fgColor rgb="FFC09FC2"/>
        <bgColor rgb="FFC09FC2"/>
      </patternFill>
    </fill>
    <fill>
      <patternFill patternType="solid">
        <fgColor rgb="FFFFC4D5"/>
        <bgColor rgb="FFFFC4D5"/>
      </patternFill>
    </fill>
    <fill>
      <patternFill patternType="solid">
        <fgColor rgb="FF00B572"/>
        <bgColor rgb="FF00B572"/>
      </patternFill>
    </fill>
    <fill>
      <patternFill patternType="solid">
        <fgColor rgb="FF636212"/>
        <bgColor rgb="FF636212"/>
      </patternFill>
    </fill>
    <fill>
      <patternFill patternType="solid">
        <fgColor theme="6"/>
        <bgColor theme="6"/>
      </patternFill>
    </fill>
    <fill>
      <patternFill patternType="solid">
        <fgColor rgb="FF9BBB59"/>
        <bgColor rgb="FF9BBB59"/>
      </patternFill>
    </fill>
    <fill>
      <patternFill patternType="solid">
        <fgColor rgb="FF4C1130"/>
        <bgColor rgb="FF4C1130"/>
      </patternFill>
    </fill>
    <fill>
      <patternFill patternType="solid">
        <fgColor rgb="FF7A00FF"/>
        <bgColor rgb="FF7A00FF"/>
      </patternFill>
    </fill>
    <fill>
      <patternFill patternType="solid">
        <fgColor rgb="FF8CB268"/>
        <bgColor rgb="FF8CB268"/>
      </patternFill>
    </fill>
    <fill>
      <patternFill patternType="solid">
        <fgColor rgb="FF911553"/>
        <bgColor rgb="FF911553"/>
      </patternFill>
    </fill>
    <fill>
      <patternFill patternType="solid">
        <fgColor rgb="FFB4A7D6"/>
        <bgColor rgb="FFB4A7D6"/>
      </patternFill>
    </fill>
    <fill>
      <patternFill patternType="solid">
        <fgColor rgb="FF6089FF"/>
        <bgColor rgb="FF6089FF"/>
      </patternFill>
    </fill>
    <fill>
      <patternFill patternType="solid">
        <fgColor rgb="FF25E8A8"/>
        <bgColor rgb="FF25E8A8"/>
      </patternFill>
    </fill>
    <fill>
      <patternFill patternType="solid">
        <fgColor rgb="FF4BACC6"/>
        <bgColor rgb="FF4BACC6"/>
      </patternFill>
    </fill>
    <fill>
      <patternFill patternType="solid">
        <fgColor rgb="FFB7E1CD"/>
        <bgColor rgb="FFB7E1CD"/>
      </patternFill>
    </fill>
    <fill>
      <patternFill patternType="solid">
        <fgColor rgb="FF434343"/>
        <bgColor rgb="FF434343"/>
      </patternFill>
    </fill>
  </fills>
  <borders count="98">
    <border/>
    <border>
      <left style="thin">
        <color rgb="FF000000"/>
      </left>
      <right style="thin">
        <color rgb="FFFFD966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D966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FFD966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BFBFBF"/>
      </right>
    </border>
    <border>
      <right style="thin">
        <color rgb="FFBFBFBF"/>
      </right>
      <bottom style="thin">
        <color rgb="FFBFBFBF"/>
      </bottom>
    </border>
    <border>
      <right style="thin">
        <color rgb="FFD0CECE"/>
      </right>
    </border>
    <border>
      <right style="thin">
        <color rgb="FFD0CECE"/>
      </right>
      <bottom style="thin">
        <color rgb="FFD0CECE"/>
      </bottom>
    </border>
    <border>
      <right style="thin">
        <color rgb="FFD0CECE"/>
      </right>
      <bottom style="thin">
        <color rgb="FFBFBFBF"/>
      </bottom>
    </border>
    <border>
      <right style="thin">
        <color rgb="FFBFBFBF"/>
      </right>
      <bottom style="thin">
        <color rgb="FFD0CECE"/>
      </bottom>
    </border>
    <border>
      <right style="thin">
        <color rgb="FF000000"/>
      </right>
      <bottom style="thin">
        <color rgb="FFBFBFB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E7E6E6"/>
      </right>
      <bottom style="thin">
        <color rgb="FFBFBFBF"/>
      </bottom>
    </border>
    <border>
      <right style="thin">
        <color rgb="FFE7E6E6"/>
      </right>
    </border>
    <border>
      <right style="thin">
        <color rgb="FFE7E6E6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00B050"/>
      </left>
      <right style="thin">
        <color rgb="FF00B050"/>
      </right>
      <top style="thin">
        <color rgb="FF00B050"/>
      </top>
    </border>
    <border>
      <left style="thin">
        <color rgb="FFF09090"/>
      </left>
      <right style="thin">
        <color rgb="FFF09090"/>
      </right>
      <top style="thin">
        <color rgb="FFF09090"/>
      </top>
    </border>
    <border>
      <left style="thin">
        <color rgb="FFFF00FF"/>
      </left>
      <right style="thin">
        <color rgb="FFFF00FF"/>
      </right>
      <top style="thin">
        <color rgb="FFFF00FF"/>
      </top>
    </border>
    <border>
      <left style="thin">
        <color rgb="FF0070C0"/>
      </left>
      <right style="thin">
        <color rgb="FF0070C0"/>
      </right>
      <top style="thin">
        <color rgb="FF0070C0"/>
      </top>
    </border>
    <border>
      <left style="thin">
        <color rgb="FFEC7C31"/>
      </left>
      <right style="thin">
        <color rgb="FFEC7C31"/>
      </right>
      <top style="thin">
        <color rgb="FFEC7C31"/>
      </top>
    </border>
    <border>
      <left style="thin">
        <color rgb="FFA64D79"/>
      </left>
      <top style="thin">
        <color rgb="FFA64D79"/>
      </top>
    </border>
    <border>
      <left style="thin">
        <color rgb="FF70AD47"/>
      </left>
      <right style="thin">
        <color rgb="FF70AD47"/>
      </right>
      <top style="thin">
        <color rgb="FF70AD47"/>
      </top>
    </border>
    <border>
      <left style="thick">
        <color rgb="FFFF0000"/>
      </left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FF0000"/>
      </left>
    </border>
    <border>
      <left style="thin">
        <color rgb="FF000000"/>
      </left>
      <right style="thick">
        <color rgb="FFFF0000"/>
      </right>
      <top style="thin">
        <color rgb="FF000000"/>
      </top>
    </border>
    <border>
      <left style="thick">
        <color rgb="FFFF0000"/>
      </left>
      <top style="thin">
        <color rgb="FFF3F3F3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FF00FF"/>
      </left>
    </border>
    <border>
      <left style="thin">
        <color rgb="FF000000"/>
      </left>
      <right style="thick">
        <color rgb="FFFF00FF"/>
      </right>
      <bottom style="thin">
        <color rgb="FF000000"/>
      </bottom>
    </border>
    <border>
      <left style="thin">
        <color rgb="FF000000"/>
      </left>
      <right style="thick">
        <color rgb="FFFF00FF"/>
      </right>
      <top style="thin">
        <color rgb="FF000000"/>
      </top>
      <bottom style="thin">
        <color rgb="FF000000"/>
      </bottom>
    </border>
    <border>
      <left style="thick">
        <color rgb="FFFF00FF"/>
      </left>
      <bottom style="thick">
        <color rgb="FFFF00FF"/>
      </bottom>
    </border>
    <border>
      <left style="thin">
        <color rgb="FF000000"/>
      </left>
      <right style="thin">
        <color rgb="FF000000"/>
      </right>
      <bottom style="thick">
        <color rgb="FFFF00FF"/>
      </bottom>
    </border>
    <border>
      <left style="thin">
        <color rgb="FF000000"/>
      </left>
      <right style="thick">
        <color rgb="FFFF00FF"/>
      </right>
      <bottom style="thick">
        <color rgb="FFFF00FF"/>
      </bottom>
    </border>
    <border>
      <left style="thin">
        <color rgb="FF000000"/>
      </left>
      <right style="thin">
        <color rgb="FF000000"/>
      </right>
    </border>
    <border>
      <left style="thin">
        <color rgb="FF980000"/>
      </left>
      <top style="thin">
        <color rgb="FF980000"/>
      </top>
    </border>
    <border>
      <left style="thick">
        <color rgb="FFF79646"/>
      </left>
      <top style="thick">
        <color rgb="FFF79646"/>
      </top>
    </border>
    <border>
      <left style="thin">
        <color rgb="FF000000"/>
      </left>
      <right style="thin">
        <color rgb="FF000000"/>
      </right>
      <top style="thick">
        <color rgb="FFF79646"/>
      </top>
      <bottom style="thin">
        <color rgb="FF000000"/>
      </bottom>
    </border>
    <border>
      <right style="thin">
        <color rgb="FF000000"/>
      </right>
      <top style="thick">
        <color rgb="FFF79646"/>
      </top>
      <bottom style="thin">
        <color rgb="FF000000"/>
      </bottom>
    </border>
    <border>
      <right style="thick">
        <color rgb="FFF79646"/>
      </right>
      <top style="thick">
        <color rgb="FFF79646"/>
      </top>
      <bottom style="thin">
        <color rgb="FF000000"/>
      </bottom>
    </border>
    <border>
      <left style="thick">
        <color rgb="FFF79646"/>
      </left>
    </border>
    <border>
      <right style="thick">
        <color rgb="FFF79646"/>
      </right>
      <bottom style="thin">
        <color rgb="FF000000"/>
      </bottom>
    </border>
    <border>
      <top style="thin">
        <color rgb="FFDEE2E6"/>
      </top>
    </border>
    <border>
      <left style="thick">
        <color rgb="FFF79646"/>
      </left>
      <top style="thin">
        <color rgb="FFF3F3F3"/>
      </top>
      <bottom style="thick">
        <color rgb="FFF7964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79646"/>
      </bottom>
    </border>
    <border>
      <left style="thin">
        <color rgb="FF000000"/>
      </left>
      <right style="thick">
        <color rgb="FFF79646"/>
      </right>
      <top style="thin">
        <color rgb="FF000000"/>
      </top>
      <bottom style="thick">
        <color rgb="FFF79646"/>
      </bottom>
    </border>
    <border>
      <left style="thick">
        <color rgb="FF4BACC6"/>
      </left>
      <right style="thin">
        <color rgb="FF000000"/>
      </right>
      <top style="thick">
        <color rgb="FF4BACC6"/>
      </top>
    </border>
    <border>
      <left style="thin">
        <color rgb="FF000000"/>
      </left>
      <right style="thin">
        <color rgb="FF000000"/>
      </right>
      <top style="thick">
        <color rgb="FF4BACC6"/>
      </top>
    </border>
    <border>
      <right style="thin">
        <color rgb="FF000000"/>
      </right>
      <top style="thick">
        <color rgb="FF4BACC6"/>
      </top>
    </border>
    <border>
      <right style="thick">
        <color rgb="FF4BACC6"/>
      </right>
      <top style="thick">
        <color rgb="FF4BACC6"/>
      </top>
    </border>
    <border>
      <left style="thin">
        <color rgb="FF7F6000"/>
      </left>
      <right style="thin">
        <color rgb="FF7F6000"/>
      </right>
      <top style="thin">
        <color rgb="FF7F6000"/>
      </top>
    </border>
    <border>
      <left style="thick">
        <color rgb="FF4BACC6"/>
      </left>
      <right style="thin">
        <color rgb="FF000000"/>
      </right>
    </border>
    <border>
      <right style="thick">
        <color rgb="FF4BACC6"/>
      </right>
    </border>
    <border>
      <left style="thick">
        <color rgb="FF4BACC6"/>
      </left>
      <right style="thin">
        <color rgb="FF000000"/>
      </right>
      <bottom style="thick">
        <color rgb="FF4BACC6"/>
      </bottom>
    </border>
    <border>
      <right style="thin">
        <color rgb="FF000000"/>
      </right>
      <bottom style="thick">
        <color rgb="FF4BACC6"/>
      </bottom>
    </border>
    <border>
      <right style="thick">
        <color rgb="FF4BACC6"/>
      </right>
      <bottom style="thick">
        <color rgb="FF4BACC6"/>
      </bottom>
    </border>
    <border>
      <left style="thick">
        <color rgb="FF00FF00"/>
      </left>
    </border>
    <border>
      <left style="thin">
        <color rgb="FF000000"/>
      </left>
      <right style="thick">
        <color rgb="FF00FF00"/>
      </right>
      <bottom style="thin">
        <color rgb="FF000000"/>
      </bottom>
    </border>
    <border>
      <left style="thin">
        <color rgb="FF000000"/>
      </left>
      <right style="thick">
        <color rgb="FF00FF00"/>
      </right>
      <top style="thin">
        <color rgb="FF000000"/>
      </top>
      <bottom style="thin">
        <color rgb="FF000000"/>
      </bottom>
    </border>
    <border>
      <left style="thick">
        <color rgb="FF00FF00"/>
      </left>
      <top style="thin">
        <color rgb="FFF3F3F3"/>
      </top>
      <bottom style="thick">
        <color rgb="FF00F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FF00"/>
      </bottom>
    </border>
    <border>
      <left style="thin">
        <color rgb="FF000000"/>
      </left>
      <right style="thick">
        <color rgb="FF00FF00"/>
      </right>
      <top style="thin">
        <color rgb="FF000000"/>
      </top>
      <bottom style="thick">
        <color rgb="FF00FF00"/>
      </bottom>
    </border>
    <border>
      <left style="thin">
        <color rgb="FF000000"/>
      </left>
    </border>
    <border>
      <left style="thin">
        <color rgb="FFFF81A6"/>
      </left>
      <right style="thin">
        <color rgb="FFFF81A6"/>
      </right>
      <top style="thin">
        <color rgb="FFFF81A6"/>
      </top>
    </border>
    <border>
      <left style="thin">
        <color rgb="FF636212"/>
      </left>
      <right style="thin">
        <color rgb="FF636212"/>
      </right>
      <top style="thin">
        <color rgb="FF636212"/>
      </top>
    </border>
    <border>
      <left style="thin">
        <color rgb="FF00B572"/>
      </left>
      <right style="thin">
        <color rgb="FF00B572"/>
      </right>
      <top style="thin">
        <color rgb="FF00B572"/>
      </top>
    </border>
    <border>
      <left style="thin">
        <color rgb="FF7030A0"/>
      </left>
      <right style="thin">
        <color rgb="FF7030A0"/>
      </right>
      <top style="thin">
        <color rgb="FF7030A0"/>
      </top>
    </border>
    <border>
      <left style="thin">
        <color rgb="FF9BBB59"/>
      </left>
      <right style="thin">
        <color rgb="FF9BBB59"/>
      </right>
      <top style="thin">
        <color rgb="FF9BBB59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F0F000"/>
      </left>
      <top style="thick">
        <color rgb="FFF0F000"/>
      </top>
    </border>
    <border>
      <left style="thin">
        <color rgb="FF000000"/>
      </left>
      <right style="thin">
        <color rgb="FF000000"/>
      </right>
      <top style="thick">
        <color rgb="FFF0F000"/>
      </top>
      <bottom style="thin">
        <color rgb="FF000000"/>
      </bottom>
    </border>
    <border>
      <left style="thin">
        <color rgb="FF000000"/>
      </left>
      <top style="thick">
        <color rgb="FFF0F000"/>
      </top>
      <bottom style="thin">
        <color rgb="FF000000"/>
      </bottom>
    </border>
    <border>
      <right style="thin">
        <color rgb="FF000000"/>
      </right>
      <top style="thick">
        <color rgb="FFF0F000"/>
      </top>
      <bottom style="thin">
        <color rgb="FF000000"/>
      </bottom>
    </border>
    <border>
      <left style="thin">
        <color rgb="FF000000"/>
      </left>
      <right style="thick">
        <color rgb="FFF0F000"/>
      </right>
      <top style="thick">
        <color rgb="FFF0F000"/>
      </top>
      <bottom style="thin">
        <color rgb="FF000000"/>
      </bottom>
    </border>
    <border>
      <left style="thick">
        <color rgb="FFF0F000"/>
      </left>
    </border>
    <border>
      <left style="thin">
        <color rgb="FF000000"/>
      </left>
      <right style="thick">
        <color rgb="FFF0F000"/>
      </right>
      <top style="thin">
        <color rgb="FF000000"/>
      </top>
      <bottom style="thin">
        <color rgb="FF000000"/>
      </bottom>
    </border>
    <border>
      <left style="thick">
        <color rgb="FFF0F000"/>
      </left>
      <bottom style="thick">
        <color rgb="FFF0F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0F000"/>
      </bottom>
    </border>
    <border>
      <left style="thin">
        <color rgb="FF000000"/>
      </left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88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3" fontId="1" numFmtId="0" xfId="0" applyAlignment="1" applyBorder="1" applyFill="1" applyFont="1">
      <alignment horizontal="center" shrinkToFit="0" vertical="top" wrapText="1"/>
    </xf>
    <xf borderId="4" fillId="4" fontId="1" numFmtId="0" xfId="0" applyAlignment="1" applyBorder="1" applyFill="1" applyFont="1">
      <alignment horizontal="center" shrinkToFit="0" vertical="top" wrapText="1"/>
    </xf>
    <xf borderId="4" fillId="5" fontId="1" numFmtId="0" xfId="0" applyAlignment="1" applyBorder="1" applyFill="1" applyFont="1">
      <alignment horizontal="center" shrinkToFit="0" vertical="top" wrapText="1"/>
    </xf>
    <xf borderId="4" fillId="6" fontId="1" numFmtId="0" xfId="0" applyAlignment="1" applyBorder="1" applyFill="1" applyFont="1">
      <alignment horizontal="center" shrinkToFit="0" vertical="top" wrapText="1"/>
    </xf>
    <xf borderId="4" fillId="7" fontId="1" numFmtId="0" xfId="0" applyAlignment="1" applyBorder="1" applyFill="1" applyFont="1">
      <alignment horizontal="center" shrinkToFit="0" vertical="top" wrapText="1"/>
    </xf>
    <xf borderId="0" fillId="0" fontId="2" numFmtId="4" xfId="0" applyAlignment="1" applyFont="1" applyNumberFormat="1">
      <alignment horizontal="left" vertical="top"/>
    </xf>
    <xf borderId="4" fillId="0" fontId="3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8" fontId="3" numFmtId="0" xfId="0" applyAlignment="1" applyBorder="1" applyFill="1" applyFont="1">
      <alignment horizontal="center" shrinkToFit="0" vertical="top" wrapText="1"/>
    </xf>
    <xf borderId="0" fillId="0" fontId="3" numFmtId="0" xfId="0" applyAlignment="1" applyFont="1">
      <alignment horizontal="center" vertical="top"/>
    </xf>
    <xf borderId="4" fillId="0" fontId="4" numFmtId="4" xfId="0" applyAlignment="1" applyBorder="1" applyFont="1" applyNumberForma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0" fillId="9" fontId="5" numFmtId="0" xfId="0" applyAlignment="1" applyFill="1" applyFont="1">
      <alignment horizontal="left" vertical="top"/>
    </xf>
    <xf borderId="4" fillId="9" fontId="5" numFmtId="0" xfId="0" applyAlignment="1" applyBorder="1" applyFont="1">
      <alignment horizontal="left" vertical="top"/>
    </xf>
    <xf borderId="4" fillId="8" fontId="4" numFmtId="0" xfId="0" applyAlignment="1" applyBorder="1" applyFont="1">
      <alignment horizontal="center" shrinkToFit="0" vertical="bottom" wrapText="1"/>
    </xf>
    <xf borderId="5" fillId="0" fontId="6" numFmtId="0" xfId="0" applyAlignment="1" applyBorder="1" applyFont="1">
      <alignment horizontal="center" vertical="bottom"/>
    </xf>
    <xf borderId="0" fillId="10" fontId="5" numFmtId="0" xfId="0" applyAlignment="1" applyFill="1" applyFont="1">
      <alignment horizontal="left" vertical="top"/>
    </xf>
    <xf borderId="4" fillId="10" fontId="5" numFmtId="0" xfId="0" applyAlignment="1" applyBorder="1" applyFont="1">
      <alignment horizontal="left" vertical="top"/>
    </xf>
    <xf borderId="6" fillId="8" fontId="5" numFmtId="0" xfId="0" applyAlignment="1" applyBorder="1" applyFont="1">
      <alignment horizontal="left" vertical="top"/>
    </xf>
    <xf borderId="4" fillId="9" fontId="7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center" vertical="bottom"/>
    </xf>
    <xf borderId="4" fillId="9" fontId="9" numFmtId="0" xfId="0" applyAlignment="1" applyBorder="1" applyFont="1">
      <alignment horizontal="center" vertical="top"/>
    </xf>
    <xf borderId="4" fillId="9" fontId="10" numFmtId="0" xfId="0" applyAlignment="1" applyBorder="1" applyFont="1">
      <alignment horizontal="center" vertical="top"/>
    </xf>
    <xf borderId="4" fillId="0" fontId="11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horizontal="center" vertical="top"/>
    </xf>
    <xf borderId="0" fillId="0" fontId="13" numFmtId="0" xfId="0" applyAlignment="1" applyFont="1">
      <alignment horizontal="left" vertical="top"/>
    </xf>
    <xf borderId="4" fillId="0" fontId="14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vertical="top"/>
    </xf>
    <xf borderId="4" fillId="0" fontId="12" numFmtId="4" xfId="0" applyAlignment="1" applyBorder="1" applyFont="1" applyNumberFormat="1">
      <alignment horizontal="center" vertical="top"/>
    </xf>
    <xf borderId="4" fillId="0" fontId="12" numFmtId="0" xfId="0" applyAlignment="1" applyBorder="1" applyFont="1">
      <alignment horizontal="left" vertical="top"/>
    </xf>
    <xf borderId="0" fillId="9" fontId="15" numFmtId="0" xfId="0" applyAlignment="1" applyFont="1">
      <alignment horizontal="left" vertical="top"/>
    </xf>
    <xf borderId="4" fillId="9" fontId="16" numFmtId="0" xfId="0" applyAlignment="1" applyBorder="1" applyFont="1">
      <alignment horizontal="left" vertical="top"/>
    </xf>
    <xf borderId="4" fillId="0" fontId="13" numFmtId="4" xfId="0" applyAlignment="1" applyBorder="1" applyFont="1" applyNumberFormat="1">
      <alignment horizontal="center" vertical="top"/>
    </xf>
    <xf borderId="7" fillId="0" fontId="13" numFmtId="4" xfId="0" applyAlignment="1" applyBorder="1" applyFont="1" applyNumberFormat="1">
      <alignment horizontal="center" vertical="top"/>
    </xf>
    <xf borderId="7" fillId="0" fontId="2" numFmtId="0" xfId="0" applyAlignment="1" applyBorder="1" applyFont="1">
      <alignment horizontal="left" vertical="top"/>
    </xf>
    <xf borderId="0" fillId="0" fontId="17" numFmtId="0" xfId="0" applyAlignment="1" applyFont="1">
      <alignment horizontal="left" vertical="top"/>
    </xf>
    <xf borderId="4" fillId="9" fontId="10" numFmtId="0" xfId="0" applyAlignment="1" applyBorder="1" applyFont="1">
      <alignment horizontal="left" vertical="top"/>
    </xf>
    <xf borderId="7" fillId="0" fontId="12" numFmtId="4" xfId="0" applyAlignment="1" applyBorder="1" applyFont="1" applyNumberFormat="1">
      <alignment horizontal="center" vertical="top"/>
    </xf>
    <xf borderId="4" fillId="0" fontId="18" numFmtId="0" xfId="0" applyAlignment="1" applyBorder="1" applyFont="1">
      <alignment horizontal="left" vertical="top"/>
    </xf>
    <xf borderId="4" fillId="0" fontId="18" numFmtId="0" xfId="0" applyAlignment="1" applyBorder="1" applyFont="1">
      <alignment horizontal="center" vertical="top"/>
    </xf>
    <xf borderId="0" fillId="9" fontId="19" numFmtId="0" xfId="0" applyAlignment="1" applyFont="1">
      <alignment horizontal="left" vertical="top"/>
    </xf>
    <xf borderId="4" fillId="0" fontId="17" numFmtId="0" xfId="0" applyAlignment="1" applyBorder="1" applyFont="1">
      <alignment horizontal="left" vertical="top"/>
    </xf>
    <xf borderId="0" fillId="0" fontId="20" numFmtId="4" xfId="0" applyAlignment="1" applyFont="1" applyNumberFormat="1">
      <alignment horizontal="center" vertical="top"/>
    </xf>
    <xf borderId="0" fillId="0" fontId="20" numFmtId="4" xfId="0" applyAlignment="1" applyFont="1" applyNumberFormat="1">
      <alignment horizontal="left" vertical="top"/>
    </xf>
    <xf borderId="0" fillId="11" fontId="21" numFmtId="0" xfId="0" applyAlignment="1" applyFill="1" applyFont="1">
      <alignment horizontal="left" vertical="top"/>
    </xf>
    <xf borderId="0" fillId="12" fontId="17" numFmtId="0" xfId="0" applyAlignment="1" applyFill="1" applyFont="1">
      <alignment horizontal="left" vertical="top"/>
    </xf>
    <xf borderId="0" fillId="0" fontId="2" numFmtId="0" xfId="0" applyAlignment="1" applyFont="1">
      <alignment horizontal="center" vertical="top"/>
    </xf>
    <xf borderId="4" fillId="13" fontId="22" numFmtId="0" xfId="0" applyAlignment="1" applyBorder="1" applyFill="1" applyFont="1">
      <alignment horizontal="center" vertical="bottom"/>
    </xf>
    <xf borderId="4" fillId="14" fontId="23" numFmtId="0" xfId="0" applyAlignment="1" applyBorder="1" applyFill="1" applyFont="1">
      <alignment horizontal="center" shrinkToFit="0" vertical="bottom" wrapText="1"/>
    </xf>
    <xf borderId="8" fillId="2" fontId="17" numFmtId="0" xfId="0" applyAlignment="1" applyBorder="1" applyFont="1">
      <alignment horizontal="left" vertical="top"/>
    </xf>
    <xf borderId="9" fillId="3" fontId="17" numFmtId="0" xfId="0" applyAlignment="1" applyBorder="1" applyFont="1">
      <alignment horizontal="left" vertical="top"/>
    </xf>
    <xf borderId="9" fillId="4" fontId="17" numFmtId="0" xfId="0" applyAlignment="1" applyBorder="1" applyFont="1">
      <alignment horizontal="left" vertical="top"/>
    </xf>
    <xf borderId="9" fillId="5" fontId="17" numFmtId="0" xfId="0" applyAlignment="1" applyBorder="1" applyFont="1">
      <alignment horizontal="left" vertical="top"/>
    </xf>
    <xf borderId="9" fillId="6" fontId="17" numFmtId="0" xfId="0" applyAlignment="1" applyBorder="1" applyFont="1">
      <alignment horizontal="left" vertical="top"/>
    </xf>
    <xf borderId="9" fillId="7" fontId="1" numFmtId="0" xfId="0" applyAlignment="1" applyBorder="1" applyFont="1">
      <alignment horizontal="center" shrinkToFit="0" vertical="top" wrapText="1"/>
    </xf>
    <xf borderId="0" fillId="0" fontId="17" numFmtId="4" xfId="0" applyAlignment="1" applyFont="1" applyNumberFormat="1">
      <alignment horizontal="left" vertical="top"/>
    </xf>
    <xf borderId="10" fillId="0" fontId="3" numFmtId="0" xfId="0" applyAlignment="1" applyBorder="1" applyFont="1">
      <alignment horizontal="center" shrinkToFit="0" vertical="top" wrapText="1"/>
    </xf>
    <xf borderId="11" fillId="0" fontId="3" numFmtId="0" xfId="0" applyAlignment="1" applyBorder="1" applyFont="1">
      <alignment horizontal="center" shrinkToFit="0" vertical="top" wrapText="1"/>
    </xf>
    <xf borderId="11" fillId="0" fontId="1" numFmtId="0" xfId="0" applyAlignment="1" applyBorder="1" applyFont="1">
      <alignment horizontal="center" shrinkToFit="0" vertical="top" wrapText="1"/>
    </xf>
    <xf borderId="11" fillId="9" fontId="3" numFmtId="0" xfId="0" applyAlignment="1" applyBorder="1" applyFont="1">
      <alignment horizontal="center" shrinkToFit="0" vertical="top" wrapText="1"/>
    </xf>
    <xf borderId="11" fillId="0" fontId="3" numFmtId="0" xfId="0" applyAlignment="1" applyBorder="1" applyFont="1">
      <alignment horizontal="center" vertical="top"/>
    </xf>
    <xf borderId="11" fillId="0" fontId="24" numFmtId="164" xfId="0" applyAlignment="1" applyBorder="1" applyFont="1" applyNumberFormat="1">
      <alignment horizontal="center" shrinkToFit="0" vertical="top" wrapText="1"/>
    </xf>
    <xf borderId="11" fillId="0" fontId="17" numFmtId="0" xfId="0" applyAlignment="1" applyBorder="1" applyFont="1">
      <alignment horizontal="left" vertical="bottom"/>
    </xf>
    <xf borderId="12" fillId="0" fontId="17" numFmtId="0" xfId="0" applyAlignment="1" applyBorder="1" applyFont="1">
      <alignment horizontal="left" vertical="top"/>
    </xf>
    <xf borderId="13" fillId="0" fontId="17" numFmtId="0" xfId="0" applyAlignment="1" applyBorder="1" applyFont="1">
      <alignment horizontal="center" vertical="center"/>
    </xf>
    <xf borderId="11" fillId="9" fontId="17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vertical="top"/>
    </xf>
    <xf borderId="11" fillId="9" fontId="23" numFmtId="164" xfId="0" applyAlignment="1" applyBorder="1" applyFont="1" applyNumberFormat="1">
      <alignment horizontal="center" shrinkToFit="0" vertical="top" wrapText="1"/>
    </xf>
    <xf borderId="11" fillId="9" fontId="17" numFmtId="0" xfId="0" applyAlignment="1" applyBorder="1" applyFont="1">
      <alignment horizontal="left" vertical="bottom"/>
    </xf>
    <xf borderId="13" fillId="0" fontId="17" numFmtId="0" xfId="0" applyAlignment="1" applyBorder="1" applyFont="1">
      <alignment horizontal="left" vertical="top"/>
    </xf>
    <xf borderId="12" fillId="15" fontId="17" numFmtId="9" xfId="0" applyAlignment="1" applyBorder="1" applyFill="1" applyFont="1" applyNumberFormat="1">
      <alignment horizontal="center" vertical="top"/>
    </xf>
    <xf borderId="12" fillId="15" fontId="25" numFmtId="0" xfId="0" applyAlignment="1" applyBorder="1" applyFont="1">
      <alignment horizontal="center" vertical="top"/>
    </xf>
    <xf borderId="11" fillId="15" fontId="17" numFmtId="9" xfId="0" applyAlignment="1" applyBorder="1" applyFont="1" applyNumberFormat="1">
      <alignment horizontal="center" vertical="top"/>
    </xf>
    <xf borderId="12" fillId="9" fontId="17" numFmtId="0" xfId="0" applyAlignment="1" applyBorder="1" applyFont="1">
      <alignment horizontal="left" vertical="top"/>
    </xf>
    <xf borderId="11" fillId="0" fontId="17" numFmtId="164" xfId="0" applyAlignment="1" applyBorder="1" applyFont="1" applyNumberFormat="1">
      <alignment horizontal="center" vertical="top"/>
    </xf>
    <xf borderId="13" fillId="9" fontId="17" numFmtId="0" xfId="0" applyAlignment="1" applyBorder="1" applyFont="1">
      <alignment horizontal="center" vertical="center"/>
    </xf>
    <xf borderId="0" fillId="16" fontId="17" numFmtId="0" xfId="0" applyAlignment="1" applyFill="1" applyFont="1">
      <alignment horizontal="center" vertical="top"/>
    </xf>
    <xf borderId="11" fillId="16" fontId="17" numFmtId="164" xfId="0" applyAlignment="1" applyBorder="1" applyFont="1" applyNumberFormat="1">
      <alignment horizontal="center" vertical="top"/>
    </xf>
    <xf borderId="13" fillId="9" fontId="5" numFmtId="0" xfId="0" applyAlignment="1" applyBorder="1" applyFont="1">
      <alignment horizontal="center" vertical="center"/>
    </xf>
    <xf borderId="11" fillId="17" fontId="9" numFmtId="0" xfId="0" applyAlignment="1" applyBorder="1" applyFill="1" applyFont="1">
      <alignment horizontal="center" vertical="top"/>
    </xf>
    <xf borderId="11" fillId="17" fontId="10" numFmtId="0" xfId="0" applyAlignment="1" applyBorder="1" applyFont="1">
      <alignment horizontal="center" vertical="top"/>
    </xf>
    <xf borderId="11" fillId="17" fontId="3" numFmtId="0" xfId="0" applyAlignment="1" applyBorder="1" applyFont="1">
      <alignment horizontal="center" shrinkToFit="0" vertical="top" wrapText="1"/>
    </xf>
    <xf borderId="11" fillId="17" fontId="17" numFmtId="0" xfId="0" applyAlignment="1" applyBorder="1" applyFont="1">
      <alignment horizontal="left" vertical="top"/>
    </xf>
    <xf borderId="0" fillId="18" fontId="17" numFmtId="0" xfId="0" applyAlignment="1" applyFill="1" applyFont="1">
      <alignment horizontal="center" vertical="top"/>
    </xf>
    <xf borderId="11" fillId="18" fontId="26" numFmtId="164" xfId="0" applyAlignment="1" applyBorder="1" applyFont="1" applyNumberFormat="1">
      <alignment horizontal="center" vertical="top"/>
    </xf>
    <xf borderId="13" fillId="9" fontId="6" numFmtId="0" xfId="0" applyAlignment="1" applyBorder="1" applyFont="1">
      <alignment horizontal="center" vertical="center"/>
    </xf>
    <xf borderId="11" fillId="19" fontId="5" numFmtId="0" xfId="0" applyAlignment="1" applyBorder="1" applyFill="1" applyFont="1">
      <alignment horizontal="center" vertical="top"/>
    </xf>
    <xf borderId="11" fillId="19" fontId="17" numFmtId="0" xfId="0" applyAlignment="1" applyBorder="1" applyFont="1">
      <alignment horizontal="left" vertical="top"/>
    </xf>
    <xf borderId="11" fillId="19" fontId="27" numFmtId="0" xfId="0" applyAlignment="1" applyBorder="1" applyFont="1">
      <alignment horizontal="center" vertical="top"/>
    </xf>
    <xf borderId="11" fillId="19" fontId="17" numFmtId="0" xfId="0" applyAlignment="1" applyBorder="1" applyFont="1">
      <alignment horizontal="center" vertical="top"/>
    </xf>
    <xf borderId="11" fillId="0" fontId="17" numFmtId="0" xfId="0" applyAlignment="1" applyBorder="1" applyFont="1">
      <alignment horizontal="center" vertical="top"/>
    </xf>
    <xf borderId="0" fillId="20" fontId="17" numFmtId="0" xfId="0" applyAlignment="1" applyFill="1" applyFont="1">
      <alignment horizontal="center" vertical="top"/>
    </xf>
    <xf borderId="11" fillId="20" fontId="26" numFmtId="164" xfId="0" applyAlignment="1" applyBorder="1" applyFont="1" applyNumberFormat="1">
      <alignment horizontal="center" vertical="top"/>
    </xf>
    <xf borderId="0" fillId="15" fontId="17" numFmtId="0" xfId="0" applyAlignment="1" applyFont="1">
      <alignment horizontal="center" vertical="top"/>
    </xf>
    <xf borderId="11" fillId="15" fontId="26" numFmtId="164" xfId="0" applyAlignment="1" applyBorder="1" applyFont="1" applyNumberFormat="1">
      <alignment horizontal="center" vertical="top"/>
    </xf>
    <xf borderId="0" fillId="21" fontId="17" numFmtId="0" xfId="0" applyAlignment="1" applyFill="1" applyFont="1">
      <alignment horizontal="center" vertical="top"/>
    </xf>
    <xf borderId="11" fillId="21" fontId="26" numFmtId="164" xfId="0" applyAlignment="1" applyBorder="1" applyFont="1" applyNumberFormat="1">
      <alignment horizontal="center" vertical="top"/>
    </xf>
    <xf borderId="0" fillId="22" fontId="17" numFmtId="0" xfId="0" applyAlignment="1" applyFill="1" applyFont="1">
      <alignment horizontal="center" vertical="top"/>
    </xf>
    <xf borderId="11" fillId="22" fontId="26" numFmtId="164" xfId="0" applyAlignment="1" applyBorder="1" applyFont="1" applyNumberFormat="1">
      <alignment horizontal="center" vertical="top"/>
    </xf>
    <xf borderId="14" fillId="9" fontId="6" numFmtId="0" xfId="0" applyAlignment="1" applyBorder="1" applyFont="1">
      <alignment horizontal="center" vertical="center"/>
    </xf>
    <xf borderId="15" fillId="23" fontId="28" numFmtId="0" xfId="0" applyAlignment="1" applyBorder="1" applyFill="1" applyFont="1">
      <alignment horizontal="center" vertical="top"/>
    </xf>
    <xf borderId="15" fillId="23" fontId="17" numFmtId="0" xfId="0" applyAlignment="1" applyBorder="1" applyFont="1">
      <alignment horizontal="left" vertical="top"/>
    </xf>
    <xf borderId="15" fillId="21" fontId="28" numFmtId="0" xfId="0" applyAlignment="1" applyBorder="1" applyFont="1">
      <alignment horizontal="center" vertical="top"/>
    </xf>
    <xf borderId="15" fillId="21" fontId="17" numFmtId="0" xfId="0" applyAlignment="1" applyBorder="1" applyFont="1">
      <alignment horizontal="left" vertical="top"/>
    </xf>
    <xf borderId="16" fillId="21" fontId="17" numFmtId="0" xfId="0" applyAlignment="1" applyBorder="1" applyFont="1">
      <alignment horizontal="left" vertical="top"/>
    </xf>
    <xf borderId="17" fillId="21" fontId="17" numFmtId="0" xfId="0" applyAlignment="1" applyBorder="1" applyFont="1">
      <alignment horizontal="left" vertical="top"/>
    </xf>
    <xf borderId="13" fillId="21" fontId="17" numFmtId="0" xfId="0" applyAlignment="1" applyBorder="1" applyFont="1">
      <alignment horizontal="left" vertical="top"/>
    </xf>
    <xf borderId="0" fillId="24" fontId="17" numFmtId="0" xfId="0" applyAlignment="1" applyFill="1" applyFont="1">
      <alignment horizontal="center" vertical="top"/>
    </xf>
    <xf borderId="13" fillId="24" fontId="26" numFmtId="164" xfId="0" applyAlignment="1" applyBorder="1" applyFont="1" applyNumberFormat="1">
      <alignment horizontal="center" vertical="top"/>
    </xf>
    <xf borderId="11" fillId="24" fontId="26" numFmtId="164" xfId="0" applyAlignment="1" applyBorder="1" applyFont="1" applyNumberFormat="1">
      <alignment horizontal="center" vertical="top"/>
    </xf>
    <xf borderId="14" fillId="0" fontId="6" numFmtId="0" xfId="0" applyAlignment="1" applyBorder="1" applyFont="1">
      <alignment horizontal="center" vertical="center"/>
    </xf>
    <xf borderId="15" fillId="23" fontId="29" numFmtId="0" xfId="0" applyAlignment="1" applyBorder="1" applyFont="1">
      <alignment horizontal="center" vertical="top"/>
    </xf>
    <xf borderId="15" fillId="18" fontId="29" numFmtId="0" xfId="0" applyAlignment="1" applyBorder="1" applyFont="1">
      <alignment horizontal="center" vertical="top"/>
    </xf>
    <xf borderId="15" fillId="20" fontId="29" numFmtId="0" xfId="0" applyAlignment="1" applyBorder="1" applyFont="1">
      <alignment horizontal="center" vertical="top"/>
    </xf>
    <xf borderId="16" fillId="20" fontId="30" numFmtId="0" xfId="0" applyAlignment="1" applyBorder="1" applyFont="1">
      <alignment horizontal="center" vertical="top"/>
    </xf>
    <xf borderId="18" fillId="20" fontId="30" numFmtId="0" xfId="0" applyAlignment="1" applyBorder="1" applyFont="1">
      <alignment horizontal="center" vertical="top"/>
    </xf>
    <xf borderId="15" fillId="20" fontId="31" numFmtId="0" xfId="0" applyAlignment="1" applyBorder="1" applyFont="1">
      <alignment horizontal="center" vertical="top"/>
    </xf>
    <xf borderId="15" fillId="25" fontId="17" numFmtId="0" xfId="0" applyAlignment="1" applyBorder="1" applyFill="1" applyFont="1">
      <alignment horizontal="left" vertical="top"/>
    </xf>
    <xf borderId="15" fillId="20" fontId="17" numFmtId="0" xfId="0" applyAlignment="1" applyBorder="1" applyFont="1">
      <alignment horizontal="left" vertical="top"/>
    </xf>
    <xf borderId="16" fillId="20" fontId="17" numFmtId="0" xfId="0" applyAlignment="1" applyBorder="1" applyFont="1">
      <alignment horizontal="left" vertical="top"/>
    </xf>
    <xf borderId="19" fillId="20" fontId="17" numFmtId="0" xfId="0" applyAlignment="1" applyBorder="1" applyFont="1">
      <alignment horizontal="left" vertical="top"/>
    </xf>
    <xf borderId="20" fillId="20" fontId="17" numFmtId="0" xfId="0" applyAlignment="1" applyBorder="1" applyFont="1">
      <alignment horizontal="left" vertical="top"/>
    </xf>
    <xf borderId="21" fillId="0" fontId="21" numFmtId="164" xfId="0" applyAlignment="1" applyBorder="1" applyFont="1" applyNumberFormat="1">
      <alignment horizontal="center" vertical="center"/>
    </xf>
    <xf borderId="15" fillId="9" fontId="17" numFmtId="0" xfId="0" applyAlignment="1" applyBorder="1" applyFont="1">
      <alignment horizontal="left" vertical="top"/>
    </xf>
    <xf borderId="15" fillId="21" fontId="32" numFmtId="0" xfId="0" applyAlignment="1" applyBorder="1" applyFont="1">
      <alignment horizontal="center" vertical="top"/>
    </xf>
    <xf borderId="18" fillId="9" fontId="17" numFmtId="0" xfId="0" applyAlignment="1" applyBorder="1" applyFont="1">
      <alignment horizontal="left" vertical="top"/>
    </xf>
    <xf borderId="17" fillId="9" fontId="17" numFmtId="0" xfId="0" applyAlignment="1" applyBorder="1" applyFont="1">
      <alignment horizontal="left" vertical="top"/>
    </xf>
    <xf borderId="20" fillId="9" fontId="17" numFmtId="0" xfId="0" applyAlignment="1" applyBorder="1" applyFont="1">
      <alignment horizontal="left" vertical="top"/>
    </xf>
    <xf borderId="14" fillId="9" fontId="5" numFmtId="0" xfId="0" applyAlignment="1" applyBorder="1" applyFont="1">
      <alignment horizontal="center" vertical="center"/>
    </xf>
    <xf borderId="15" fillId="18" fontId="17" numFmtId="0" xfId="0" applyAlignment="1" applyBorder="1" applyFont="1">
      <alignment horizontal="left" vertical="top"/>
    </xf>
    <xf borderId="15" fillId="18" fontId="33" numFmtId="0" xfId="0" applyAlignment="1" applyBorder="1" applyFont="1">
      <alignment horizontal="center" vertical="top"/>
    </xf>
    <xf borderId="15" fillId="15" fontId="33" numFmtId="0" xfId="0" applyAlignment="1" applyBorder="1" applyFont="1">
      <alignment horizontal="center" vertical="top"/>
    </xf>
    <xf borderId="14" fillId="9" fontId="17" numFmtId="0" xfId="0" applyAlignment="1" applyBorder="1" applyFont="1">
      <alignment horizontal="left" vertical="top"/>
    </xf>
    <xf borderId="22" fillId="9" fontId="17" numFmtId="0" xfId="0" applyAlignment="1" applyBorder="1" applyFont="1">
      <alignment horizontal="left" vertical="top"/>
    </xf>
    <xf borderId="23" fillId="9" fontId="17" numFmtId="0" xfId="0" applyAlignment="1" applyBorder="1" applyFont="1">
      <alignment horizontal="left" vertical="top"/>
    </xf>
    <xf borderId="15" fillId="18" fontId="34" numFmtId="0" xfId="0" applyAlignment="1" applyBorder="1" applyFont="1">
      <alignment horizontal="center" vertical="top"/>
    </xf>
    <xf borderId="19" fillId="9" fontId="17" numFmtId="0" xfId="0" applyAlignment="1" applyBorder="1" applyFont="1">
      <alignment horizontal="left" vertical="top"/>
    </xf>
    <xf borderId="15" fillId="23" fontId="34" numFmtId="0" xfId="0" applyAlignment="1" applyBorder="1" applyFont="1">
      <alignment horizontal="center" vertical="top"/>
    </xf>
    <xf borderId="18" fillId="23" fontId="17" numFmtId="0" xfId="0" applyAlignment="1" applyBorder="1" applyFont="1">
      <alignment horizontal="left" vertical="top"/>
    </xf>
    <xf borderId="17" fillId="23" fontId="17" numFmtId="0" xfId="0" applyAlignment="1" applyBorder="1" applyFont="1">
      <alignment horizontal="left" vertical="top"/>
    </xf>
    <xf borderId="20" fillId="23" fontId="17" numFmtId="0" xfId="0" applyAlignment="1" applyBorder="1" applyFont="1">
      <alignment horizontal="left" vertical="top"/>
    </xf>
    <xf borderId="15" fillId="16" fontId="35" numFmtId="0" xfId="0" applyAlignment="1" applyBorder="1" applyFont="1">
      <alignment horizontal="center" vertical="top"/>
    </xf>
    <xf borderId="15" fillId="16" fontId="17" numFmtId="0" xfId="0" applyAlignment="1" applyBorder="1" applyFont="1">
      <alignment horizontal="left" vertical="top"/>
    </xf>
    <xf borderId="15" fillId="15" fontId="35" numFmtId="0" xfId="0" applyAlignment="1" applyBorder="1" applyFont="1">
      <alignment horizontal="center" vertical="top"/>
    </xf>
    <xf borderId="14" fillId="21" fontId="32" numFmtId="0" xfId="0" applyAlignment="1" applyBorder="1" applyFont="1">
      <alignment horizontal="center" vertical="top"/>
    </xf>
    <xf borderId="15" fillId="25" fontId="32" numFmtId="0" xfId="0" applyAlignment="1" applyBorder="1" applyFont="1">
      <alignment horizontal="center" vertical="top"/>
    </xf>
    <xf borderId="16" fillId="9" fontId="17" numFmtId="0" xfId="0" applyAlignment="1" applyBorder="1" applyFont="1">
      <alignment horizontal="left" vertical="top"/>
    </xf>
    <xf borderId="15" fillId="16" fontId="36" numFmtId="0" xfId="0" applyAlignment="1" applyBorder="1" applyFont="1">
      <alignment horizontal="center" vertical="top"/>
    </xf>
    <xf borderId="14" fillId="16" fontId="36" numFmtId="0" xfId="0" applyAlignment="1" applyBorder="1" applyFont="1">
      <alignment horizontal="center" vertical="top"/>
    </xf>
    <xf borderId="24" fillId="16" fontId="17" numFmtId="0" xfId="0" applyAlignment="1" applyBorder="1" applyFont="1">
      <alignment horizontal="left" vertical="top"/>
    </xf>
    <xf borderId="11" fillId="16" fontId="17" numFmtId="0" xfId="0" applyAlignment="1" applyBorder="1" applyFont="1">
      <alignment horizontal="left" vertical="top"/>
    </xf>
    <xf borderId="14" fillId="9" fontId="37" numFmtId="0" xfId="0" applyAlignment="1" applyBorder="1" applyFont="1">
      <alignment horizontal="center" vertical="center"/>
    </xf>
    <xf borderId="14" fillId="16" fontId="17" numFmtId="0" xfId="0" applyAlignment="1" applyBorder="1" applyFont="1">
      <alignment horizontal="left" vertical="top"/>
    </xf>
    <xf borderId="14" fillId="23" fontId="38" numFmtId="0" xfId="0" applyAlignment="1" applyBorder="1" applyFont="1">
      <alignment horizontal="center" vertical="top"/>
    </xf>
    <xf borderId="14" fillId="23" fontId="17" numFmtId="0" xfId="0" applyAlignment="1" applyBorder="1" applyFont="1">
      <alignment horizontal="left" vertical="top"/>
    </xf>
    <xf borderId="14" fillId="21" fontId="38" numFmtId="0" xfId="0" applyAlignment="1" applyBorder="1" applyFont="1">
      <alignment horizontal="center" vertical="top"/>
    </xf>
    <xf borderId="16" fillId="21" fontId="38" numFmtId="0" xfId="0" applyAlignment="1" applyBorder="1" applyFont="1">
      <alignment horizontal="center" vertical="top"/>
    </xf>
    <xf borderId="17" fillId="21" fontId="38" numFmtId="0" xfId="0" applyAlignment="1" applyBorder="1" applyFont="1">
      <alignment horizontal="center" vertical="top"/>
    </xf>
    <xf borderId="14" fillId="25" fontId="38" numFmtId="0" xfId="0" applyAlignment="1" applyBorder="1" applyFont="1">
      <alignment horizontal="center" vertical="top"/>
    </xf>
    <xf borderId="14" fillId="24" fontId="38" numFmtId="0" xfId="0" applyAlignment="1" applyBorder="1" applyFont="1">
      <alignment horizontal="center" vertical="top"/>
    </xf>
    <xf borderId="14" fillId="24" fontId="17" numFmtId="0" xfId="0" applyAlignment="1" applyBorder="1" applyFont="1">
      <alignment horizontal="left" vertical="top"/>
    </xf>
    <xf borderId="16" fillId="24" fontId="17" numFmtId="0" xfId="0" applyAlignment="1" applyBorder="1" applyFont="1">
      <alignment horizontal="left" vertical="top"/>
    </xf>
    <xf borderId="17" fillId="24" fontId="17" numFmtId="0" xfId="0" applyAlignment="1" applyBorder="1" applyFont="1">
      <alignment horizontal="left" vertical="top"/>
    </xf>
    <xf borderId="13" fillId="24" fontId="17" numFmtId="0" xfId="0" applyAlignment="1" applyBorder="1" applyFont="1">
      <alignment horizontal="left" vertical="top"/>
    </xf>
    <xf borderId="0" fillId="12" fontId="17" numFmtId="164" xfId="0" applyAlignment="1" applyFont="1" applyNumberFormat="1">
      <alignment horizontal="center" vertical="top"/>
    </xf>
    <xf borderId="10" fillId="13" fontId="17" numFmtId="0" xfId="0" applyAlignment="1" applyBorder="1" applyFont="1">
      <alignment horizontal="left" vertical="bottom"/>
    </xf>
    <xf borderId="11" fillId="13" fontId="17" numFmtId="0" xfId="0" applyAlignment="1" applyBorder="1" applyFont="1">
      <alignment horizontal="left" vertical="bottom"/>
    </xf>
    <xf borderId="11" fillId="14" fontId="17" numFmtId="0" xfId="0" applyAlignment="1" applyBorder="1" applyFont="1">
      <alignment horizontal="left" vertical="bottom"/>
    </xf>
    <xf borderId="11" fillId="9" fontId="17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4" fillId="15" fontId="17" numFmtId="9" xfId="0" applyAlignment="1" applyBorder="1" applyFont="1" applyNumberFormat="1">
      <alignment horizontal="center" vertical="top"/>
    </xf>
    <xf borderId="4" fillId="15" fontId="25" numFmtId="0" xfId="0" applyAlignment="1" applyBorder="1" applyFont="1">
      <alignment horizontal="center" vertical="top"/>
    </xf>
    <xf borderId="25" fillId="16" fontId="17" numFmtId="0" xfId="0" applyAlignment="1" applyBorder="1" applyFont="1">
      <alignment horizontal="center" vertical="top"/>
    </xf>
    <xf borderId="2" fillId="0" fontId="39" numFmtId="0" xfId="0" applyAlignment="1" applyBorder="1" applyFont="1">
      <alignment horizontal="left" vertical="top"/>
    </xf>
    <xf borderId="9" fillId="0" fontId="39" numFmtId="0" xfId="0" applyAlignment="1" applyBorder="1" applyFont="1">
      <alignment horizontal="left" vertical="top"/>
    </xf>
    <xf borderId="4" fillId="16" fontId="17" numFmtId="164" xfId="0" applyAlignment="1" applyBorder="1" applyFont="1" applyNumberFormat="1">
      <alignment horizontal="center" vertical="top"/>
    </xf>
    <xf borderId="11" fillId="17" fontId="9" numFmtId="0" xfId="0" applyAlignment="1" applyBorder="1" applyFont="1">
      <alignment horizontal="center" vertical="center"/>
    </xf>
    <xf borderId="11" fillId="17" fontId="10" numFmtId="0" xfId="0" applyAlignment="1" applyBorder="1" applyFont="1">
      <alignment horizontal="center" vertical="center"/>
    </xf>
    <xf borderId="11" fillId="17" fontId="3" numFmtId="0" xfId="0" applyAlignment="1" applyBorder="1" applyFont="1">
      <alignment horizontal="center" shrinkToFit="0" vertical="center" wrapText="1"/>
    </xf>
    <xf borderId="11" fillId="17" fontId="17" numFmtId="0" xfId="0" applyAlignment="1" applyBorder="1" applyFont="1">
      <alignment horizontal="center" vertical="center"/>
    </xf>
    <xf borderId="25" fillId="18" fontId="17" numFmtId="0" xfId="0" applyAlignment="1" applyBorder="1" applyFont="1">
      <alignment horizontal="center" vertical="top"/>
    </xf>
    <xf borderId="4" fillId="18" fontId="26" numFmtId="164" xfId="0" applyAlignment="1" applyBorder="1" applyFont="1" applyNumberFormat="1">
      <alignment horizontal="center" vertical="top"/>
    </xf>
    <xf borderId="11" fillId="19" fontId="5" numFmtId="0" xfId="0" applyAlignment="1" applyBorder="1" applyFont="1">
      <alignment horizontal="center" vertical="center"/>
    </xf>
    <xf borderId="11" fillId="19" fontId="17" numFmtId="0" xfId="0" applyAlignment="1" applyBorder="1" applyFont="1">
      <alignment horizontal="center" vertical="center"/>
    </xf>
    <xf borderId="11" fillId="19" fontId="27" numFmtId="0" xfId="0" applyAlignment="1" applyBorder="1" applyFont="1">
      <alignment horizontal="center" vertical="center"/>
    </xf>
    <xf borderId="25" fillId="20" fontId="17" numFmtId="0" xfId="0" applyAlignment="1" applyBorder="1" applyFont="1">
      <alignment horizontal="center" vertical="top"/>
    </xf>
    <xf borderId="4" fillId="20" fontId="26" numFmtId="164" xfId="0" applyAlignment="1" applyBorder="1" applyFont="1" applyNumberFormat="1">
      <alignment horizontal="center" vertical="top"/>
    </xf>
    <xf borderId="0" fillId="9" fontId="5" numFmtId="0" xfId="0" applyAlignment="1" applyFont="1">
      <alignment horizontal="center" vertical="center"/>
    </xf>
    <xf borderId="25" fillId="15" fontId="17" numFmtId="0" xfId="0" applyAlignment="1" applyBorder="1" applyFont="1">
      <alignment horizontal="center" vertical="top"/>
    </xf>
    <xf borderId="4" fillId="15" fontId="26" numFmtId="164" xfId="0" applyAlignment="1" applyBorder="1" applyFont="1" applyNumberFormat="1">
      <alignment horizontal="center" vertical="top"/>
    </xf>
    <xf borderId="0" fillId="0" fontId="5" numFmtId="0" xfId="0" applyAlignment="1" applyFont="1">
      <alignment horizontal="center" vertical="center"/>
    </xf>
    <xf borderId="11" fillId="22" fontId="17" numFmtId="0" xfId="0" applyAlignment="1" applyBorder="1" applyFont="1">
      <alignment horizontal="center" vertical="center"/>
    </xf>
    <xf borderId="25" fillId="21" fontId="17" numFmtId="0" xfId="0" applyAlignment="1" applyBorder="1" applyFont="1">
      <alignment horizontal="center" vertical="top"/>
    </xf>
    <xf borderId="4" fillId="21" fontId="26" numFmtId="164" xfId="0" applyAlignment="1" applyBorder="1" applyFont="1" applyNumberFormat="1">
      <alignment horizontal="center" vertical="top"/>
    </xf>
    <xf borderId="11" fillId="21" fontId="17" numFmtId="0" xfId="0" applyAlignment="1" applyBorder="1" applyFont="1">
      <alignment horizontal="center" vertical="center"/>
    </xf>
    <xf borderId="11" fillId="25" fontId="40" numFmtId="0" xfId="0" applyAlignment="1" applyBorder="1" applyFont="1">
      <alignment horizontal="center" vertical="center"/>
    </xf>
    <xf borderId="11" fillId="25" fontId="41" numFmtId="0" xfId="0" applyAlignment="1" applyBorder="1" applyFont="1">
      <alignment horizontal="center" vertical="center"/>
    </xf>
    <xf borderId="11" fillId="16" fontId="17" numFmtId="0" xfId="0" applyAlignment="1" applyBorder="1" applyFont="1">
      <alignment horizontal="center" vertical="center"/>
    </xf>
    <xf borderId="25" fillId="22" fontId="17" numFmtId="0" xfId="0" applyAlignment="1" applyBorder="1" applyFont="1">
      <alignment horizontal="center" vertical="top"/>
    </xf>
    <xf borderId="4" fillId="22" fontId="26" numFmtId="164" xfId="0" applyAlignment="1" applyBorder="1" applyFont="1" applyNumberFormat="1">
      <alignment horizontal="center" vertical="top"/>
    </xf>
    <xf borderId="0" fillId="9" fontId="6" numFmtId="0" xfId="0" applyAlignment="1" applyFont="1">
      <alignment horizontal="center" vertical="center"/>
    </xf>
    <xf borderId="4" fillId="21" fontId="28" numFmtId="0" xfId="0" applyAlignment="1" applyBorder="1" applyFont="1">
      <alignment horizontal="center" vertical="center"/>
    </xf>
    <xf borderId="4" fillId="21" fontId="17" numFmtId="0" xfId="0" applyAlignment="1" applyBorder="1" applyFont="1">
      <alignment horizontal="center" vertical="center"/>
    </xf>
    <xf borderId="4" fillId="25" fontId="42" numFmtId="0" xfId="0" applyAlignment="1" applyBorder="1" applyFont="1">
      <alignment horizontal="center" vertical="center"/>
    </xf>
    <xf borderId="4" fillId="0" fontId="28" numFmtId="0" xfId="0" applyAlignment="1" applyBorder="1" applyFont="1">
      <alignment horizontal="center" vertical="center"/>
    </xf>
    <xf borderId="4" fillId="22" fontId="28" numFmtId="0" xfId="0" applyAlignment="1" applyBorder="1" applyFont="1">
      <alignment horizontal="center" vertical="center"/>
    </xf>
    <xf borderId="4" fillId="22" fontId="17" numFmtId="0" xfId="0" applyAlignment="1" applyBorder="1" applyFont="1">
      <alignment horizontal="center" vertical="center"/>
    </xf>
    <xf borderId="4" fillId="22" fontId="43" numFmtId="0" xfId="0" applyAlignment="1" applyBorder="1" applyFont="1">
      <alignment horizontal="center" vertical="center"/>
    </xf>
    <xf borderId="25" fillId="24" fontId="17" numFmtId="0" xfId="0" applyAlignment="1" applyBorder="1" applyFont="1">
      <alignment horizontal="center" vertical="top"/>
    </xf>
    <xf borderId="4" fillId="24" fontId="26" numFmtId="164" xfId="0" applyAlignment="1" applyBorder="1" applyFont="1" applyNumberFormat="1">
      <alignment horizontal="center" vertical="top"/>
    </xf>
    <xf borderId="0" fillId="0" fontId="6" numFmtId="0" xfId="0" applyAlignment="1" applyFont="1">
      <alignment horizontal="center" vertical="center"/>
    </xf>
    <xf borderId="4" fillId="20" fontId="44" numFmtId="0" xfId="0" applyAlignment="1" applyBorder="1" applyFont="1">
      <alignment horizontal="center" vertical="center"/>
    </xf>
    <xf borderId="4" fillId="25" fontId="29" numFmtId="0" xfId="0" applyAlignment="1" applyBorder="1" applyFont="1">
      <alignment horizontal="center" vertical="center"/>
    </xf>
    <xf borderId="4" fillId="20" fontId="45" numFmtId="0" xfId="0" applyAlignment="1" applyBorder="1" applyFont="1">
      <alignment horizontal="center" vertical="center"/>
    </xf>
    <xf borderId="4" fillId="25" fontId="31" numFmtId="0" xfId="0" applyAlignment="1" applyBorder="1" applyFont="1">
      <alignment horizontal="center" vertical="center"/>
    </xf>
    <xf borderId="4" fillId="20" fontId="46" numFmtId="0" xfId="0" applyAlignment="1" applyBorder="1" applyFont="1">
      <alignment horizontal="center" vertical="center"/>
    </xf>
    <xf borderId="4" fillId="20" fontId="17" numFmtId="0" xfId="0" applyAlignment="1" applyBorder="1" applyFont="1">
      <alignment horizontal="center" vertical="center"/>
    </xf>
    <xf borderId="26" fillId="0" fontId="21" numFmtId="164" xfId="0" applyAlignment="1" applyBorder="1" applyFont="1" applyNumberFormat="1">
      <alignment horizontal="center" vertical="center"/>
    </xf>
    <xf borderId="0" fillId="8" fontId="5" numFmtId="0" xfId="0" applyAlignment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4" fillId="24" fontId="17" numFmtId="0" xfId="0" applyAlignment="1" applyBorder="1" applyFont="1">
      <alignment horizontal="center" vertical="center"/>
    </xf>
    <xf borderId="4" fillId="25" fontId="40" numFmtId="0" xfId="0" applyAlignment="1" applyBorder="1" applyFont="1">
      <alignment horizontal="center" vertical="center"/>
    </xf>
    <xf borderId="4" fillId="0" fontId="32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top"/>
    </xf>
    <xf borderId="4" fillId="0" fontId="33" numFmtId="0" xfId="0" applyAlignment="1" applyBorder="1" applyFont="1">
      <alignment horizontal="center" vertical="center"/>
    </xf>
    <xf borderId="4" fillId="24" fontId="47" numFmtId="0" xfId="0" applyAlignment="1" applyBorder="1" applyFont="1">
      <alignment horizontal="center" vertical="center"/>
    </xf>
    <xf borderId="4" fillId="24" fontId="48" numFmtId="0" xfId="0" applyAlignment="1" applyBorder="1" applyFont="1">
      <alignment horizontal="center" vertical="center"/>
    </xf>
    <xf borderId="4" fillId="0" fontId="48" numFmtId="0" xfId="0" applyAlignment="1" applyBorder="1" applyFont="1">
      <alignment horizontal="center" vertical="center"/>
    </xf>
    <xf borderId="4" fillId="0" fontId="47" numFmtId="0" xfId="0" applyAlignment="1" applyBorder="1" applyFont="1">
      <alignment horizontal="center" vertical="center"/>
    </xf>
    <xf borderId="4" fillId="25" fontId="41" numFmtId="0" xfId="0" applyAlignment="1" applyBorder="1" applyFont="1">
      <alignment horizontal="center" vertical="center"/>
    </xf>
    <xf borderId="4" fillId="22" fontId="34" numFmtId="0" xfId="0" applyAlignment="1" applyBorder="1" applyFont="1">
      <alignment horizontal="center" vertical="center"/>
    </xf>
    <xf borderId="4" fillId="9" fontId="17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4" fillId="8" fontId="17" numFmtId="0" xfId="0" applyAlignment="1" applyBorder="1" applyFont="1">
      <alignment horizontal="center" vertical="center"/>
    </xf>
    <xf borderId="4" fillId="8" fontId="35" numFmtId="0" xfId="0" applyAlignment="1" applyBorder="1" applyFont="1">
      <alignment horizontal="center" vertical="center"/>
    </xf>
    <xf borderId="4" fillId="16" fontId="49" numFmtId="0" xfId="0" applyAlignment="1" applyBorder="1" applyFont="1">
      <alignment horizontal="center" vertical="center"/>
    </xf>
    <xf borderId="4" fillId="16" fontId="17" numFmtId="0" xfId="0" applyAlignment="1" applyBorder="1" applyFont="1">
      <alignment horizontal="center" vertical="center"/>
    </xf>
    <xf borderId="0" fillId="9" fontId="37" numFmtId="0" xfId="0" applyAlignment="1" applyFont="1">
      <alignment horizontal="center" vertical="center"/>
    </xf>
    <xf borderId="4" fillId="24" fontId="50" numFmtId="0" xfId="0" applyAlignment="1" applyBorder="1" applyFont="1">
      <alignment horizontal="center" vertical="center"/>
    </xf>
    <xf borderId="4" fillId="24" fontId="38" numFmtId="0" xfId="0" applyAlignment="1" applyBorder="1" applyFont="1">
      <alignment horizontal="center" vertical="center"/>
    </xf>
    <xf borderId="4" fillId="21" fontId="38" numFmtId="0" xfId="0" applyAlignment="1" applyBorder="1" applyFont="1">
      <alignment horizontal="center" vertical="center"/>
    </xf>
    <xf borderId="4" fillId="0" fontId="38" numFmtId="0" xfId="0" applyAlignment="1" applyBorder="1" applyFont="1">
      <alignment horizontal="center" vertical="center"/>
    </xf>
    <xf borderId="4" fillId="0" fontId="50" numFmtId="0" xfId="0" applyAlignment="1" applyBorder="1" applyFont="1">
      <alignment horizontal="center" vertical="center"/>
    </xf>
    <xf borderId="0" fillId="25" fontId="51" numFmtId="0" xfId="0" applyAlignment="1" applyFont="1">
      <alignment horizontal="center" vertical="center"/>
    </xf>
    <xf borderId="12" fillId="0" fontId="37" numFmtId="0" xfId="0" applyAlignment="1" applyBorder="1" applyFont="1">
      <alignment horizontal="center" vertical="center"/>
    </xf>
    <xf borderId="25" fillId="16" fontId="17" numFmtId="164" xfId="0" applyAlignment="1" applyBorder="1" applyFont="1" applyNumberFormat="1">
      <alignment horizontal="center" vertical="top"/>
    </xf>
    <xf borderId="27" fillId="26" fontId="52" numFmtId="164" xfId="0" applyAlignment="1" applyBorder="1" applyFill="1" applyFont="1" applyNumberFormat="1">
      <alignment horizontal="center" vertical="center"/>
    </xf>
    <xf borderId="0" fillId="0" fontId="37" numFmtId="0" xfId="0" applyAlignment="1" applyFont="1">
      <alignment horizontal="center" vertical="center"/>
    </xf>
    <xf borderId="11" fillId="11" fontId="17" numFmtId="0" xfId="0" applyAlignment="1" applyBorder="1" applyFont="1">
      <alignment horizontal="center" vertical="center"/>
    </xf>
    <xf borderId="25" fillId="27" fontId="17" numFmtId="0" xfId="0" applyAlignment="1" applyBorder="1" applyFill="1" applyFont="1">
      <alignment horizontal="center" vertical="top"/>
    </xf>
    <xf borderId="4" fillId="27" fontId="17" numFmtId="164" xfId="0" applyAlignment="1" applyBorder="1" applyFont="1" applyNumberFormat="1">
      <alignment horizontal="center" vertical="top"/>
    </xf>
    <xf borderId="25" fillId="27" fontId="17" numFmtId="164" xfId="0" applyAlignment="1" applyBorder="1" applyFont="1" applyNumberFormat="1">
      <alignment horizontal="center" vertical="top"/>
    </xf>
    <xf borderId="28" fillId="26" fontId="52" numFmtId="164" xfId="0" applyAlignment="1" applyBorder="1" applyFont="1" applyNumberFormat="1">
      <alignment horizontal="center" vertical="center"/>
    </xf>
    <xf borderId="25" fillId="20" fontId="26" numFmtId="164" xfId="0" applyAlignment="1" applyBorder="1" applyFont="1" applyNumberFormat="1">
      <alignment horizontal="center" vertical="top"/>
    </xf>
    <xf borderId="29" fillId="26" fontId="52" numFmtId="164" xfId="0" applyAlignment="1" applyBorder="1" applyFont="1" applyNumberFormat="1">
      <alignment horizontal="center" vertical="center"/>
    </xf>
    <xf borderId="4" fillId="28" fontId="53" numFmtId="0" xfId="0" applyAlignment="1" applyBorder="1" applyFill="1" applyFont="1">
      <alignment horizontal="center" vertical="center"/>
    </xf>
    <xf borderId="4" fillId="28" fontId="54" numFmtId="0" xfId="0" applyAlignment="1" applyBorder="1" applyFont="1">
      <alignment horizontal="center" vertical="center"/>
    </xf>
    <xf borderId="4" fillId="25" fontId="54" numFmtId="0" xfId="0" applyAlignment="1" applyBorder="1" applyFont="1">
      <alignment horizontal="center" vertical="center"/>
    </xf>
    <xf borderId="4" fillId="11" fontId="53" numFmtId="0" xfId="0" applyAlignment="1" applyBorder="1" applyFont="1">
      <alignment horizontal="center" vertical="center"/>
    </xf>
    <xf borderId="4" fillId="0" fontId="53" numFmtId="0" xfId="0" applyAlignment="1" applyBorder="1" applyFont="1">
      <alignment horizontal="center" vertical="center"/>
    </xf>
    <xf borderId="25" fillId="28" fontId="17" numFmtId="0" xfId="0" applyAlignment="1" applyBorder="1" applyFont="1">
      <alignment horizontal="center" vertical="top"/>
    </xf>
    <xf borderId="4" fillId="28" fontId="26" numFmtId="164" xfId="0" applyAlignment="1" applyBorder="1" applyFont="1" applyNumberFormat="1">
      <alignment horizontal="center" vertical="top"/>
    </xf>
    <xf borderId="25" fillId="28" fontId="26" numFmtId="164" xfId="0" applyAlignment="1" applyBorder="1" applyFont="1" applyNumberFormat="1">
      <alignment horizontal="center" vertical="top"/>
    </xf>
    <xf borderId="30" fillId="26" fontId="52" numFmtId="164" xfId="0" applyAlignment="1" applyBorder="1" applyFont="1" applyNumberFormat="1">
      <alignment horizontal="center" vertical="center"/>
    </xf>
    <xf borderId="25" fillId="21" fontId="26" numFmtId="164" xfId="0" applyAlignment="1" applyBorder="1" applyFont="1" applyNumberFormat="1">
      <alignment horizontal="center" vertical="top"/>
    </xf>
    <xf borderId="31" fillId="26" fontId="52" numFmtId="164" xfId="0" applyAlignment="1" applyBorder="1" applyFont="1" applyNumberFormat="1">
      <alignment horizontal="center" vertical="center"/>
    </xf>
    <xf borderId="25" fillId="22" fontId="26" numFmtId="164" xfId="0" applyAlignment="1" applyBorder="1" applyFont="1" applyNumberFormat="1">
      <alignment horizontal="center" vertical="top"/>
    </xf>
    <xf borderId="32" fillId="26" fontId="52" numFmtId="164" xfId="0" applyAlignment="1" applyBorder="1" applyFont="1" applyNumberFormat="1">
      <alignment horizontal="center" vertical="center"/>
    </xf>
    <xf borderId="25" fillId="11" fontId="17" numFmtId="0" xfId="0" applyAlignment="1" applyBorder="1" applyFont="1">
      <alignment horizontal="center" vertical="top"/>
    </xf>
    <xf borderId="4" fillId="11" fontId="48" numFmtId="164" xfId="0" applyAlignment="1" applyBorder="1" applyFont="1" applyNumberFormat="1">
      <alignment horizontal="center" vertical="top"/>
    </xf>
    <xf borderId="25" fillId="11" fontId="48" numFmtId="164" xfId="0" applyAlignment="1" applyBorder="1" applyFont="1" applyNumberFormat="1">
      <alignment horizontal="center" vertical="top"/>
    </xf>
    <xf borderId="33" fillId="26" fontId="52" numFmtId="164" xfId="0" applyAlignment="1" applyBorder="1" applyFont="1" applyNumberFormat="1">
      <alignment horizontal="center" vertical="center"/>
    </xf>
    <xf borderId="11" fillId="16" fontId="40" numFmtId="0" xfId="0" applyAlignment="1" applyBorder="1" applyFont="1">
      <alignment horizontal="center" vertical="center"/>
    </xf>
    <xf borderId="11" fillId="16" fontId="48" numFmtId="0" xfId="0" applyAlignment="1" applyBorder="1" applyFont="1">
      <alignment horizontal="center" vertical="center"/>
    </xf>
    <xf borderId="25" fillId="29" fontId="17" numFmtId="0" xfId="0" applyAlignment="1" applyBorder="1" applyFill="1" applyFont="1">
      <alignment horizontal="center" vertical="top"/>
    </xf>
    <xf borderId="4" fillId="29" fontId="48" numFmtId="164" xfId="0" applyAlignment="1" applyBorder="1" applyFont="1" applyNumberFormat="1">
      <alignment horizontal="center" vertical="top"/>
    </xf>
    <xf borderId="25" fillId="29" fontId="48" numFmtId="164" xfId="0" applyAlignment="1" applyBorder="1" applyFont="1" applyNumberFormat="1">
      <alignment horizontal="center" vertical="top"/>
    </xf>
    <xf borderId="34" fillId="26" fontId="52" numFmtId="164" xfId="0" applyAlignment="1" applyBorder="1" applyFont="1" applyNumberFormat="1">
      <alignment horizontal="center" vertical="center"/>
    </xf>
    <xf borderId="4" fillId="22" fontId="42" numFmtId="0" xfId="0" applyAlignment="1" applyBorder="1" applyFont="1">
      <alignment horizontal="center" vertical="center"/>
    </xf>
    <xf borderId="4" fillId="27" fontId="28" numFmtId="0" xfId="0" applyAlignment="1" applyBorder="1" applyFont="1">
      <alignment horizontal="center" vertical="center"/>
    </xf>
    <xf borderId="4" fillId="22" fontId="47" numFmtId="0" xfId="0" applyAlignment="1" applyBorder="1" applyFont="1">
      <alignment horizontal="center" vertical="center"/>
    </xf>
    <xf borderId="4" fillId="22" fontId="48" numFmtId="0" xfId="0" applyAlignment="1" applyBorder="1" applyFont="1">
      <alignment horizontal="center" vertical="center"/>
    </xf>
    <xf borderId="13" fillId="9" fontId="23" numFmtId="164" xfId="0" applyAlignment="1" applyBorder="1" applyFont="1" applyNumberFormat="1">
      <alignment horizontal="center" shrinkToFit="0" vertical="center" wrapText="1"/>
    </xf>
    <xf borderId="0" fillId="9" fontId="55" numFmtId="0" xfId="0" applyAlignment="1" applyFont="1">
      <alignment horizontal="center" vertical="center"/>
    </xf>
    <xf borderId="4" fillId="0" fontId="44" numFmtId="0" xfId="0" applyAlignment="1" applyBorder="1" applyFont="1">
      <alignment horizontal="center" vertical="center"/>
    </xf>
    <xf borderId="4" fillId="0" fontId="45" numFmtId="0" xfId="0" applyAlignment="1" applyBorder="1" applyFont="1">
      <alignment horizontal="center" vertical="center"/>
    </xf>
    <xf borderId="4" fillId="0" fontId="31" numFmtId="0" xfId="0" applyAlignment="1" applyBorder="1" applyFont="1">
      <alignment horizontal="center" vertical="center"/>
    </xf>
    <xf borderId="4" fillId="0" fontId="46" numFmtId="0" xfId="0" applyAlignment="1" applyBorder="1" applyFont="1">
      <alignment horizontal="center" vertical="center"/>
    </xf>
    <xf borderId="4" fillId="27" fontId="44" numFmtId="0" xfId="0" applyAlignment="1" applyBorder="1" applyFont="1">
      <alignment horizontal="center" vertical="center"/>
    </xf>
    <xf borderId="11" fillId="0" fontId="39" numFmtId="0" xfId="0" applyAlignment="1" applyBorder="1" applyFont="1">
      <alignment horizontal="left" vertical="top"/>
    </xf>
    <xf borderId="4" fillId="25" fontId="45" numFmtId="0" xfId="0" applyAlignment="1" applyBorder="1" applyFont="1">
      <alignment horizontal="center" vertical="center"/>
    </xf>
    <xf borderId="4" fillId="0" fontId="40" numFmtId="0" xfId="0" applyAlignment="1" applyBorder="1" applyFont="1">
      <alignment horizontal="center" vertical="center"/>
    </xf>
    <xf borderId="4" fillId="27" fontId="17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7" fillId="0" fontId="33" numFmtId="0" xfId="0" applyAlignment="1" applyBorder="1" applyFont="1">
      <alignment horizontal="center" vertical="center"/>
    </xf>
    <xf borderId="7" fillId="22" fontId="17" numFmtId="0" xfId="0" applyAlignment="1" applyBorder="1" applyFont="1">
      <alignment horizontal="center" vertical="center"/>
    </xf>
    <xf borderId="7" fillId="0" fontId="47" numFmtId="0" xfId="0" applyAlignment="1" applyBorder="1" applyFont="1">
      <alignment horizontal="center" vertical="center"/>
    </xf>
    <xf borderId="7" fillId="0" fontId="48" numFmtId="0" xfId="0" applyAlignment="1" applyBorder="1" applyFont="1">
      <alignment horizontal="center" vertical="center"/>
    </xf>
    <xf borderId="7" fillId="11" fontId="48" numFmtId="0" xfId="0" applyAlignment="1" applyBorder="1" applyFont="1">
      <alignment horizontal="center" vertical="center"/>
    </xf>
    <xf borderId="35" fillId="0" fontId="56" numFmtId="0" xfId="0" applyAlignment="1" applyBorder="1" applyFont="1">
      <alignment horizontal="center" vertical="center"/>
    </xf>
    <xf borderId="36" fillId="0" fontId="17" numFmtId="0" xfId="0" applyAlignment="1" applyBorder="1" applyFont="1">
      <alignment horizontal="center" vertical="center"/>
    </xf>
    <xf borderId="36" fillId="0" fontId="33" numFmtId="0" xfId="0" applyAlignment="1" applyBorder="1" applyFont="1">
      <alignment horizontal="center" vertical="center"/>
    </xf>
    <xf borderId="36" fillId="22" fontId="17" numFmtId="0" xfId="0" applyAlignment="1" applyBorder="1" applyFont="1">
      <alignment horizontal="center" vertical="center"/>
    </xf>
    <xf borderId="36" fillId="22" fontId="47" numFmtId="0" xfId="0" applyAlignment="1" applyBorder="1" applyFont="1">
      <alignment horizontal="center" vertical="center"/>
    </xf>
    <xf borderId="36" fillId="22" fontId="48" numFmtId="0" xfId="0" applyAlignment="1" applyBorder="1" applyFont="1">
      <alignment horizontal="center" vertical="center"/>
    </xf>
    <xf borderId="37" fillId="22" fontId="48" numFmtId="0" xfId="0" applyAlignment="1" applyBorder="1" applyFont="1">
      <alignment horizontal="center" vertical="center"/>
    </xf>
    <xf borderId="38" fillId="0" fontId="57" numFmtId="0" xfId="0" applyAlignment="1" applyBorder="1" applyFont="1">
      <alignment horizontal="center" vertical="center"/>
    </xf>
    <xf borderId="7" fillId="21" fontId="17" numFmtId="0" xfId="0" applyAlignment="1" applyBorder="1" applyFont="1">
      <alignment horizontal="center" vertical="center"/>
    </xf>
    <xf borderId="7" fillId="21" fontId="47" numFmtId="0" xfId="0" applyAlignment="1" applyBorder="1" applyFont="1">
      <alignment horizontal="center" vertical="center"/>
    </xf>
    <xf borderId="7" fillId="25" fontId="40" numFmtId="0" xfId="0" applyAlignment="1" applyBorder="1" applyFont="1">
      <alignment horizontal="center" vertical="center"/>
    </xf>
    <xf borderId="7" fillId="25" fontId="48" numFmtId="0" xfId="0" applyAlignment="1" applyBorder="1" applyFont="1">
      <alignment horizontal="center" vertical="center"/>
    </xf>
    <xf borderId="7" fillId="21" fontId="48" numFmtId="0" xfId="0" applyAlignment="1" applyBorder="1" applyFont="1">
      <alignment horizontal="center" vertical="center"/>
    </xf>
    <xf borderId="7" fillId="30" fontId="48" numFmtId="0" xfId="0" applyAlignment="1" applyBorder="1" applyFill="1" applyFont="1">
      <alignment horizontal="center" vertical="center"/>
    </xf>
    <xf borderId="39" fillId="21" fontId="48" numFmtId="0" xfId="0" applyAlignment="1" applyBorder="1" applyFont="1">
      <alignment horizontal="center" vertical="center"/>
    </xf>
    <xf borderId="13" fillId="0" fontId="39" numFmtId="0" xfId="0" applyAlignment="1" applyBorder="1" applyFont="1">
      <alignment horizontal="left" vertical="top"/>
    </xf>
    <xf borderId="40" fillId="0" fontId="58" numFmtId="0" xfId="0" applyAlignment="1" applyBorder="1" applyFont="1">
      <alignment horizontal="center" vertical="center"/>
    </xf>
    <xf borderId="41" fillId="0" fontId="59" numFmtId="0" xfId="0" applyAlignment="1" applyBorder="1" applyFont="1">
      <alignment horizontal="center" vertical="top"/>
    </xf>
    <xf borderId="42" fillId="0" fontId="59" numFmtId="0" xfId="0" applyAlignment="1" applyBorder="1" applyFont="1">
      <alignment horizontal="center" vertical="top"/>
    </xf>
    <xf borderId="43" fillId="0" fontId="5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10" fillId="0" fontId="34" numFmtId="0" xfId="0" applyAlignment="1" applyBorder="1" applyFont="1">
      <alignment horizontal="center" vertical="center"/>
    </xf>
    <xf borderId="10" fillId="22" fontId="17" numFmtId="0" xfId="0" applyAlignment="1" applyBorder="1" applyFont="1">
      <alignment horizontal="center" vertical="center"/>
    </xf>
    <xf borderId="10" fillId="22" fontId="34" numFmtId="0" xfId="0" applyAlignment="1" applyBorder="1" applyFont="1">
      <alignment horizontal="center" vertical="center"/>
    </xf>
    <xf borderId="44" fillId="22" fontId="17" numFmtId="0" xfId="0" applyAlignment="1" applyBorder="1" applyFont="1">
      <alignment horizontal="center" vertical="center"/>
    </xf>
    <xf borderId="4" fillId="27" fontId="34" numFmtId="0" xfId="0" applyAlignment="1" applyBorder="1" applyFont="1">
      <alignment horizontal="center" vertical="center"/>
    </xf>
    <xf borderId="45" fillId="27" fontId="17" numFmtId="0" xfId="0" applyAlignment="1" applyBorder="1" applyFont="1">
      <alignment horizontal="center" vertical="center"/>
    </xf>
    <xf borderId="46" fillId="0" fontId="5" numFmtId="0" xfId="0" applyAlignment="1" applyBorder="1" applyFont="1">
      <alignment horizontal="center" vertical="center"/>
    </xf>
    <xf borderId="47" fillId="0" fontId="17" numFmtId="0" xfId="0" applyAlignment="1" applyBorder="1" applyFont="1">
      <alignment horizontal="center" vertical="center"/>
    </xf>
    <xf borderId="47" fillId="0" fontId="35" numFmtId="0" xfId="0" applyAlignment="1" applyBorder="1" applyFont="1">
      <alignment horizontal="center" vertical="center"/>
    </xf>
    <xf borderId="47" fillId="0" fontId="48" numFmtId="0" xfId="0" applyAlignment="1" applyBorder="1" applyFont="1">
      <alignment horizontal="center" vertical="center"/>
    </xf>
    <xf borderId="48" fillId="0" fontId="48" numFmtId="0" xfId="0" applyAlignment="1" applyBorder="1" applyFont="1">
      <alignment horizontal="center" vertical="center"/>
    </xf>
    <xf borderId="10" fillId="0" fontId="35" numFmtId="0" xfId="0" applyAlignment="1" applyBorder="1" applyFont="1">
      <alignment horizontal="center" vertical="center"/>
    </xf>
    <xf borderId="10" fillId="29" fontId="48" numFmtId="0" xfId="0" applyAlignment="1" applyBorder="1" applyFont="1">
      <alignment horizontal="center" vertical="center"/>
    </xf>
    <xf borderId="4" fillId="16" fontId="47" numFmtId="0" xfId="0" applyAlignment="1" applyBorder="1" applyFont="1">
      <alignment horizontal="center" vertical="center"/>
    </xf>
    <xf borderId="4" fillId="29" fontId="47" numFmtId="0" xfId="0" applyAlignment="1" applyBorder="1" applyFont="1">
      <alignment horizontal="center" vertical="center"/>
    </xf>
    <xf borderId="4" fillId="29" fontId="48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shrinkToFit="0" vertical="top" wrapText="1"/>
    </xf>
    <xf borderId="13" fillId="0" fontId="3" numFmtId="0" xfId="0" applyAlignment="1" applyBorder="1" applyFont="1">
      <alignment horizontal="center" shrinkToFit="0" vertical="top" wrapText="1"/>
    </xf>
    <xf borderId="13" fillId="0" fontId="1" numFmtId="0" xfId="0" applyAlignment="1" applyBorder="1" applyFont="1">
      <alignment horizontal="center" shrinkToFit="0" vertical="top" wrapText="1"/>
    </xf>
    <xf borderId="13" fillId="9" fontId="3" numFmtId="0" xfId="0" applyAlignment="1" applyBorder="1" applyFont="1">
      <alignment horizontal="center" shrinkToFit="0" vertical="top" wrapText="1"/>
    </xf>
    <xf borderId="13" fillId="0" fontId="3" numFmtId="0" xfId="0" applyAlignment="1" applyBorder="1" applyFont="1">
      <alignment horizontal="center" vertical="top"/>
    </xf>
    <xf borderId="25" fillId="31" fontId="17" numFmtId="0" xfId="0" applyAlignment="1" applyBorder="1" applyFill="1" applyFont="1">
      <alignment horizontal="center" vertical="center"/>
    </xf>
    <xf borderId="4" fillId="31" fontId="17" numFmtId="164" xfId="0" applyAlignment="1" applyBorder="1" applyFont="1" applyNumberFormat="1">
      <alignment horizontal="center" vertical="top"/>
    </xf>
    <xf borderId="25" fillId="31" fontId="17" numFmtId="164" xfId="0" applyAlignment="1" applyBorder="1" applyFont="1" applyNumberFormat="1">
      <alignment horizontal="center" vertical="top"/>
    </xf>
    <xf borderId="50" fillId="25" fontId="17" numFmtId="0" xfId="0" applyAlignment="1" applyBorder="1" applyFont="1">
      <alignment horizontal="left" vertical="top"/>
    </xf>
    <xf borderId="51" fillId="9" fontId="5" numFmtId="0" xfId="0" applyAlignment="1" applyBorder="1" applyFont="1">
      <alignment horizontal="center" vertical="center"/>
    </xf>
    <xf borderId="52" fillId="0" fontId="37" numFmtId="0" xfId="0" applyAlignment="1" applyBorder="1" applyFont="1">
      <alignment horizontal="center" vertical="center"/>
    </xf>
    <xf borderId="52" fillId="9" fontId="17" numFmtId="0" xfId="0" applyAlignment="1" applyBorder="1" applyFont="1">
      <alignment horizontal="center" vertical="center"/>
    </xf>
    <xf borderId="53" fillId="9" fontId="17" numFmtId="0" xfId="0" applyAlignment="1" applyBorder="1" applyFont="1">
      <alignment horizontal="center" vertical="center"/>
    </xf>
    <xf borderId="53" fillId="22" fontId="17" numFmtId="0" xfId="0" applyAlignment="1" applyBorder="1" applyFont="1">
      <alignment horizontal="center" vertical="center"/>
    </xf>
    <xf borderId="54" fillId="22" fontId="17" numFmtId="0" xfId="0" applyAlignment="1" applyBorder="1" applyFont="1">
      <alignment horizontal="center" vertical="center"/>
    </xf>
    <xf borderId="55" fillId="9" fontId="5" numFmtId="0" xfId="0" applyAlignment="1" applyBorder="1" applyFont="1">
      <alignment horizontal="center" vertical="center"/>
    </xf>
    <xf borderId="4" fillId="11" fontId="60" numFmtId="0" xfId="0" applyAlignment="1" applyBorder="1" applyFont="1">
      <alignment horizontal="center" vertical="center"/>
    </xf>
    <xf borderId="4" fillId="11" fontId="17" numFmtId="0" xfId="0" applyAlignment="1" applyBorder="1" applyFont="1">
      <alignment horizontal="center" vertical="center"/>
    </xf>
    <xf borderId="11" fillId="25" fontId="17" numFmtId="0" xfId="0" applyAlignment="1" applyBorder="1" applyFont="1">
      <alignment horizontal="center" vertical="center"/>
    </xf>
    <xf borderId="56" fillId="11" fontId="17" numFmtId="0" xfId="0" applyAlignment="1" applyBorder="1" applyFont="1">
      <alignment horizontal="center" vertical="center"/>
    </xf>
    <xf borderId="57" fillId="0" fontId="5" numFmtId="4" xfId="0" applyAlignment="1" applyBorder="1" applyFont="1" applyNumberFormat="1">
      <alignment horizontal="left" vertical="top"/>
    </xf>
    <xf borderId="58" fillId="0" fontId="58" numFmtId="0" xfId="0" applyAlignment="1" applyBorder="1" applyFont="1">
      <alignment horizontal="center" vertical="center"/>
    </xf>
    <xf borderId="59" fillId="9" fontId="17" numFmtId="0" xfId="0" applyAlignment="1" applyBorder="1" applyFont="1">
      <alignment horizontal="center" vertical="center"/>
    </xf>
    <xf borderId="60" fillId="9" fontId="17" numFmtId="0" xfId="0" applyAlignment="1" applyBorder="1" applyFont="1">
      <alignment horizontal="center" vertical="center"/>
    </xf>
    <xf borderId="10" fillId="9" fontId="17" numFmtId="0" xfId="0" applyAlignment="1" applyBorder="1" applyFont="1">
      <alignment horizontal="center" vertical="center"/>
    </xf>
    <xf borderId="11" fillId="31" fontId="17" numFmtId="0" xfId="0" applyAlignment="1" applyBorder="1" applyFont="1">
      <alignment horizontal="center" vertical="center"/>
    </xf>
    <xf borderId="0" fillId="0" fontId="5" numFmtId="4" xfId="0" applyAlignment="1" applyFont="1" applyNumberFormat="1">
      <alignment horizontal="left" vertical="top"/>
    </xf>
    <xf borderId="11" fillId="29" fontId="9" numFmtId="0" xfId="0" applyAlignment="1" applyBorder="1" applyFont="1">
      <alignment horizontal="center" vertical="center"/>
    </xf>
    <xf borderId="11" fillId="25" fontId="61" numFmtId="0" xfId="0" applyAlignment="1" applyBorder="1" applyFont="1">
      <alignment horizontal="center" vertical="center"/>
    </xf>
    <xf borderId="11" fillId="29" fontId="3" numFmtId="0" xfId="0" applyAlignment="1" applyBorder="1" applyFont="1">
      <alignment horizontal="center" shrinkToFit="0" vertical="center" wrapText="1"/>
    </xf>
    <xf borderId="11" fillId="29" fontId="17" numFmtId="0" xfId="0" applyAlignment="1" applyBorder="1" applyFont="1">
      <alignment horizontal="center" vertical="center"/>
    </xf>
    <xf borderId="4" fillId="19" fontId="62" numFmtId="0" xfId="0" applyAlignment="1" applyBorder="1" applyFont="1">
      <alignment horizontal="center" vertical="center"/>
    </xf>
    <xf borderId="11" fillId="28" fontId="17" numFmtId="0" xfId="0" applyAlignment="1" applyBorder="1" applyFont="1">
      <alignment horizontal="center" vertical="center"/>
    </xf>
    <xf borderId="4" fillId="28" fontId="17" numFmtId="0" xfId="0" applyAlignment="1" applyBorder="1" applyFont="1">
      <alignment horizontal="center" vertical="center"/>
    </xf>
    <xf borderId="7" fillId="0" fontId="37" numFmtId="0" xfId="0" applyAlignment="1" applyBorder="1" applyFont="1">
      <alignment horizontal="center" vertical="center"/>
    </xf>
    <xf borderId="13" fillId="31" fontId="17" numFmtId="0" xfId="0" applyAlignment="1" applyBorder="1" applyFont="1">
      <alignment horizontal="center" vertical="center"/>
    </xf>
    <xf borderId="13" fillId="25" fontId="40" numFmtId="0" xfId="0" applyAlignment="1" applyBorder="1" applyFont="1">
      <alignment horizontal="center" vertical="center"/>
    </xf>
    <xf borderId="61" fillId="9" fontId="5" numFmtId="0" xfId="0" applyAlignment="1" applyBorder="1" applyFont="1">
      <alignment horizontal="center" vertical="center"/>
    </xf>
    <xf borderId="62" fillId="16" fontId="17" numFmtId="0" xfId="0" applyAlignment="1" applyBorder="1" applyFont="1">
      <alignment horizontal="center" vertical="center"/>
    </xf>
    <xf borderId="63" fillId="16" fontId="17" numFmtId="0" xfId="0" applyAlignment="1" applyBorder="1" applyFont="1">
      <alignment horizontal="center" vertical="center"/>
    </xf>
    <xf borderId="63" fillId="16" fontId="48" numFmtId="0" xfId="0" applyAlignment="1" applyBorder="1" applyFont="1">
      <alignment horizontal="center" vertical="center"/>
    </xf>
    <xf borderId="63" fillId="32" fontId="17" numFmtId="0" xfId="0" applyAlignment="1" applyBorder="1" applyFill="1" applyFont="1">
      <alignment horizontal="center" vertical="center"/>
    </xf>
    <xf borderId="63" fillId="22" fontId="17" numFmtId="0" xfId="0" applyAlignment="1" applyBorder="1" applyFont="1">
      <alignment horizontal="center" vertical="center"/>
    </xf>
    <xf borderId="63" fillId="22" fontId="48" numFmtId="0" xfId="0" applyAlignment="1" applyBorder="1" applyFont="1">
      <alignment horizontal="center" vertical="center"/>
    </xf>
    <xf borderId="64" fillId="22" fontId="48" numFmtId="0" xfId="0" applyAlignment="1" applyBorder="1" applyFont="1">
      <alignment horizontal="center" vertical="center"/>
    </xf>
    <xf borderId="25" fillId="33" fontId="17" numFmtId="0" xfId="0" applyAlignment="1" applyBorder="1" applyFill="1" applyFont="1">
      <alignment horizontal="center" vertical="top"/>
    </xf>
    <xf borderId="4" fillId="33" fontId="48" numFmtId="164" xfId="0" applyAlignment="1" applyBorder="1" applyFont="1" applyNumberFormat="1">
      <alignment horizontal="center" vertical="top"/>
    </xf>
    <xf borderId="25" fillId="33" fontId="48" numFmtId="164" xfId="0" applyAlignment="1" applyBorder="1" applyFont="1" applyNumberFormat="1">
      <alignment horizontal="center" vertical="top"/>
    </xf>
    <xf borderId="65" fillId="26" fontId="52" numFmtId="164" xfId="0" applyAlignment="1" applyBorder="1" applyFont="1" applyNumberFormat="1">
      <alignment horizontal="center" vertical="center"/>
    </xf>
    <xf borderId="66" fillId="9" fontId="5" numFmtId="0" xfId="0" applyAlignment="1" applyBorder="1" applyFont="1">
      <alignment horizontal="center" vertical="center"/>
    </xf>
    <xf borderId="49" fillId="32" fontId="17" numFmtId="0" xfId="0" applyAlignment="1" applyBorder="1" applyFont="1">
      <alignment horizontal="center" vertical="center"/>
    </xf>
    <xf borderId="13" fillId="32" fontId="17" numFmtId="0" xfId="0" applyAlignment="1" applyBorder="1" applyFont="1">
      <alignment horizontal="center" vertical="center"/>
    </xf>
    <xf borderId="13" fillId="32" fontId="48" numFmtId="0" xfId="0" applyAlignment="1" applyBorder="1" applyFont="1">
      <alignment horizontal="center" vertical="center"/>
    </xf>
    <xf borderId="13" fillId="11" fontId="17" numFmtId="0" xfId="0" applyAlignment="1" applyBorder="1" applyFont="1">
      <alignment horizontal="center" vertical="center"/>
    </xf>
    <xf borderId="13" fillId="11" fontId="48" numFmtId="0" xfId="0" applyAlignment="1" applyBorder="1" applyFont="1">
      <alignment horizontal="center" vertical="center"/>
    </xf>
    <xf borderId="13" fillId="16" fontId="48" numFmtId="0" xfId="0" applyAlignment="1" applyBorder="1" applyFont="1">
      <alignment horizontal="center" vertical="center"/>
    </xf>
    <xf borderId="67" fillId="16" fontId="48" numFmtId="0" xfId="0" applyAlignment="1" applyBorder="1" applyFont="1">
      <alignment horizontal="center" vertical="center"/>
    </xf>
    <xf borderId="68" fillId="9" fontId="5" numFmtId="0" xfId="0" applyAlignment="1" applyBorder="1" applyFont="1">
      <alignment horizontal="center" vertical="center"/>
    </xf>
    <xf borderId="69" fillId="0" fontId="17" numFmtId="0" xfId="0" applyAlignment="1" applyBorder="1" applyFont="1">
      <alignment horizontal="center" vertical="center"/>
    </xf>
    <xf borderId="70" fillId="0" fontId="17" numFmtId="0" xfId="0" applyAlignment="1" applyBorder="1" applyFont="1">
      <alignment horizontal="center" vertical="center"/>
    </xf>
    <xf borderId="71" fillId="32" fontId="6" numFmtId="0" xfId="0" applyAlignment="1" applyBorder="1" applyFont="1">
      <alignment horizontal="center" vertical="center"/>
    </xf>
    <xf borderId="10" fillId="22" fontId="28" numFmtId="0" xfId="0" applyAlignment="1" applyBorder="1" applyFont="1">
      <alignment horizontal="center" vertical="center"/>
    </xf>
    <xf borderId="10" fillId="22" fontId="47" numFmtId="0" xfId="0" applyAlignment="1" applyBorder="1" applyFont="1">
      <alignment horizontal="center" vertical="center"/>
    </xf>
    <xf borderId="10" fillId="22" fontId="48" numFmtId="0" xfId="0" applyAlignment="1" applyBorder="1" applyFont="1">
      <alignment horizontal="center" vertical="center"/>
    </xf>
    <xf borderId="72" fillId="22" fontId="48" numFmtId="0" xfId="0" applyAlignment="1" applyBorder="1" applyFont="1">
      <alignment horizontal="center" vertical="center"/>
    </xf>
    <xf borderId="71" fillId="32" fontId="55" numFmtId="0" xfId="0" applyAlignment="1" applyBorder="1" applyFont="1">
      <alignment horizontal="center" vertical="center"/>
    </xf>
    <xf borderId="4" fillId="32" fontId="44" numFmtId="0" xfId="0" applyAlignment="1" applyBorder="1" applyFont="1">
      <alignment horizontal="center" vertical="center"/>
    </xf>
    <xf borderId="4" fillId="21" fontId="44" numFmtId="0" xfId="0" applyAlignment="1" applyBorder="1" applyFont="1">
      <alignment horizontal="center" vertical="center"/>
    </xf>
    <xf borderId="4" fillId="34" fontId="44" numFmtId="0" xfId="0" applyAlignment="1" applyBorder="1" applyFill="1" applyFont="1">
      <alignment horizontal="center" vertical="center"/>
    </xf>
    <xf borderId="4" fillId="25" fontId="63" numFmtId="0" xfId="0" applyAlignment="1" applyBorder="1" applyFont="1">
      <alignment horizontal="center" vertical="center"/>
    </xf>
    <xf borderId="4" fillId="34" fontId="64" numFmtId="0" xfId="0" applyAlignment="1" applyBorder="1" applyFont="1">
      <alignment horizontal="center" vertical="center"/>
    </xf>
    <xf borderId="4" fillId="25" fontId="44" numFmtId="0" xfId="0" applyAlignment="1" applyBorder="1" applyFont="1">
      <alignment horizontal="center" vertical="center"/>
    </xf>
    <xf borderId="4" fillId="34" fontId="17" numFmtId="0" xfId="0" applyAlignment="1" applyBorder="1" applyFont="1">
      <alignment horizontal="center" vertical="center"/>
    </xf>
    <xf borderId="73" fillId="34" fontId="17" numFmtId="0" xfId="0" applyAlignment="1" applyBorder="1" applyFont="1">
      <alignment horizontal="center" vertical="center"/>
    </xf>
    <xf borderId="74" fillId="0" fontId="58" numFmtId="0" xfId="0" applyAlignment="1" applyBorder="1" applyFont="1">
      <alignment horizontal="center" vertical="center"/>
    </xf>
    <xf borderId="75" fillId="0" fontId="44" numFmtId="0" xfId="0" applyAlignment="1" applyBorder="1" applyFont="1">
      <alignment horizontal="center" vertical="center"/>
    </xf>
    <xf borderId="76" fillId="0" fontId="44" numFmtId="0" xfId="0" applyAlignment="1" applyBorder="1" applyFont="1">
      <alignment horizontal="center" vertical="center"/>
    </xf>
    <xf borderId="10" fillId="20" fontId="44" numFmtId="0" xfId="0" applyAlignment="1" applyBorder="1" applyFont="1">
      <alignment horizontal="center" vertical="center"/>
    </xf>
    <xf borderId="10" fillId="20" fontId="64" numFmtId="0" xfId="0" applyAlignment="1" applyBorder="1" applyFont="1">
      <alignment horizontal="center" vertical="center"/>
    </xf>
    <xf borderId="10" fillId="25" fontId="63" numFmtId="0" xfId="0" applyAlignment="1" applyBorder="1" applyFont="1">
      <alignment horizontal="center" vertical="center"/>
    </xf>
    <xf borderId="10" fillId="20" fontId="17" numFmtId="0" xfId="0" applyAlignment="1" applyBorder="1" applyFont="1">
      <alignment horizontal="center" vertical="center"/>
    </xf>
    <xf borderId="7" fillId="31" fontId="17" numFmtId="0" xfId="0" applyAlignment="1" applyBorder="1" applyFont="1">
      <alignment horizontal="center" vertical="center"/>
    </xf>
    <xf borderId="7" fillId="31" fontId="47" numFmtId="0" xfId="0" applyAlignment="1" applyBorder="1" applyFont="1">
      <alignment horizontal="center" vertical="center"/>
    </xf>
    <xf borderId="7" fillId="16" fontId="17" numFmtId="0" xfId="0" applyAlignment="1" applyBorder="1" applyFont="1">
      <alignment horizontal="center" vertical="center"/>
    </xf>
    <xf borderId="7" fillId="28" fontId="48" numFmtId="0" xfId="0" applyAlignment="1" applyBorder="1" applyFont="1">
      <alignment horizontal="center" vertical="center"/>
    </xf>
    <xf borderId="7" fillId="28" fontId="47" numFmtId="0" xfId="0" applyAlignment="1" applyBorder="1" applyFont="1">
      <alignment horizontal="center" vertical="center"/>
    </xf>
    <xf borderId="0" fillId="0" fontId="17" numFmtId="9" xfId="0" applyAlignment="1" applyFont="1" applyNumberFormat="1">
      <alignment horizontal="center" vertical="top"/>
    </xf>
    <xf borderId="35" fillId="32" fontId="56" numFmtId="0" xfId="0" applyAlignment="1" applyBorder="1" applyFont="1">
      <alignment horizontal="center" vertical="center"/>
    </xf>
    <xf borderId="0" fillId="9" fontId="65" numFmtId="0" xfId="0" applyAlignment="1" applyFont="1">
      <alignment horizontal="left" vertical="top"/>
    </xf>
    <xf borderId="0" fillId="9" fontId="66" numFmtId="0" xfId="0" applyAlignment="1" applyFont="1">
      <alignment horizontal="left" vertical="top"/>
    </xf>
    <xf borderId="38" fillId="32" fontId="57" numFmtId="0" xfId="0" applyAlignment="1" applyBorder="1" applyFont="1">
      <alignment horizontal="center" vertical="center"/>
    </xf>
    <xf borderId="7" fillId="25" fontId="42" numFmtId="0" xfId="0" applyAlignment="1" applyBorder="1" applyFont="1">
      <alignment horizontal="center" vertical="center"/>
    </xf>
    <xf borderId="7" fillId="34" fontId="48" numFmtId="0" xfId="0" applyAlignment="1" applyBorder="1" applyFont="1">
      <alignment horizontal="center" vertical="center"/>
    </xf>
    <xf borderId="7" fillId="34" fontId="17" numFmtId="0" xfId="0" applyAlignment="1" applyBorder="1" applyFont="1">
      <alignment horizontal="center" vertical="center"/>
    </xf>
    <xf borderId="7" fillId="34" fontId="47" numFmtId="0" xfId="0" applyAlignment="1" applyBorder="1" applyFont="1">
      <alignment horizontal="center" vertical="center"/>
    </xf>
    <xf borderId="43" fillId="32" fontId="5" numFmtId="0" xfId="0" applyAlignment="1" applyBorder="1" applyFont="1">
      <alignment horizontal="center" vertical="center"/>
    </xf>
    <xf borderId="48" fillId="0" fontId="17" numFmtId="0" xfId="0" applyAlignment="1" applyBorder="1" applyFont="1">
      <alignment horizontal="center" vertical="center"/>
    </xf>
    <xf borderId="10" fillId="29" fontId="17" numFmtId="0" xfId="0" applyAlignment="1" applyBorder="1" applyFont="1">
      <alignment horizontal="center" vertical="center"/>
    </xf>
    <xf borderId="10" fillId="29" fontId="67" numFmtId="0" xfId="0" applyAlignment="1" applyBorder="1" applyFont="1">
      <alignment horizontal="center" vertical="center"/>
    </xf>
    <xf borderId="10" fillId="0" fontId="48" numFmtId="0" xfId="0" applyAlignment="1" applyBorder="1" applyFont="1">
      <alignment horizontal="center" vertical="center"/>
    </xf>
    <xf borderId="10" fillId="28" fontId="48" numFmtId="0" xfId="0" applyAlignment="1" applyBorder="1" applyFont="1">
      <alignment horizontal="center" vertical="center"/>
    </xf>
    <xf borderId="10" fillId="33" fontId="48" numFmtId="0" xfId="0" applyAlignment="1" applyBorder="1" applyFont="1">
      <alignment horizontal="center" vertical="center"/>
    </xf>
    <xf borderId="57" fillId="9" fontId="5" numFmtId="0" xfId="0" applyAlignment="1" applyBorder="1" applyFont="1">
      <alignment horizontal="left" vertical="top"/>
    </xf>
    <xf borderId="4" fillId="31" fontId="47" numFmtId="0" xfId="0" applyAlignment="1" applyBorder="1" applyFont="1">
      <alignment horizontal="center" vertical="center"/>
    </xf>
    <xf borderId="4" fillId="31" fontId="48" numFmtId="0" xfId="0" applyAlignment="1" applyBorder="1" applyFont="1">
      <alignment horizontal="center" vertical="center"/>
    </xf>
    <xf borderId="4" fillId="32" fontId="48" numFmtId="0" xfId="0" applyAlignment="1" applyBorder="1" applyFont="1">
      <alignment horizontal="center" vertical="center"/>
    </xf>
    <xf borderId="4" fillId="32" fontId="47" numFmtId="0" xfId="0" applyAlignment="1" applyBorder="1" applyFont="1">
      <alignment horizontal="center" vertical="center"/>
    </xf>
    <xf borderId="4" fillId="34" fontId="48" numFmtId="0" xfId="0" applyAlignment="1" applyBorder="1" applyFont="1">
      <alignment horizontal="center" vertical="center"/>
    </xf>
    <xf borderId="4" fillId="33" fontId="47" numFmtId="0" xfId="0" applyAlignment="1" applyBorder="1" applyFont="1">
      <alignment horizontal="center" vertical="center"/>
    </xf>
    <xf borderId="10" fillId="13" fontId="68" numFmtId="0" xfId="0" applyAlignment="1" applyBorder="1" applyFont="1">
      <alignment horizontal="left" vertical="bottom"/>
    </xf>
    <xf borderId="51" fillId="32" fontId="5" numFmtId="0" xfId="0" applyAlignment="1" applyBorder="1" applyFont="1">
      <alignment horizontal="center" vertical="center"/>
    </xf>
    <xf borderId="52" fillId="22" fontId="37" numFmtId="4" xfId="0" applyAlignment="1" applyBorder="1" applyFont="1" applyNumberFormat="1">
      <alignment horizontal="center" vertical="center"/>
    </xf>
    <xf borderId="52" fillId="22" fontId="17" numFmtId="4" xfId="0" applyAlignment="1" applyBorder="1" applyFont="1" applyNumberFormat="1">
      <alignment horizontal="center" vertical="center"/>
    </xf>
    <xf borderId="53" fillId="22" fontId="17" numFmtId="4" xfId="0" applyAlignment="1" applyBorder="1" applyFont="1" applyNumberFormat="1">
      <alignment horizontal="center" vertical="center"/>
    </xf>
    <xf borderId="54" fillId="22" fontId="17" numFmtId="4" xfId="0" applyAlignment="1" applyBorder="1" applyFont="1" applyNumberFormat="1">
      <alignment horizontal="center" vertical="center"/>
    </xf>
    <xf borderId="0" fillId="9" fontId="23" numFmtId="164" xfId="0" applyAlignment="1" applyFont="1" applyNumberFormat="1">
      <alignment horizontal="center" shrinkToFit="0" vertical="center" wrapText="1"/>
    </xf>
    <xf borderId="77" fillId="0" fontId="5" numFmtId="0" xfId="0" applyAlignment="1" applyBorder="1" applyFont="1">
      <alignment horizontal="left" vertical="center"/>
    </xf>
    <xf borderId="4" fillId="15" fontId="17" numFmtId="0" xfId="0" applyAlignment="1" applyBorder="1" applyFont="1">
      <alignment horizontal="center" vertical="center"/>
    </xf>
    <xf borderId="55" fillId="32" fontId="5" numFmtId="0" xfId="0" applyAlignment="1" applyBorder="1" applyFont="1">
      <alignment horizontal="center" vertical="center"/>
    </xf>
    <xf borderId="4" fillId="11" fontId="60" numFmtId="4" xfId="0" applyAlignment="1" applyBorder="1" applyFont="1" applyNumberFormat="1">
      <alignment horizontal="center" vertical="center"/>
    </xf>
    <xf borderId="4" fillId="11" fontId="17" numFmtId="4" xfId="0" applyAlignment="1" applyBorder="1" applyFont="1" applyNumberFormat="1">
      <alignment horizontal="center" vertical="center"/>
    </xf>
    <xf borderId="11" fillId="11" fontId="17" numFmtId="4" xfId="0" applyAlignment="1" applyBorder="1" applyFont="1" applyNumberFormat="1">
      <alignment horizontal="center" vertical="center"/>
    </xf>
    <xf borderId="11" fillId="29" fontId="17" numFmtId="4" xfId="0" applyAlignment="1" applyBorder="1" applyFont="1" applyNumberFormat="1">
      <alignment horizontal="center" vertical="center"/>
    </xf>
    <xf borderId="56" fillId="11" fontId="17" numFmtId="4" xfId="0" applyAlignment="1" applyBorder="1" applyFont="1" applyNumberFormat="1">
      <alignment horizontal="center" vertical="center"/>
    </xf>
    <xf borderId="77" fillId="0" fontId="39" numFmtId="0" xfId="0" applyAlignment="1" applyBorder="1" applyFont="1">
      <alignment horizontal="left" vertical="top"/>
    </xf>
    <xf borderId="4" fillId="31" fontId="17" numFmtId="165" xfId="0" applyAlignment="1" applyBorder="1" applyFont="1" applyNumberFormat="1">
      <alignment horizontal="center" vertical="top"/>
    </xf>
    <xf borderId="59" fillId="0" fontId="17" numFmtId="4" xfId="0" applyAlignment="1" applyBorder="1" applyFont="1" applyNumberFormat="1">
      <alignment horizontal="center" vertical="center"/>
    </xf>
    <xf borderId="12" fillId="0" fontId="39" numFmtId="0" xfId="0" applyAlignment="1" applyBorder="1" applyFont="1">
      <alignment horizontal="left" vertical="top"/>
    </xf>
    <xf borderId="4" fillId="16" fontId="48" numFmtId="165" xfId="0" applyAlignment="1" applyBorder="1" applyFont="1" applyNumberFormat="1">
      <alignment horizontal="center" vertical="top"/>
    </xf>
    <xf borderId="10" fillId="22" fontId="17" numFmtId="4" xfId="0" applyAlignment="1" applyBorder="1" applyFont="1" applyNumberFormat="1">
      <alignment horizontal="center" vertical="center"/>
    </xf>
    <xf borderId="11" fillId="22" fontId="17" numFmtId="4" xfId="0" applyAlignment="1" applyBorder="1" applyFont="1" applyNumberFormat="1">
      <alignment horizontal="center" vertical="center"/>
    </xf>
    <xf borderId="11" fillId="27" fontId="17" numFmtId="4" xfId="0" applyAlignment="1" applyBorder="1" applyFont="1" applyNumberFormat="1">
      <alignment horizontal="center" vertical="center"/>
    </xf>
    <xf borderId="11" fillId="22" fontId="40" numFmtId="4" xfId="0" applyAlignment="1" applyBorder="1" applyFont="1" applyNumberFormat="1">
      <alignment horizontal="center" vertical="center"/>
    </xf>
    <xf borderId="11" fillId="35" fontId="17" numFmtId="4" xfId="0" applyAlignment="1" applyBorder="1" applyFill="1" applyFont="1" applyNumberFormat="1">
      <alignment horizontal="center" vertical="center"/>
    </xf>
    <xf borderId="12" fillId="9" fontId="23" numFmtId="164" xfId="0" applyAlignment="1" applyBorder="1" applyFont="1" applyNumberFormat="1">
      <alignment horizontal="center" shrinkToFit="0" vertical="top" wrapText="1"/>
    </xf>
    <xf borderId="4" fillId="27" fontId="48" numFmtId="165" xfId="0" applyAlignment="1" applyBorder="1" applyFont="1" applyNumberFormat="1">
      <alignment horizontal="center" vertical="top"/>
    </xf>
    <xf borderId="11" fillId="29" fontId="9" numFmtId="4" xfId="0" applyAlignment="1" applyBorder="1" applyFont="1" applyNumberFormat="1">
      <alignment horizontal="center" vertical="center"/>
    </xf>
    <xf borderId="11" fillId="29" fontId="69" numFmtId="4" xfId="0" applyAlignment="1" applyBorder="1" applyFont="1" applyNumberFormat="1">
      <alignment horizontal="center" vertical="center"/>
    </xf>
    <xf borderId="11" fillId="29" fontId="3" numFmtId="4" xfId="0" applyAlignment="1" applyBorder="1" applyFont="1" applyNumberFormat="1">
      <alignment horizontal="center" shrinkToFit="0" vertical="center" wrapText="1"/>
    </xf>
    <xf borderId="4" fillId="29" fontId="48" numFmtId="4" xfId="0" applyAlignment="1" applyBorder="1" applyFont="1" applyNumberFormat="1">
      <alignment horizontal="center" vertical="center"/>
    </xf>
    <xf borderId="4" fillId="29" fontId="47" numFmtId="4" xfId="0" applyAlignment="1" applyBorder="1" applyFont="1" applyNumberFormat="1">
      <alignment horizontal="center" vertical="center"/>
    </xf>
    <xf borderId="4" fillId="29" fontId="42" numFmtId="4" xfId="0" applyAlignment="1" applyBorder="1" applyFont="1" applyNumberFormat="1">
      <alignment horizontal="center" vertical="center"/>
    </xf>
    <xf borderId="4" fillId="20" fontId="26" numFmtId="165" xfId="0" applyAlignment="1" applyBorder="1" applyFont="1" applyNumberFormat="1">
      <alignment horizontal="center" vertical="top"/>
    </xf>
    <xf borderId="25" fillId="20" fontId="17" numFmtId="164" xfId="0" applyAlignment="1" applyBorder="1" applyFont="1" applyNumberFormat="1">
      <alignment horizontal="center" vertical="top"/>
    </xf>
    <xf borderId="11" fillId="36" fontId="5" numFmtId="4" xfId="0" applyAlignment="1" applyBorder="1" applyFill="1" applyFont="1" applyNumberFormat="1">
      <alignment horizontal="center" vertical="center"/>
    </xf>
    <xf borderId="11" fillId="36" fontId="17" numFmtId="4" xfId="0" applyAlignment="1" applyBorder="1" applyFont="1" applyNumberFormat="1">
      <alignment horizontal="center" vertical="center"/>
    </xf>
    <xf borderId="11" fillId="36" fontId="27" numFmtId="4" xfId="0" applyAlignment="1" applyBorder="1" applyFont="1" applyNumberFormat="1">
      <alignment horizontal="center" vertical="center"/>
    </xf>
    <xf borderId="4" fillId="36" fontId="62" numFmtId="4" xfId="0" applyAlignment="1" applyBorder="1" applyFont="1" applyNumberFormat="1">
      <alignment horizontal="center" vertical="center"/>
    </xf>
    <xf borderId="77" fillId="0" fontId="6" numFmtId="0" xfId="0" applyAlignment="1" applyBorder="1" applyFont="1">
      <alignment horizontal="left" vertical="center"/>
    </xf>
    <xf borderId="4" fillId="28" fontId="48" numFmtId="165" xfId="0" applyAlignment="1" applyBorder="1" applyFont="1" applyNumberFormat="1">
      <alignment horizontal="center" vertical="top"/>
    </xf>
    <xf borderId="25" fillId="28" fontId="17" numFmtId="164" xfId="0" applyAlignment="1" applyBorder="1" applyFont="1" applyNumberFormat="1">
      <alignment horizontal="center" vertical="top"/>
    </xf>
    <xf borderId="4" fillId="0" fontId="17" numFmtId="4" xfId="0" applyAlignment="1" applyBorder="1" applyFont="1" applyNumberFormat="1">
      <alignment horizontal="center" vertical="center"/>
    </xf>
    <xf borderId="11" fillId="0" fontId="17" numFmtId="4" xfId="0" applyAlignment="1" applyBorder="1" applyFont="1" applyNumberFormat="1">
      <alignment horizontal="center" vertical="center"/>
    </xf>
    <xf borderId="11" fillId="16" fontId="17" numFmtId="4" xfId="0" applyAlignment="1" applyBorder="1" applyFont="1" applyNumberFormat="1">
      <alignment horizontal="center" vertical="center"/>
    </xf>
    <xf borderId="4" fillId="21" fontId="26" numFmtId="165" xfId="0" applyAlignment="1" applyBorder="1" applyFont="1" applyNumberFormat="1">
      <alignment horizontal="center" vertical="top"/>
    </xf>
    <xf borderId="25" fillId="21" fontId="17" numFmtId="164" xfId="0" applyAlignment="1" applyBorder="1" applyFont="1" applyNumberFormat="1">
      <alignment horizontal="center" vertical="top"/>
    </xf>
    <xf borderId="7" fillId="0" fontId="70" numFmtId="4" xfId="0" applyAlignment="1" applyBorder="1" applyFont="1" applyNumberFormat="1">
      <alignment horizontal="center" vertical="center"/>
    </xf>
    <xf borderId="7" fillId="0" fontId="71" numFmtId="4" xfId="0" applyAlignment="1" applyBorder="1" applyFont="1" applyNumberFormat="1">
      <alignment horizontal="center" vertical="center"/>
    </xf>
    <xf borderId="13" fillId="0" fontId="71" numFmtId="4" xfId="0" applyAlignment="1" applyBorder="1" applyFont="1" applyNumberFormat="1">
      <alignment horizontal="center" vertical="center"/>
    </xf>
    <xf borderId="13" fillId="22" fontId="71" numFmtId="4" xfId="0" applyAlignment="1" applyBorder="1" applyFont="1" applyNumberFormat="1">
      <alignment horizontal="center" vertical="center"/>
    </xf>
    <xf borderId="13" fillId="35" fontId="26" numFmtId="4" xfId="0" applyAlignment="1" applyBorder="1" applyFont="1" applyNumberFormat="1">
      <alignment horizontal="center" vertical="center"/>
    </xf>
    <xf borderId="13" fillId="35" fontId="71" numFmtId="4" xfId="0" applyAlignment="1" applyBorder="1" applyFont="1" applyNumberFormat="1">
      <alignment horizontal="center" vertical="center"/>
    </xf>
    <xf borderId="13" fillId="37" fontId="48" numFmtId="4" xfId="0" applyAlignment="1" applyBorder="1" applyFill="1" applyFont="1" applyNumberFormat="1">
      <alignment horizontal="center" vertical="center"/>
    </xf>
    <xf borderId="13" fillId="37" fontId="71" numFmtId="4" xfId="0" applyAlignment="1" applyBorder="1" applyFont="1" applyNumberFormat="1">
      <alignment horizontal="center" vertical="center"/>
    </xf>
    <xf borderId="4" fillId="22" fontId="26" numFmtId="165" xfId="0" applyAlignment="1" applyBorder="1" applyFont="1" applyNumberFormat="1">
      <alignment horizontal="center" vertical="top"/>
    </xf>
    <xf borderId="25" fillId="22" fontId="17" numFmtId="164" xfId="0" applyAlignment="1" applyBorder="1" applyFont="1" applyNumberFormat="1">
      <alignment horizontal="center" vertical="top"/>
    </xf>
    <xf borderId="62" fillId="22" fontId="17" numFmtId="4" xfId="0" applyAlignment="1" applyBorder="1" applyFont="1" applyNumberFormat="1">
      <alignment horizontal="center" vertical="center"/>
    </xf>
    <xf borderId="63" fillId="22" fontId="17" numFmtId="4" xfId="0" applyAlignment="1" applyBorder="1" applyFont="1" applyNumberFormat="1">
      <alignment horizontal="center" vertical="center"/>
    </xf>
    <xf borderId="63" fillId="22" fontId="48" numFmtId="4" xfId="0" applyAlignment="1" applyBorder="1" applyFont="1" applyNumberFormat="1">
      <alignment horizontal="center" vertical="center"/>
    </xf>
    <xf borderId="64" fillId="22" fontId="48" numFmtId="4" xfId="0" applyAlignment="1" applyBorder="1" applyFont="1" applyNumberFormat="1">
      <alignment horizontal="center" vertical="center"/>
    </xf>
    <xf borderId="4" fillId="11" fontId="48" numFmtId="165" xfId="0" applyAlignment="1" applyBorder="1" applyFont="1" applyNumberFormat="1">
      <alignment horizontal="center" vertical="top"/>
    </xf>
    <xf borderId="25" fillId="11" fontId="17" numFmtId="164" xfId="0" applyAlignment="1" applyBorder="1" applyFont="1" applyNumberFormat="1">
      <alignment horizontal="center" vertical="top"/>
    </xf>
    <xf borderId="49" fillId="16" fontId="17" numFmtId="4" xfId="0" applyAlignment="1" applyBorder="1" applyFont="1" applyNumberFormat="1">
      <alignment horizontal="center" vertical="center"/>
    </xf>
    <xf borderId="13" fillId="16" fontId="17" numFmtId="4" xfId="0" applyAlignment="1" applyBorder="1" applyFont="1" applyNumberFormat="1">
      <alignment horizontal="center" vertical="center"/>
    </xf>
    <xf borderId="13" fillId="16" fontId="48" numFmtId="4" xfId="0" applyAlignment="1" applyBorder="1" applyFont="1" applyNumberFormat="1">
      <alignment horizontal="center" vertical="center"/>
    </xf>
    <xf borderId="13" fillId="31" fontId="17" numFmtId="4" xfId="0" applyAlignment="1" applyBorder="1" applyFont="1" applyNumberFormat="1">
      <alignment horizontal="center" vertical="center"/>
    </xf>
    <xf borderId="13" fillId="31" fontId="48" numFmtId="4" xfId="0" applyAlignment="1" applyBorder="1" applyFont="1" applyNumberFormat="1">
      <alignment horizontal="center" vertical="center"/>
    </xf>
    <xf borderId="13" fillId="31" fontId="40" numFmtId="4" xfId="0" applyAlignment="1" applyBorder="1" applyFont="1" applyNumberFormat="1">
      <alignment horizontal="center" vertical="center"/>
    </xf>
    <xf borderId="67" fillId="31" fontId="48" numFmtId="4" xfId="0" applyAlignment="1" applyBorder="1" applyFont="1" applyNumberFormat="1">
      <alignment horizontal="center" vertical="center"/>
    </xf>
    <xf borderId="4" fillId="29" fontId="48" numFmtId="165" xfId="0" applyAlignment="1" applyBorder="1" applyFont="1" applyNumberFormat="1">
      <alignment horizontal="center" vertical="top"/>
    </xf>
    <xf borderId="25" fillId="29" fontId="17" numFmtId="164" xfId="0" applyAlignment="1" applyBorder="1" applyFont="1" applyNumberFormat="1">
      <alignment horizontal="center" vertical="top"/>
    </xf>
    <xf borderId="69" fillId="0" fontId="17" numFmtId="4" xfId="0" applyAlignment="1" applyBorder="1" applyFont="1" applyNumberFormat="1">
      <alignment horizontal="center" vertical="center"/>
    </xf>
    <xf borderId="4" fillId="33" fontId="48" numFmtId="165" xfId="0" applyAlignment="1" applyBorder="1" applyFont="1" applyNumberFormat="1">
      <alignment horizontal="center" vertical="top"/>
    </xf>
    <xf borderId="25" fillId="33" fontId="17" numFmtId="164" xfId="0" applyAlignment="1" applyBorder="1" applyFont="1" applyNumberFormat="1">
      <alignment horizontal="center" vertical="top"/>
    </xf>
    <xf borderId="10" fillId="22" fontId="28" numFmtId="4" xfId="0" applyAlignment="1" applyBorder="1" applyFont="1" applyNumberFormat="1">
      <alignment horizontal="center" vertical="center"/>
    </xf>
    <xf borderId="10" fillId="22" fontId="47" numFmtId="4" xfId="0" applyAlignment="1" applyBorder="1" applyFont="1" applyNumberFormat="1">
      <alignment horizontal="center" vertical="center"/>
    </xf>
    <xf borderId="10" fillId="22" fontId="48" numFmtId="4" xfId="0" applyAlignment="1" applyBorder="1" applyFont="1" applyNumberFormat="1">
      <alignment horizontal="center" vertical="center"/>
    </xf>
    <xf borderId="72" fillId="22" fontId="48" numFmtId="4" xfId="0" applyAlignment="1" applyBorder="1" applyFont="1" applyNumberFormat="1">
      <alignment horizontal="center" vertical="center"/>
    </xf>
    <xf borderId="26" fillId="0" fontId="21" numFmtId="165" xfId="0" applyAlignment="1" applyBorder="1" applyFont="1" applyNumberFormat="1">
      <alignment horizontal="center" vertical="center"/>
    </xf>
    <xf borderId="4" fillId="21" fontId="44" numFmtId="4" xfId="0" applyAlignment="1" applyBorder="1" applyFont="1" applyNumberFormat="1">
      <alignment horizontal="center" vertical="center"/>
    </xf>
    <xf borderId="4" fillId="33" fontId="44" numFmtId="4" xfId="0" applyAlignment="1" applyBorder="1" applyFont="1" applyNumberFormat="1">
      <alignment horizontal="center" vertical="center"/>
    </xf>
    <xf borderId="4" fillId="33" fontId="63" numFmtId="4" xfId="0" applyAlignment="1" applyBorder="1" applyFont="1" applyNumberFormat="1">
      <alignment horizontal="center" vertical="center"/>
    </xf>
    <xf borderId="4" fillId="21" fontId="63" numFmtId="4" xfId="0" applyAlignment="1" applyBorder="1" applyFont="1" applyNumberFormat="1">
      <alignment horizontal="center" vertical="center"/>
    </xf>
    <xf borderId="4" fillId="21" fontId="64" numFmtId="4" xfId="0" applyAlignment="1" applyBorder="1" applyFont="1" applyNumberFormat="1">
      <alignment horizontal="center" vertical="center"/>
    </xf>
    <xf borderId="4" fillId="22" fontId="44" numFmtId="4" xfId="0" applyAlignment="1" applyBorder="1" applyFont="1" applyNumberFormat="1">
      <alignment horizontal="center" vertical="center"/>
    </xf>
    <xf borderId="4" fillId="21" fontId="17" numFmtId="4" xfId="0" applyAlignment="1" applyBorder="1" applyFont="1" applyNumberFormat="1">
      <alignment horizontal="center" vertical="center"/>
    </xf>
    <xf borderId="73" fillId="21" fontId="17" numFmtId="4" xfId="0" applyAlignment="1" applyBorder="1" applyFont="1" applyNumberFormat="1">
      <alignment horizontal="center" vertical="center"/>
    </xf>
    <xf borderId="75" fillId="0" fontId="44" numFmtId="4" xfId="0" applyAlignment="1" applyBorder="1" applyFont="1" applyNumberFormat="1">
      <alignment horizontal="center" vertical="center"/>
    </xf>
    <xf borderId="76" fillId="0" fontId="44" numFmtId="4" xfId="0" applyAlignment="1" applyBorder="1" applyFont="1" applyNumberFormat="1">
      <alignment horizontal="center" vertical="center"/>
    </xf>
    <xf borderId="10" fillId="20" fontId="44" numFmtId="4" xfId="0" applyAlignment="1" applyBorder="1" applyFont="1" applyNumberFormat="1">
      <alignment horizontal="center" vertical="center"/>
    </xf>
    <xf borderId="10" fillId="20" fontId="63" numFmtId="4" xfId="0" applyAlignment="1" applyBorder="1" applyFont="1" applyNumberFormat="1">
      <alignment horizontal="center" vertical="center"/>
    </xf>
    <xf borderId="10" fillId="20" fontId="64" numFmtId="4" xfId="0" applyAlignment="1" applyBorder="1" applyFont="1" applyNumberFormat="1">
      <alignment horizontal="center" vertical="center"/>
    </xf>
    <xf borderId="10" fillId="20" fontId="17" numFmtId="4" xfId="0" applyAlignment="1" applyBorder="1" applyFont="1" applyNumberFormat="1">
      <alignment horizontal="center" vertical="center"/>
    </xf>
    <xf borderId="4" fillId="0" fontId="40" numFmtId="4" xfId="0" applyAlignment="1" applyBorder="1" applyFont="1" applyNumberFormat="1">
      <alignment horizontal="center" vertical="center"/>
    </xf>
    <xf borderId="4" fillId="0" fontId="32" numFmtId="4" xfId="0" applyAlignment="1" applyBorder="1" applyFont="1" applyNumberFormat="1">
      <alignment horizontal="center" vertical="center"/>
    </xf>
    <xf borderId="25" fillId="37" fontId="17" numFmtId="0" xfId="0" applyAlignment="1" applyBorder="1" applyFont="1">
      <alignment horizontal="center" vertical="center"/>
    </xf>
    <xf borderId="4" fillId="37" fontId="17" numFmtId="164" xfId="0" applyAlignment="1" applyBorder="1" applyFont="1" applyNumberFormat="1">
      <alignment horizontal="center" vertical="top"/>
    </xf>
    <xf borderId="25" fillId="37" fontId="17" numFmtId="164" xfId="0" applyAlignment="1" applyBorder="1" applyFont="1" applyNumberFormat="1">
      <alignment horizontal="center" vertical="top"/>
    </xf>
    <xf borderId="78" fillId="25" fontId="17" numFmtId="0" xfId="0" applyAlignment="1" applyBorder="1" applyFont="1">
      <alignment horizontal="left" vertical="top"/>
    </xf>
    <xf borderId="7" fillId="28" fontId="17" numFmtId="4" xfId="0" applyAlignment="1" applyBorder="1" applyFont="1" applyNumberFormat="1">
      <alignment horizontal="center" vertical="center"/>
    </xf>
    <xf borderId="7" fillId="28" fontId="47" numFmtId="4" xfId="0" applyAlignment="1" applyBorder="1" applyFont="1" applyNumberFormat="1">
      <alignment horizontal="center" vertical="center"/>
    </xf>
    <xf borderId="7" fillId="0" fontId="17" numFmtId="4" xfId="0" applyAlignment="1" applyBorder="1" applyFont="1" applyNumberFormat="1">
      <alignment horizontal="center" vertical="center"/>
    </xf>
    <xf borderId="7" fillId="0" fontId="47" numFmtId="4" xfId="0" applyAlignment="1" applyBorder="1" applyFont="1" applyNumberFormat="1">
      <alignment horizontal="center" vertical="center"/>
    </xf>
    <xf borderId="7" fillId="0" fontId="48" numFmtId="4" xfId="0" applyAlignment="1" applyBorder="1" applyFont="1" applyNumberFormat="1">
      <alignment horizontal="center" vertical="center"/>
    </xf>
    <xf borderId="7" fillId="38" fontId="48" numFmtId="4" xfId="0" applyAlignment="1" applyBorder="1" applyFill="1" applyFont="1" applyNumberFormat="1">
      <alignment horizontal="center" vertical="center"/>
    </xf>
    <xf borderId="7" fillId="38" fontId="47" numFmtId="4" xfId="0" applyAlignment="1" applyBorder="1" applyFont="1" applyNumberFormat="1">
      <alignment horizontal="center" vertical="center"/>
    </xf>
    <xf borderId="25" fillId="39" fontId="17" numFmtId="0" xfId="0" applyAlignment="1" applyBorder="1" applyFill="1" applyFont="1">
      <alignment horizontal="center" vertical="top"/>
    </xf>
    <xf borderId="4" fillId="39" fontId="17" numFmtId="164" xfId="0" applyAlignment="1" applyBorder="1" applyFont="1" applyNumberFormat="1">
      <alignment horizontal="center" vertical="top"/>
    </xf>
    <xf borderId="25" fillId="39" fontId="17" numFmtId="164" xfId="0" applyAlignment="1" applyBorder="1" applyFont="1" applyNumberFormat="1">
      <alignment horizontal="center" vertical="top"/>
    </xf>
    <xf borderId="79" fillId="26" fontId="52" numFmtId="164" xfId="0" applyAlignment="1" applyBorder="1" applyFont="1" applyNumberFormat="1">
      <alignment horizontal="center" vertical="center"/>
    </xf>
    <xf borderId="36" fillId="22" fontId="17" numFmtId="4" xfId="0" applyAlignment="1" applyBorder="1" applyFont="1" applyNumberFormat="1">
      <alignment horizontal="center" vertical="center"/>
    </xf>
    <xf borderId="36" fillId="22" fontId="47" numFmtId="4" xfId="0" applyAlignment="1" applyBorder="1" applyFont="1" applyNumberFormat="1">
      <alignment horizontal="center" vertical="center"/>
    </xf>
    <xf borderId="36" fillId="22" fontId="48" numFmtId="4" xfId="0" applyAlignment="1" applyBorder="1" applyFont="1" applyNumberFormat="1">
      <alignment horizontal="center" vertical="center"/>
    </xf>
    <xf borderId="37" fillId="22" fontId="48" numFmtId="4" xfId="0" applyAlignment="1" applyBorder="1" applyFont="1" applyNumberFormat="1">
      <alignment horizontal="center" vertical="center"/>
    </xf>
    <xf borderId="25" fillId="38" fontId="17" numFmtId="0" xfId="0" applyAlignment="1" applyBorder="1" applyFont="1">
      <alignment horizontal="center" vertical="top"/>
    </xf>
    <xf borderId="4" fillId="38" fontId="17" numFmtId="164" xfId="0" applyAlignment="1" applyBorder="1" applyFont="1" applyNumberFormat="1">
      <alignment horizontal="center" vertical="top"/>
    </xf>
    <xf borderId="25" fillId="38" fontId="17" numFmtId="164" xfId="0" applyAlignment="1" applyBorder="1" applyFont="1" applyNumberFormat="1">
      <alignment horizontal="center" vertical="top"/>
    </xf>
    <xf borderId="80" fillId="26" fontId="52" numFmtId="164" xfId="0" applyAlignment="1" applyBorder="1" applyFont="1" applyNumberFormat="1">
      <alignment horizontal="center" vertical="center"/>
    </xf>
    <xf borderId="7" fillId="21" fontId="17" numFmtId="4" xfId="0" applyAlignment="1" applyBorder="1" applyFont="1" applyNumberFormat="1">
      <alignment horizontal="center" vertical="center"/>
    </xf>
    <xf borderId="7" fillId="21" fontId="47" numFmtId="4" xfId="0" applyAlignment="1" applyBorder="1" applyFont="1" applyNumberFormat="1">
      <alignment horizontal="center" vertical="center"/>
    </xf>
    <xf borderId="7" fillId="21" fontId="40" numFmtId="4" xfId="0" applyAlignment="1" applyBorder="1" applyFont="1" applyNumberFormat="1">
      <alignment horizontal="center" vertical="center"/>
    </xf>
    <xf borderId="7" fillId="21" fontId="48" numFmtId="4" xfId="0" applyAlignment="1" applyBorder="1" applyFont="1" applyNumberFormat="1">
      <alignment horizontal="center" vertical="center"/>
    </xf>
    <xf borderId="7" fillId="21" fontId="42" numFmtId="4" xfId="0" applyAlignment="1" applyBorder="1" applyFont="1" applyNumberFormat="1">
      <alignment horizontal="center" vertical="center"/>
    </xf>
    <xf borderId="7" fillId="22" fontId="48" numFmtId="4" xfId="0" applyAlignment="1" applyBorder="1" applyFont="1" applyNumberFormat="1">
      <alignment horizontal="center" vertical="center"/>
    </xf>
    <xf borderId="7" fillId="33" fontId="48" numFmtId="4" xfId="0" applyAlignment="1" applyBorder="1" applyFont="1" applyNumberFormat="1">
      <alignment horizontal="center" vertical="center"/>
    </xf>
    <xf borderId="39" fillId="33" fontId="48" numFmtId="4" xfId="0" applyAlignment="1" applyBorder="1" applyFont="1" applyNumberFormat="1">
      <alignment horizontal="center" vertical="center"/>
    </xf>
    <xf borderId="25" fillId="35" fontId="26" numFmtId="0" xfId="0" applyAlignment="1" applyBorder="1" applyFont="1">
      <alignment horizontal="center" shrinkToFit="0" vertical="top" wrapText="1"/>
    </xf>
    <xf borderId="4" fillId="35" fontId="71" numFmtId="164" xfId="0" applyAlignment="1" applyBorder="1" applyFont="1" applyNumberFormat="1">
      <alignment horizontal="center" vertical="top"/>
    </xf>
    <xf borderId="25" fillId="35" fontId="71" numFmtId="164" xfId="0" applyAlignment="1" applyBorder="1" applyFont="1" applyNumberFormat="1">
      <alignment horizontal="center" vertical="top"/>
    </xf>
    <xf borderId="81" fillId="26" fontId="52" numFmtId="164" xfId="0" applyAlignment="1" applyBorder="1" applyFont="1" applyNumberFormat="1">
      <alignment horizontal="center" vertical="center"/>
    </xf>
    <xf borderId="41" fillId="0" fontId="59" numFmtId="4" xfId="0" applyAlignment="1" applyBorder="1" applyFont="1" applyNumberFormat="1">
      <alignment horizontal="center" vertical="top"/>
    </xf>
    <xf borderId="25" fillId="40" fontId="17" numFmtId="0" xfId="0" applyAlignment="1" applyBorder="1" applyFill="1" applyFont="1">
      <alignment horizontal="center" vertical="top"/>
    </xf>
    <xf borderId="4" fillId="41" fontId="48" numFmtId="164" xfId="0" applyAlignment="1" applyBorder="1" applyFill="1" applyFont="1" applyNumberFormat="1">
      <alignment horizontal="center" vertical="top"/>
    </xf>
    <xf borderId="4" fillId="41" fontId="17" numFmtId="164" xfId="0" applyAlignment="1" applyBorder="1" applyFont="1" applyNumberFormat="1">
      <alignment horizontal="center" vertical="top"/>
    </xf>
    <xf borderId="25" fillId="41" fontId="17" numFmtId="164" xfId="0" applyAlignment="1" applyBorder="1" applyFont="1" applyNumberFormat="1">
      <alignment horizontal="center" vertical="top"/>
    </xf>
    <xf borderId="25" fillId="41" fontId="26" numFmtId="164" xfId="0" applyAlignment="1" applyBorder="1" applyFont="1" applyNumberFormat="1">
      <alignment horizontal="center" vertical="top"/>
    </xf>
    <xf borderId="82" fillId="26" fontId="52" numFmtId="164" xfId="0" applyAlignment="1" applyBorder="1" applyFont="1" applyNumberFormat="1">
      <alignment horizontal="center" vertical="center"/>
    </xf>
    <xf borderId="10" fillId="22" fontId="34" numFmtId="4" xfId="0" applyAlignment="1" applyBorder="1" applyFont="1" applyNumberFormat="1">
      <alignment horizontal="center" vertical="center"/>
    </xf>
    <xf borderId="44" fillId="22" fontId="17" numFmtId="4" xfId="0" applyAlignment="1" applyBorder="1" applyFont="1" applyNumberFormat="1">
      <alignment horizontal="center" vertical="center"/>
    </xf>
    <xf borderId="25" fillId="0" fontId="17" numFmtId="0" xfId="0" applyAlignment="1" applyBorder="1" applyFont="1">
      <alignment horizontal="center" vertical="top"/>
    </xf>
    <xf borderId="4" fillId="0" fontId="48" numFmtId="164" xfId="0" applyAlignment="1" applyBorder="1" applyFont="1" applyNumberFormat="1">
      <alignment horizontal="center" vertical="top"/>
    </xf>
    <xf borderId="4" fillId="0" fontId="17" numFmtId="164" xfId="0" applyAlignment="1" applyBorder="1" applyFont="1" applyNumberFormat="1">
      <alignment horizontal="center" vertical="top"/>
    </xf>
    <xf borderId="25" fillId="0" fontId="17" numFmtId="164" xfId="0" applyAlignment="1" applyBorder="1" applyFont="1" applyNumberFormat="1">
      <alignment horizontal="center" vertical="top"/>
    </xf>
    <xf borderId="25" fillId="0" fontId="26" numFmtId="164" xfId="0" applyAlignment="1" applyBorder="1" applyFont="1" applyNumberFormat="1">
      <alignment horizontal="center" vertical="top"/>
    </xf>
    <xf borderId="4" fillId="27" fontId="17" numFmtId="4" xfId="0" applyAlignment="1" applyBorder="1" applyFont="1" applyNumberFormat="1">
      <alignment horizontal="center" vertical="center"/>
    </xf>
    <xf borderId="4" fillId="27" fontId="47" numFmtId="4" xfId="0" applyAlignment="1" applyBorder="1" applyFont="1" applyNumberFormat="1">
      <alignment horizontal="center" vertical="center"/>
    </xf>
    <xf borderId="4" fillId="27" fontId="48" numFmtId="4" xfId="0" applyAlignment="1" applyBorder="1" applyFont="1" applyNumberFormat="1">
      <alignment horizontal="center" vertical="center"/>
    </xf>
    <xf borderId="4" fillId="27" fontId="34" numFmtId="4" xfId="0" applyAlignment="1" applyBorder="1" applyFont="1" applyNumberFormat="1">
      <alignment horizontal="center" vertical="center"/>
    </xf>
    <xf borderId="4" fillId="27" fontId="40" numFmtId="4" xfId="0" applyAlignment="1" applyBorder="1" applyFont="1" applyNumberFormat="1">
      <alignment horizontal="center" vertical="center"/>
    </xf>
    <xf borderId="45" fillId="27" fontId="17" numFmtId="4" xfId="0" applyAlignment="1" applyBorder="1" applyFont="1" applyNumberFormat="1">
      <alignment horizontal="center" vertical="center"/>
    </xf>
    <xf borderId="47" fillId="0" fontId="17" numFmtId="4" xfId="0" applyAlignment="1" applyBorder="1" applyFont="1" applyNumberFormat="1">
      <alignment horizontal="center" vertical="center"/>
    </xf>
    <xf borderId="25" fillId="0" fontId="48" numFmtId="164" xfId="0" applyAlignment="1" applyBorder="1" applyFont="1" applyNumberFormat="1">
      <alignment horizontal="center" vertical="top"/>
    </xf>
    <xf borderId="10" fillId="33" fontId="17" numFmtId="4" xfId="0" applyAlignment="1" applyBorder="1" applyFont="1" applyNumberFormat="1">
      <alignment horizontal="center" vertical="center"/>
    </xf>
    <xf borderId="10" fillId="33" fontId="64" numFmtId="4" xfId="0" applyAlignment="1" applyBorder="1" applyFont="1" applyNumberFormat="1">
      <alignment horizontal="center" vertical="center"/>
    </xf>
    <xf borderId="10" fillId="33" fontId="40" numFmtId="4" xfId="0" applyAlignment="1" applyBorder="1" applyFont="1" applyNumberFormat="1">
      <alignment horizontal="center" vertical="center"/>
    </xf>
    <xf borderId="10" fillId="33" fontId="48" numFmtId="4" xfId="0" applyAlignment="1" applyBorder="1" applyFont="1" applyNumberFormat="1">
      <alignment horizontal="center" vertical="center"/>
    </xf>
    <xf borderId="4" fillId="16" fontId="49" numFmtId="4" xfId="0" applyAlignment="1" applyBorder="1" applyFont="1" applyNumberFormat="1">
      <alignment horizontal="center" vertical="center"/>
    </xf>
    <xf borderId="4" fillId="16" fontId="17" numFmtId="4" xfId="0" applyAlignment="1" applyBorder="1" applyFont="1" applyNumberFormat="1">
      <alignment horizontal="center" vertical="center"/>
    </xf>
    <xf borderId="4" fillId="0" fontId="48" numFmtId="4" xfId="0" applyAlignment="1" applyBorder="1" applyFont="1" applyNumberFormat="1">
      <alignment horizontal="center" vertical="center"/>
    </xf>
    <xf borderId="4" fillId="0" fontId="47" numFmtId="4" xfId="0" applyAlignment="1" applyBorder="1" applyFont="1" applyNumberFormat="1">
      <alignment horizontal="center" vertical="center"/>
    </xf>
    <xf borderId="4" fillId="0" fontId="42" numFmtId="4" xfId="0" applyAlignment="1" applyBorder="1" applyFont="1" applyNumberFormat="1">
      <alignment horizontal="center" vertical="center"/>
    </xf>
    <xf borderId="4" fillId="40" fontId="47" numFmtId="4" xfId="0" applyAlignment="1" applyBorder="1" applyFont="1" applyNumberFormat="1">
      <alignment horizontal="center" vertical="center"/>
    </xf>
    <xf borderId="4" fillId="41" fontId="48" numFmtId="4" xfId="0" applyAlignment="1" applyBorder="1" applyFont="1" applyNumberFormat="1">
      <alignment horizontal="center" vertical="center"/>
    </xf>
    <xf borderId="4" fillId="21" fontId="48" numFmtId="4" xfId="0" applyAlignment="1" applyBorder="1" applyFont="1" applyNumberFormat="1">
      <alignment horizontal="center" vertical="center"/>
    </xf>
    <xf borderId="4" fillId="21" fontId="47" numFmtId="4" xfId="0" applyAlignment="1" applyBorder="1" applyFont="1" applyNumberFormat="1">
      <alignment horizontal="center" vertical="center"/>
    </xf>
    <xf borderId="4" fillId="21" fontId="42" numFmtId="4" xfId="0" applyAlignment="1" applyBorder="1" applyFont="1" applyNumberFormat="1">
      <alignment horizontal="center" vertical="center"/>
    </xf>
    <xf borderId="4" fillId="22" fontId="47" numFmtId="4" xfId="0" applyAlignment="1" applyBorder="1" applyFont="1" applyNumberFormat="1">
      <alignment horizontal="center" vertical="center"/>
    </xf>
    <xf borderId="4" fillId="22" fontId="48" numFmtId="4" xfId="0" applyAlignment="1" applyBorder="1" applyFont="1" applyNumberFormat="1">
      <alignment horizontal="center" vertical="center"/>
    </xf>
    <xf borderId="4" fillId="31" fontId="48" numFmtId="4" xfId="0" applyAlignment="1" applyBorder="1" applyFont="1" applyNumberFormat="1">
      <alignment horizontal="center" vertical="center"/>
    </xf>
    <xf borderId="4" fillId="31" fontId="47" numFmtId="4" xfId="0" applyAlignment="1" applyBorder="1" applyFont="1" applyNumberFormat="1">
      <alignment horizontal="center" vertical="center"/>
    </xf>
    <xf borderId="4" fillId="31" fontId="40" numFmtId="4" xfId="0" applyAlignment="1" applyBorder="1" applyFont="1" applyNumberFormat="1">
      <alignment horizontal="center" vertical="center"/>
    </xf>
    <xf borderId="4" fillId="16" fontId="47" numFmtId="4" xfId="0" applyAlignment="1" applyBorder="1" applyFont="1" applyNumberFormat="1">
      <alignment horizontal="center" vertical="center"/>
    </xf>
    <xf borderId="4" fillId="16" fontId="48" numFmtId="4" xfId="0" applyAlignment="1" applyBorder="1" applyFont="1" applyNumberFormat="1">
      <alignment horizontal="center" vertical="center"/>
    </xf>
    <xf borderId="0" fillId="0" fontId="72" numFmtId="0" xfId="0" applyAlignment="1" applyFont="1">
      <alignment horizontal="center" vertical="center"/>
    </xf>
    <xf borderId="4" fillId="36" fontId="47" numFmtId="4" xfId="0" applyAlignment="1" applyBorder="1" applyFont="1" applyNumberFormat="1">
      <alignment horizontal="center" vertical="center"/>
    </xf>
    <xf borderId="4" fillId="36" fontId="48" numFmtId="4" xfId="0" applyAlignment="1" applyBorder="1" applyFont="1" applyNumberFormat="1">
      <alignment horizontal="center" vertical="center"/>
    </xf>
    <xf borderId="25" fillId="0" fontId="47" numFmtId="4" xfId="0" applyAlignment="1" applyBorder="1" applyFont="1" applyNumberFormat="1">
      <alignment horizontal="center" vertical="center"/>
    </xf>
    <xf borderId="9" fillId="39" fontId="48" numFmtId="4" xfId="0" applyAlignment="1" applyBorder="1" applyFont="1" applyNumberFormat="1">
      <alignment horizontal="center" vertical="center"/>
    </xf>
    <xf borderId="4" fillId="39" fontId="48" numFmtId="4" xfId="0" applyAlignment="1" applyBorder="1" applyFont="1" applyNumberFormat="1">
      <alignment horizontal="center" vertical="center"/>
    </xf>
    <xf borderId="10" fillId="0" fontId="47" numFmtId="4" xfId="0" applyAlignment="1" applyBorder="1" applyFont="1" applyNumberFormat="1">
      <alignment horizontal="center" vertical="center"/>
    </xf>
    <xf borderId="4" fillId="8" fontId="48" numFmtId="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shrinkToFit="0" vertical="top" wrapText="1"/>
    </xf>
    <xf borderId="5" fillId="9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vertical="top"/>
    </xf>
    <xf borderId="0" fillId="0" fontId="17" numFmtId="0" xfId="0" applyAlignment="1" applyFont="1">
      <alignment horizontal="left" vertical="bottom"/>
    </xf>
    <xf borderId="0" fillId="0" fontId="73" numFmtId="0" xfId="0" applyAlignment="1" applyFont="1">
      <alignment horizontal="left" vertical="top"/>
    </xf>
    <xf borderId="0" fillId="0" fontId="71" numFmtId="0" xfId="0" applyAlignment="1" applyFont="1">
      <alignment horizontal="left" vertical="top"/>
    </xf>
    <xf borderId="0" fillId="0" fontId="26" numFmtId="0" xfId="0" applyAlignment="1" applyFont="1">
      <alignment horizontal="left" vertical="top"/>
    </xf>
    <xf borderId="25" fillId="0" fontId="17" numFmtId="0" xfId="0" applyAlignment="1" applyBorder="1" applyFont="1">
      <alignment horizontal="center" vertical="center"/>
    </xf>
    <xf borderId="25" fillId="0" fontId="26" numFmtId="0" xfId="0" applyAlignment="1" applyBorder="1" applyFont="1">
      <alignment horizontal="center" shrinkToFit="0" vertical="top" wrapText="1"/>
    </xf>
    <xf borderId="2" fillId="0" fontId="17" numFmtId="0" xfId="0" applyAlignment="1" applyBorder="1" applyFont="1">
      <alignment horizontal="center" vertical="top"/>
    </xf>
    <xf borderId="9" fillId="0" fontId="17" numFmtId="0" xfId="0" applyAlignment="1" applyBorder="1" applyFont="1">
      <alignment horizontal="center" vertical="top"/>
    </xf>
    <xf borderId="4" fillId="42" fontId="74" numFmtId="0" xfId="0" applyAlignment="1" applyBorder="1" applyFill="1" applyFont="1">
      <alignment horizontal="center" vertical="top"/>
    </xf>
    <xf borderId="4" fillId="25" fontId="17" numFmtId="0" xfId="0" applyAlignment="1" applyBorder="1" applyFont="1">
      <alignment horizontal="left" vertical="top"/>
    </xf>
    <xf borderId="4" fillId="29" fontId="3" numFmtId="4" xfId="0" applyAlignment="1" applyBorder="1" applyFont="1" applyNumberFormat="1">
      <alignment horizontal="center" vertical="center"/>
    </xf>
    <xf borderId="4" fillId="29" fontId="17" numFmtId="4" xfId="0" applyAlignment="1" applyBorder="1" applyFont="1" applyNumberFormat="1">
      <alignment horizontal="center" vertical="center"/>
    </xf>
    <xf borderId="56" fillId="22" fontId="17" numFmtId="4" xfId="0" applyAlignment="1" applyBorder="1" applyFont="1" applyNumberFormat="1">
      <alignment horizontal="center" vertical="center"/>
    </xf>
    <xf borderId="11" fillId="8" fontId="17" numFmtId="4" xfId="0" applyAlignment="1" applyBorder="1" applyFont="1" applyNumberFormat="1">
      <alignment horizontal="center" vertical="center"/>
    </xf>
    <xf borderId="11" fillId="39" fontId="40" numFmtId="4" xfId="0" applyAlignment="1" applyBorder="1" applyFont="1" applyNumberFormat="1">
      <alignment horizontal="center" vertical="center"/>
    </xf>
    <xf borderId="11" fillId="39" fontId="17" numFmtId="4" xfId="0" applyAlignment="1" applyBorder="1" applyFont="1" applyNumberFormat="1">
      <alignment horizontal="center" vertical="center"/>
    </xf>
    <xf borderId="4" fillId="41" fontId="17" numFmtId="4" xfId="0" applyAlignment="1" applyBorder="1" applyFont="1" applyNumberFormat="1">
      <alignment horizontal="center" vertical="center"/>
    </xf>
    <xf borderId="11" fillId="41" fontId="17" numFmtId="4" xfId="0" applyAlignment="1" applyBorder="1" applyFont="1" applyNumberFormat="1">
      <alignment horizontal="center" vertical="center"/>
    </xf>
    <xf borderId="4" fillId="8" fontId="17" numFmtId="4" xfId="0" applyAlignment="1" applyBorder="1" applyFont="1" applyNumberFormat="1">
      <alignment horizontal="center" vertical="center"/>
    </xf>
    <xf borderId="7" fillId="16" fontId="19" numFmtId="4" xfId="0" applyAlignment="1" applyBorder="1" applyFont="1" applyNumberFormat="1">
      <alignment horizontal="center" vertical="center"/>
    </xf>
    <xf borderId="7" fillId="35" fontId="48" numFmtId="4" xfId="0" applyAlignment="1" applyBorder="1" applyFont="1" applyNumberFormat="1">
      <alignment horizontal="center" vertical="center"/>
    </xf>
    <xf borderId="13" fillId="35" fontId="48" numFmtId="4" xfId="0" applyAlignment="1" applyBorder="1" applyFont="1" applyNumberFormat="1">
      <alignment horizontal="center" vertical="center"/>
    </xf>
    <xf borderId="13" fillId="22" fontId="48" numFmtId="4" xfId="0" applyAlignment="1" applyBorder="1" applyFont="1" applyNumberFormat="1">
      <alignment horizontal="center" vertical="center"/>
    </xf>
    <xf borderId="13" fillId="39" fontId="48" numFmtId="4" xfId="0" applyAlignment="1" applyBorder="1" applyFont="1" applyNumberFormat="1">
      <alignment horizontal="center" vertical="center"/>
    </xf>
    <xf borderId="13" fillId="0" fontId="48" numFmtId="4" xfId="0" applyAlignment="1" applyBorder="1" applyFont="1" applyNumberFormat="1">
      <alignment horizontal="center" vertical="center"/>
    </xf>
    <xf borderId="13" fillId="8" fontId="48" numFmtId="4" xfId="0" applyAlignment="1" applyBorder="1" applyFont="1" applyNumberFormat="1">
      <alignment horizontal="center" vertical="center"/>
    </xf>
    <xf borderId="13" fillId="9" fontId="48" numFmtId="4" xfId="0" applyAlignment="1" applyBorder="1" applyFont="1" applyNumberFormat="1">
      <alignment horizontal="center" vertical="center"/>
    </xf>
    <xf borderId="62" fillId="0" fontId="17" numFmtId="4" xfId="0" applyAlignment="1" applyBorder="1" applyFont="1" applyNumberFormat="1">
      <alignment horizontal="center" vertical="center"/>
    </xf>
    <xf borderId="63" fillId="0" fontId="17" numFmtId="4" xfId="0" applyAlignment="1" applyBorder="1" applyFont="1" applyNumberFormat="1">
      <alignment horizontal="center" vertical="center"/>
    </xf>
    <xf borderId="63" fillId="0" fontId="48" numFmtId="4" xfId="0" applyAlignment="1" applyBorder="1" applyFont="1" applyNumberFormat="1">
      <alignment horizontal="center" vertical="center"/>
    </xf>
    <xf borderId="64" fillId="0" fontId="48" numFmtId="4" xfId="0" applyAlignment="1" applyBorder="1" applyFont="1" applyNumberFormat="1">
      <alignment horizontal="center" vertical="center"/>
    </xf>
    <xf borderId="49" fillId="31" fontId="17" numFmtId="4" xfId="0" applyAlignment="1" applyBorder="1" applyFont="1" applyNumberFormat="1">
      <alignment horizontal="center" vertical="center"/>
    </xf>
    <xf borderId="13" fillId="0" fontId="17" numFmtId="4" xfId="0" applyAlignment="1" applyBorder="1" applyFont="1" applyNumberFormat="1">
      <alignment horizontal="center" vertical="center"/>
    </xf>
    <xf borderId="13" fillId="22" fontId="40" numFmtId="4" xfId="0" applyAlignment="1" applyBorder="1" applyFont="1" applyNumberFormat="1">
      <alignment horizontal="center" vertical="center"/>
    </xf>
    <xf borderId="67" fillId="22" fontId="48" numFmtId="4" xfId="0" applyAlignment="1" applyBorder="1" applyFont="1" applyNumberFormat="1">
      <alignment horizontal="center" vertical="center"/>
    </xf>
    <xf borderId="25" fillId="43" fontId="17" numFmtId="0" xfId="0" applyAlignment="1" applyBorder="1" applyFill="1" applyFont="1">
      <alignment horizontal="center" vertical="top"/>
    </xf>
    <xf borderId="4" fillId="43" fontId="48" numFmtId="165" xfId="0" applyAlignment="1" applyBorder="1" applyFont="1" applyNumberFormat="1">
      <alignment horizontal="center" vertical="top"/>
    </xf>
    <xf borderId="4" fillId="43" fontId="48" numFmtId="164" xfId="0" applyAlignment="1" applyBorder="1" applyFont="1" applyNumberFormat="1">
      <alignment horizontal="center" vertical="top"/>
    </xf>
    <xf borderId="25" fillId="43" fontId="48" numFmtId="164" xfId="0" applyAlignment="1" applyBorder="1" applyFont="1" applyNumberFormat="1">
      <alignment horizontal="center" vertical="top"/>
    </xf>
    <xf borderId="25" fillId="43" fontId="17" numFmtId="164" xfId="0" applyAlignment="1" applyBorder="1" applyFont="1" applyNumberFormat="1">
      <alignment horizontal="center" vertical="top"/>
    </xf>
    <xf borderId="0" fillId="26" fontId="52" numFmtId="164" xfId="0" applyAlignment="1" applyFont="1" applyNumberFormat="1">
      <alignment horizontal="center" vertical="center"/>
    </xf>
    <xf borderId="10" fillId="0" fontId="28" numFmtId="4" xfId="0" applyAlignment="1" applyBorder="1" applyFont="1" applyNumberFormat="1">
      <alignment horizontal="center" vertical="center"/>
    </xf>
    <xf borderId="10" fillId="0" fontId="17" numFmtId="4" xfId="0" applyAlignment="1" applyBorder="1" applyFont="1" applyNumberFormat="1">
      <alignment horizontal="center" vertical="center"/>
    </xf>
    <xf borderId="10" fillId="0" fontId="48" numFmtId="4" xfId="0" applyAlignment="1" applyBorder="1" applyFont="1" applyNumberFormat="1">
      <alignment horizontal="center" vertical="center"/>
    </xf>
    <xf borderId="72" fillId="0" fontId="48" numFmtId="4" xfId="0" applyAlignment="1" applyBorder="1" applyFont="1" applyNumberFormat="1">
      <alignment horizontal="center" vertical="center"/>
    </xf>
    <xf borderId="4" fillId="27" fontId="44" numFmtId="4" xfId="0" applyAlignment="1" applyBorder="1" applyFont="1" applyNumberFormat="1">
      <alignment horizontal="center" vertical="center"/>
    </xf>
    <xf borderId="4" fillId="27" fontId="64" numFmtId="4" xfId="0" applyAlignment="1" applyBorder="1" applyFont="1" applyNumberFormat="1">
      <alignment horizontal="center" vertical="center"/>
    </xf>
    <xf borderId="4" fillId="16" fontId="64" numFmtId="4" xfId="0" applyAlignment="1" applyBorder="1" applyFont="1" applyNumberFormat="1">
      <alignment horizontal="center" vertical="center"/>
    </xf>
    <xf borderId="4" fillId="16" fontId="44" numFmtId="4" xfId="0" applyAlignment="1" applyBorder="1" applyFont="1" applyNumberFormat="1">
      <alignment horizontal="center" vertical="center"/>
    </xf>
    <xf borderId="4" fillId="22" fontId="17" numFmtId="4" xfId="0" applyAlignment="1" applyBorder="1" applyFont="1" applyNumberFormat="1">
      <alignment horizontal="center" vertical="center"/>
    </xf>
    <xf borderId="73" fillId="22" fontId="17" numFmtId="4" xfId="0" applyAlignment="1" applyBorder="1" applyFont="1" applyNumberFormat="1">
      <alignment horizontal="center" vertical="center"/>
    </xf>
    <xf borderId="25" fillId="37" fontId="17" numFmtId="164" xfId="0" applyAlignment="1" applyBorder="1" applyFont="1" applyNumberFormat="1">
      <alignment horizontal="center" vertical="center"/>
    </xf>
    <xf borderId="7" fillId="38" fontId="17" numFmtId="4" xfId="0" applyAlignment="1" applyBorder="1" applyFont="1" applyNumberFormat="1">
      <alignment horizontal="center" vertical="center"/>
    </xf>
    <xf borderId="7" fillId="8" fontId="48" numFmtId="4" xfId="0" applyAlignment="1" applyBorder="1" applyFont="1" applyNumberFormat="1">
      <alignment horizontal="center" vertical="center"/>
    </xf>
    <xf borderId="7" fillId="11" fontId="48" numFmtId="4" xfId="0" applyAlignment="1" applyBorder="1" applyFont="1" applyNumberFormat="1">
      <alignment horizontal="center" vertical="center"/>
    </xf>
    <xf borderId="7" fillId="11" fontId="47" numFmtId="4" xfId="0" applyAlignment="1" applyBorder="1" applyFont="1" applyNumberFormat="1">
      <alignment horizontal="center" vertical="center"/>
    </xf>
    <xf borderId="7" fillId="8" fontId="47" numFmtId="4" xfId="0" applyAlignment="1" applyBorder="1" applyFont="1" applyNumberFormat="1">
      <alignment horizontal="center" vertical="center"/>
    </xf>
    <xf borderId="7" fillId="33" fontId="17" numFmtId="4" xfId="0" applyAlignment="1" applyBorder="1" applyFont="1" applyNumberFormat="1">
      <alignment horizontal="center" vertical="center"/>
    </xf>
    <xf borderId="7" fillId="33" fontId="47" numFmtId="4" xfId="0" applyAlignment="1" applyBorder="1" applyFont="1" applyNumberFormat="1">
      <alignment horizontal="center" vertical="center"/>
    </xf>
    <xf borderId="7" fillId="33" fontId="42" numFmtId="4" xfId="0" applyAlignment="1" applyBorder="1" applyFont="1" applyNumberFormat="1">
      <alignment horizontal="center" vertical="center"/>
    </xf>
    <xf borderId="39" fillId="38" fontId="48" numFmtId="4" xfId="0" applyAlignment="1" applyBorder="1" applyFont="1" applyNumberFormat="1">
      <alignment horizontal="center" vertical="center"/>
    </xf>
    <xf borderId="0" fillId="9" fontId="66" numFmtId="4" xfId="0" applyAlignment="1" applyFont="1" applyNumberFormat="1">
      <alignment horizontal="center" vertical="center"/>
    </xf>
    <xf borderId="10" fillId="28" fontId="17" numFmtId="4" xfId="0" applyAlignment="1" applyBorder="1" applyFont="1" applyNumberFormat="1">
      <alignment horizontal="center" vertical="center"/>
    </xf>
    <xf borderId="10" fillId="28" fontId="48" numFmtId="4" xfId="0" applyAlignment="1" applyBorder="1" applyFont="1" applyNumberFormat="1">
      <alignment horizontal="center" vertical="center"/>
    </xf>
    <xf borderId="10" fillId="28" fontId="64" numFmtId="4" xfId="0" applyAlignment="1" applyBorder="1" applyFont="1" applyNumberFormat="1">
      <alignment horizontal="center" vertical="center"/>
    </xf>
    <xf borderId="10" fillId="11" fontId="48" numFmtId="4" xfId="0" applyAlignment="1" applyBorder="1" applyFont="1" applyNumberFormat="1">
      <alignment horizontal="center" vertical="center"/>
    </xf>
    <xf borderId="4" fillId="44" fontId="48" numFmtId="4" xfId="0" applyAlignment="1" applyBorder="1" applyFill="1" applyFont="1" applyNumberFormat="1">
      <alignment horizontal="center" vertical="center"/>
    </xf>
    <xf borderId="4" fillId="44" fontId="42" numFmtId="4" xfId="0" applyAlignment="1" applyBorder="1" applyFont="1" applyNumberFormat="1">
      <alignment horizontal="center" vertical="center"/>
    </xf>
    <xf borderId="4" fillId="44" fontId="47" numFmtId="4" xfId="0" applyAlignment="1" applyBorder="1" applyFont="1" applyNumberFormat="1">
      <alignment horizontal="center" vertical="center"/>
    </xf>
    <xf borderId="4" fillId="8" fontId="47" numFmtId="4" xfId="0" applyAlignment="1" applyBorder="1" applyFont="1" applyNumberFormat="1">
      <alignment horizontal="center" vertical="center"/>
    </xf>
    <xf borderId="4" fillId="28" fontId="47" numFmtId="4" xfId="0" applyAlignment="1" applyBorder="1" applyFont="1" applyNumberFormat="1">
      <alignment horizontal="center" vertical="center"/>
    </xf>
    <xf borderId="4" fillId="31" fontId="42" numFmtId="4" xfId="0" applyAlignment="1" applyBorder="1" applyFont="1" applyNumberFormat="1">
      <alignment horizontal="center" vertical="center"/>
    </xf>
    <xf borderId="4" fillId="38" fontId="47" numFmtId="4" xfId="0" applyAlignment="1" applyBorder="1" applyFont="1" applyNumberFormat="1">
      <alignment horizontal="center" vertical="center"/>
    </xf>
    <xf borderId="4" fillId="38" fontId="48" numFmtId="4" xfId="0" applyAlignment="1" applyBorder="1" applyFont="1" applyNumberFormat="1">
      <alignment horizontal="center" vertical="center"/>
    </xf>
    <xf borderId="4" fillId="33" fontId="47" numFmtId="4" xfId="0" applyAlignment="1" applyBorder="1" applyFont="1" applyNumberFormat="1">
      <alignment horizontal="center" vertical="center"/>
    </xf>
    <xf borderId="4" fillId="33" fontId="48" numFmtId="4" xfId="0" applyAlignment="1" applyBorder="1" applyFont="1" applyNumberFormat="1">
      <alignment horizontal="center" vertical="center"/>
    </xf>
    <xf borderId="4" fillId="39" fontId="47" numFmtId="4" xfId="0" applyAlignment="1" applyBorder="1" applyFont="1" applyNumberFormat="1">
      <alignment horizontal="center" vertical="center"/>
    </xf>
    <xf borderId="4" fillId="35" fontId="47" numFmtId="4" xfId="0" applyAlignment="1" applyBorder="1" applyFont="1" applyNumberFormat="1">
      <alignment horizontal="center" vertical="center"/>
    </xf>
    <xf borderId="25" fillId="39" fontId="47" numFmtId="4" xfId="0" applyAlignment="1" applyBorder="1" applyFont="1" applyNumberFormat="1">
      <alignment horizontal="center" vertical="center"/>
    </xf>
    <xf borderId="7" fillId="39" fontId="47" numFmtId="4" xfId="0" applyAlignment="1" applyBorder="1" applyFont="1" applyNumberFormat="1">
      <alignment horizontal="center" vertical="center"/>
    </xf>
    <xf borderId="7" fillId="39" fontId="48" numFmtId="4" xfId="0" applyAlignment="1" applyBorder="1" applyFont="1" applyNumberFormat="1">
      <alignment horizontal="center" vertical="center"/>
    </xf>
    <xf borderId="83" fillId="39" fontId="47" numFmtId="4" xfId="0" applyAlignment="1" applyBorder="1" applyFont="1" applyNumberFormat="1">
      <alignment horizontal="center" vertical="center"/>
    </xf>
    <xf borderId="49" fillId="39" fontId="47" numFmtId="4" xfId="0" applyAlignment="1" applyBorder="1" applyFont="1" applyNumberFormat="1">
      <alignment horizontal="center" vertical="center"/>
    </xf>
    <xf borderId="84" fillId="39" fontId="48" numFmtId="4" xfId="0" applyAlignment="1" applyBorder="1" applyFont="1" applyNumberFormat="1">
      <alignment horizontal="center" vertical="center"/>
    </xf>
    <xf borderId="85" fillId="32" fontId="5" numFmtId="0" xfId="0" applyAlignment="1" applyBorder="1" applyFont="1">
      <alignment horizontal="center" vertical="center"/>
    </xf>
    <xf borderId="86" fillId="0" fontId="48" numFmtId="4" xfId="0" applyAlignment="1" applyBorder="1" applyFont="1" applyNumberFormat="1">
      <alignment horizontal="center" vertical="center"/>
    </xf>
    <xf borderId="86" fillId="0" fontId="47" numFmtId="4" xfId="0" applyAlignment="1" applyBorder="1" applyFont="1" applyNumberFormat="1">
      <alignment horizontal="center" vertical="center"/>
    </xf>
    <xf borderId="86" fillId="22" fontId="47" numFmtId="4" xfId="0" applyAlignment="1" applyBorder="1" applyFont="1" applyNumberFormat="1">
      <alignment horizontal="center" vertical="center"/>
    </xf>
    <xf borderId="86" fillId="20" fontId="47" numFmtId="4" xfId="0" applyAlignment="1" applyBorder="1" applyFont="1" applyNumberFormat="1">
      <alignment horizontal="center" vertical="center"/>
    </xf>
    <xf borderId="87" fillId="20" fontId="47" numFmtId="4" xfId="0" applyAlignment="1" applyBorder="1" applyFont="1" applyNumberFormat="1">
      <alignment horizontal="center" vertical="center"/>
    </xf>
    <xf borderId="88" fillId="20" fontId="48" numFmtId="4" xfId="0" applyAlignment="1" applyBorder="1" applyFont="1" applyNumberFormat="1">
      <alignment horizontal="center" vertical="center"/>
    </xf>
    <xf borderId="86" fillId="20" fontId="48" numFmtId="4" xfId="0" applyAlignment="1" applyBorder="1" applyFont="1" applyNumberFormat="1">
      <alignment horizontal="center" vertical="center"/>
    </xf>
    <xf borderId="89" fillId="20" fontId="48" numFmtId="4" xfId="0" applyAlignment="1" applyBorder="1" applyFont="1" applyNumberFormat="1">
      <alignment horizontal="center" vertical="center"/>
    </xf>
    <xf borderId="90" fillId="32" fontId="5" numFmtId="0" xfId="0" applyAlignment="1" applyBorder="1" applyFont="1">
      <alignment horizontal="center" vertical="center"/>
    </xf>
    <xf borderId="25" fillId="28" fontId="47" numFmtId="4" xfId="0" applyAlignment="1" applyBorder="1" applyFont="1" applyNumberFormat="1">
      <alignment horizontal="center" vertical="center"/>
    </xf>
    <xf borderId="10" fillId="28" fontId="47" numFmtId="4" xfId="0" applyAlignment="1" applyBorder="1" applyFont="1" applyNumberFormat="1">
      <alignment horizontal="center" vertical="center"/>
    </xf>
    <xf borderId="9" fillId="28" fontId="48" numFmtId="4" xfId="0" applyAlignment="1" applyBorder="1" applyFont="1" applyNumberFormat="1">
      <alignment horizontal="center" vertical="center"/>
    </xf>
    <xf borderId="4" fillId="28" fontId="48" numFmtId="4" xfId="0" applyAlignment="1" applyBorder="1" applyFont="1" applyNumberFormat="1">
      <alignment horizontal="center" vertical="center"/>
    </xf>
    <xf borderId="91" fillId="28" fontId="48" numFmtId="4" xfId="0" applyAlignment="1" applyBorder="1" applyFont="1" applyNumberFormat="1">
      <alignment horizontal="center" vertical="center"/>
    </xf>
    <xf borderId="7" fillId="27" fontId="48" numFmtId="4" xfId="0" applyAlignment="1" applyBorder="1" applyFont="1" applyNumberFormat="1">
      <alignment horizontal="center" vertical="center"/>
    </xf>
    <xf borderId="83" fillId="0" fontId="48" numFmtId="4" xfId="0" applyAlignment="1" applyBorder="1" applyFont="1" applyNumberFormat="1">
      <alignment horizontal="center" vertical="center"/>
    </xf>
    <xf borderId="49" fillId="0" fontId="48" numFmtId="4" xfId="0" applyAlignment="1" applyBorder="1" applyFont="1" applyNumberFormat="1">
      <alignment horizontal="center" vertical="center"/>
    </xf>
    <xf borderId="84" fillId="0" fontId="48" numFmtId="4" xfId="0" applyAlignment="1" applyBorder="1" applyFont="1" applyNumberFormat="1">
      <alignment horizontal="center" vertical="center"/>
    </xf>
    <xf borderId="92" fillId="9" fontId="5" numFmtId="0" xfId="0" applyAlignment="1" applyBorder="1" applyFont="1">
      <alignment horizontal="center" vertical="center"/>
    </xf>
    <xf borderId="93" fillId="0" fontId="48" numFmtId="4" xfId="0" applyAlignment="1" applyBorder="1" applyFont="1" applyNumberFormat="1">
      <alignment horizontal="center" vertical="center"/>
    </xf>
    <xf borderId="49" fillId="0" fontId="47" numFmtId="4" xfId="0" applyAlignment="1" applyBorder="1" applyFont="1" applyNumberFormat="1">
      <alignment horizontal="center" vertical="center"/>
    </xf>
    <xf borderId="49" fillId="8" fontId="47" numFmtId="4" xfId="0" applyAlignment="1" applyBorder="1" applyFont="1" applyNumberFormat="1">
      <alignment horizontal="center" vertical="center"/>
    </xf>
    <xf borderId="49" fillId="8" fontId="48" numFmtId="4" xfId="0" applyAlignment="1" applyBorder="1" applyFont="1" applyNumberFormat="1">
      <alignment horizontal="center" vertical="center"/>
    </xf>
    <xf borderId="4" fillId="20" fontId="47" numFmtId="4" xfId="0" applyAlignment="1" applyBorder="1" applyFont="1" applyNumberFormat="1">
      <alignment horizontal="center" vertical="center"/>
    </xf>
    <xf borderId="57" fillId="10" fontId="5" numFmtId="0" xfId="0" applyAlignment="1" applyBorder="1" applyFont="1">
      <alignment horizontal="left" vertical="top"/>
    </xf>
    <xf borderId="57" fillId="10" fontId="5" numFmtId="165" xfId="0" applyAlignment="1" applyBorder="1" applyFont="1" applyNumberFormat="1">
      <alignment horizontal="left" vertical="top"/>
    </xf>
    <xf borderId="57" fillId="9" fontId="5" numFmtId="165" xfId="0" applyAlignment="1" applyBorder="1" applyFont="1" applyNumberFormat="1">
      <alignment horizontal="left" vertical="top"/>
    </xf>
    <xf borderId="0" fillId="0" fontId="17" numFmtId="0" xfId="0" applyAlignment="1" applyFont="1">
      <alignment horizontal="center" vertical="center"/>
    </xf>
    <xf borderId="0" fillId="0" fontId="26" numFmtId="0" xfId="0" applyAlignment="1" applyFont="1">
      <alignment horizontal="center" shrinkToFit="0" vertical="top" wrapText="1"/>
    </xf>
    <xf borderId="4" fillId="0" fontId="5" numFmtId="0" xfId="0" applyAlignment="1" applyBorder="1" applyFont="1">
      <alignment horizontal="center" vertical="center"/>
    </xf>
    <xf borderId="4" fillId="22" fontId="64" numFmtId="4" xfId="0" applyAlignment="1" applyBorder="1" applyFont="1" applyNumberFormat="1">
      <alignment horizontal="center" vertical="center"/>
    </xf>
    <xf borderId="4" fillId="37" fontId="64" numFmtId="4" xfId="0" applyAlignment="1" applyBorder="1" applyFont="1" applyNumberFormat="1">
      <alignment horizontal="center" vertical="center"/>
    </xf>
    <xf borderId="4" fillId="8" fontId="64" numFmtId="4" xfId="0" applyAlignment="1" applyBorder="1" applyFont="1" applyNumberFormat="1">
      <alignment horizontal="center" vertical="center"/>
    </xf>
    <xf borderId="12" fillId="9" fontId="23" numFmtId="164" xfId="0" applyAlignment="1" applyBorder="1" applyFont="1" applyNumberFormat="1">
      <alignment horizontal="center" shrinkToFit="0" vertical="center" wrapText="1"/>
    </xf>
    <xf borderId="10" fillId="37" fontId="75" numFmtId="4" xfId="0" applyAlignment="1" applyBorder="1" applyFont="1" applyNumberFormat="1">
      <alignment horizontal="center" vertical="center"/>
    </xf>
    <xf borderId="11" fillId="37" fontId="75" numFmtId="4" xfId="0" applyAlignment="1" applyBorder="1" applyFont="1" applyNumberFormat="1">
      <alignment horizontal="center" vertical="center"/>
    </xf>
    <xf borderId="11" fillId="8" fontId="75" numFmtId="4" xfId="0" applyAlignment="1" applyBorder="1" applyFont="1" applyNumberFormat="1">
      <alignment horizontal="center" vertical="center"/>
    </xf>
    <xf borderId="11" fillId="0" fontId="75" numFmtId="4" xfId="0" applyAlignment="1" applyBorder="1" applyFont="1" applyNumberFormat="1">
      <alignment horizontal="center" vertical="center"/>
    </xf>
    <xf borderId="11" fillId="37" fontId="63" numFmtId="4" xfId="0" applyAlignment="1" applyBorder="1" applyFont="1" applyNumberFormat="1">
      <alignment horizontal="center" vertical="center"/>
    </xf>
    <xf borderId="11" fillId="38" fontId="75" numFmtId="4" xfId="0" applyAlignment="1" applyBorder="1" applyFont="1" applyNumberFormat="1">
      <alignment horizontal="center" vertical="center"/>
    </xf>
    <xf borderId="4" fillId="9" fontId="5" numFmtId="0" xfId="0" applyAlignment="1" applyBorder="1" applyFont="1">
      <alignment horizontal="center" vertical="center"/>
    </xf>
    <xf borderId="11" fillId="29" fontId="76" numFmtId="4" xfId="0" applyAlignment="1" applyBorder="1" applyFont="1" applyNumberFormat="1">
      <alignment horizontal="center" vertical="center"/>
    </xf>
    <xf borderId="11" fillId="29" fontId="64" numFmtId="4" xfId="0" applyAlignment="1" applyBorder="1" applyFont="1" applyNumberFormat="1">
      <alignment horizontal="center" vertical="center"/>
    </xf>
    <xf borderId="11" fillId="29" fontId="75" numFmtId="4" xfId="0" applyAlignment="1" applyBorder="1" applyFont="1" applyNumberFormat="1">
      <alignment horizontal="center" shrinkToFit="0" vertical="center" wrapText="1"/>
    </xf>
    <xf borderId="11" fillId="29" fontId="75" numFmtId="4" xfId="0" applyAlignment="1" applyBorder="1" applyFont="1" applyNumberFormat="1">
      <alignment horizontal="center" vertical="center"/>
    </xf>
    <xf borderId="4" fillId="29" fontId="64" numFmtId="4" xfId="0" applyAlignment="1" applyBorder="1" applyFont="1" applyNumberFormat="1">
      <alignment horizontal="center" vertical="center"/>
    </xf>
    <xf borderId="4" fillId="9" fontId="6" numFmtId="0" xfId="0" applyAlignment="1" applyBorder="1" applyFont="1">
      <alignment horizontal="center" vertical="center"/>
    </xf>
    <xf borderId="11" fillId="36" fontId="76" numFmtId="4" xfId="0" applyAlignment="1" applyBorder="1" applyFont="1" applyNumberFormat="1">
      <alignment horizontal="center" vertical="center"/>
    </xf>
    <xf borderId="11" fillId="36" fontId="75" numFmtId="4" xfId="0" applyAlignment="1" applyBorder="1" applyFont="1" applyNumberFormat="1">
      <alignment horizontal="center" vertical="center"/>
    </xf>
    <xf borderId="4" fillId="36" fontId="75" numFmtId="4" xfId="0" applyAlignment="1" applyBorder="1" applyFont="1" applyNumberFormat="1">
      <alignment horizontal="center" vertical="center"/>
    </xf>
    <xf borderId="4" fillId="0" fontId="75" numFmtId="4" xfId="0" applyAlignment="1" applyBorder="1" applyFont="1" applyNumberFormat="1">
      <alignment horizontal="center" vertical="center"/>
    </xf>
    <xf borderId="7" fillId="0" fontId="64" numFmtId="4" xfId="0" applyAlignment="1" applyBorder="1" applyFont="1" applyNumberFormat="1">
      <alignment horizontal="center" vertical="center"/>
    </xf>
    <xf borderId="13" fillId="0" fontId="64" numFmtId="4" xfId="0" applyAlignment="1" applyBorder="1" applyFont="1" applyNumberFormat="1">
      <alignment horizontal="center" vertical="center"/>
    </xf>
    <xf borderId="4" fillId="22" fontId="75" numFmtId="4" xfId="0" applyAlignment="1" applyBorder="1" applyFont="1" applyNumberFormat="1">
      <alignment horizontal="center" vertical="center"/>
    </xf>
    <xf borderId="4" fillId="29" fontId="75" numFmtId="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33" fontId="75" numFmtId="4" xfId="0" applyAlignment="1" applyBorder="1" applyFont="1" applyNumberFormat="1">
      <alignment horizontal="center" vertical="center"/>
    </xf>
    <xf borderId="4" fillId="33" fontId="64" numFmtId="4" xfId="0" applyAlignment="1" applyBorder="1" applyFont="1" applyNumberFormat="1">
      <alignment horizontal="center" vertical="center"/>
    </xf>
    <xf borderId="4" fillId="0" fontId="44" numFmtId="4" xfId="0" applyAlignment="1" applyBorder="1" applyFont="1" applyNumberFormat="1">
      <alignment horizontal="center" vertical="center"/>
    </xf>
    <xf borderId="4" fillId="0" fontId="64" numFmtId="4" xfId="0" applyAlignment="1" applyBorder="1" applyFont="1" applyNumberFormat="1">
      <alignment horizontal="center" vertical="center"/>
    </xf>
    <xf borderId="4" fillId="8" fontId="5" numFmtId="0" xfId="0" applyAlignment="1" applyBorder="1" applyFont="1">
      <alignment horizontal="center" vertical="center"/>
    </xf>
    <xf borderId="4" fillId="43" fontId="75" numFmtId="4" xfId="0" applyAlignment="1" applyBorder="1" applyFont="1" applyNumberFormat="1">
      <alignment horizontal="center" vertical="center"/>
    </xf>
    <xf borderId="4" fillId="37" fontId="75" numFmtId="4" xfId="0" applyAlignment="1" applyBorder="1" applyFont="1" applyNumberFormat="1">
      <alignment horizontal="center" vertical="center"/>
    </xf>
    <xf borderId="4" fillId="8" fontId="75" numFmtId="4" xfId="0" applyAlignment="1" applyBorder="1" applyFont="1" applyNumberFormat="1">
      <alignment horizontal="center" vertical="center"/>
    </xf>
    <xf borderId="4" fillId="0" fontId="63" numFmtId="4" xfId="0" applyAlignment="1" applyBorder="1" applyFont="1" applyNumberFormat="1">
      <alignment horizontal="center" vertical="center"/>
    </xf>
    <xf borderId="4" fillId="16" fontId="75" numFmtId="4" xfId="0" applyAlignment="1" applyBorder="1" applyFont="1" applyNumberFormat="1">
      <alignment horizontal="center" vertical="center"/>
    </xf>
    <xf borderId="4" fillId="43" fontId="64" numFmtId="4" xfId="0" applyAlignment="1" applyBorder="1" applyFont="1" applyNumberFormat="1">
      <alignment horizontal="center" vertical="center"/>
    </xf>
    <xf borderId="4" fillId="43" fontId="77" numFmtId="4" xfId="0" applyAlignment="1" applyBorder="1" applyFont="1" applyNumberFormat="1">
      <alignment horizontal="center" vertical="center"/>
    </xf>
    <xf borderId="4" fillId="43" fontId="63" numFmtId="4" xfId="0" applyAlignment="1" applyBorder="1" applyFont="1" applyNumberFormat="1">
      <alignment horizontal="center" vertical="center"/>
    </xf>
    <xf borderId="4" fillId="35" fontId="64" numFmtId="4" xfId="0" applyAlignment="1" applyBorder="1" applyFont="1" applyNumberFormat="1">
      <alignment horizontal="center" vertical="center"/>
    </xf>
    <xf borderId="4" fillId="36" fontId="64" numFmtId="4" xfId="0" applyAlignment="1" applyBorder="1" applyFont="1" applyNumberFormat="1">
      <alignment horizontal="center" vertical="center"/>
    </xf>
    <xf borderId="7" fillId="9" fontId="5" numFmtId="0" xfId="0" applyAlignment="1" applyBorder="1" applyFont="1">
      <alignment horizontal="center" vertical="center"/>
    </xf>
    <xf borderId="7" fillId="37" fontId="64" numFmtId="4" xfId="0" applyAlignment="1" applyBorder="1" applyFont="1" applyNumberFormat="1">
      <alignment horizontal="center" vertical="center"/>
    </xf>
    <xf borderId="7" fillId="9" fontId="64" numFmtId="4" xfId="0" applyAlignment="1" applyBorder="1" applyFont="1" applyNumberFormat="1">
      <alignment horizontal="center" vertical="center"/>
    </xf>
    <xf borderId="7" fillId="43" fontId="64" numFmtId="4" xfId="0" applyAlignment="1" applyBorder="1" applyFont="1" applyNumberFormat="1">
      <alignment horizontal="center" vertical="center"/>
    </xf>
    <xf borderId="4" fillId="20" fontId="64" numFmtId="4" xfId="0" applyAlignment="1" applyBorder="1" applyFont="1" applyNumberFormat="1">
      <alignment horizontal="center" vertical="center"/>
    </xf>
    <xf borderId="10" fillId="9" fontId="5" numFmtId="0" xfId="0" applyAlignment="1" applyBorder="1" applyFont="1">
      <alignment horizontal="center" vertical="center"/>
    </xf>
    <xf borderId="10" fillId="0" fontId="64" numFmtId="4" xfId="0" applyAlignment="1" applyBorder="1" applyFont="1" applyNumberFormat="1">
      <alignment horizontal="center" vertical="center"/>
    </xf>
    <xf borderId="57" fillId="0" fontId="5" numFmtId="0" xfId="0" applyAlignment="1" applyBorder="1" applyFont="1">
      <alignment horizontal="left" vertical="top"/>
    </xf>
    <xf borderId="57" fillId="0" fontId="5" numFmtId="165" xfId="0" applyAlignment="1" applyBorder="1" applyFont="1" applyNumberFormat="1">
      <alignment horizontal="left" vertical="top"/>
    </xf>
    <xf borderId="10" fillId="38" fontId="75" numFmtId="4" xfId="0" applyAlignment="1" applyBorder="1" applyFont="1" applyNumberFormat="1">
      <alignment horizontal="center" vertical="center"/>
    </xf>
    <xf borderId="11" fillId="0" fontId="63" numFmtId="4" xfId="0" applyAlignment="1" applyBorder="1" applyFont="1" applyNumberFormat="1">
      <alignment horizontal="center" vertical="center"/>
    </xf>
    <xf borderId="11" fillId="19" fontId="76" numFmtId="4" xfId="0" applyAlignment="1" applyBorder="1" applyFont="1" applyNumberFormat="1">
      <alignment horizontal="center" vertical="center"/>
    </xf>
    <xf borderId="11" fillId="19" fontId="75" numFmtId="4" xfId="0" applyAlignment="1" applyBorder="1" applyFont="1" applyNumberFormat="1">
      <alignment horizontal="center" vertical="center"/>
    </xf>
    <xf borderId="4" fillId="19" fontId="75" numFmtId="4" xfId="0" applyAlignment="1" applyBorder="1" applyFont="1" applyNumberFormat="1">
      <alignment horizontal="center" vertical="center"/>
    </xf>
    <xf borderId="13" fillId="31" fontId="64" numFmtId="4" xfId="0" applyAlignment="1" applyBorder="1" applyFont="1" applyNumberFormat="1">
      <alignment horizontal="center" vertical="center"/>
    </xf>
    <xf borderId="4" fillId="45" fontId="64" numFmtId="4" xfId="0" applyAlignment="1" applyBorder="1" applyFill="1" applyFont="1" applyNumberFormat="1">
      <alignment horizontal="center" vertical="center"/>
    </xf>
    <xf borderId="4" fillId="27" fontId="75" numFmtId="4" xfId="0" applyAlignment="1" applyBorder="1" applyFont="1" applyNumberFormat="1">
      <alignment horizontal="center" vertical="center"/>
    </xf>
    <xf borderId="4" fillId="21" fontId="75" numFmtId="4" xfId="0" applyAlignment="1" applyBorder="1" applyFont="1" applyNumberFormat="1">
      <alignment horizontal="center" vertical="center"/>
    </xf>
    <xf borderId="4" fillId="31" fontId="64" numFmtId="4" xfId="0" applyAlignment="1" applyBorder="1" applyFont="1" applyNumberFormat="1">
      <alignment horizontal="center" vertical="center"/>
    </xf>
    <xf borderId="4" fillId="28" fontId="26" numFmtId="165" xfId="0" applyAlignment="1" applyBorder="1" applyFont="1" applyNumberFormat="1">
      <alignment horizontal="center" vertical="top"/>
    </xf>
    <xf borderId="4" fillId="45" fontId="75" numFmtId="4" xfId="0" applyAlignment="1" applyBorder="1" applyFont="1" applyNumberFormat="1">
      <alignment horizontal="center" vertical="center"/>
    </xf>
    <xf borderId="25" fillId="45" fontId="17" numFmtId="0" xfId="0" applyAlignment="1" applyBorder="1" applyFont="1">
      <alignment horizontal="center" vertical="top"/>
    </xf>
    <xf borderId="4" fillId="45" fontId="26" numFmtId="165" xfId="0" applyAlignment="1" applyBorder="1" applyFont="1" applyNumberFormat="1">
      <alignment horizontal="center" vertical="top"/>
    </xf>
    <xf borderId="4" fillId="45" fontId="26" numFmtId="164" xfId="0" applyAlignment="1" applyBorder="1" applyFont="1" applyNumberFormat="1">
      <alignment horizontal="center" vertical="top"/>
    </xf>
    <xf borderId="25" fillId="45" fontId="26" numFmtId="164" xfId="0" applyAlignment="1" applyBorder="1" applyFont="1" applyNumberFormat="1">
      <alignment horizontal="center" vertical="top"/>
    </xf>
    <xf borderId="25" fillId="45" fontId="48" numFmtId="164" xfId="0" applyAlignment="1" applyBorder="1" applyFont="1" applyNumberFormat="1">
      <alignment horizontal="center" vertical="top"/>
    </xf>
    <xf borderId="25" fillId="45" fontId="17" numFmtId="164" xfId="0" applyAlignment="1" applyBorder="1" applyFont="1" applyNumberFormat="1">
      <alignment horizontal="center" vertical="top"/>
    </xf>
    <xf borderId="0" fillId="37" fontId="64" numFmtId="4" xfId="0" applyAlignment="1" applyFont="1" applyNumberFormat="1">
      <alignment horizontal="center" vertical="center"/>
    </xf>
    <xf borderId="0" fillId="8" fontId="17" numFmtId="0" xfId="0" applyAlignment="1" applyFont="1">
      <alignment horizontal="left" vertical="top"/>
    </xf>
    <xf borderId="4" fillId="19" fontId="64" numFmtId="4" xfId="0" applyAlignment="1" applyBorder="1" applyFont="1" applyNumberFormat="1">
      <alignment horizontal="center" vertical="center"/>
    </xf>
    <xf borderId="4" fillId="28" fontId="64" numFmtId="4" xfId="0" applyAlignment="1" applyBorder="1" applyFont="1" applyNumberFormat="1">
      <alignment horizontal="center" vertical="center"/>
    </xf>
    <xf borderId="4" fillId="31" fontId="75" numFmtId="4" xfId="0" applyAlignment="1" applyBorder="1" applyFont="1" applyNumberFormat="1">
      <alignment horizontal="center" vertical="center"/>
    </xf>
    <xf borderId="4" fillId="38" fontId="75" numFmtId="4" xfId="0" applyAlignment="1" applyBorder="1" applyFont="1" applyNumberFormat="1">
      <alignment horizontal="center" vertical="center"/>
    </xf>
    <xf borderId="4" fillId="38" fontId="64" numFmtId="4" xfId="0" applyAlignment="1" applyBorder="1" applyFont="1" applyNumberFormat="1">
      <alignment horizontal="center" vertical="center"/>
    </xf>
    <xf borderId="10" fillId="0" fontId="75" numFmtId="4" xfId="0" applyAlignment="1" applyBorder="1" applyFont="1" applyNumberFormat="1">
      <alignment horizontal="center" vertical="center"/>
    </xf>
    <xf borderId="11" fillId="16" fontId="75" numFmtId="4" xfId="0" applyAlignment="1" applyBorder="1" applyFont="1" applyNumberFormat="1">
      <alignment horizontal="center" vertical="center"/>
    </xf>
    <xf borderId="11" fillId="0" fontId="64" numFmtId="4" xfId="0" applyAlignment="1" applyBorder="1" applyFont="1" applyNumberFormat="1">
      <alignment horizontal="center" vertical="center"/>
    </xf>
    <xf borderId="7" fillId="31" fontId="64" numFmtId="4" xfId="0" applyAlignment="1" applyBorder="1" applyFont="1" applyNumberFormat="1">
      <alignment horizontal="center" vertical="center"/>
    </xf>
    <xf borderId="4" fillId="45" fontId="48" numFmtId="165" xfId="0" applyAlignment="1" applyBorder="1" applyFont="1" applyNumberFormat="1">
      <alignment horizontal="center" vertical="top"/>
    </xf>
    <xf borderId="4" fillId="45" fontId="78" numFmtId="164" xfId="0" applyAlignment="1" applyBorder="1" applyFont="1" applyNumberFormat="1">
      <alignment horizontal="center" vertical="top"/>
    </xf>
    <xf borderId="25" fillId="45" fontId="78" numFmtId="164" xfId="0" applyAlignment="1" applyBorder="1" applyFont="1" applyNumberFormat="1">
      <alignment horizontal="center" vertical="top"/>
    </xf>
    <xf borderId="4" fillId="25" fontId="49" numFmtId="4" xfId="0" applyAlignment="1" applyBorder="1" applyFont="1" applyNumberFormat="1">
      <alignment horizontal="center" vertical="center"/>
    </xf>
    <xf borderId="4" fillId="25" fontId="75" numFmtId="4" xfId="0" applyAlignment="1" applyBorder="1" applyFont="1" applyNumberFormat="1">
      <alignment horizontal="center" vertical="center"/>
    </xf>
    <xf borderId="4" fillId="25" fontId="64" numFmtId="4" xfId="0" applyAlignment="1" applyBorder="1" applyFont="1" applyNumberFormat="1">
      <alignment horizontal="center" vertical="center"/>
    </xf>
    <xf borderId="0" fillId="0" fontId="64" numFmtId="4" xfId="0" applyAlignment="1" applyFont="1" applyNumberFormat="1">
      <alignment horizontal="center" vertical="center"/>
    </xf>
    <xf borderId="0" fillId="38" fontId="17" numFmtId="0" xfId="0" applyAlignment="1" applyFont="1">
      <alignment horizontal="left" vertical="top"/>
    </xf>
    <xf borderId="7" fillId="16" fontId="64" numFmtId="4" xfId="0" applyAlignment="1" applyBorder="1" applyFont="1" applyNumberFormat="1">
      <alignment horizontal="center" vertical="center"/>
    </xf>
    <xf borderId="7" fillId="38" fontId="64" numFmtId="4" xfId="0" applyAlignment="1" applyBorder="1" applyFont="1" applyNumberFormat="1">
      <alignment horizontal="center" vertical="center"/>
    </xf>
    <xf borderId="4" fillId="9" fontId="64" numFmtId="4" xfId="0" applyAlignment="1" applyBorder="1" applyFont="1" applyNumberFormat="1">
      <alignment horizontal="center" vertical="center"/>
    </xf>
    <xf borderId="4" fillId="9" fontId="5" numFmtId="0" xfId="0" applyAlignment="1" applyBorder="1" applyFont="1">
      <alignment horizontal="center" shrinkToFit="0" vertical="center" wrapText="0"/>
    </xf>
    <xf borderId="4" fillId="20" fontId="75" numFmtId="4" xfId="0" applyAlignment="1" applyBorder="1" applyFont="1" applyNumberFormat="1">
      <alignment horizontal="center" vertical="center"/>
    </xf>
    <xf borderId="4" fillId="35" fontId="75" numFmtId="4" xfId="0" applyAlignment="1" applyBorder="1" applyFont="1" applyNumberFormat="1">
      <alignment horizontal="center" vertical="center"/>
    </xf>
    <xf borderId="11" fillId="31" fontId="76" numFmtId="4" xfId="0" applyAlignment="1" applyBorder="1" applyFont="1" applyNumberFormat="1">
      <alignment horizontal="center" vertical="center"/>
    </xf>
    <xf borderId="11" fillId="31" fontId="64" numFmtId="4" xfId="0" applyAlignment="1" applyBorder="1" applyFont="1" applyNumberFormat="1">
      <alignment horizontal="center" vertical="center"/>
    </xf>
    <xf borderId="11" fillId="31" fontId="75" numFmtId="4" xfId="0" applyAlignment="1" applyBorder="1" applyFont="1" applyNumberFormat="1">
      <alignment horizontal="center" shrinkToFit="0" vertical="center" wrapText="1"/>
    </xf>
    <xf borderId="11" fillId="31" fontId="75" numFmtId="4" xfId="0" applyAlignment="1" applyBorder="1" applyFont="1" applyNumberFormat="1">
      <alignment horizontal="center" vertical="center"/>
    </xf>
    <xf borderId="11" fillId="46" fontId="76" numFmtId="4" xfId="0" applyAlignment="1" applyBorder="1" applyFill="1" applyFont="1" applyNumberFormat="1">
      <alignment horizontal="center" vertical="center"/>
    </xf>
    <xf borderId="11" fillId="46" fontId="75" numFmtId="4" xfId="0" applyAlignment="1" applyBorder="1" applyFont="1" applyNumberFormat="1">
      <alignment horizontal="center" vertical="center"/>
    </xf>
    <xf borderId="10" fillId="46" fontId="75" numFmtId="4" xfId="0" applyAlignment="1" applyBorder="1" applyFont="1" applyNumberFormat="1">
      <alignment horizontal="center" vertical="center"/>
    </xf>
    <xf borderId="4" fillId="46" fontId="75" numFmtId="4" xfId="0" applyAlignment="1" applyBorder="1" applyFont="1" applyNumberFormat="1">
      <alignment horizontal="center" vertical="center"/>
    </xf>
    <xf borderId="10" fillId="22" fontId="75" numFmtId="4" xfId="0" applyAlignment="1" applyBorder="1" applyFont="1" applyNumberFormat="1">
      <alignment horizontal="center" vertical="center"/>
    </xf>
    <xf borderId="10" fillId="31" fontId="75" numFmtId="4" xfId="0" applyAlignment="1" applyBorder="1" applyFont="1" applyNumberFormat="1">
      <alignment horizontal="center" vertical="center"/>
    </xf>
    <xf borderId="0" fillId="38" fontId="64" numFmtId="4" xfId="0" applyAlignment="1" applyFont="1" applyNumberFormat="1">
      <alignment horizontal="center" vertical="center"/>
    </xf>
    <xf borderId="94" fillId="9" fontId="23" numFmtId="164" xfId="0" applyAlignment="1" applyBorder="1" applyFont="1" applyNumberFormat="1">
      <alignment horizontal="center" shrinkToFit="0" vertical="center" wrapText="1"/>
    </xf>
    <xf borderId="10" fillId="16" fontId="75" numFmtId="4" xfId="0" applyAlignment="1" applyBorder="1" applyFont="1" applyNumberFormat="1">
      <alignment horizontal="center" vertical="center"/>
    </xf>
    <xf borderId="10" fillId="28" fontId="75" numFmtId="4" xfId="0" applyAlignment="1" applyBorder="1" applyFont="1" applyNumberFormat="1">
      <alignment horizontal="center" vertical="center"/>
    </xf>
    <xf borderId="10" fillId="20" fontId="75" numFmtId="4" xfId="0" applyAlignment="1" applyBorder="1" applyFont="1" applyNumberFormat="1">
      <alignment horizontal="center" vertical="center"/>
    </xf>
    <xf borderId="4" fillId="41" fontId="64" numFmtId="4" xfId="0" applyAlignment="1" applyBorder="1" applyFont="1" applyNumberFormat="1">
      <alignment horizontal="center" vertical="center"/>
    </xf>
    <xf borderId="13" fillId="12" fontId="17" numFmtId="164" xfId="0" applyAlignment="1" applyBorder="1" applyFont="1" applyNumberFormat="1">
      <alignment horizontal="center" vertical="top"/>
    </xf>
    <xf borderId="11" fillId="46" fontId="64" numFmtId="4" xfId="0" applyAlignment="1" applyBorder="1" applyFont="1" applyNumberFormat="1">
      <alignment horizontal="center" vertical="center"/>
    </xf>
    <xf borderId="10" fillId="8" fontId="75" numFmtId="4" xfId="0" applyAlignment="1" applyBorder="1" applyFont="1" applyNumberFormat="1">
      <alignment horizontal="center" vertical="center"/>
    </xf>
    <xf borderId="10" fillId="35" fontId="75" numFmtId="4" xfId="0" applyAlignment="1" applyBorder="1" applyFont="1" applyNumberFormat="1">
      <alignment horizontal="center" vertical="center"/>
    </xf>
    <xf borderId="12" fillId="8" fontId="23" numFmtId="164" xfId="0" applyAlignment="1" applyBorder="1" applyFont="1" applyNumberFormat="1">
      <alignment horizontal="center" shrinkToFit="0" vertical="center" wrapText="1"/>
    </xf>
    <xf borderId="0" fillId="15" fontId="17" numFmtId="9" xfId="0" applyAlignment="1" applyFont="1" applyNumberFormat="1">
      <alignment horizontal="center" vertical="top"/>
    </xf>
    <xf borderId="4" fillId="46" fontId="64" numFmtId="4" xfId="0" applyAlignment="1" applyBorder="1" applyFont="1" applyNumberFormat="1">
      <alignment horizontal="center" vertical="center"/>
    </xf>
    <xf borderId="4" fillId="47" fontId="64" numFmtId="4" xfId="0" applyAlignment="1" applyBorder="1" applyFill="1" applyFont="1" applyNumberFormat="1">
      <alignment horizontal="center" vertical="center"/>
    </xf>
    <xf borderId="0" fillId="0" fontId="21" numFmtId="0" xfId="0" applyAlignment="1" applyFont="1">
      <alignment horizontal="center" vertical="center"/>
    </xf>
    <xf borderId="4" fillId="9" fontId="75" numFmtId="4" xfId="0" applyAlignment="1" applyBorder="1" applyFont="1" applyNumberFormat="1">
      <alignment horizontal="center" vertical="center"/>
    </xf>
    <xf borderId="10" fillId="9" fontId="75" numFmtId="4" xfId="0" applyAlignment="1" applyBorder="1" applyFont="1" applyNumberFormat="1">
      <alignment horizontal="center" vertical="center"/>
    </xf>
    <xf borderId="4" fillId="28" fontId="75" numFmtId="4" xfId="0" applyAlignment="1" applyBorder="1" applyFont="1" applyNumberFormat="1">
      <alignment horizontal="center" vertical="center"/>
    </xf>
    <xf borderId="4" fillId="48" fontId="75" numFmtId="4" xfId="0" applyAlignment="1" applyBorder="1" applyFill="1" applyFont="1" applyNumberFormat="1">
      <alignment horizontal="center" vertical="center"/>
    </xf>
    <xf borderId="4" fillId="48" fontId="64" numFmtId="4" xfId="0" applyAlignment="1" applyBorder="1" applyFont="1" applyNumberFormat="1">
      <alignment horizontal="center" vertical="center"/>
    </xf>
    <xf borderId="25" fillId="48" fontId="17" numFmtId="0" xfId="0" applyAlignment="1" applyBorder="1" applyFont="1">
      <alignment horizontal="center" vertical="center"/>
    </xf>
    <xf borderId="4" fillId="48" fontId="17" numFmtId="164" xfId="0" applyAlignment="1" applyBorder="1" applyFont="1" applyNumberFormat="1">
      <alignment horizontal="center" vertical="top"/>
    </xf>
    <xf borderId="25" fillId="48" fontId="17" numFmtId="164" xfId="0" applyAlignment="1" applyBorder="1" applyFont="1" applyNumberFormat="1">
      <alignment horizontal="center" vertical="top"/>
    </xf>
    <xf borderId="25" fillId="47" fontId="17" numFmtId="0" xfId="0" applyAlignment="1" applyBorder="1" applyFont="1">
      <alignment horizontal="center" vertical="top"/>
    </xf>
    <xf borderId="4" fillId="47" fontId="17" numFmtId="164" xfId="0" applyAlignment="1" applyBorder="1" applyFont="1" applyNumberFormat="1">
      <alignment horizontal="center" vertical="top"/>
    </xf>
    <xf borderId="25" fillId="47" fontId="17" numFmtId="164" xfId="0" applyAlignment="1" applyBorder="1" applyFont="1" applyNumberFormat="1">
      <alignment horizontal="center" vertical="top"/>
    </xf>
    <xf borderId="4" fillId="0" fontId="71" numFmtId="164" xfId="0" applyAlignment="1" applyBorder="1" applyFont="1" applyNumberFormat="1">
      <alignment horizontal="center" vertical="top"/>
    </xf>
    <xf borderId="25" fillId="0" fontId="71" numFmtId="164" xfId="0" applyAlignment="1" applyBorder="1" applyFont="1" applyNumberFormat="1">
      <alignment horizontal="center" vertical="top"/>
    </xf>
    <xf borderId="11" fillId="49" fontId="76" numFmtId="4" xfId="0" applyAlignment="1" applyBorder="1" applyFill="1" applyFont="1" applyNumberFormat="1">
      <alignment horizontal="center" vertical="center"/>
    </xf>
    <xf borderId="11" fillId="49" fontId="75" numFmtId="4" xfId="0" applyAlignment="1" applyBorder="1" applyFont="1" applyNumberFormat="1">
      <alignment horizontal="center" vertical="center"/>
    </xf>
    <xf borderId="10" fillId="49" fontId="75" numFmtId="4" xfId="0" applyAlignment="1" applyBorder="1" applyFont="1" applyNumberFormat="1">
      <alignment horizontal="center" vertical="center"/>
    </xf>
    <xf borderId="4" fillId="49" fontId="75" numFmtId="4" xfId="0" applyAlignment="1" applyBorder="1" applyFont="1" applyNumberFormat="1">
      <alignment horizontal="center" vertical="center"/>
    </xf>
    <xf borderId="50" fillId="25" fontId="52" numFmtId="165" xfId="0" applyAlignment="1" applyBorder="1" applyFont="1" applyNumberFormat="1">
      <alignment horizontal="center" vertical="center"/>
    </xf>
    <xf borderId="11" fillId="49" fontId="64" numFmtId="4" xfId="0" applyAlignment="1" applyBorder="1" applyFont="1" applyNumberFormat="1">
      <alignment horizontal="center" vertical="center"/>
    </xf>
    <xf borderId="4" fillId="49" fontId="64" numFmtId="4" xfId="0" applyAlignment="1" applyBorder="1" applyFont="1" applyNumberFormat="1">
      <alignment horizontal="center" vertical="center"/>
    </xf>
    <xf borderId="4" fillId="47" fontId="75" numFmtId="4" xfId="0" applyAlignment="1" applyBorder="1" applyFont="1" applyNumberFormat="1">
      <alignment horizontal="center" vertical="center"/>
    </xf>
    <xf borderId="10" fillId="48" fontId="75" numFmtId="4" xfId="0" applyAlignment="1" applyBorder="1" applyFont="1" applyNumberFormat="1">
      <alignment horizontal="center" vertical="center"/>
    </xf>
    <xf borderId="12" fillId="0" fontId="24" numFmtId="164" xfId="0" applyAlignment="1" applyBorder="1" applyFont="1" applyNumberFormat="1">
      <alignment horizontal="center" shrinkToFit="0" vertical="top" wrapText="1"/>
    </xf>
    <xf borderId="95" fillId="0" fontId="79" numFmtId="4" xfId="0" applyAlignment="1" applyBorder="1" applyFont="1" applyNumberFormat="1">
      <alignment horizontal="center" vertical="top"/>
    </xf>
    <xf borderId="96" fillId="0" fontId="39" numFmtId="0" xfId="0" applyAlignment="1" applyBorder="1" applyFont="1">
      <alignment horizontal="left" vertical="top"/>
    </xf>
    <xf borderId="97" fillId="0" fontId="5" numFmtId="0" xfId="0" applyAlignment="1" applyBorder="1" applyFont="1">
      <alignment horizontal="left" vertical="center"/>
    </xf>
    <xf borderId="97" fillId="0" fontId="17" numFmtId="0" xfId="0" applyAlignment="1" applyBorder="1" applyFont="1">
      <alignment horizontal="center" vertical="top"/>
    </xf>
    <xf borderId="97" fillId="0" fontId="6" numFmtId="0" xfId="0" applyAlignment="1" applyBorder="1" applyFont="1">
      <alignment horizontal="left" vertical="center"/>
    </xf>
    <xf borderId="11" fillId="38" fontId="64" numFmtId="4" xfId="0" applyAlignment="1" applyBorder="1" applyFont="1" applyNumberFormat="1">
      <alignment horizontal="center" vertical="center"/>
    </xf>
    <xf borderId="4" fillId="47" fontId="48" numFmtId="165" xfId="0" applyAlignment="1" applyBorder="1" applyFont="1" applyNumberFormat="1">
      <alignment horizontal="center" vertical="top"/>
    </xf>
    <xf borderId="4" fillId="47" fontId="48" numFmtId="164" xfId="0" applyAlignment="1" applyBorder="1" applyFont="1" applyNumberFormat="1">
      <alignment horizontal="center" vertical="top"/>
    </xf>
    <xf borderId="25" fillId="47" fontId="48" numFmtId="164" xfId="0" applyAlignment="1" applyBorder="1" applyFont="1" applyNumberFormat="1">
      <alignment horizontal="center" vertical="top"/>
    </xf>
    <xf borderId="10" fillId="47" fontId="75" numFmtId="4" xfId="0" applyAlignment="1" applyBorder="1" applyFont="1" applyNumberFormat="1">
      <alignment horizontal="center" vertical="center"/>
    </xf>
    <xf borderId="10" fillId="35" fontId="64" numFmtId="4" xfId="0" applyAlignment="1" applyBorder="1" applyFont="1" applyNumberFormat="1">
      <alignment horizontal="center" vertical="center"/>
    </xf>
    <xf borderId="4" fillId="35" fontId="64" numFmtId="0" xfId="0" applyAlignment="1" applyBorder="1" applyFont="1">
      <alignment horizontal="center" vertical="center"/>
    </xf>
    <xf borderId="9" fillId="31" fontId="75" numFmtId="4" xfId="0" applyAlignment="1" applyBorder="1" applyFont="1" applyNumberFormat="1">
      <alignment horizontal="center" vertical="center"/>
    </xf>
    <xf borderId="10" fillId="50" fontId="75" numFmtId="4" xfId="0" applyAlignment="1" applyBorder="1" applyFill="1" applyFont="1" applyNumberFormat="1">
      <alignment horizontal="center" vertical="center"/>
    </xf>
    <xf borderId="11" fillId="50" fontId="75" numFmtId="4" xfId="0" applyAlignment="1" applyBorder="1" applyFont="1" applyNumberFormat="1">
      <alignment horizontal="center" vertical="center"/>
    </xf>
    <xf borderId="4" fillId="50" fontId="75" numFmtId="4" xfId="0" applyAlignment="1" applyBorder="1" applyFont="1" applyNumberFormat="1">
      <alignment horizontal="center" vertical="center"/>
    </xf>
    <xf borderId="11" fillId="9" fontId="75" numFmtId="4" xfId="0" applyAlignment="1" applyBorder="1" applyFont="1" applyNumberFormat="1">
      <alignment horizontal="center" vertical="center"/>
    </xf>
    <xf borderId="11" fillId="22" fontId="75" numFmtId="4" xfId="0" applyAlignment="1" applyBorder="1" applyFont="1" applyNumberFormat="1">
      <alignment horizontal="center" vertical="center"/>
    </xf>
    <xf borderId="4" fillId="50" fontId="64" numFmtId="4" xfId="0" applyAlignment="1" applyBorder="1" applyFont="1" applyNumberFormat="1">
      <alignment horizontal="center" vertical="center"/>
    </xf>
    <xf borderId="11" fillId="20" fontId="75" numFmtId="4" xfId="0" applyAlignment="1" applyBorder="1" applyFont="1" applyNumberFormat="1">
      <alignment horizontal="center" vertical="center"/>
    </xf>
    <xf borderId="11" fillId="47" fontId="75" numFmtId="4" xfId="0" applyAlignment="1" applyBorder="1" applyFont="1" applyNumberFormat="1">
      <alignment horizontal="center" vertical="center"/>
    </xf>
    <xf borderId="4" fillId="38" fontId="75" numFmtId="0" xfId="0" applyAlignment="1" applyBorder="1" applyFont="1">
      <alignment horizontal="center" vertical="center"/>
    </xf>
    <xf borderId="10" fillId="27" fontId="75" numFmtId="4" xfId="0" applyAlignment="1" applyBorder="1" applyFont="1" applyNumberFormat="1">
      <alignment horizontal="center" vertical="center"/>
    </xf>
    <xf borderId="11" fillId="27" fontId="75" numFmtId="4" xfId="0" applyAlignment="1" applyBorder="1" applyFont="1" applyNumberFormat="1">
      <alignment horizontal="center" vertical="center"/>
    </xf>
    <xf borderId="4" fillId="37" fontId="64" numFmtId="0" xfId="0" applyAlignment="1" applyBorder="1" applyFont="1">
      <alignment horizontal="center" vertical="center"/>
    </xf>
    <xf borderId="0" fillId="12" fontId="17" numFmtId="164" xfId="0" applyAlignment="1" applyFont="1" applyNumberFormat="1">
      <alignment horizontal="center" vertical="center"/>
    </xf>
    <xf borderId="0" fillId="0" fontId="17" numFmtId="0" xfId="0" applyAlignment="1" applyFont="1">
      <alignment horizontal="left" vertical="center"/>
    </xf>
    <xf borderId="0" fillId="0" fontId="25" numFmtId="0" xfId="0" applyAlignment="1" applyFont="1">
      <alignment horizontal="center" vertical="top"/>
    </xf>
    <xf borderId="0" fillId="0" fontId="51" numFmtId="0" xfId="0" applyAlignment="1" applyFont="1">
      <alignment horizontal="center" vertical="center"/>
    </xf>
    <xf borderId="0" fillId="0" fontId="17" numFmtId="164" xfId="0" applyAlignment="1" applyFont="1" applyNumberFormat="1">
      <alignment horizontal="center" vertical="top"/>
    </xf>
    <xf borderId="0" fillId="0" fontId="52" numFmtId="164" xfId="0" applyAlignment="1" applyFont="1" applyNumberFormat="1">
      <alignment horizontal="center" vertical="center"/>
    </xf>
    <xf borderId="0" fillId="0" fontId="71" numFmtId="164" xfId="0" applyAlignment="1" applyFont="1" applyNumberFormat="1">
      <alignment horizontal="center" vertical="top"/>
    </xf>
    <xf borderId="0" fillId="0" fontId="48" numFmtId="164" xfId="0" applyAlignment="1" applyFont="1" applyNumberFormat="1">
      <alignment horizontal="center" vertical="top"/>
    </xf>
    <xf borderId="0" fillId="0" fontId="26" numFmtId="164" xfId="0" applyAlignment="1" applyFont="1" applyNumberFormat="1">
      <alignment horizontal="center" vertical="top"/>
    </xf>
    <xf borderId="0" fillId="0" fontId="5" numFmtId="0" xfId="0" applyAlignment="1" applyFont="1">
      <alignment horizontal="left" vertical="top"/>
    </xf>
    <xf borderId="0" fillId="9" fontId="6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11" fillId="21" fontId="75" numFmtId="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shrinkToFit="0" vertical="top" wrapText="1"/>
    </xf>
    <xf borderId="84" fillId="0" fontId="3" numFmtId="0" xfId="0" applyAlignment="1" applyBorder="1" applyFont="1">
      <alignment horizontal="center" shrinkToFit="0" vertical="top" wrapText="1"/>
    </xf>
    <xf borderId="84" fillId="9" fontId="3" numFmtId="0" xfId="0" applyAlignment="1" applyBorder="1" applyFont="1">
      <alignment horizontal="center" shrinkToFit="0" vertical="top" wrapText="1"/>
    </xf>
    <xf borderId="84" fillId="0" fontId="3" numFmtId="0" xfId="0" applyAlignment="1" applyBorder="1" applyFont="1">
      <alignment horizontal="center" vertical="top"/>
    </xf>
    <xf borderId="4" fillId="9" fontId="17" numFmtId="0" xfId="0" applyAlignment="1" applyBorder="1" applyFont="1">
      <alignment horizontal="left" vertical="top"/>
    </xf>
    <xf borderId="11" fillId="35" fontId="75" numFmtId="4" xfId="0" applyAlignment="1" applyBorder="1" applyFont="1" applyNumberFormat="1">
      <alignment horizontal="center" vertical="center"/>
    </xf>
    <xf borderId="11" fillId="35" fontId="64" numFmtId="4" xfId="0" applyAlignment="1" applyBorder="1" applyFont="1" applyNumberFormat="1">
      <alignment horizontal="center" vertical="center"/>
    </xf>
    <xf borderId="4" fillId="37" fontId="75" numFmtId="0" xfId="0" applyAlignment="1" applyBorder="1" applyFont="1">
      <alignment horizontal="center" vertical="center"/>
    </xf>
    <xf borderId="4" fillId="41" fontId="75" numFmtId="4" xfId="0" applyAlignment="1" applyBorder="1" applyFont="1" applyNumberFormat="1">
      <alignment horizontal="center" vertical="center"/>
    </xf>
    <xf borderId="10" fillId="41" fontId="75" numFmtId="4" xfId="0" applyAlignment="1" applyBorder="1" applyFont="1" applyNumberFormat="1">
      <alignment horizontal="center" vertical="center"/>
    </xf>
    <xf borderId="11" fillId="41" fontId="75" numFmtId="4" xfId="0" applyAlignment="1" applyBorder="1" applyFont="1" applyNumberFormat="1">
      <alignment horizontal="center" vertical="center"/>
    </xf>
    <xf borderId="4" fillId="41" fontId="64" numFmtId="0" xfId="0" applyAlignment="1" applyBorder="1" applyFont="1">
      <alignment horizontal="center" vertical="center"/>
    </xf>
    <xf borderId="0" fillId="0" fontId="75" numFmtId="4" xfId="0" applyAlignment="1" applyFont="1" applyNumberFormat="1">
      <alignment horizontal="center" vertical="center"/>
    </xf>
    <xf borderId="0" fillId="0" fontId="23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0" fillId="0" fontId="66" numFmtId="0" xfId="0" applyAlignment="1" applyFont="1">
      <alignment horizontal="center" vertical="top"/>
    </xf>
    <xf borderId="0" fillId="0" fontId="5" numFmtId="0" xfId="0" applyAlignment="1" applyFont="1">
      <alignment horizontal="center" shrinkToFit="0" vertical="center" wrapText="0"/>
    </xf>
    <xf borderId="0" fillId="0" fontId="75" numFmtId="0" xfId="0" applyAlignment="1" applyFont="1">
      <alignment horizontal="center" vertical="center"/>
    </xf>
    <xf borderId="0" fillId="0" fontId="64" numFmtId="0" xfId="0" applyAlignment="1" applyFont="1">
      <alignment horizontal="center" vertical="center"/>
    </xf>
    <xf borderId="10" fillId="21" fontId="75" numFmtId="4" xfId="0" applyAlignment="1" applyBorder="1" applyFont="1" applyNumberFormat="1">
      <alignment horizontal="center" vertical="center"/>
    </xf>
    <xf borderId="4" fillId="9" fontId="74" numFmtId="0" xfId="0" applyAlignment="1" applyBorder="1" applyFont="1">
      <alignment horizontal="center" vertical="top"/>
    </xf>
    <xf borderId="11" fillId="26" fontId="76" numFmtId="4" xfId="0" applyAlignment="1" applyBorder="1" applyFont="1" applyNumberFormat="1">
      <alignment horizontal="center" vertical="center"/>
    </xf>
    <xf borderId="4" fillId="26" fontId="76" numFmtId="4" xfId="0" applyAlignment="1" applyBorder="1" applyFont="1" applyNumberFormat="1">
      <alignment horizontal="center" vertical="center"/>
    </xf>
    <xf borderId="4" fillId="51" fontId="80" numFmtId="4" xfId="0" applyAlignment="1" applyBorder="1" applyFill="1" applyFont="1" applyNumberFormat="1">
      <alignment horizontal="center" vertical="center"/>
    </xf>
    <xf borderId="4" fillId="8" fontId="64" numFmtId="0" xfId="0" applyAlignment="1" applyBorder="1" applyFont="1">
      <alignment horizontal="center" vertical="center"/>
    </xf>
    <xf borderId="10" fillId="29" fontId="75" numFmtId="4" xfId="0" applyAlignment="1" applyBorder="1" applyFont="1" applyNumberFormat="1">
      <alignment horizontal="center" vertical="center"/>
    </xf>
    <xf borderId="4" fillId="20" fontId="17" numFmtId="164" xfId="0" applyAlignment="1" applyBorder="1" applyFont="1" applyNumberFormat="1">
      <alignment horizontal="center" vertical="top"/>
    </xf>
    <xf borderId="11" fillId="37" fontId="76" numFmtId="4" xfId="0" applyAlignment="1" applyBorder="1" applyFont="1" applyNumberFormat="1">
      <alignment horizontal="center" vertical="center"/>
    </xf>
    <xf borderId="4" fillId="37" fontId="76" numFmtId="4" xfId="0" applyAlignment="1" applyBorder="1" applyFont="1" applyNumberFormat="1">
      <alignment horizontal="center" vertical="center"/>
    </xf>
    <xf borderId="11" fillId="41" fontId="76" numFmtId="4" xfId="0" applyAlignment="1" applyBorder="1" applyFont="1" applyNumberFormat="1">
      <alignment horizontal="center" vertical="center"/>
    </xf>
    <xf borderId="4" fillId="20" fontId="48" numFmtId="164" xfId="0" applyAlignment="1" applyBorder="1" applyFont="1" applyNumberFormat="1">
      <alignment horizontal="center" vertical="top"/>
    </xf>
    <xf borderId="31" fillId="25" fontId="52" numFmtId="164" xfId="0" applyAlignment="1" applyBorder="1" applyFont="1" applyNumberFormat="1">
      <alignment horizontal="center" vertical="center"/>
    </xf>
    <xf borderId="4" fillId="35" fontId="75" numFmtId="0" xfId="0" applyAlignment="1" applyBorder="1" applyFont="1">
      <alignment horizontal="center" vertical="center"/>
    </xf>
    <xf borderId="4" fillId="35" fontId="80" numFmtId="4" xfId="0" applyAlignment="1" applyBorder="1" applyFont="1" applyNumberFormat="1">
      <alignment horizontal="center" vertical="center"/>
    </xf>
    <xf borderId="4" fillId="9" fontId="80" numFmtId="4" xfId="0" applyAlignment="1" applyBorder="1" applyFont="1" applyNumberFormat="1">
      <alignment horizontal="center" vertical="center"/>
    </xf>
    <xf borderId="4" fillId="9" fontId="64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readingOrder="0" shrinkToFit="0" vertical="top" wrapText="1"/>
    </xf>
    <xf borderId="9" fillId="7" fontId="1" numFmtId="0" xfId="0" applyAlignment="1" applyBorder="1" applyFont="1">
      <alignment horizontal="center" readingOrder="0" shrinkToFit="0" vertical="top" wrapText="1"/>
    </xf>
    <xf borderId="77" fillId="0" fontId="79" numFmtId="4" xfId="0" applyAlignment="1" applyBorder="1" applyFont="1" applyNumberFormat="1">
      <alignment horizontal="center" vertical="top"/>
    </xf>
    <xf borderId="4" fillId="9" fontId="5" numFmtId="0" xfId="0" applyAlignment="1" applyBorder="1" applyFont="1">
      <alignment horizontal="center" readingOrder="0" vertical="center"/>
    </xf>
    <xf borderId="11" fillId="9" fontId="23" numFmtId="164" xfId="0" applyAlignment="1" applyBorder="1" applyFont="1" applyNumberFormat="1">
      <alignment horizontal="center" shrinkToFit="0" vertical="center" wrapText="1"/>
    </xf>
    <xf borderId="0" fillId="0" fontId="17" numFmtId="165" xfId="0" applyAlignment="1" applyFont="1" applyNumberFormat="1">
      <alignment horizontal="center" vertical="top"/>
    </xf>
    <xf borderId="0" fillId="0" fontId="52" numFmtId="165" xfId="0" applyAlignment="1" applyFont="1" applyNumberFormat="1">
      <alignment horizontal="center" vertical="center"/>
    </xf>
    <xf borderId="0" fillId="0" fontId="48" numFmtId="165" xfId="0" applyAlignment="1" applyFont="1" applyNumberFormat="1">
      <alignment horizontal="center" vertical="top"/>
    </xf>
    <xf borderId="0" fillId="0" fontId="26" numFmtId="165" xfId="0" applyAlignment="1" applyFont="1" applyNumberFormat="1">
      <alignment horizontal="center" vertical="top"/>
    </xf>
    <xf borderId="11" fillId="8" fontId="23" numFmtId="164" xfId="0" applyAlignment="1" applyBorder="1" applyFont="1" applyNumberFormat="1">
      <alignment horizontal="center" shrinkToFit="0" vertical="center" wrapText="1"/>
    </xf>
    <xf borderId="10" fillId="0" fontId="75" numFmtId="4" xfId="0" applyAlignment="1" applyBorder="1" applyFont="1" applyNumberFormat="1">
      <alignment horizontal="right" vertical="center"/>
    </xf>
    <xf borderId="0" fillId="0" fontId="78" numFmtId="164" xfId="0" applyAlignment="1" applyFont="1" applyNumberFormat="1">
      <alignment horizontal="center" vertical="top"/>
    </xf>
    <xf borderId="0" fillId="0" fontId="21" numFmtId="165" xfId="0" applyAlignment="1" applyFont="1" applyNumberFormat="1">
      <alignment horizontal="center" vertical="center"/>
    </xf>
    <xf borderId="0" fillId="0" fontId="21" numFmtId="164" xfId="0" applyAlignment="1" applyFont="1" applyNumberFormat="1">
      <alignment horizontal="center" vertical="center"/>
    </xf>
    <xf borderId="0" fillId="11" fontId="21" numFmtId="0" xfId="0" applyAlignment="1" applyFont="1">
      <alignment horizontal="center" readingOrder="0" vertical="top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74" numFmtId="0" xfId="0" applyAlignment="1" applyFont="1">
      <alignment horizontal="center" vertical="top"/>
    </xf>
    <xf borderId="0" fillId="0" fontId="24" numFmtId="164" xfId="0" applyAlignment="1" applyFont="1" applyNumberFormat="1">
      <alignment horizontal="center" shrinkToFit="0" vertical="top" wrapText="1"/>
    </xf>
    <xf borderId="0" fillId="0" fontId="79" numFmtId="4" xfId="0" applyAlignment="1" applyFont="1" applyNumberFormat="1">
      <alignment horizontal="center" vertical="top"/>
    </xf>
    <xf borderId="0" fillId="0" fontId="76" numFmtId="4" xfId="0" applyAlignment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0" fillId="0" fontId="80" numFmtId="4" xfId="0" applyAlignment="1" applyFont="1" applyNumberFormat="1">
      <alignment horizontal="center" vertical="center"/>
    </xf>
    <xf borderId="0" fillId="0" fontId="21" numFmtId="0" xfId="0" applyAlignment="1" applyFont="1">
      <alignment horizontal="left" vertical="top"/>
    </xf>
    <xf borderId="0" fillId="0" fontId="17" numFmtId="164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1.86"/>
    <col customWidth="1" min="34" max="34" width="0.14"/>
    <col customWidth="1" min="35" max="35" width="13.43"/>
  </cols>
  <sheetData>
    <row r="1" ht="36.7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 t="s">
        <v>1</v>
      </c>
      <c r="AH1" s="6"/>
      <c r="AI1" s="8"/>
    </row>
    <row r="2" ht="24.0" customHeight="1">
      <c r="A2" s="9" t="s">
        <v>2</v>
      </c>
      <c r="B2" s="9">
        <v>1.0</v>
      </c>
      <c r="C2" s="9">
        <v>2.0</v>
      </c>
      <c r="D2" s="10">
        <v>3.0</v>
      </c>
      <c r="E2" s="9">
        <v>4.0</v>
      </c>
      <c r="F2" s="9">
        <v>5.0</v>
      </c>
      <c r="G2" s="9">
        <v>6.0</v>
      </c>
      <c r="H2" s="9">
        <v>7.0</v>
      </c>
      <c r="I2" s="9">
        <v>8.0</v>
      </c>
      <c r="J2" s="9">
        <v>9.0</v>
      </c>
      <c r="K2" s="9">
        <v>10.0</v>
      </c>
      <c r="L2" s="9">
        <v>11.0</v>
      </c>
      <c r="M2" s="9">
        <v>12.0</v>
      </c>
      <c r="N2" s="11">
        <v>13.0</v>
      </c>
      <c r="O2" s="11">
        <v>14.0</v>
      </c>
      <c r="P2" s="11">
        <v>15.0</v>
      </c>
      <c r="Q2" s="11">
        <v>16.0</v>
      </c>
      <c r="R2" s="11">
        <v>17.0</v>
      </c>
      <c r="S2" s="11">
        <v>18.0</v>
      </c>
      <c r="T2" s="11">
        <v>19.0</v>
      </c>
      <c r="U2" s="11">
        <v>20.0</v>
      </c>
      <c r="V2" s="11">
        <v>21.0</v>
      </c>
      <c r="W2" s="11">
        <v>22.0</v>
      </c>
      <c r="X2" s="11">
        <v>23.0</v>
      </c>
      <c r="Y2" s="11">
        <v>24.0</v>
      </c>
      <c r="Z2" s="11">
        <v>25.0</v>
      </c>
      <c r="AA2" s="11">
        <v>26.0</v>
      </c>
      <c r="AB2" s="11">
        <v>27.0</v>
      </c>
      <c r="AC2" s="11">
        <v>28.0</v>
      </c>
      <c r="AD2" s="11">
        <v>29.0</v>
      </c>
      <c r="AE2" s="11">
        <v>30.0</v>
      </c>
      <c r="AF2" s="12">
        <v>31.0</v>
      </c>
      <c r="AG2" s="13"/>
      <c r="AH2" s="14"/>
      <c r="AI2" s="8"/>
    </row>
    <row r="3" ht="32.25" customHeight="1">
      <c r="A3" s="15" t="s">
        <v>3</v>
      </c>
      <c r="B3" s="16">
        <v>16.05</v>
      </c>
      <c r="C3" s="16"/>
      <c r="D3" s="16"/>
      <c r="E3" s="11"/>
      <c r="F3" s="11"/>
      <c r="G3" s="11">
        <v>9.0</v>
      </c>
      <c r="H3" s="11">
        <v>6.0</v>
      </c>
      <c r="I3" s="11"/>
      <c r="J3" s="11">
        <v>4.5</v>
      </c>
      <c r="K3" s="11">
        <v>6.4</v>
      </c>
      <c r="L3" s="11">
        <v>4.5</v>
      </c>
      <c r="M3" s="11">
        <v>12.0</v>
      </c>
      <c r="N3" s="17">
        <v>1.5</v>
      </c>
      <c r="O3" s="17"/>
      <c r="P3" s="17">
        <v>14.85</v>
      </c>
      <c r="Q3" s="17">
        <v>4.2</v>
      </c>
      <c r="R3" s="17"/>
      <c r="S3" s="17">
        <v>26.25</v>
      </c>
      <c r="T3" s="17">
        <v>21.87</v>
      </c>
      <c r="U3" s="17">
        <v>17.17</v>
      </c>
      <c r="V3" s="17">
        <v>14.89</v>
      </c>
      <c r="W3" s="17">
        <v>11.4</v>
      </c>
      <c r="X3" s="17">
        <v>45.85</v>
      </c>
      <c r="Y3" s="17">
        <v>0.12</v>
      </c>
      <c r="Z3" s="17">
        <v>7.0</v>
      </c>
      <c r="AA3" s="17"/>
      <c r="AB3" s="17">
        <v>6.0</v>
      </c>
      <c r="AC3" s="17">
        <v>7.35</v>
      </c>
      <c r="AD3" s="17">
        <v>18.9</v>
      </c>
      <c r="AE3" s="17">
        <v>21.5</v>
      </c>
      <c r="AF3" s="18">
        <v>9.45</v>
      </c>
      <c r="AG3" s="17"/>
      <c r="AH3" s="17">
        <f>SUM(B3:AE3)</f>
        <v>277.3</v>
      </c>
      <c r="AI3" s="8"/>
    </row>
    <row r="4" ht="33.0" customHeight="1">
      <c r="A4" s="19" t="s">
        <v>4</v>
      </c>
      <c r="B4" s="19"/>
      <c r="C4" s="20"/>
      <c r="D4" s="16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0.12</v>
      </c>
      <c r="Z4" s="14">
        <v>10.36</v>
      </c>
      <c r="AA4" s="14">
        <v>11.04</v>
      </c>
      <c r="AB4" s="14">
        <v>18.24</v>
      </c>
      <c r="AC4" s="14">
        <v>45.92</v>
      </c>
      <c r="AD4" s="14">
        <v>13.62</v>
      </c>
      <c r="AE4" s="14">
        <v>7.64</v>
      </c>
      <c r="AF4" s="14">
        <v>12.0</v>
      </c>
      <c r="AG4" s="13"/>
      <c r="AH4" s="21"/>
      <c r="AI4" s="8"/>
    </row>
    <row r="5" ht="36.75" customHeight="1">
      <c r="A5" s="15"/>
      <c r="B5" s="16"/>
      <c r="C5" s="22"/>
      <c r="D5" s="23"/>
      <c r="E5" s="9"/>
      <c r="F5" s="9"/>
      <c r="G5" s="9"/>
      <c r="H5" s="9"/>
      <c r="I5" s="9"/>
      <c r="J5" s="9"/>
      <c r="K5" s="9"/>
      <c r="L5" s="9"/>
      <c r="M5" s="9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3"/>
      <c r="AH5" s="14"/>
      <c r="AI5" s="8"/>
    </row>
    <row r="6" ht="31.5" customHeight="1">
      <c r="A6" s="15" t="s">
        <v>5</v>
      </c>
      <c r="B6" s="24">
        <v>197.46</v>
      </c>
      <c r="C6" s="25">
        <v>133.74</v>
      </c>
      <c r="D6" s="26">
        <v>152.1</v>
      </c>
      <c r="E6" s="9">
        <v>79.62</v>
      </c>
      <c r="F6" s="9">
        <v>93.12</v>
      </c>
      <c r="G6" s="9">
        <v>94.74</v>
      </c>
      <c r="H6" s="9">
        <v>72.2</v>
      </c>
      <c r="I6" s="9">
        <v>67.5</v>
      </c>
      <c r="J6" s="9">
        <v>7.62</v>
      </c>
      <c r="K6" s="9">
        <v>48.24</v>
      </c>
      <c r="L6" s="9">
        <v>70.6</v>
      </c>
      <c r="M6" s="9">
        <v>27.0</v>
      </c>
      <c r="N6" s="26">
        <v>50.0</v>
      </c>
      <c r="O6" s="26">
        <v>55.74</v>
      </c>
      <c r="P6" s="14">
        <v>39.0</v>
      </c>
      <c r="Q6" s="14">
        <v>40.0</v>
      </c>
      <c r="R6" s="14">
        <v>36.0</v>
      </c>
      <c r="S6" s="14">
        <v>31.26</v>
      </c>
      <c r="T6" s="14">
        <v>24.12</v>
      </c>
      <c r="U6" s="14">
        <v>73.62</v>
      </c>
      <c r="V6" s="14">
        <v>34.62</v>
      </c>
      <c r="W6" s="14">
        <v>22.5</v>
      </c>
      <c r="X6" s="14"/>
      <c r="Y6" s="14"/>
      <c r="Z6" s="14"/>
      <c r="AA6" s="14"/>
      <c r="AB6" s="14"/>
      <c r="AC6" s="14"/>
      <c r="AD6" s="14"/>
      <c r="AE6" s="14"/>
      <c r="AF6" s="14"/>
      <c r="AG6" s="27"/>
      <c r="AH6" s="14"/>
      <c r="AI6" s="8"/>
      <c r="AK6" s="28"/>
    </row>
    <row r="7" ht="23.25" customHeight="1">
      <c r="A7" s="15" t="s">
        <v>6</v>
      </c>
      <c r="B7" s="20">
        <v>58.5</v>
      </c>
      <c r="C7" s="20">
        <v>33.12</v>
      </c>
      <c r="D7" s="16"/>
      <c r="E7" s="29">
        <v>40.6</v>
      </c>
      <c r="F7" s="29">
        <v>54.0</v>
      </c>
      <c r="G7" s="29">
        <v>52.6</v>
      </c>
      <c r="H7" s="29">
        <v>46.6</v>
      </c>
      <c r="I7" s="29">
        <v>52.5</v>
      </c>
      <c r="J7" s="29">
        <v>25.5</v>
      </c>
      <c r="K7" s="29">
        <v>43.6</v>
      </c>
      <c r="L7" s="29">
        <v>76.5</v>
      </c>
      <c r="M7" s="19">
        <v>84.0</v>
      </c>
      <c r="N7" s="30">
        <v>82.5</v>
      </c>
      <c r="O7" s="30">
        <v>84.12</v>
      </c>
      <c r="P7" s="30">
        <v>54.0</v>
      </c>
      <c r="Q7" s="30">
        <v>65.0</v>
      </c>
      <c r="R7" s="30">
        <v>43.24</v>
      </c>
      <c r="S7" s="30">
        <v>96.24</v>
      </c>
      <c r="T7" s="30">
        <v>49.5</v>
      </c>
      <c r="U7" s="30">
        <v>70.5</v>
      </c>
      <c r="V7" s="30">
        <v>67.0</v>
      </c>
      <c r="W7" s="30">
        <v>43.0</v>
      </c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2"/>
      <c r="AI7" s="8"/>
    </row>
    <row r="8" ht="28.5" customHeight="1">
      <c r="A8" s="33"/>
      <c r="B8" s="16"/>
      <c r="C8" s="30"/>
      <c r="D8" s="30"/>
      <c r="E8" s="32"/>
      <c r="F8" s="32"/>
      <c r="G8" s="32"/>
      <c r="H8" s="32"/>
      <c r="I8" s="32"/>
      <c r="J8" s="32"/>
      <c r="K8" s="32"/>
      <c r="L8" s="32"/>
      <c r="M8" s="32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8"/>
    </row>
    <row r="9" ht="26.25" customHeight="1">
      <c r="A9" s="15"/>
      <c r="B9" s="16"/>
      <c r="C9" s="22"/>
      <c r="D9" s="32"/>
      <c r="E9" s="32"/>
      <c r="F9" s="32"/>
      <c r="G9" s="32"/>
      <c r="H9" s="32"/>
      <c r="I9" s="32"/>
      <c r="J9" s="32"/>
      <c r="K9" s="32"/>
      <c r="L9" s="32"/>
      <c r="M9" s="32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8"/>
    </row>
    <row r="10" ht="21.0" customHeight="1">
      <c r="A10" s="15"/>
      <c r="B10" s="16"/>
      <c r="C10" s="22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2"/>
      <c r="AI10" s="8"/>
      <c r="AK10" s="28"/>
    </row>
    <row r="11" ht="27.0" customHeight="1">
      <c r="A11" s="15" t="s">
        <v>7</v>
      </c>
      <c r="B11" s="34"/>
      <c r="C11" s="22"/>
      <c r="D11" s="30"/>
      <c r="E11" s="30"/>
      <c r="F11" s="30"/>
      <c r="G11" s="30"/>
      <c r="H11" s="30"/>
      <c r="I11" s="30"/>
      <c r="J11" s="30">
        <v>1.5</v>
      </c>
      <c r="K11" s="30">
        <v>3.15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5"/>
      <c r="AH11" s="30"/>
      <c r="AI11" s="8"/>
    </row>
    <row r="12" ht="27.0" customHeight="1">
      <c r="A12" s="15" t="s">
        <v>8</v>
      </c>
      <c r="B12" s="34">
        <v>3.0</v>
      </c>
      <c r="C12" s="22"/>
      <c r="D12" s="30"/>
      <c r="E12" s="30"/>
      <c r="F12" s="30"/>
      <c r="G12" s="30">
        <v>6.0</v>
      </c>
      <c r="H12" s="30"/>
      <c r="I12" s="30"/>
      <c r="J12" s="30"/>
      <c r="K12" s="30">
        <v>1.5</v>
      </c>
      <c r="L12" s="30">
        <v>20.0</v>
      </c>
      <c r="M12" s="30">
        <v>20.0</v>
      </c>
      <c r="N12" s="30">
        <v>9.0</v>
      </c>
      <c r="O12" s="30"/>
      <c r="P12" s="30">
        <v>3.0</v>
      </c>
      <c r="Q12" s="30">
        <v>1.5</v>
      </c>
      <c r="R12" s="30"/>
      <c r="S12" s="30"/>
      <c r="T12" s="30">
        <v>4.5</v>
      </c>
      <c r="U12" s="30">
        <v>9.0</v>
      </c>
      <c r="V12" s="30">
        <v>3.0</v>
      </c>
      <c r="W12" s="30">
        <v>1.5</v>
      </c>
      <c r="X12" s="30"/>
      <c r="Y12" s="30">
        <v>1.5</v>
      </c>
      <c r="Z12" s="30">
        <v>1.5</v>
      </c>
      <c r="AA12" s="30">
        <v>1.5</v>
      </c>
      <c r="AB12" s="30">
        <v>1.5</v>
      </c>
      <c r="AC12" s="30">
        <v>3.0</v>
      </c>
      <c r="AD12" s="30"/>
      <c r="AE12" s="30"/>
      <c r="AF12" s="30"/>
      <c r="AG12" s="36"/>
      <c r="AH12" s="37"/>
      <c r="AI12" s="8"/>
    </row>
    <row r="13" ht="18.75" customHeight="1">
      <c r="A13" s="15" t="s">
        <v>9</v>
      </c>
      <c r="B13" s="34"/>
      <c r="C13" s="22"/>
      <c r="D13" s="30"/>
      <c r="E13" s="30"/>
      <c r="F13" s="30"/>
      <c r="G13" s="30"/>
      <c r="H13" s="30"/>
      <c r="I13" s="30"/>
      <c r="J13" s="30">
        <v>9.62</v>
      </c>
      <c r="K13" s="30"/>
      <c r="L13" s="30">
        <v>1.5</v>
      </c>
      <c r="M13" s="30">
        <v>2.94</v>
      </c>
      <c r="N13" s="30">
        <v>4.0</v>
      </c>
      <c r="O13" s="30">
        <v>1.96</v>
      </c>
      <c r="P13" s="38">
        <v>4.86</v>
      </c>
      <c r="Q13" s="30">
        <v>8.54</v>
      </c>
      <c r="R13" s="30"/>
      <c r="S13" s="30">
        <v>11.9</v>
      </c>
      <c r="T13" s="30"/>
      <c r="U13" s="30">
        <v>2.0</v>
      </c>
      <c r="V13" s="30"/>
      <c r="W13" s="30">
        <v>3.0</v>
      </c>
      <c r="X13" s="30">
        <v>3.0</v>
      </c>
      <c r="Y13" s="30">
        <v>1.5</v>
      </c>
      <c r="Z13" s="30">
        <v>7.06</v>
      </c>
      <c r="AA13" s="30"/>
      <c r="AB13" s="30">
        <v>3.46</v>
      </c>
      <c r="AC13" s="30">
        <v>7.1</v>
      </c>
      <c r="AD13" s="30">
        <v>5.88</v>
      </c>
      <c r="AE13" s="30"/>
      <c r="AF13" s="30">
        <v>7.0</v>
      </c>
      <c r="AG13" s="36"/>
      <c r="AH13" s="37"/>
      <c r="AI13" s="8"/>
    </row>
    <row r="14" ht="30.0" customHeight="1">
      <c r="A14" s="33"/>
      <c r="B14" s="39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40"/>
      <c r="AH14" s="37"/>
      <c r="AI14" s="8">
        <f>AG14*28.75</f>
        <v>0</v>
      </c>
    </row>
    <row r="15" ht="26.25" customHeight="1">
      <c r="A15" s="15" t="s">
        <v>10</v>
      </c>
      <c r="B15" s="16"/>
      <c r="C15" s="32"/>
      <c r="D15" s="16"/>
      <c r="E15" s="32"/>
      <c r="F15" s="32"/>
      <c r="G15" s="32">
        <v>3.0</v>
      </c>
      <c r="H15" s="32">
        <v>1.5</v>
      </c>
      <c r="I15" s="32"/>
      <c r="J15" s="32">
        <v>1.5</v>
      </c>
      <c r="K15" s="32">
        <v>9.0</v>
      </c>
      <c r="L15" s="32">
        <v>6.3</v>
      </c>
      <c r="M15" s="32">
        <v>9.0</v>
      </c>
      <c r="N15" s="41">
        <v>10.0</v>
      </c>
      <c r="O15" s="41">
        <v>4.5</v>
      </c>
      <c r="P15" s="41">
        <v>3.12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5"/>
      <c r="AH15" s="41"/>
      <c r="AI15" s="8"/>
      <c r="AJ15" s="28"/>
    </row>
    <row r="16" ht="26.25" customHeight="1">
      <c r="A16" s="15" t="s">
        <v>11</v>
      </c>
      <c r="B16" s="16"/>
      <c r="C16" s="32">
        <v>2.5</v>
      </c>
      <c r="D16" s="16">
        <v>18.0</v>
      </c>
      <c r="E16" s="32">
        <v>18.0</v>
      </c>
      <c r="F16" s="32">
        <v>20.0</v>
      </c>
      <c r="G16" s="32">
        <v>16.5</v>
      </c>
      <c r="H16" s="32">
        <v>19.5</v>
      </c>
      <c r="I16" s="32">
        <v>15.0</v>
      </c>
      <c r="J16" s="32">
        <v>15.0</v>
      </c>
      <c r="K16" s="32">
        <v>9.0</v>
      </c>
      <c r="L16" s="32"/>
      <c r="M16" s="32">
        <v>12.0</v>
      </c>
      <c r="N16" s="41">
        <v>24.5</v>
      </c>
      <c r="O16" s="41">
        <v>18.0</v>
      </c>
      <c r="P16" s="30">
        <v>7.5</v>
      </c>
      <c r="Q16" s="41">
        <v>9.0</v>
      </c>
      <c r="R16" s="41">
        <v>21.12</v>
      </c>
      <c r="S16" s="41"/>
      <c r="T16" s="41">
        <v>32.0</v>
      </c>
      <c r="U16" s="41">
        <v>15.0</v>
      </c>
      <c r="V16" s="41">
        <v>21.0</v>
      </c>
      <c r="W16" s="41">
        <v>13.5</v>
      </c>
      <c r="X16" s="41">
        <v>16.1</v>
      </c>
      <c r="Y16" s="41">
        <v>55.62</v>
      </c>
      <c r="Z16" s="41">
        <v>58.0</v>
      </c>
      <c r="AA16" s="41">
        <v>35.0</v>
      </c>
      <c r="AB16" s="41">
        <v>24.0</v>
      </c>
      <c r="AC16" s="41">
        <v>22.5</v>
      </c>
      <c r="AD16" s="41">
        <v>25.5</v>
      </c>
      <c r="AE16" s="41">
        <v>9.0</v>
      </c>
      <c r="AF16" s="41">
        <v>31.5</v>
      </c>
      <c r="AG16" s="35"/>
      <c r="AH16" s="41"/>
      <c r="AI16" s="8"/>
      <c r="AJ16" s="28"/>
    </row>
    <row r="17" ht="25.5" customHeight="1">
      <c r="A17" s="15" t="s">
        <v>12</v>
      </c>
      <c r="B17" s="20"/>
      <c r="C17" s="20"/>
      <c r="D17" s="41"/>
      <c r="E17" s="41"/>
      <c r="F17" s="41"/>
      <c r="G17" s="41"/>
      <c r="H17" s="41"/>
      <c r="I17" s="41"/>
      <c r="J17" s="41"/>
      <c r="K17" s="41">
        <v>0.5</v>
      </c>
      <c r="L17" s="41"/>
      <c r="M17" s="41"/>
      <c r="N17" s="41">
        <v>1.5</v>
      </c>
      <c r="O17" s="41"/>
      <c r="P17" s="41"/>
      <c r="Q17" s="41">
        <v>6.72</v>
      </c>
      <c r="R17" s="41"/>
      <c r="S17" s="41">
        <v>3.7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8"/>
    </row>
    <row r="18" ht="29.25" customHeight="1">
      <c r="A18" s="43" t="s">
        <v>13</v>
      </c>
      <c r="B18" s="20">
        <v>6.0</v>
      </c>
      <c r="C18" s="44"/>
      <c r="D18" s="44">
        <v>3.0</v>
      </c>
      <c r="E18" s="44">
        <v>6.0</v>
      </c>
      <c r="F18" s="44">
        <v>7.5</v>
      </c>
      <c r="G18" s="44">
        <v>3.0</v>
      </c>
      <c r="H18" s="44">
        <v>6.0</v>
      </c>
      <c r="I18" s="44">
        <v>6.0</v>
      </c>
      <c r="J18" s="44">
        <v>9.62</v>
      </c>
      <c r="K18" s="44">
        <v>3.0</v>
      </c>
      <c r="L18" s="44">
        <v>1.5</v>
      </c>
      <c r="M18" s="44">
        <v>3.0</v>
      </c>
      <c r="N18" s="44">
        <v>12.0</v>
      </c>
      <c r="O18" s="44">
        <v>3.0</v>
      </c>
      <c r="P18" s="44"/>
      <c r="Q18" s="44"/>
      <c r="R18" s="44">
        <v>1.5</v>
      </c>
      <c r="S18" s="44"/>
      <c r="T18" s="44"/>
      <c r="U18" s="44">
        <v>6.0</v>
      </c>
      <c r="V18" s="44">
        <v>3.0</v>
      </c>
      <c r="W18" s="44"/>
      <c r="X18" s="44"/>
      <c r="Y18" s="44">
        <v>3.0</v>
      </c>
      <c r="Z18" s="44">
        <v>4.5</v>
      </c>
      <c r="AA18" s="44"/>
      <c r="AB18" s="44">
        <v>4.62</v>
      </c>
      <c r="AC18" s="44"/>
      <c r="AD18" s="44"/>
      <c r="AE18" s="44"/>
      <c r="AF18" s="44">
        <v>1.5</v>
      </c>
      <c r="AG18" s="45" t="s">
        <v>1</v>
      </c>
      <c r="AI18" s="46"/>
    </row>
    <row r="19" ht="24.75" customHeight="1">
      <c r="A19" s="47" t="s">
        <v>14</v>
      </c>
      <c r="B19" s="48">
        <f t="shared" ref="B19:AF19" si="1">SUM(B3:B18)</f>
        <v>281.01</v>
      </c>
      <c r="C19" s="48">
        <f t="shared" si="1"/>
        <v>169.36</v>
      </c>
      <c r="D19" s="48">
        <f t="shared" si="1"/>
        <v>173.1</v>
      </c>
      <c r="E19" s="48">
        <f t="shared" si="1"/>
        <v>144.22</v>
      </c>
      <c r="F19" s="48">
        <f t="shared" si="1"/>
        <v>174.62</v>
      </c>
      <c r="G19" s="48">
        <f t="shared" si="1"/>
        <v>184.84</v>
      </c>
      <c r="H19" s="48">
        <f t="shared" si="1"/>
        <v>151.8</v>
      </c>
      <c r="I19" s="48">
        <f t="shared" si="1"/>
        <v>141</v>
      </c>
      <c r="J19" s="48">
        <f t="shared" si="1"/>
        <v>74.86</v>
      </c>
      <c r="K19" s="48">
        <f t="shared" si="1"/>
        <v>124.39</v>
      </c>
      <c r="L19" s="48">
        <f t="shared" si="1"/>
        <v>180.9</v>
      </c>
      <c r="M19" s="48">
        <f t="shared" si="1"/>
        <v>169.94</v>
      </c>
      <c r="N19" s="48">
        <f t="shared" si="1"/>
        <v>195</v>
      </c>
      <c r="O19" s="48">
        <f t="shared" si="1"/>
        <v>167.32</v>
      </c>
      <c r="P19" s="48">
        <f t="shared" si="1"/>
        <v>126.33</v>
      </c>
      <c r="Q19" s="48">
        <f t="shared" si="1"/>
        <v>134.96</v>
      </c>
      <c r="R19" s="48">
        <f t="shared" si="1"/>
        <v>101.86</v>
      </c>
      <c r="S19" s="48">
        <f t="shared" si="1"/>
        <v>169.35</v>
      </c>
      <c r="T19" s="48">
        <f t="shared" si="1"/>
        <v>131.99</v>
      </c>
      <c r="U19" s="48">
        <f t="shared" si="1"/>
        <v>193.29</v>
      </c>
      <c r="V19" s="48">
        <f t="shared" si="1"/>
        <v>143.51</v>
      </c>
      <c r="W19" s="48">
        <f t="shared" si="1"/>
        <v>94.9</v>
      </c>
      <c r="X19" s="48">
        <f t="shared" si="1"/>
        <v>64.95</v>
      </c>
      <c r="Y19" s="48">
        <f t="shared" si="1"/>
        <v>61.86</v>
      </c>
      <c r="Z19" s="48">
        <f t="shared" si="1"/>
        <v>88.42</v>
      </c>
      <c r="AA19" s="48">
        <f t="shared" si="1"/>
        <v>47.54</v>
      </c>
      <c r="AB19" s="48">
        <f t="shared" si="1"/>
        <v>57.82</v>
      </c>
      <c r="AC19" s="48">
        <f t="shared" si="1"/>
        <v>85.87</v>
      </c>
      <c r="AD19" s="48">
        <f t="shared" si="1"/>
        <v>63.9</v>
      </c>
      <c r="AE19" s="48">
        <f t="shared" si="1"/>
        <v>38.14</v>
      </c>
      <c r="AF19" s="48">
        <f t="shared" si="1"/>
        <v>61.45</v>
      </c>
      <c r="AG19" s="49"/>
      <c r="AH19" s="38">
        <f>COUNT(B19:AF19)</f>
        <v>31</v>
      </c>
      <c r="AI19" s="8"/>
    </row>
    <row r="20" ht="24.75" customHeight="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9"/>
      <c r="AI20" s="8"/>
    </row>
    <row r="21" ht="24.7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I21" s="8"/>
    </row>
    <row r="22" ht="24.75" customHeight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I22" s="8"/>
    </row>
    <row r="23" ht="24.7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9"/>
      <c r="AI23" s="8"/>
    </row>
    <row r="24" ht="24.7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9"/>
      <c r="AI24" s="8"/>
    </row>
    <row r="25" ht="24.7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I25" s="8"/>
    </row>
    <row r="26" ht="24.7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9"/>
      <c r="AI26" s="8"/>
    </row>
    <row r="27" ht="24.7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I27" s="8"/>
    </row>
    <row r="28" ht="24.7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9"/>
      <c r="AI28" s="8"/>
    </row>
    <row r="29" ht="24.7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9"/>
      <c r="AI29" s="8"/>
    </row>
    <row r="30" ht="24.7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I30" s="8"/>
    </row>
    <row r="31" ht="24.7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I31" s="8"/>
    </row>
    <row r="32" ht="24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I32" s="8"/>
    </row>
    <row r="33" ht="15.75" customHeight="1">
      <c r="A33" s="28"/>
      <c r="B33" s="28"/>
      <c r="AG33" s="49"/>
      <c r="AI33" s="8"/>
    </row>
    <row r="34" ht="99.75" customHeight="1">
      <c r="A34" s="50"/>
      <c r="B34" s="50"/>
      <c r="C34" s="51"/>
      <c r="AG34" s="49"/>
      <c r="AI34" s="8"/>
    </row>
    <row r="35" ht="15.75" customHeight="1">
      <c r="AG35" s="49"/>
      <c r="AI35" s="8"/>
    </row>
    <row r="36" ht="15.75" customHeight="1">
      <c r="AG36" s="49"/>
      <c r="AI36" s="8"/>
    </row>
    <row r="37" ht="15.75" customHeight="1">
      <c r="AG37" s="49"/>
      <c r="AI37" s="8"/>
    </row>
    <row r="38" ht="15.75" customHeight="1">
      <c r="AG38" s="49"/>
      <c r="AI38" s="8"/>
    </row>
    <row r="39" ht="15.75" customHeight="1">
      <c r="AG39" s="49"/>
      <c r="AI39" s="8"/>
    </row>
    <row r="40" ht="15.75" customHeight="1">
      <c r="AG40" s="49"/>
      <c r="AI40" s="8"/>
    </row>
    <row r="41" ht="15.75" customHeight="1">
      <c r="AG41" s="49"/>
      <c r="AI41" s="8"/>
    </row>
    <row r="42" ht="15.75" customHeight="1">
      <c r="AG42" s="49"/>
      <c r="AI42" s="8"/>
    </row>
    <row r="43" ht="15.75" customHeight="1">
      <c r="AG43" s="49"/>
      <c r="AI43" s="8"/>
    </row>
    <row r="44" ht="15.75" customHeight="1">
      <c r="AG44" s="49"/>
      <c r="AI44" s="8"/>
    </row>
    <row r="45" ht="15.75" customHeight="1">
      <c r="AG45" s="49"/>
      <c r="AI45" s="8"/>
    </row>
    <row r="46" ht="15.75" customHeight="1">
      <c r="AG46" s="49"/>
      <c r="AI46" s="8"/>
    </row>
    <row r="47" ht="15.75" customHeight="1">
      <c r="AG47" s="49"/>
      <c r="AI47" s="8"/>
    </row>
    <row r="48" ht="15.75" customHeight="1">
      <c r="AG48" s="49"/>
      <c r="AI48" s="8"/>
    </row>
    <row r="49" ht="15.75" customHeight="1">
      <c r="AG49" s="49"/>
      <c r="AI49" s="8"/>
    </row>
    <row r="50" ht="15.75" customHeight="1">
      <c r="AG50" s="49"/>
      <c r="AI50" s="8"/>
    </row>
    <row r="51" ht="15.75" customHeight="1">
      <c r="AG51" s="49"/>
      <c r="AI51" s="8"/>
    </row>
    <row r="52" ht="15.75" customHeight="1">
      <c r="AG52" s="49"/>
      <c r="AI52" s="8"/>
    </row>
    <row r="53" ht="15.75" customHeight="1">
      <c r="AG53" s="49"/>
      <c r="AI53" s="8"/>
    </row>
    <row r="54" ht="15.75" customHeight="1">
      <c r="AG54" s="49"/>
      <c r="AI54" s="8"/>
    </row>
    <row r="55" ht="15.75" customHeight="1">
      <c r="AG55" s="49"/>
      <c r="AI55" s="8"/>
    </row>
    <row r="56" ht="15.75" customHeight="1">
      <c r="AG56" s="49"/>
      <c r="AI56" s="8"/>
    </row>
    <row r="57" ht="15.75" customHeight="1">
      <c r="AG57" s="49"/>
      <c r="AI57" s="8"/>
    </row>
    <row r="58" ht="15.75" customHeight="1">
      <c r="AG58" s="49"/>
      <c r="AI58" s="8"/>
    </row>
    <row r="59" ht="15.75" customHeight="1">
      <c r="AG59" s="49"/>
      <c r="AI59" s="8"/>
    </row>
    <row r="60" ht="15.75" customHeight="1">
      <c r="AG60" s="49"/>
      <c r="AI60" s="8"/>
    </row>
    <row r="61" ht="15.75" customHeight="1">
      <c r="AG61" s="49"/>
      <c r="AI61" s="8"/>
    </row>
    <row r="62" ht="15.75" customHeight="1">
      <c r="AG62" s="49"/>
      <c r="AI62" s="8"/>
    </row>
    <row r="63" ht="15.75" customHeight="1">
      <c r="AG63" s="49"/>
      <c r="AI63" s="8"/>
    </row>
    <row r="64" ht="15.75" customHeight="1">
      <c r="AG64" s="49"/>
      <c r="AI64" s="8"/>
    </row>
    <row r="65" ht="15.75" customHeight="1">
      <c r="AG65" s="49"/>
      <c r="AI65" s="8"/>
    </row>
    <row r="66" ht="15.75" customHeight="1">
      <c r="AG66" s="49"/>
      <c r="AI66" s="8"/>
    </row>
    <row r="67" ht="15.75" customHeight="1">
      <c r="AG67" s="49"/>
      <c r="AI67" s="8"/>
    </row>
    <row r="68" ht="15.75" customHeight="1">
      <c r="AG68" s="49"/>
      <c r="AI68" s="8"/>
    </row>
    <row r="69" ht="15.75" customHeight="1">
      <c r="AG69" s="49"/>
      <c r="AI69" s="8"/>
    </row>
    <row r="70" ht="15.75" customHeight="1">
      <c r="AG70" s="49"/>
      <c r="AI70" s="8"/>
    </row>
    <row r="71" ht="15.75" customHeight="1">
      <c r="AG71" s="49"/>
      <c r="AI71" s="8"/>
    </row>
    <row r="72" ht="15.75" customHeight="1">
      <c r="AG72" s="49"/>
      <c r="AI72" s="8"/>
    </row>
    <row r="73" ht="15.75" customHeight="1">
      <c r="AG73" s="49"/>
      <c r="AI73" s="8"/>
    </row>
    <row r="74" ht="15.75" customHeight="1">
      <c r="AG74" s="49"/>
      <c r="AI74" s="8"/>
    </row>
    <row r="75" ht="15.75" customHeight="1">
      <c r="AG75" s="49"/>
      <c r="AI75" s="8"/>
    </row>
    <row r="76" ht="15.75" customHeight="1">
      <c r="AG76" s="49"/>
      <c r="AI76" s="8"/>
    </row>
    <row r="77" ht="15.75" customHeight="1">
      <c r="AG77" s="49"/>
      <c r="AI77" s="8"/>
    </row>
    <row r="78" ht="15.75" customHeight="1">
      <c r="AG78" s="49"/>
      <c r="AI78" s="8"/>
    </row>
    <row r="79" ht="15.75" customHeight="1">
      <c r="AG79" s="49"/>
      <c r="AI79" s="8"/>
    </row>
    <row r="80" ht="15.75" customHeight="1">
      <c r="AG80" s="49"/>
      <c r="AI80" s="8"/>
    </row>
    <row r="81" ht="15.75" customHeight="1">
      <c r="AG81" s="49"/>
      <c r="AI81" s="8"/>
    </row>
    <row r="82" ht="15.75" customHeight="1">
      <c r="AG82" s="49"/>
      <c r="AI82" s="8"/>
    </row>
    <row r="83" ht="15.75" customHeight="1">
      <c r="AG83" s="49"/>
      <c r="AI83" s="8"/>
    </row>
    <row r="84" ht="15.75" customHeight="1">
      <c r="AG84" s="49"/>
      <c r="AI84" s="8"/>
    </row>
    <row r="85" ht="15.75" customHeight="1">
      <c r="AG85" s="49"/>
      <c r="AI85" s="8"/>
    </row>
    <row r="86" ht="15.75" customHeight="1">
      <c r="AG86" s="49"/>
      <c r="AI86" s="8"/>
    </row>
    <row r="87" ht="15.75" customHeight="1">
      <c r="AG87" s="49"/>
      <c r="AI87" s="8"/>
    </row>
    <row r="88" ht="15.75" customHeight="1">
      <c r="AG88" s="49"/>
      <c r="AI88" s="8"/>
    </row>
    <row r="89" ht="15.75" customHeight="1">
      <c r="AG89" s="49"/>
      <c r="AI89" s="8"/>
    </row>
    <row r="90" ht="15.75" customHeight="1">
      <c r="AG90" s="49"/>
      <c r="AI90" s="8"/>
    </row>
    <row r="91" ht="15.75" customHeight="1">
      <c r="AG91" s="49"/>
      <c r="AI91" s="8"/>
    </row>
    <row r="92" ht="15.75" customHeight="1">
      <c r="AG92" s="49"/>
      <c r="AI92" s="8"/>
    </row>
    <row r="93" ht="15.75" customHeight="1">
      <c r="AG93" s="49"/>
      <c r="AI93" s="8"/>
    </row>
    <row r="94" ht="15.75" customHeight="1">
      <c r="AG94" s="49"/>
      <c r="AI94" s="8"/>
    </row>
    <row r="95" ht="15.75" customHeight="1">
      <c r="AG95" s="49"/>
      <c r="AI95" s="8"/>
    </row>
    <row r="96" ht="15.75" customHeight="1">
      <c r="AG96" s="49"/>
      <c r="AI96" s="8"/>
    </row>
    <row r="97" ht="15.75" customHeight="1">
      <c r="AG97" s="49"/>
      <c r="AI97" s="8"/>
    </row>
    <row r="98" ht="15.75" customHeight="1">
      <c r="AG98" s="49"/>
      <c r="AI98" s="8"/>
    </row>
    <row r="99" ht="15.75" customHeight="1">
      <c r="AG99" s="49"/>
      <c r="AI99" s="8"/>
    </row>
    <row r="100" ht="15.75" customHeight="1">
      <c r="AG100" s="49"/>
      <c r="AI100" s="8"/>
    </row>
    <row r="101" ht="15.75" customHeight="1">
      <c r="AG101" s="49"/>
      <c r="AI101" s="8"/>
    </row>
    <row r="102" ht="15.75" customHeight="1">
      <c r="AG102" s="49"/>
      <c r="AI102" s="8"/>
    </row>
    <row r="103" ht="15.75" customHeight="1">
      <c r="AG103" s="49"/>
      <c r="AI103" s="8"/>
    </row>
    <row r="104" ht="15.75" customHeight="1">
      <c r="AG104" s="49"/>
      <c r="AI104" s="8"/>
    </row>
    <row r="105" ht="15.75" customHeight="1">
      <c r="AG105" s="49"/>
      <c r="AI105" s="8"/>
    </row>
    <row r="106" ht="15.75" customHeight="1">
      <c r="AG106" s="49"/>
      <c r="AI106" s="8"/>
    </row>
    <row r="107" ht="15.75" customHeight="1">
      <c r="AG107" s="49"/>
      <c r="AI107" s="8"/>
    </row>
    <row r="108" ht="15.75" customHeight="1">
      <c r="AG108" s="49"/>
      <c r="AI108" s="8"/>
    </row>
    <row r="109" ht="15.75" customHeight="1">
      <c r="AG109" s="49"/>
      <c r="AI109" s="8"/>
    </row>
    <row r="110" ht="15.75" customHeight="1">
      <c r="AG110" s="49"/>
      <c r="AI110" s="8"/>
    </row>
    <row r="111" ht="15.75" customHeight="1">
      <c r="AG111" s="49"/>
      <c r="AI111" s="8"/>
    </row>
    <row r="112" ht="15.75" customHeight="1">
      <c r="AG112" s="49"/>
      <c r="AI112" s="8"/>
    </row>
    <row r="113" ht="15.75" customHeight="1">
      <c r="AG113" s="49"/>
      <c r="AI113" s="8"/>
    </row>
    <row r="114" ht="15.75" customHeight="1">
      <c r="AG114" s="49"/>
      <c r="AI114" s="8"/>
    </row>
    <row r="115" ht="15.75" customHeight="1">
      <c r="AG115" s="49"/>
      <c r="AI115" s="8"/>
    </row>
    <row r="116" ht="15.75" customHeight="1">
      <c r="AG116" s="49"/>
      <c r="AI116" s="8"/>
    </row>
    <row r="117" ht="15.75" customHeight="1">
      <c r="AG117" s="49"/>
      <c r="AI117" s="8"/>
    </row>
    <row r="118" ht="15.75" customHeight="1">
      <c r="AG118" s="49"/>
      <c r="AI118" s="8"/>
    </row>
    <row r="119" ht="15.75" customHeight="1">
      <c r="AG119" s="49"/>
      <c r="AI119" s="8"/>
    </row>
    <row r="120" ht="15.75" customHeight="1">
      <c r="AG120" s="49"/>
      <c r="AI120" s="8"/>
    </row>
    <row r="121" ht="15.75" customHeight="1">
      <c r="AG121" s="49"/>
      <c r="AI121" s="8"/>
    </row>
    <row r="122" ht="15.75" customHeight="1">
      <c r="AG122" s="49"/>
      <c r="AI122" s="8"/>
    </row>
    <row r="123" ht="15.75" customHeight="1">
      <c r="AG123" s="49"/>
      <c r="AI123" s="8"/>
    </row>
    <row r="124" ht="15.75" customHeight="1">
      <c r="AG124" s="49"/>
      <c r="AI124" s="8"/>
    </row>
    <row r="125" ht="15.75" customHeight="1">
      <c r="AG125" s="49"/>
      <c r="AI125" s="8"/>
    </row>
    <row r="126" ht="15.75" customHeight="1">
      <c r="AG126" s="49"/>
      <c r="AI126" s="8"/>
    </row>
    <row r="127" ht="15.75" customHeight="1">
      <c r="AG127" s="49"/>
      <c r="AI127" s="8"/>
    </row>
    <row r="128" ht="15.75" customHeight="1">
      <c r="AG128" s="49"/>
      <c r="AI128" s="8"/>
    </row>
    <row r="129" ht="15.75" customHeight="1">
      <c r="AG129" s="49"/>
      <c r="AI129" s="8"/>
    </row>
    <row r="130" ht="15.75" customHeight="1">
      <c r="AG130" s="49"/>
      <c r="AI130" s="8"/>
    </row>
    <row r="131" ht="15.75" customHeight="1">
      <c r="AG131" s="49"/>
      <c r="AI131" s="8"/>
    </row>
    <row r="132" ht="15.75" customHeight="1">
      <c r="AG132" s="49"/>
      <c r="AI132" s="8"/>
    </row>
    <row r="133" ht="15.75" customHeight="1">
      <c r="AG133" s="49"/>
      <c r="AI133" s="8"/>
    </row>
    <row r="134" ht="15.75" customHeight="1">
      <c r="AG134" s="49"/>
      <c r="AI134" s="8"/>
    </row>
    <row r="135" ht="15.75" customHeight="1">
      <c r="AG135" s="49"/>
      <c r="AI135" s="8"/>
    </row>
    <row r="136" ht="15.75" customHeight="1">
      <c r="AG136" s="49"/>
      <c r="AI136" s="8"/>
    </row>
    <row r="137" ht="15.75" customHeight="1">
      <c r="AG137" s="49"/>
      <c r="AI137" s="8"/>
    </row>
    <row r="138" ht="15.75" customHeight="1">
      <c r="AG138" s="49"/>
      <c r="AI138" s="8"/>
    </row>
    <row r="139" ht="15.75" customHeight="1">
      <c r="AG139" s="49"/>
      <c r="AI139" s="8"/>
    </row>
    <row r="140" ht="15.75" customHeight="1">
      <c r="AG140" s="49"/>
      <c r="AI140" s="8"/>
    </row>
    <row r="141" ht="15.75" customHeight="1">
      <c r="AG141" s="49"/>
      <c r="AI141" s="8"/>
    </row>
    <row r="142" ht="15.75" customHeight="1">
      <c r="AG142" s="49"/>
      <c r="AI142" s="8"/>
    </row>
    <row r="143" ht="15.75" customHeight="1">
      <c r="AG143" s="49"/>
      <c r="AI143" s="8"/>
    </row>
    <row r="144" ht="15.75" customHeight="1">
      <c r="AG144" s="49"/>
      <c r="AI144" s="8"/>
    </row>
    <row r="145" ht="15.75" customHeight="1">
      <c r="AG145" s="49"/>
      <c r="AI145" s="8"/>
    </row>
    <row r="146" ht="15.75" customHeight="1">
      <c r="AG146" s="49"/>
      <c r="AI146" s="8"/>
    </row>
    <row r="147" ht="15.75" customHeight="1">
      <c r="AG147" s="49"/>
      <c r="AI147" s="8"/>
    </row>
    <row r="148" ht="15.75" customHeight="1">
      <c r="AG148" s="49"/>
      <c r="AI148" s="8"/>
    </row>
    <row r="149" ht="15.75" customHeight="1">
      <c r="AG149" s="49"/>
      <c r="AI149" s="8"/>
    </row>
    <row r="150" ht="15.75" customHeight="1">
      <c r="AG150" s="49"/>
      <c r="AI150" s="8"/>
    </row>
    <row r="151" ht="15.75" customHeight="1">
      <c r="AG151" s="49"/>
      <c r="AI151" s="8"/>
    </row>
    <row r="152" ht="15.75" customHeight="1">
      <c r="AG152" s="49"/>
      <c r="AI152" s="8"/>
    </row>
    <row r="153" ht="15.75" customHeight="1">
      <c r="AG153" s="49"/>
      <c r="AI153" s="8"/>
    </row>
    <row r="154" ht="15.75" customHeight="1">
      <c r="AG154" s="49"/>
      <c r="AI154" s="8"/>
    </row>
    <row r="155" ht="15.75" customHeight="1">
      <c r="AG155" s="49"/>
      <c r="AI155" s="8"/>
    </row>
    <row r="156" ht="15.75" customHeight="1">
      <c r="AG156" s="49"/>
      <c r="AI156" s="8"/>
    </row>
    <row r="157" ht="15.75" customHeight="1">
      <c r="AG157" s="49"/>
      <c r="AI157" s="8"/>
    </row>
    <row r="158" ht="15.75" customHeight="1">
      <c r="AG158" s="49"/>
      <c r="AI158" s="8"/>
    </row>
    <row r="159" ht="15.75" customHeight="1">
      <c r="AG159" s="49"/>
      <c r="AI159" s="8"/>
    </row>
    <row r="160" ht="15.75" customHeight="1">
      <c r="AG160" s="49"/>
      <c r="AI160" s="8"/>
    </row>
    <row r="161" ht="15.75" customHeight="1">
      <c r="AG161" s="49"/>
      <c r="AI161" s="8"/>
    </row>
    <row r="162" ht="15.75" customHeight="1">
      <c r="AG162" s="49"/>
      <c r="AI162" s="8"/>
    </row>
    <row r="163" ht="15.75" customHeight="1">
      <c r="AG163" s="49"/>
      <c r="AI163" s="8"/>
    </row>
    <row r="164" ht="15.75" customHeight="1">
      <c r="AG164" s="49"/>
      <c r="AI164" s="8"/>
    </row>
    <row r="165" ht="15.75" customHeight="1">
      <c r="AG165" s="49"/>
      <c r="AI165" s="8"/>
    </row>
    <row r="166" ht="15.75" customHeight="1">
      <c r="AG166" s="49"/>
      <c r="AI166" s="8"/>
    </row>
    <row r="167" ht="15.75" customHeight="1">
      <c r="AG167" s="49"/>
      <c r="AI167" s="8"/>
    </row>
    <row r="168" ht="15.75" customHeight="1">
      <c r="AG168" s="49"/>
      <c r="AI168" s="8"/>
    </row>
    <row r="169" ht="15.75" customHeight="1">
      <c r="AG169" s="49"/>
      <c r="AI169" s="8"/>
    </row>
    <row r="170" ht="15.75" customHeight="1">
      <c r="AG170" s="49"/>
      <c r="AI170" s="8"/>
    </row>
    <row r="171" ht="15.75" customHeight="1">
      <c r="AG171" s="49"/>
      <c r="AI171" s="8"/>
    </row>
    <row r="172" ht="15.75" customHeight="1">
      <c r="AG172" s="49"/>
      <c r="AI172" s="8"/>
    </row>
    <row r="173" ht="15.75" customHeight="1">
      <c r="AG173" s="49"/>
      <c r="AI173" s="8"/>
    </row>
    <row r="174" ht="15.75" customHeight="1">
      <c r="AG174" s="49"/>
      <c r="AI174" s="8"/>
    </row>
    <row r="175" ht="15.75" customHeight="1">
      <c r="AG175" s="49"/>
      <c r="AI175" s="8"/>
    </row>
    <row r="176" ht="15.75" customHeight="1">
      <c r="AG176" s="49"/>
      <c r="AI176" s="8"/>
    </row>
    <row r="177" ht="15.75" customHeight="1">
      <c r="AG177" s="49"/>
      <c r="AI177" s="8"/>
    </row>
    <row r="178" ht="15.75" customHeight="1">
      <c r="AG178" s="49"/>
      <c r="AI178" s="8"/>
    </row>
    <row r="179" ht="15.75" customHeight="1">
      <c r="AG179" s="49"/>
      <c r="AI179" s="8"/>
    </row>
    <row r="180" ht="15.75" customHeight="1">
      <c r="AG180" s="49"/>
      <c r="AI180" s="8"/>
    </row>
    <row r="181" ht="15.75" customHeight="1">
      <c r="AG181" s="49"/>
      <c r="AI181" s="8"/>
    </row>
    <row r="182" ht="15.75" customHeight="1">
      <c r="AG182" s="49"/>
      <c r="AI182" s="8"/>
    </row>
    <row r="183" ht="15.75" customHeight="1">
      <c r="AG183" s="49"/>
      <c r="AI183" s="8"/>
    </row>
    <row r="184" ht="15.75" customHeight="1">
      <c r="AG184" s="49"/>
      <c r="AI184" s="8"/>
    </row>
    <row r="185" ht="15.75" customHeight="1">
      <c r="AG185" s="49"/>
      <c r="AI185" s="8"/>
    </row>
    <row r="186" ht="15.75" customHeight="1">
      <c r="AG186" s="49"/>
      <c r="AI186" s="8"/>
    </row>
    <row r="187" ht="15.75" customHeight="1">
      <c r="AG187" s="49"/>
      <c r="AI187" s="8"/>
    </row>
    <row r="188" ht="15.75" customHeight="1">
      <c r="AG188" s="49"/>
      <c r="AI188" s="8"/>
    </row>
    <row r="189" ht="15.75" customHeight="1">
      <c r="AG189" s="49"/>
      <c r="AI189" s="8"/>
    </row>
    <row r="190" ht="15.75" customHeight="1">
      <c r="AG190" s="49"/>
      <c r="AI190" s="8"/>
    </row>
    <row r="191" ht="15.75" customHeight="1">
      <c r="AG191" s="49"/>
      <c r="AI191" s="8"/>
    </row>
    <row r="192" ht="15.75" customHeight="1">
      <c r="AG192" s="49"/>
      <c r="AI192" s="8"/>
    </row>
    <row r="193" ht="15.75" customHeight="1">
      <c r="AG193" s="49"/>
      <c r="AI193" s="8"/>
    </row>
    <row r="194" ht="15.75" customHeight="1">
      <c r="AG194" s="49"/>
      <c r="AI194" s="8"/>
    </row>
    <row r="195" ht="15.75" customHeight="1">
      <c r="AG195" s="49"/>
      <c r="AI195" s="8"/>
    </row>
    <row r="196" ht="15.75" customHeight="1">
      <c r="AG196" s="49"/>
      <c r="AI196" s="8"/>
    </row>
    <row r="197" ht="15.75" customHeight="1">
      <c r="AG197" s="49"/>
      <c r="AI197" s="8"/>
    </row>
    <row r="198" ht="15.75" customHeight="1">
      <c r="AG198" s="49"/>
      <c r="AI198" s="8"/>
    </row>
    <row r="199" ht="15.75" customHeight="1">
      <c r="AG199" s="49"/>
      <c r="AI199" s="8"/>
    </row>
    <row r="200" ht="15.75" customHeight="1">
      <c r="AG200" s="49"/>
      <c r="AI200" s="8"/>
    </row>
    <row r="201" ht="15.75" customHeight="1">
      <c r="AG201" s="49"/>
      <c r="AI201" s="8"/>
    </row>
    <row r="202" ht="15.75" customHeight="1">
      <c r="AG202" s="49"/>
      <c r="AI202" s="8"/>
    </row>
    <row r="203" ht="15.75" customHeight="1">
      <c r="AG203" s="49"/>
      <c r="AI203" s="8"/>
    </row>
    <row r="204" ht="15.75" customHeight="1">
      <c r="AG204" s="49"/>
      <c r="AI204" s="8"/>
    </row>
    <row r="205" ht="15.75" customHeight="1">
      <c r="AG205" s="49"/>
      <c r="AI205" s="8"/>
    </row>
    <row r="206" ht="15.75" customHeight="1">
      <c r="AG206" s="49"/>
      <c r="AI206" s="8"/>
    </row>
    <row r="207" ht="15.75" customHeight="1">
      <c r="AG207" s="49"/>
      <c r="AI207" s="8"/>
    </row>
    <row r="208" ht="15.75" customHeight="1">
      <c r="AG208" s="49"/>
      <c r="AI208" s="8"/>
    </row>
    <row r="209" ht="15.75" customHeight="1">
      <c r="AG209" s="49"/>
      <c r="AI209" s="8"/>
    </row>
    <row r="210" ht="15.75" customHeight="1">
      <c r="AG210" s="49"/>
      <c r="AI210" s="8"/>
    </row>
    <row r="211" ht="15.75" customHeight="1">
      <c r="AG211" s="49"/>
      <c r="AI211" s="8"/>
    </row>
    <row r="212" ht="15.75" customHeight="1">
      <c r="AG212" s="49"/>
      <c r="AI212" s="8"/>
    </row>
    <row r="213" ht="15.75" customHeight="1">
      <c r="AG213" s="49"/>
      <c r="AI213" s="8"/>
    </row>
    <row r="214" ht="15.75" customHeight="1">
      <c r="AG214" s="49"/>
      <c r="AI214" s="8"/>
    </row>
    <row r="215" ht="15.75" customHeight="1">
      <c r="AG215" s="49"/>
      <c r="AI215" s="8"/>
    </row>
    <row r="216" ht="15.75" customHeight="1">
      <c r="AG216" s="49"/>
      <c r="AI216" s="8"/>
    </row>
    <row r="217" ht="15.75" customHeight="1">
      <c r="AG217" s="49"/>
      <c r="AI217" s="8"/>
    </row>
    <row r="218" ht="15.75" customHeight="1">
      <c r="AG218" s="49"/>
      <c r="AI218" s="8"/>
    </row>
    <row r="219" ht="15.75" customHeight="1">
      <c r="AG219" s="49"/>
      <c r="AI219" s="8"/>
    </row>
    <row r="220" ht="15.75" customHeight="1">
      <c r="AG220" s="49"/>
      <c r="AI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1" width="18.71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745"/>
      <c r="AZ1" s="226"/>
      <c r="BA1" s="226"/>
      <c r="BB1" s="226"/>
      <c r="BC1" s="226"/>
      <c r="BD1" s="226"/>
      <c r="BE1" s="226"/>
      <c r="BF1" s="226"/>
      <c r="BG1" s="745"/>
      <c r="BH1" s="226"/>
      <c r="BI1" s="226"/>
      <c r="BJ1" s="746"/>
      <c r="BK1" s="226"/>
      <c r="BL1" s="226"/>
      <c r="BM1" s="226"/>
    </row>
    <row r="2" ht="33.0" customHeight="1">
      <c r="A2" s="641" t="s">
        <v>86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SUM(AG3:AG33,AV5:AV15,AV19:AV28)</f>
        <v>3720.34</v>
      </c>
      <c r="AH2" s="58"/>
      <c r="AI2" s="38"/>
    </row>
    <row r="3" ht="36.75" customHeight="1">
      <c r="A3" s="747" t="s">
        <v>101</v>
      </c>
      <c r="B3" s="823">
        <v>0.0</v>
      </c>
      <c r="C3" s="823">
        <v>0.0</v>
      </c>
      <c r="D3" s="755">
        <v>0.0</v>
      </c>
      <c r="E3" s="755">
        <v>0.0</v>
      </c>
      <c r="F3" s="755">
        <v>0.0</v>
      </c>
      <c r="G3" s="755">
        <v>0.0</v>
      </c>
      <c r="H3" s="755">
        <v>0.0</v>
      </c>
      <c r="I3" s="755">
        <v>0.0</v>
      </c>
      <c r="J3" s="755">
        <v>0.0</v>
      </c>
      <c r="K3" s="755">
        <v>0.0</v>
      </c>
      <c r="L3" s="755">
        <v>0.0</v>
      </c>
      <c r="M3" s="755">
        <v>0.0</v>
      </c>
      <c r="N3" s="755">
        <v>0.0</v>
      </c>
      <c r="O3" s="755">
        <v>0.0</v>
      </c>
      <c r="P3" s="755">
        <v>0.0</v>
      </c>
      <c r="Q3" s="824">
        <v>1.5</v>
      </c>
      <c r="R3" s="755">
        <v>0.0</v>
      </c>
      <c r="S3" s="755">
        <v>0.0</v>
      </c>
      <c r="T3" s="755">
        <v>0.0</v>
      </c>
      <c r="U3" s="755">
        <v>0.0</v>
      </c>
      <c r="V3" s="755">
        <v>0.0</v>
      </c>
      <c r="W3" s="825">
        <v>0.0</v>
      </c>
      <c r="X3" s="755">
        <v>0.0</v>
      </c>
      <c r="Y3" s="755">
        <v>0.0</v>
      </c>
      <c r="Z3" s="755">
        <v>0.0</v>
      </c>
      <c r="AA3" s="755">
        <v>0.0</v>
      </c>
      <c r="AB3" s="755">
        <v>0.0</v>
      </c>
      <c r="AC3" s="755">
        <v>0.0</v>
      </c>
      <c r="AD3" s="755">
        <v>0.0</v>
      </c>
      <c r="AE3" s="755">
        <v>0.0</v>
      </c>
      <c r="AF3" s="755">
        <v>0.0</v>
      </c>
      <c r="AG3" s="751">
        <f t="shared" ref="AG3:AG33" si="1">SUM(B3:AF3)</f>
        <v>1.5</v>
      </c>
      <c r="AH3" s="455"/>
      <c r="AI3" s="38"/>
    </row>
    <row r="4" ht="31.5" customHeight="1">
      <c r="A4" s="758" t="s">
        <v>5</v>
      </c>
      <c r="B4" s="759">
        <v>0.0</v>
      </c>
      <c r="C4" s="760">
        <v>0.0</v>
      </c>
      <c r="D4" s="761">
        <v>0.0</v>
      </c>
      <c r="E4" s="762">
        <v>0.0</v>
      </c>
      <c r="F4" s="763">
        <v>0.0</v>
      </c>
      <c r="G4" s="763">
        <v>0.0</v>
      </c>
      <c r="H4" s="777">
        <v>0.0</v>
      </c>
      <c r="I4" s="777">
        <v>0.0</v>
      </c>
      <c r="J4" s="748">
        <v>1.0</v>
      </c>
      <c r="K4" s="777">
        <v>0.0</v>
      </c>
      <c r="L4" s="777">
        <v>0.0</v>
      </c>
      <c r="M4" s="777">
        <v>0.0</v>
      </c>
      <c r="N4" s="777">
        <v>0.0</v>
      </c>
      <c r="O4" s="777">
        <v>0.0</v>
      </c>
      <c r="P4" s="777">
        <v>0.0</v>
      </c>
      <c r="Q4" s="777">
        <v>0.0</v>
      </c>
      <c r="R4" s="777">
        <v>0.0</v>
      </c>
      <c r="S4" s="777">
        <v>0.0</v>
      </c>
      <c r="T4" s="777">
        <v>0.0</v>
      </c>
      <c r="U4" s="777">
        <v>0.0</v>
      </c>
      <c r="V4" s="777">
        <v>0.0</v>
      </c>
      <c r="W4" s="777">
        <v>0.0</v>
      </c>
      <c r="X4" s="777">
        <v>0.0</v>
      </c>
      <c r="Y4" s="777">
        <v>0.0</v>
      </c>
      <c r="Z4" s="777">
        <v>0.0</v>
      </c>
      <c r="AA4" s="777">
        <v>0.0</v>
      </c>
      <c r="AB4" s="777">
        <v>0.0</v>
      </c>
      <c r="AC4" s="777">
        <v>0.0</v>
      </c>
      <c r="AD4" s="777">
        <v>0.0</v>
      </c>
      <c r="AE4" s="777">
        <v>0.0</v>
      </c>
      <c r="AF4" s="777">
        <v>0.0</v>
      </c>
      <c r="AG4" s="751">
        <f t="shared" si="1"/>
        <v>1</v>
      </c>
      <c r="AH4" s="455"/>
      <c r="AI4" s="38"/>
      <c r="AP4" s="38"/>
      <c r="AQ4" s="38"/>
      <c r="AR4" s="38"/>
      <c r="AS4" s="173">
        <v>1.0</v>
      </c>
      <c r="AT4" s="174" t="s">
        <v>16</v>
      </c>
      <c r="AU4" s="173">
        <v>0.05</v>
      </c>
      <c r="AV4" s="456" t="s">
        <v>71</v>
      </c>
      <c r="AW4" s="456" t="s">
        <v>72</v>
      </c>
      <c r="AX4" s="456" t="s">
        <v>73</v>
      </c>
      <c r="AY4" s="246" t="s">
        <v>34</v>
      </c>
    </row>
    <row r="5" ht="40.5" customHeight="1">
      <c r="A5" s="764" t="s">
        <v>6</v>
      </c>
      <c r="B5" s="800">
        <v>40.12</v>
      </c>
      <c r="C5" s="800">
        <v>43.5</v>
      </c>
      <c r="D5" s="801">
        <v>12.12</v>
      </c>
      <c r="E5" s="801">
        <v>39.12</v>
      </c>
      <c r="F5" s="801">
        <v>19.62</v>
      </c>
      <c r="G5" s="801">
        <v>36.0</v>
      </c>
      <c r="H5" s="801">
        <v>19.5</v>
      </c>
      <c r="I5" s="801">
        <v>27.12</v>
      </c>
      <c r="J5" s="801">
        <v>34.5</v>
      </c>
      <c r="K5" s="801">
        <v>24.0</v>
      </c>
      <c r="L5" s="802">
        <v>27.0</v>
      </c>
      <c r="M5" s="801">
        <v>15.0</v>
      </c>
      <c r="N5" s="801">
        <v>4.5</v>
      </c>
      <c r="O5" s="801">
        <v>18.12</v>
      </c>
      <c r="P5" s="801">
        <v>36.0</v>
      </c>
      <c r="Q5" s="801">
        <v>10.5</v>
      </c>
      <c r="R5" s="801">
        <v>21.0</v>
      </c>
      <c r="S5" s="801">
        <v>22.62</v>
      </c>
      <c r="T5" s="801">
        <v>46.5</v>
      </c>
      <c r="U5" s="801">
        <v>18.0</v>
      </c>
      <c r="V5" s="801">
        <v>21.12</v>
      </c>
      <c r="W5" s="801">
        <v>13.62</v>
      </c>
      <c r="X5" s="801">
        <v>12.0</v>
      </c>
      <c r="Y5" s="801">
        <v>19.5</v>
      </c>
      <c r="Z5" s="801">
        <v>7.5</v>
      </c>
      <c r="AA5" s="801">
        <v>10.5</v>
      </c>
      <c r="AB5" s="801">
        <v>15.0</v>
      </c>
      <c r="AC5" s="801">
        <v>1.5</v>
      </c>
      <c r="AD5" s="801">
        <v>22.5</v>
      </c>
      <c r="AE5" s="801">
        <v>12.0</v>
      </c>
      <c r="AF5" s="801">
        <v>18.12</v>
      </c>
      <c r="AG5" s="751">
        <f t="shared" si="1"/>
        <v>668.2</v>
      </c>
      <c r="AH5" s="487"/>
      <c r="AI5" s="38"/>
      <c r="AJ5" s="38"/>
      <c r="AP5" s="344" t="s">
        <v>120</v>
      </c>
      <c r="AQ5" s="176"/>
      <c r="AR5" s="177"/>
      <c r="AS5" s="464">
        <f>SUM(valuesByColor("#980000", "", B3:AF33))</f>
        <v>331.04</v>
      </c>
      <c r="AT5" s="345">
        <f t="shared" ref="AT5:AT15" si="2">((AS5*(1-0.05))*(1-0.6))+AW5-AY5</f>
        <v>125.7952</v>
      </c>
      <c r="AU5" s="346">
        <f t="shared" ref="AU5:AU15" si="3">(AS5*(1-0.05))*(1-0.95)+AX5</f>
        <v>15.7244</v>
      </c>
      <c r="AV5" s="346"/>
      <c r="AW5" s="346">
        <f t="shared" ref="AW5:AW11" si="4">(AV5*(1-0.05))*(1-0.9)</f>
        <v>0</v>
      </c>
      <c r="AX5" s="346">
        <f t="shared" ref="AX5:AX11" si="5">(AV5*(1-0.05))*(1-0.95)</f>
        <v>0</v>
      </c>
      <c r="AY5" s="347"/>
    </row>
    <row r="6" ht="29.25" customHeight="1">
      <c r="A6" s="758" t="s">
        <v>41</v>
      </c>
      <c r="B6" s="826">
        <v>0.0</v>
      </c>
      <c r="C6" s="826">
        <v>1.62</v>
      </c>
      <c r="D6" s="803">
        <v>0.12</v>
      </c>
      <c r="E6" s="803">
        <v>1.62</v>
      </c>
      <c r="F6" s="803">
        <v>0.0</v>
      </c>
      <c r="G6" s="770">
        <v>0.0</v>
      </c>
      <c r="H6" s="770">
        <v>0.0</v>
      </c>
      <c r="I6" s="770">
        <v>0.0</v>
      </c>
      <c r="J6" s="770">
        <v>0.0</v>
      </c>
      <c r="K6" s="770">
        <v>0.0</v>
      </c>
      <c r="L6" s="770">
        <v>0.0</v>
      </c>
      <c r="M6" s="770">
        <v>0.0</v>
      </c>
      <c r="N6" s="770">
        <v>0.0</v>
      </c>
      <c r="O6" s="770">
        <v>0.0</v>
      </c>
      <c r="P6" s="770">
        <v>0.0</v>
      </c>
      <c r="Q6" s="770">
        <v>0.0</v>
      </c>
      <c r="R6" s="770">
        <v>0.0</v>
      </c>
      <c r="S6" s="770">
        <v>0.0</v>
      </c>
      <c r="T6" s="770">
        <v>0.0</v>
      </c>
      <c r="U6" s="770">
        <v>0.0</v>
      </c>
      <c r="V6" s="770">
        <v>0.0</v>
      </c>
      <c r="W6" s="770">
        <v>0.0</v>
      </c>
      <c r="X6" s="770">
        <v>0.0</v>
      </c>
      <c r="Y6" s="770">
        <v>0.0</v>
      </c>
      <c r="Z6" s="770">
        <v>0.0</v>
      </c>
      <c r="AA6" s="770">
        <v>0.0</v>
      </c>
      <c r="AB6" s="770">
        <v>0.0</v>
      </c>
      <c r="AC6" s="770">
        <v>0.0</v>
      </c>
      <c r="AD6" s="770">
        <v>0.0</v>
      </c>
      <c r="AE6" s="770">
        <v>0.0</v>
      </c>
      <c r="AF6" s="770">
        <v>0.0</v>
      </c>
      <c r="AG6" s="751">
        <f t="shared" si="1"/>
        <v>3.36</v>
      </c>
      <c r="AH6" s="455"/>
      <c r="AI6" s="38"/>
      <c r="AJ6" s="38"/>
      <c r="AP6" s="175" t="s">
        <v>102</v>
      </c>
      <c r="AQ6" s="176"/>
      <c r="AR6" s="177"/>
      <c r="AS6" s="467">
        <f>SUM(valuesByColor("yellow", "", B3:AF33))</f>
        <v>506.84</v>
      </c>
      <c r="AT6" s="178">
        <f t="shared" si="2"/>
        <v>192.5992</v>
      </c>
      <c r="AU6" s="248">
        <f t="shared" si="3"/>
        <v>24.0749</v>
      </c>
      <c r="AV6" s="248"/>
      <c r="AW6" s="248">
        <f t="shared" si="4"/>
        <v>0</v>
      </c>
      <c r="AX6" s="248">
        <f t="shared" si="5"/>
        <v>0</v>
      </c>
      <c r="AY6" s="249"/>
    </row>
    <row r="7" ht="29.25" customHeight="1">
      <c r="A7" s="758" t="s">
        <v>29</v>
      </c>
      <c r="B7" s="809">
        <v>3.0</v>
      </c>
      <c r="C7" s="809">
        <v>12.0</v>
      </c>
      <c r="D7" s="809">
        <v>1.5</v>
      </c>
      <c r="E7" s="809">
        <v>0.0</v>
      </c>
      <c r="F7" s="809">
        <v>6.0</v>
      </c>
      <c r="G7" s="804">
        <v>16.5</v>
      </c>
      <c r="H7" s="809">
        <v>3.0</v>
      </c>
      <c r="I7" s="809">
        <v>0.0</v>
      </c>
      <c r="J7" s="809">
        <v>1.5</v>
      </c>
      <c r="K7" s="809">
        <v>1.5</v>
      </c>
      <c r="L7" s="809">
        <v>4.5</v>
      </c>
      <c r="M7" s="809">
        <v>10.5</v>
      </c>
      <c r="N7" s="809">
        <v>19.5</v>
      </c>
      <c r="O7" s="809">
        <v>0.0</v>
      </c>
      <c r="P7" s="809">
        <v>1.5</v>
      </c>
      <c r="Q7" s="809">
        <v>0.0</v>
      </c>
      <c r="R7" s="809">
        <v>0.0</v>
      </c>
      <c r="S7" s="809">
        <v>0.0</v>
      </c>
      <c r="T7" s="809">
        <v>0.0</v>
      </c>
      <c r="U7" s="680">
        <v>18.12</v>
      </c>
      <c r="V7" s="680">
        <v>10.62</v>
      </c>
      <c r="W7" s="680">
        <v>16.5</v>
      </c>
      <c r="X7" s="680">
        <v>42.0</v>
      </c>
      <c r="Y7" s="680">
        <v>21.12</v>
      </c>
      <c r="Z7" s="680">
        <v>13.5</v>
      </c>
      <c r="AA7" s="680">
        <v>15.0</v>
      </c>
      <c r="AB7" s="680">
        <v>9.7</v>
      </c>
      <c r="AC7" s="680">
        <v>4.74</v>
      </c>
      <c r="AD7" s="680">
        <v>4.5</v>
      </c>
      <c r="AE7" s="680">
        <v>12.0</v>
      </c>
      <c r="AF7" s="680">
        <v>1.5</v>
      </c>
      <c r="AG7" s="751">
        <f t="shared" si="1"/>
        <v>250.3</v>
      </c>
      <c r="AH7" s="455"/>
      <c r="AI7" s="38"/>
      <c r="AJ7" s="38"/>
      <c r="AP7" s="252" t="s">
        <v>103</v>
      </c>
      <c r="AQ7" s="176"/>
      <c r="AR7" s="177"/>
      <c r="AS7" s="474">
        <f>SUM(valuesByColor("cyan", "", B3:AF33))</f>
        <v>33.66</v>
      </c>
      <c r="AT7" s="253">
        <f t="shared" si="2"/>
        <v>12.7908</v>
      </c>
      <c r="AU7" s="254">
        <f t="shared" si="3"/>
        <v>1.59885</v>
      </c>
      <c r="AV7" s="254"/>
      <c r="AW7" s="254">
        <f t="shared" si="4"/>
        <v>0</v>
      </c>
      <c r="AX7" s="254">
        <f t="shared" si="5"/>
        <v>0</v>
      </c>
      <c r="AY7" s="255"/>
    </row>
    <row r="8" ht="27.0" customHeight="1">
      <c r="A8" s="773" t="s">
        <v>3</v>
      </c>
      <c r="B8" s="805">
        <v>0.0</v>
      </c>
      <c r="C8" s="805">
        <v>3.0</v>
      </c>
      <c r="D8" s="805">
        <v>3.0</v>
      </c>
      <c r="E8" s="805">
        <v>1.62</v>
      </c>
      <c r="F8" s="805">
        <v>0.0</v>
      </c>
      <c r="G8" s="748">
        <v>0.0</v>
      </c>
      <c r="H8" s="771">
        <v>0.0</v>
      </c>
      <c r="I8" s="771">
        <v>34.86</v>
      </c>
      <c r="J8" s="771">
        <v>7.7</v>
      </c>
      <c r="K8" s="771">
        <v>0.0</v>
      </c>
      <c r="L8" s="771">
        <v>0.0</v>
      </c>
      <c r="M8" s="771">
        <v>3.0</v>
      </c>
      <c r="N8" s="771">
        <v>1.5</v>
      </c>
      <c r="O8" s="771">
        <v>0.0</v>
      </c>
      <c r="P8" s="771">
        <v>0.0</v>
      </c>
      <c r="Q8" s="771">
        <v>2.2</v>
      </c>
      <c r="R8" s="771">
        <v>0.0</v>
      </c>
      <c r="S8" s="771">
        <v>3.0</v>
      </c>
      <c r="T8" s="771">
        <v>13.48</v>
      </c>
      <c r="U8" s="748">
        <v>0.0</v>
      </c>
      <c r="V8" s="748">
        <v>3.0</v>
      </c>
      <c r="W8" s="748">
        <v>0.0</v>
      </c>
      <c r="X8" s="748">
        <v>0.0</v>
      </c>
      <c r="Y8" s="748">
        <v>0.0</v>
      </c>
      <c r="Z8" s="748">
        <v>3.0</v>
      </c>
      <c r="AA8" s="748">
        <v>0.0</v>
      </c>
      <c r="AB8" s="748">
        <v>0.0</v>
      </c>
      <c r="AC8" s="748">
        <v>0.0</v>
      </c>
      <c r="AD8" s="748">
        <v>15.12</v>
      </c>
      <c r="AE8" s="748">
        <v>8.18</v>
      </c>
      <c r="AF8" s="748">
        <v>0.0</v>
      </c>
      <c r="AG8" s="751">
        <f t="shared" si="1"/>
        <v>102.66</v>
      </c>
      <c r="AH8" s="487"/>
      <c r="AI8" s="38"/>
      <c r="AJ8" s="38"/>
      <c r="AP8" s="188" t="s">
        <v>38</v>
      </c>
      <c r="AQ8" s="176"/>
      <c r="AR8" s="177"/>
      <c r="AS8" s="481">
        <f>SUM(valuesByColor("#f09090", "", B3:AF33))</f>
        <v>1393.48</v>
      </c>
      <c r="AT8" s="189">
        <f t="shared" si="2"/>
        <v>479.5224</v>
      </c>
      <c r="AU8" s="256">
        <f t="shared" si="3"/>
        <v>66.1903</v>
      </c>
      <c r="AV8" s="256"/>
      <c r="AW8" s="482">
        <f t="shared" si="4"/>
        <v>0</v>
      </c>
      <c r="AX8" s="482">
        <f t="shared" si="5"/>
        <v>0</v>
      </c>
      <c r="AY8" s="257">
        <v>50.0</v>
      </c>
    </row>
    <row r="9" ht="28.5" customHeight="1">
      <c r="A9" s="747" t="s">
        <v>31</v>
      </c>
      <c r="B9" s="820">
        <v>3.0</v>
      </c>
      <c r="C9" s="807">
        <v>3.0</v>
      </c>
      <c r="D9" s="820">
        <v>4.5</v>
      </c>
      <c r="E9" s="820">
        <v>9.24</v>
      </c>
      <c r="F9" s="820">
        <v>3.12</v>
      </c>
      <c r="G9" s="820">
        <v>1.5</v>
      </c>
      <c r="H9" s="820">
        <v>7.5</v>
      </c>
      <c r="I9" s="820">
        <v>4.5</v>
      </c>
      <c r="J9" s="820">
        <v>12.0</v>
      </c>
      <c r="K9" s="820">
        <v>7.5</v>
      </c>
      <c r="L9" s="807">
        <v>7.74</v>
      </c>
      <c r="M9" s="807">
        <v>6.0</v>
      </c>
      <c r="N9" s="807">
        <v>3.0</v>
      </c>
      <c r="O9" s="807">
        <v>7.5</v>
      </c>
      <c r="P9" s="807">
        <v>1.5</v>
      </c>
      <c r="Q9" s="807">
        <v>4.5</v>
      </c>
      <c r="R9" s="807">
        <v>1.5</v>
      </c>
      <c r="S9" s="807">
        <v>1.5</v>
      </c>
      <c r="T9" s="807">
        <v>1.5</v>
      </c>
      <c r="U9" s="807">
        <v>0.0</v>
      </c>
      <c r="V9" s="807">
        <v>7.5</v>
      </c>
      <c r="W9" s="807">
        <v>7.62</v>
      </c>
      <c r="X9" s="807">
        <v>12.12</v>
      </c>
      <c r="Y9" s="807">
        <v>13.5</v>
      </c>
      <c r="Z9" s="807">
        <v>6.0</v>
      </c>
      <c r="AA9" s="807">
        <v>6.0</v>
      </c>
      <c r="AB9" s="807">
        <v>0.0</v>
      </c>
      <c r="AC9" s="807">
        <v>1.5</v>
      </c>
      <c r="AD9" s="807">
        <v>4.5</v>
      </c>
      <c r="AE9" s="807">
        <v>10.62</v>
      </c>
      <c r="AF9" s="807">
        <v>3.0</v>
      </c>
      <c r="AG9" s="751">
        <f t="shared" si="1"/>
        <v>162.96</v>
      </c>
      <c r="AH9" s="455"/>
      <c r="AI9" s="38"/>
      <c r="AJ9" s="38"/>
      <c r="AK9" s="38"/>
      <c r="AL9" s="38"/>
      <c r="AP9" s="263" t="s">
        <v>114</v>
      </c>
      <c r="AQ9" s="176"/>
      <c r="AR9" s="177"/>
      <c r="AS9" s="808">
        <f>SUM(valuesByColor("magenta", "", B3:AF33))</f>
        <v>95.84</v>
      </c>
      <c r="AT9" s="264">
        <f t="shared" si="2"/>
        <v>36.4192</v>
      </c>
      <c r="AU9" s="265">
        <f t="shared" si="3"/>
        <v>4.5524</v>
      </c>
      <c r="AV9" s="265"/>
      <c r="AW9" s="489">
        <f t="shared" si="4"/>
        <v>0</v>
      </c>
      <c r="AX9" s="489">
        <f t="shared" si="5"/>
        <v>0</v>
      </c>
      <c r="AY9" s="266"/>
    </row>
    <row r="10" ht="28.5" customHeight="1">
      <c r="A10" s="747" t="s">
        <v>32</v>
      </c>
      <c r="B10" s="768">
        <v>3.0</v>
      </c>
      <c r="C10" s="777">
        <v>0.0</v>
      </c>
      <c r="D10" s="777">
        <v>0.0</v>
      </c>
      <c r="E10" s="777">
        <v>0.0</v>
      </c>
      <c r="F10" s="783">
        <v>1.0</v>
      </c>
      <c r="G10" s="768">
        <v>0.0</v>
      </c>
      <c r="H10" s="768">
        <v>0.0</v>
      </c>
      <c r="I10" s="768">
        <v>0.0</v>
      </c>
      <c r="J10" s="768">
        <v>0.0</v>
      </c>
      <c r="K10" s="768">
        <v>0.0</v>
      </c>
      <c r="L10" s="777">
        <v>0.0</v>
      </c>
      <c r="M10" s="777">
        <v>0.0</v>
      </c>
      <c r="N10" s="777">
        <v>0.0</v>
      </c>
      <c r="O10" s="777">
        <v>0.0</v>
      </c>
      <c r="P10" s="777">
        <v>0.0</v>
      </c>
      <c r="Q10" s="777">
        <v>0.0</v>
      </c>
      <c r="R10" s="777">
        <v>0.0</v>
      </c>
      <c r="S10" s="777">
        <v>0.0</v>
      </c>
      <c r="T10" s="777">
        <v>0.0</v>
      </c>
      <c r="U10" s="777">
        <v>0.0</v>
      </c>
      <c r="V10" s="777">
        <v>0.0</v>
      </c>
      <c r="W10" s="777">
        <v>0.0</v>
      </c>
      <c r="X10" s="777">
        <v>0.0</v>
      </c>
      <c r="Y10" s="777">
        <v>0.0</v>
      </c>
      <c r="Z10" s="777">
        <v>0.0</v>
      </c>
      <c r="AA10" s="777">
        <v>0.0</v>
      </c>
      <c r="AB10" s="777">
        <v>0.0</v>
      </c>
      <c r="AC10" s="777">
        <v>0.0</v>
      </c>
      <c r="AD10" s="777">
        <v>0.0</v>
      </c>
      <c r="AE10" s="777">
        <v>0.0</v>
      </c>
      <c r="AF10" s="777">
        <v>0.0</v>
      </c>
      <c r="AG10" s="751">
        <f t="shared" si="1"/>
        <v>4</v>
      </c>
      <c r="AH10" s="455"/>
      <c r="AI10" s="38"/>
      <c r="AJ10" s="38"/>
      <c r="AK10" s="38"/>
      <c r="AL10" s="38"/>
      <c r="AP10" s="195" t="s">
        <v>121</v>
      </c>
      <c r="AQ10" s="176"/>
      <c r="AR10" s="177"/>
      <c r="AS10" s="493">
        <f>SUM(valuesByColor("#0070c0", "", B3:AF33))</f>
        <v>353.92</v>
      </c>
      <c r="AT10" s="196">
        <f t="shared" si="2"/>
        <v>134.4896</v>
      </c>
      <c r="AU10" s="267">
        <f t="shared" si="3"/>
        <v>16.8112</v>
      </c>
      <c r="AV10" s="267"/>
      <c r="AW10" s="494">
        <f t="shared" si="4"/>
        <v>0</v>
      </c>
      <c r="AX10" s="494">
        <f t="shared" si="5"/>
        <v>0</v>
      </c>
      <c r="AY10" s="268"/>
    </row>
    <row r="11" ht="24.75" customHeight="1">
      <c r="A11" s="747" t="s">
        <v>106</v>
      </c>
      <c r="B11" s="679">
        <v>0.0</v>
      </c>
      <c r="C11" s="679">
        <v>9.32</v>
      </c>
      <c r="D11" s="679">
        <v>10.32</v>
      </c>
      <c r="E11" s="679">
        <v>6.4</v>
      </c>
      <c r="F11" s="679">
        <v>0.0</v>
      </c>
      <c r="G11" s="807">
        <v>12.72</v>
      </c>
      <c r="H11" s="807">
        <v>12.0</v>
      </c>
      <c r="I11" s="807">
        <v>8.46</v>
      </c>
      <c r="J11" s="807">
        <v>3.0</v>
      </c>
      <c r="K11" s="807">
        <v>1.5</v>
      </c>
      <c r="L11" s="807">
        <v>1.5</v>
      </c>
      <c r="M11" s="807">
        <v>5.08</v>
      </c>
      <c r="N11" s="807">
        <v>7.72</v>
      </c>
      <c r="O11" s="807">
        <v>1.5</v>
      </c>
      <c r="P11" s="807">
        <v>3.12</v>
      </c>
      <c r="Q11" s="807">
        <v>9.12</v>
      </c>
      <c r="R11" s="807">
        <v>9.0</v>
      </c>
      <c r="S11" s="807">
        <v>8.5</v>
      </c>
      <c r="T11" s="807">
        <v>4.74</v>
      </c>
      <c r="U11" s="807">
        <v>7.5</v>
      </c>
      <c r="V11" s="807">
        <v>6.0</v>
      </c>
      <c r="W11" s="807">
        <v>13.5</v>
      </c>
      <c r="X11" s="807">
        <v>13.5</v>
      </c>
      <c r="Y11" s="807">
        <v>7.02</v>
      </c>
      <c r="Z11" s="807">
        <v>1.5</v>
      </c>
      <c r="AA11" s="807">
        <v>1.64</v>
      </c>
      <c r="AB11" s="807">
        <v>0.0</v>
      </c>
      <c r="AC11" s="807">
        <v>6.6</v>
      </c>
      <c r="AD11" s="807">
        <v>1.5</v>
      </c>
      <c r="AE11" s="807">
        <v>13.5</v>
      </c>
      <c r="AF11" s="807">
        <v>4.5</v>
      </c>
      <c r="AG11" s="751">
        <f t="shared" si="1"/>
        <v>190.76</v>
      </c>
      <c r="AH11" s="455"/>
      <c r="AI11" s="38"/>
      <c r="AJ11" s="38"/>
      <c r="AK11" s="38"/>
      <c r="AL11" s="38"/>
      <c r="AP11" s="201" t="s">
        <v>75</v>
      </c>
      <c r="AQ11" s="176"/>
      <c r="AR11" s="177"/>
      <c r="AS11" s="503">
        <f>SUM(valuesByColor("#ec7c31", "", B3:AF33))</f>
        <v>121.12</v>
      </c>
      <c r="AT11" s="202">
        <f t="shared" si="2"/>
        <v>46.0256</v>
      </c>
      <c r="AU11" s="269">
        <f t="shared" si="3"/>
        <v>5.7532</v>
      </c>
      <c r="AV11" s="269"/>
      <c r="AW11" s="504">
        <f t="shared" si="4"/>
        <v>0</v>
      </c>
      <c r="AX11" s="504">
        <f t="shared" si="5"/>
        <v>0</v>
      </c>
      <c r="AY11" s="270"/>
    </row>
    <row r="12" ht="26.25" customHeight="1">
      <c r="A12" s="758" t="s">
        <v>107</v>
      </c>
      <c r="B12" s="768">
        <v>0.0</v>
      </c>
      <c r="C12" s="777">
        <v>0.0</v>
      </c>
      <c r="D12" s="768">
        <v>0.0</v>
      </c>
      <c r="E12" s="768">
        <v>0.0</v>
      </c>
      <c r="F12" s="777">
        <v>0.0</v>
      </c>
      <c r="G12" s="777">
        <v>0.0</v>
      </c>
      <c r="H12" s="768">
        <v>0.0</v>
      </c>
      <c r="I12" s="768">
        <v>0.0</v>
      </c>
      <c r="J12" s="777">
        <v>0.0</v>
      </c>
      <c r="K12" s="768">
        <v>0.0</v>
      </c>
      <c r="L12" s="768">
        <v>0.0</v>
      </c>
      <c r="M12" s="768">
        <v>0.0</v>
      </c>
      <c r="N12" s="768">
        <v>0.0</v>
      </c>
      <c r="O12" s="768">
        <v>0.0</v>
      </c>
      <c r="P12" s="768">
        <v>0.0</v>
      </c>
      <c r="Q12" s="768">
        <v>0.0</v>
      </c>
      <c r="R12" s="777">
        <v>0.0</v>
      </c>
      <c r="S12" s="768">
        <v>0.0</v>
      </c>
      <c r="T12" s="777">
        <v>0.0</v>
      </c>
      <c r="U12" s="777">
        <v>0.0</v>
      </c>
      <c r="V12" s="777">
        <v>0.0</v>
      </c>
      <c r="W12" s="777">
        <v>0.0</v>
      </c>
      <c r="X12" s="777">
        <v>0.0</v>
      </c>
      <c r="Y12" s="777">
        <v>0.0</v>
      </c>
      <c r="Z12" s="777">
        <v>0.0</v>
      </c>
      <c r="AA12" s="777">
        <v>0.0</v>
      </c>
      <c r="AB12" s="777">
        <v>0.0</v>
      </c>
      <c r="AC12" s="777">
        <v>0.0</v>
      </c>
      <c r="AD12" s="777">
        <v>0.0</v>
      </c>
      <c r="AE12" s="777">
        <v>0.0</v>
      </c>
      <c r="AF12" s="777">
        <v>0.0</v>
      </c>
      <c r="AG12" s="751">
        <f t="shared" si="1"/>
        <v>0</v>
      </c>
      <c r="AH12" s="455"/>
      <c r="AI12" s="38"/>
      <c r="AJ12" s="38"/>
      <c r="AK12" s="38"/>
      <c r="AL12" s="38"/>
      <c r="AP12" s="810" t="s">
        <v>116</v>
      </c>
      <c r="AQ12" s="176"/>
      <c r="AR12" s="177"/>
      <c r="AS12" s="827">
        <f>SUM(valuesByColor("#911553", "", B3:AF33))</f>
        <v>81</v>
      </c>
      <c r="AT12" s="828">
        <f t="shared" si="2"/>
        <v>30.78</v>
      </c>
      <c r="AU12" s="829">
        <f t="shared" si="3"/>
        <v>3.8475</v>
      </c>
      <c r="AV12" s="814"/>
      <c r="AW12" s="815">
        <v>0.0</v>
      </c>
      <c r="AX12" s="815">
        <v>0.0</v>
      </c>
      <c r="AY12" s="274"/>
    </row>
    <row r="13" ht="25.5" customHeight="1">
      <c r="A13" s="758" t="s">
        <v>11</v>
      </c>
      <c r="B13" s="605">
        <v>39.0</v>
      </c>
      <c r="C13" s="605">
        <v>36.0</v>
      </c>
      <c r="D13" s="830">
        <v>0.0</v>
      </c>
      <c r="E13" s="830">
        <v>0.0</v>
      </c>
      <c r="F13" s="830">
        <v>0.0</v>
      </c>
      <c r="G13" s="830">
        <v>0.0</v>
      </c>
      <c r="H13" s="830">
        <v>0.0</v>
      </c>
      <c r="I13" s="830">
        <v>0.0</v>
      </c>
      <c r="J13" s="830">
        <v>0.0</v>
      </c>
      <c r="K13" s="830">
        <v>0.0</v>
      </c>
      <c r="L13" s="830">
        <v>0.0</v>
      </c>
      <c r="M13" s="830">
        <v>0.0</v>
      </c>
      <c r="N13" s="830">
        <v>0.0</v>
      </c>
      <c r="O13" s="830">
        <v>0.0</v>
      </c>
      <c r="P13" s="830">
        <v>0.0</v>
      </c>
      <c r="Q13" s="830">
        <v>0.0</v>
      </c>
      <c r="R13" s="830">
        <v>0.0</v>
      </c>
      <c r="S13" s="830">
        <v>0.0</v>
      </c>
      <c r="T13" s="830">
        <v>0.0</v>
      </c>
      <c r="U13" s="830">
        <v>0.0</v>
      </c>
      <c r="V13" s="830">
        <v>0.0</v>
      </c>
      <c r="W13" s="830">
        <v>0.0</v>
      </c>
      <c r="X13" s="830">
        <v>0.0</v>
      </c>
      <c r="Y13" s="830">
        <v>0.0</v>
      </c>
      <c r="Z13" s="830">
        <v>0.0</v>
      </c>
      <c r="AA13" s="830">
        <v>0.0</v>
      </c>
      <c r="AB13" s="830">
        <v>0.0</v>
      </c>
      <c r="AC13" s="831">
        <v>0.0</v>
      </c>
      <c r="AD13" s="831">
        <v>0.0</v>
      </c>
      <c r="AE13" s="832">
        <v>0.0</v>
      </c>
      <c r="AF13" s="831">
        <v>0.0</v>
      </c>
      <c r="AG13" s="751">
        <f t="shared" si="1"/>
        <v>75</v>
      </c>
      <c r="AH13" s="455"/>
      <c r="AI13" s="38"/>
      <c r="AJ13" s="441"/>
      <c r="AK13" s="38"/>
      <c r="AL13" s="38"/>
      <c r="AP13" s="277"/>
      <c r="AQ13" s="176"/>
      <c r="AR13" s="177"/>
      <c r="AS13" s="518">
        <f>SUM(valuesByColor("lime", "", B3:AF33))</f>
        <v>0</v>
      </c>
      <c r="AT13" s="278">
        <f t="shared" si="2"/>
        <v>0</v>
      </c>
      <c r="AU13" s="279">
        <f t="shared" si="3"/>
        <v>0</v>
      </c>
      <c r="AV13" s="279"/>
      <c r="AW13" s="519">
        <f t="shared" ref="AW13:AW15" si="6">(AV13*(1-0.05))*(1-0.9)</f>
        <v>0</v>
      </c>
      <c r="AX13" s="519">
        <f t="shared" ref="AX13:AX15" si="7">(AV13*(1-0.05))*(1-0.95)</f>
        <v>0</v>
      </c>
      <c r="AY13" s="280"/>
    </row>
    <row r="14" ht="29.25" customHeight="1">
      <c r="A14" s="758" t="s">
        <v>68</v>
      </c>
      <c r="B14" s="750">
        <v>0.0</v>
      </c>
      <c r="C14" s="750">
        <v>0.0</v>
      </c>
      <c r="D14" s="750">
        <v>0.0</v>
      </c>
      <c r="E14" s="750">
        <v>0.0</v>
      </c>
      <c r="F14" s="750">
        <v>0.0</v>
      </c>
      <c r="G14" s="750">
        <v>0.0</v>
      </c>
      <c r="H14" s="777">
        <v>0.0</v>
      </c>
      <c r="I14" s="777">
        <v>0.0</v>
      </c>
      <c r="J14" s="777">
        <v>0.0</v>
      </c>
      <c r="K14" s="777">
        <v>0.0</v>
      </c>
      <c r="L14" s="777">
        <v>0.0</v>
      </c>
      <c r="M14" s="833">
        <v>0.0</v>
      </c>
      <c r="N14" s="777">
        <v>0.0</v>
      </c>
      <c r="O14" s="777">
        <v>0.0</v>
      </c>
      <c r="P14" s="777">
        <v>0.0</v>
      </c>
      <c r="Q14" s="777">
        <v>0.0</v>
      </c>
      <c r="R14" s="777">
        <v>0.0</v>
      </c>
      <c r="S14" s="777">
        <v>0.0</v>
      </c>
      <c r="T14" s="777">
        <v>0.0</v>
      </c>
      <c r="U14" s="777">
        <v>0.0</v>
      </c>
      <c r="V14" s="777">
        <v>0.0</v>
      </c>
      <c r="W14" s="777">
        <v>0.0</v>
      </c>
      <c r="X14" s="777">
        <v>0.0</v>
      </c>
      <c r="Y14" s="777">
        <v>0.0</v>
      </c>
      <c r="Z14" s="777">
        <v>0.0</v>
      </c>
      <c r="AA14" s="777">
        <v>0.0</v>
      </c>
      <c r="AB14" s="777">
        <v>0.0</v>
      </c>
      <c r="AC14" s="822">
        <v>0.0</v>
      </c>
      <c r="AD14" s="822">
        <v>8.84</v>
      </c>
      <c r="AE14" s="822">
        <v>16.64</v>
      </c>
      <c r="AF14" s="834">
        <v>10.92</v>
      </c>
      <c r="AG14" s="751">
        <f t="shared" si="1"/>
        <v>36.4</v>
      </c>
      <c r="AH14" s="455"/>
      <c r="AI14" s="38"/>
      <c r="AJ14" s="38"/>
      <c r="AK14" s="38"/>
      <c r="AL14" s="38"/>
      <c r="AP14" s="668"/>
      <c r="AQ14" s="176"/>
      <c r="AR14" s="177"/>
      <c r="AS14" s="669">
        <f>SUM(valuesByColor("#7a00ff", "", B3:AF33))</f>
        <v>0</v>
      </c>
      <c r="AT14" s="670">
        <f t="shared" si="2"/>
        <v>0</v>
      </c>
      <c r="AU14" s="671">
        <f t="shared" si="3"/>
        <v>0</v>
      </c>
      <c r="AV14" s="671"/>
      <c r="AW14" s="672">
        <f t="shared" si="6"/>
        <v>0</v>
      </c>
      <c r="AX14" s="672">
        <f t="shared" si="7"/>
        <v>0</v>
      </c>
      <c r="AY14" s="673"/>
    </row>
    <row r="15" ht="29.25" customHeight="1">
      <c r="A15" s="758" t="s">
        <v>69</v>
      </c>
      <c r="B15" s="777">
        <v>0.0</v>
      </c>
      <c r="C15" s="777">
        <v>0.0</v>
      </c>
      <c r="D15" s="777">
        <v>0.0</v>
      </c>
      <c r="E15" s="777">
        <v>0.0</v>
      </c>
      <c r="F15" s="777">
        <v>0.0</v>
      </c>
      <c r="G15" s="777">
        <v>0.0</v>
      </c>
      <c r="H15" s="777">
        <v>0.0</v>
      </c>
      <c r="I15" s="777">
        <v>0.0</v>
      </c>
      <c r="J15" s="777">
        <v>0.0</v>
      </c>
      <c r="K15" s="777">
        <v>0.0</v>
      </c>
      <c r="L15" s="777">
        <v>0.0</v>
      </c>
      <c r="M15" s="777">
        <v>0.0</v>
      </c>
      <c r="N15" s="777">
        <v>0.0</v>
      </c>
      <c r="O15" s="777">
        <v>0.0</v>
      </c>
      <c r="P15" s="777">
        <v>0.0</v>
      </c>
      <c r="Q15" s="777">
        <v>0.0</v>
      </c>
      <c r="R15" s="777">
        <v>0.0</v>
      </c>
      <c r="S15" s="777">
        <v>0.0</v>
      </c>
      <c r="T15" s="777">
        <v>0.0</v>
      </c>
      <c r="U15" s="777">
        <v>0.0</v>
      </c>
      <c r="V15" s="777">
        <v>0.0</v>
      </c>
      <c r="W15" s="777">
        <v>0.0</v>
      </c>
      <c r="X15" s="777">
        <v>0.0</v>
      </c>
      <c r="Y15" s="777">
        <v>0.0</v>
      </c>
      <c r="Z15" s="777">
        <v>0.0</v>
      </c>
      <c r="AA15" s="777">
        <v>0.0</v>
      </c>
      <c r="AB15" s="777">
        <v>0.0</v>
      </c>
      <c r="AC15" s="777">
        <v>0.0</v>
      </c>
      <c r="AD15" s="777">
        <v>0.0</v>
      </c>
      <c r="AE15" s="777">
        <v>0.0</v>
      </c>
      <c r="AF15" s="777">
        <v>0.0</v>
      </c>
      <c r="AG15" s="751">
        <f t="shared" si="1"/>
        <v>0</v>
      </c>
      <c r="AH15" s="455"/>
      <c r="AI15" s="38"/>
      <c r="AJ15" s="38"/>
      <c r="AK15" s="38"/>
      <c r="AL15" s="38"/>
      <c r="AM15" s="38"/>
      <c r="AP15" s="384"/>
      <c r="AQ15" s="176"/>
      <c r="AR15" s="177"/>
      <c r="AS15" s="521">
        <f>SUM(valuesByColor("dark yellow 3", "", B3:AF33))</f>
        <v>0</v>
      </c>
      <c r="AT15" s="385">
        <f t="shared" si="2"/>
        <v>0</v>
      </c>
      <c r="AU15" s="386">
        <f t="shared" si="3"/>
        <v>0</v>
      </c>
      <c r="AV15" s="386"/>
      <c r="AW15" s="522">
        <f t="shared" si="6"/>
        <v>0</v>
      </c>
      <c r="AX15" s="522">
        <f t="shared" si="7"/>
        <v>0</v>
      </c>
      <c r="AY15" s="387"/>
    </row>
    <row r="16" ht="29.25" customHeight="1">
      <c r="A16" s="747" t="s">
        <v>82</v>
      </c>
      <c r="B16" s="777">
        <v>0.0</v>
      </c>
      <c r="C16" s="777">
        <v>0.0</v>
      </c>
      <c r="D16" s="777">
        <v>0.0</v>
      </c>
      <c r="E16" s="777">
        <v>0.0</v>
      </c>
      <c r="F16" s="777">
        <v>0.0</v>
      </c>
      <c r="G16" s="777">
        <v>0.0</v>
      </c>
      <c r="H16" s="777">
        <v>0.0</v>
      </c>
      <c r="I16" s="777">
        <v>0.0</v>
      </c>
      <c r="J16" s="777">
        <v>0.0</v>
      </c>
      <c r="K16" s="777">
        <v>0.0</v>
      </c>
      <c r="L16" s="777">
        <v>0.0</v>
      </c>
      <c r="M16" s="777">
        <v>0.0</v>
      </c>
      <c r="N16" s="777">
        <v>0.0</v>
      </c>
      <c r="O16" s="777">
        <v>0.0</v>
      </c>
      <c r="P16" s="777">
        <v>0.0</v>
      </c>
      <c r="Q16" s="777">
        <v>0.0</v>
      </c>
      <c r="R16" s="777">
        <v>0.0</v>
      </c>
      <c r="S16" s="777">
        <v>0.0</v>
      </c>
      <c r="T16" s="777">
        <v>0.0</v>
      </c>
      <c r="U16" s="777">
        <v>0.0</v>
      </c>
      <c r="V16" s="777">
        <v>0.0</v>
      </c>
      <c r="W16" s="777">
        <v>0.0</v>
      </c>
      <c r="X16" s="777">
        <v>0.0</v>
      </c>
      <c r="Y16" s="777">
        <v>0.0</v>
      </c>
      <c r="Z16" s="777">
        <v>0.0</v>
      </c>
      <c r="AA16" s="777">
        <v>0.0</v>
      </c>
      <c r="AB16" s="777">
        <v>0.0</v>
      </c>
      <c r="AC16" s="777">
        <v>0.0</v>
      </c>
      <c r="AD16" s="777">
        <v>0.0</v>
      </c>
      <c r="AE16" s="777">
        <v>0.0</v>
      </c>
      <c r="AF16" s="777">
        <v>0.0</v>
      </c>
      <c r="AG16" s="751">
        <f t="shared" si="1"/>
        <v>0</v>
      </c>
      <c r="AH16" s="455"/>
      <c r="AI16" s="38"/>
      <c r="AJ16" s="38"/>
      <c r="AK16" s="38"/>
      <c r="AL16" s="38"/>
      <c r="AM16" s="38"/>
      <c r="AS16" s="527">
        <f>SUM(AS5:AS15)</f>
        <v>2916.9</v>
      </c>
      <c r="AT16" s="38"/>
      <c r="AU16" s="220">
        <f>SUM(AU5:AU15)</f>
        <v>138.55275</v>
      </c>
    </row>
    <row r="17" ht="29.25" customHeight="1">
      <c r="A17" s="747" t="s">
        <v>83</v>
      </c>
      <c r="B17" s="818">
        <v>16.62</v>
      </c>
      <c r="C17" s="818">
        <v>3.12</v>
      </c>
      <c r="D17" s="818">
        <v>3.0</v>
      </c>
      <c r="E17" s="818">
        <v>9.0</v>
      </c>
      <c r="F17" s="818">
        <v>7.62</v>
      </c>
      <c r="G17" s="818">
        <v>10.5</v>
      </c>
      <c r="H17" s="818">
        <v>9.12</v>
      </c>
      <c r="I17" s="680">
        <v>12.12</v>
      </c>
      <c r="J17" s="680">
        <v>8.42</v>
      </c>
      <c r="K17" s="680">
        <v>7.5</v>
      </c>
      <c r="L17" s="680">
        <v>16.86</v>
      </c>
      <c r="M17" s="680">
        <v>6.0</v>
      </c>
      <c r="N17" s="680">
        <v>6.12</v>
      </c>
      <c r="O17" s="680">
        <v>0.12</v>
      </c>
      <c r="P17" s="680">
        <v>16.54</v>
      </c>
      <c r="Q17" s="680">
        <v>15.24</v>
      </c>
      <c r="R17" s="680">
        <v>6.0</v>
      </c>
      <c r="S17" s="680">
        <v>6.96</v>
      </c>
      <c r="T17" s="680">
        <v>11.1</v>
      </c>
      <c r="U17" s="680">
        <v>8.2</v>
      </c>
      <c r="V17" s="680">
        <v>1.62</v>
      </c>
      <c r="W17" s="680">
        <v>12.12</v>
      </c>
      <c r="X17" s="680">
        <v>1.62</v>
      </c>
      <c r="Y17" s="680">
        <v>1.5</v>
      </c>
      <c r="Z17" s="680">
        <v>3.7</v>
      </c>
      <c r="AA17" s="680">
        <v>0.12</v>
      </c>
      <c r="AB17" s="680">
        <v>4.5</v>
      </c>
      <c r="AC17" s="680">
        <v>4.5</v>
      </c>
      <c r="AD17" s="680">
        <v>0.0</v>
      </c>
      <c r="AE17" s="680">
        <v>3.0</v>
      </c>
      <c r="AF17" s="680">
        <v>0.12</v>
      </c>
      <c r="AG17" s="751">
        <f t="shared" si="1"/>
        <v>212.96</v>
      </c>
      <c r="AH17" s="455"/>
      <c r="AI17" s="38"/>
      <c r="AJ17" s="38"/>
      <c r="AK17" s="38"/>
      <c r="AL17" s="38"/>
      <c r="AM17" s="38"/>
      <c r="AN17" s="38"/>
    </row>
    <row r="18" ht="29.25" customHeight="1">
      <c r="A18" s="747" t="s">
        <v>84</v>
      </c>
      <c r="B18" s="532">
        <v>0.0</v>
      </c>
      <c r="C18" s="532">
        <v>7.5</v>
      </c>
      <c r="D18" s="532">
        <v>1.5</v>
      </c>
      <c r="E18" s="532">
        <v>26.5</v>
      </c>
      <c r="F18" s="532">
        <v>7.5</v>
      </c>
      <c r="G18" s="532">
        <v>3.0</v>
      </c>
      <c r="H18" s="532">
        <v>3.0</v>
      </c>
      <c r="I18" s="532">
        <v>0.0</v>
      </c>
      <c r="J18" s="532">
        <v>6.0</v>
      </c>
      <c r="K18" s="532">
        <v>12.0</v>
      </c>
      <c r="L18" s="532">
        <v>4.5</v>
      </c>
      <c r="M18" s="532">
        <v>1.5</v>
      </c>
      <c r="N18" s="532">
        <v>0.0</v>
      </c>
      <c r="O18" s="532">
        <v>0.0</v>
      </c>
      <c r="P18" s="777">
        <v>0.0</v>
      </c>
      <c r="Q18" s="777">
        <v>0.0</v>
      </c>
      <c r="R18" s="777">
        <v>0.0</v>
      </c>
      <c r="S18" s="777">
        <v>0.0</v>
      </c>
      <c r="T18" s="777">
        <v>0.0</v>
      </c>
      <c r="U18" s="777">
        <v>0.0</v>
      </c>
      <c r="V18" s="777">
        <v>0.0</v>
      </c>
      <c r="W18" s="777">
        <v>0.0</v>
      </c>
      <c r="X18" s="777">
        <v>0.0</v>
      </c>
      <c r="Y18" s="680">
        <v>25.58</v>
      </c>
      <c r="Z18" s="680">
        <v>13.5</v>
      </c>
      <c r="AA18" s="680">
        <v>1.5</v>
      </c>
      <c r="AB18" s="680">
        <v>9.0</v>
      </c>
      <c r="AC18" s="680">
        <v>3.0</v>
      </c>
      <c r="AD18" s="680">
        <v>6.0</v>
      </c>
      <c r="AE18" s="680">
        <v>7.5</v>
      </c>
      <c r="AF18" s="680">
        <v>0.0</v>
      </c>
      <c r="AG18" s="751">
        <f t="shared" si="1"/>
        <v>139.08</v>
      </c>
      <c r="AH18" s="455"/>
      <c r="AI18" s="38"/>
      <c r="AJ18" s="38"/>
      <c r="AK18" s="38"/>
      <c r="AL18" s="38"/>
      <c r="AM18" s="38"/>
      <c r="AN18" s="38"/>
      <c r="AP18" s="38"/>
      <c r="AQ18" s="38"/>
      <c r="AR18" s="38"/>
      <c r="AS18" s="173">
        <v>1.0</v>
      </c>
      <c r="AT18" s="174" t="s">
        <v>16</v>
      </c>
      <c r="AU18" s="173">
        <v>0.05</v>
      </c>
      <c r="AV18" s="456" t="s">
        <v>71</v>
      </c>
      <c r="AW18" s="456" t="s">
        <v>72</v>
      </c>
      <c r="AX18" s="456" t="s">
        <v>73</v>
      </c>
      <c r="AY18" s="246" t="s">
        <v>34</v>
      </c>
    </row>
    <row r="19" ht="29.25" customHeight="1">
      <c r="A19" s="747" t="s">
        <v>85</v>
      </c>
      <c r="B19" s="819">
        <v>0.0</v>
      </c>
      <c r="C19" s="819">
        <v>0.0</v>
      </c>
      <c r="D19" s="819">
        <v>0.0</v>
      </c>
      <c r="E19" s="819">
        <v>3.0</v>
      </c>
      <c r="F19" s="819">
        <v>11.62</v>
      </c>
      <c r="G19" s="819">
        <v>15.0</v>
      </c>
      <c r="H19" s="819">
        <v>3.0</v>
      </c>
      <c r="I19" s="819">
        <v>1.5</v>
      </c>
      <c r="J19" s="819">
        <v>0.0</v>
      </c>
      <c r="K19" s="819">
        <v>6.0</v>
      </c>
      <c r="L19" s="819">
        <v>4.5</v>
      </c>
      <c r="M19" s="819">
        <v>3.0</v>
      </c>
      <c r="N19" s="819">
        <v>6.0</v>
      </c>
      <c r="O19" s="819">
        <v>1.5</v>
      </c>
      <c r="P19" s="819">
        <v>3.22</v>
      </c>
      <c r="Q19" s="819">
        <v>3.0</v>
      </c>
      <c r="R19" s="819">
        <v>0.0</v>
      </c>
      <c r="S19" s="819">
        <v>6.0</v>
      </c>
      <c r="T19" s="819">
        <v>7.5</v>
      </c>
      <c r="U19" s="819">
        <v>3.0</v>
      </c>
      <c r="V19" s="819">
        <v>7.5</v>
      </c>
      <c r="W19" s="819">
        <v>0.0</v>
      </c>
      <c r="X19" s="819">
        <v>0.0</v>
      </c>
      <c r="Y19" s="819">
        <v>4.5</v>
      </c>
      <c r="Z19" s="819">
        <v>0.0</v>
      </c>
      <c r="AA19" s="819">
        <v>0.0</v>
      </c>
      <c r="AB19" s="819">
        <v>1.5</v>
      </c>
      <c r="AC19" s="819">
        <v>1.5</v>
      </c>
      <c r="AD19" s="819">
        <v>1.5</v>
      </c>
      <c r="AE19" s="819">
        <v>0.0</v>
      </c>
      <c r="AF19" s="819">
        <v>1.5</v>
      </c>
      <c r="AG19" s="751">
        <f t="shared" si="1"/>
        <v>95.84</v>
      </c>
      <c r="AH19" s="455"/>
      <c r="AI19" s="38"/>
      <c r="AJ19" s="38"/>
      <c r="AK19" s="38"/>
      <c r="AL19" s="38"/>
      <c r="AM19" s="38"/>
      <c r="AN19" s="38"/>
      <c r="AP19" s="544" t="s">
        <v>108</v>
      </c>
      <c r="AQ19" s="176"/>
      <c r="AR19" s="177"/>
      <c r="AS19" s="545">
        <f>SUM(valuesByColor("#ffc4d5", "", B3:AF33))</f>
        <v>0</v>
      </c>
      <c r="AT19" s="545">
        <f t="shared" ref="AT19:AT28" si="8">((AS19*(1-0.05))*(1-0.6))+AW19-AY19</f>
        <v>0</v>
      </c>
      <c r="AU19" s="546">
        <f t="shared" ref="AU19:AU28" si="9">(AS19*(1-0.05))*(1-0.95)+AX19</f>
        <v>0</v>
      </c>
      <c r="AV19" s="546"/>
      <c r="AW19" s="546">
        <f t="shared" ref="AW19:AW28" si="10">(AV19*(1-0.05))*(1-0.9)</f>
        <v>0</v>
      </c>
      <c r="AX19" s="546">
        <f t="shared" ref="AX19:AX28" si="11">(AV19*(1-0.05))*(1-0.95)</f>
        <v>0</v>
      </c>
      <c r="AY19" s="547"/>
    </row>
    <row r="20" ht="29.25" customHeight="1">
      <c r="A20" s="789" t="s">
        <v>90</v>
      </c>
      <c r="B20" s="769">
        <v>0.0</v>
      </c>
      <c r="C20" s="769">
        <v>0.0</v>
      </c>
      <c r="D20" s="769">
        <v>0.0</v>
      </c>
      <c r="E20" s="769">
        <v>0.0</v>
      </c>
      <c r="F20" s="769">
        <v>0.0</v>
      </c>
      <c r="G20" s="769">
        <v>0.0</v>
      </c>
      <c r="H20" s="835">
        <v>0.12</v>
      </c>
      <c r="I20" s="769">
        <v>0.0</v>
      </c>
      <c r="J20" s="769">
        <v>0.0</v>
      </c>
      <c r="K20" s="769">
        <v>0.0</v>
      </c>
      <c r="L20" s="769">
        <v>0.0</v>
      </c>
      <c r="M20" s="769">
        <v>0.0</v>
      </c>
      <c r="N20" s="769">
        <v>0.0</v>
      </c>
      <c r="O20" s="769">
        <v>0.0</v>
      </c>
      <c r="P20" s="769">
        <v>0.0</v>
      </c>
      <c r="Q20" s="769">
        <v>0.0</v>
      </c>
      <c r="R20" s="769">
        <v>0.0</v>
      </c>
      <c r="S20" s="769">
        <v>0.0</v>
      </c>
      <c r="T20" s="769">
        <v>0.0</v>
      </c>
      <c r="U20" s="836">
        <v>4.56</v>
      </c>
      <c r="V20" s="836">
        <v>6.0</v>
      </c>
      <c r="W20" s="836">
        <v>0.24</v>
      </c>
      <c r="X20" s="836">
        <v>0.0</v>
      </c>
      <c r="Y20" s="769">
        <v>0.0</v>
      </c>
      <c r="Z20" s="769">
        <v>0.0</v>
      </c>
      <c r="AA20" s="769">
        <v>0.0</v>
      </c>
      <c r="AB20" s="769">
        <v>0.0</v>
      </c>
      <c r="AC20" s="769">
        <v>0.0</v>
      </c>
      <c r="AD20" s="769">
        <v>0.0</v>
      </c>
      <c r="AE20" s="769">
        <v>0.0</v>
      </c>
      <c r="AF20" s="769">
        <v>0.0</v>
      </c>
      <c r="AG20" s="751">
        <f t="shared" si="1"/>
        <v>10.92</v>
      </c>
      <c r="AH20" s="455"/>
      <c r="AI20" s="38"/>
      <c r="AJ20" s="38"/>
      <c r="AK20" s="38"/>
      <c r="AL20" s="38"/>
      <c r="AM20" s="38"/>
      <c r="AN20" s="38"/>
      <c r="AP20" s="555"/>
      <c r="AQ20" s="176"/>
      <c r="AR20" s="177"/>
      <c r="AS20" s="556">
        <f>SUM(valuesByColor("#636212", "", B3:AF33))</f>
        <v>0</v>
      </c>
      <c r="AT20" s="556">
        <f t="shared" si="8"/>
        <v>0</v>
      </c>
      <c r="AU20" s="557">
        <f t="shared" si="9"/>
        <v>0</v>
      </c>
      <c r="AV20" s="557"/>
      <c r="AW20" s="557">
        <f t="shared" si="10"/>
        <v>0</v>
      </c>
      <c r="AX20" s="557">
        <f t="shared" si="11"/>
        <v>0</v>
      </c>
      <c r="AY20" s="558"/>
    </row>
    <row r="21" ht="29.25" customHeight="1">
      <c r="A21" s="747" t="s">
        <v>111</v>
      </c>
      <c r="B21" s="793">
        <v>33.88</v>
      </c>
      <c r="C21" s="793">
        <v>3.0</v>
      </c>
      <c r="D21" s="793">
        <v>4.5</v>
      </c>
      <c r="E21" s="793">
        <v>16.74</v>
      </c>
      <c r="F21" s="793">
        <v>28.5</v>
      </c>
      <c r="G21" s="793">
        <v>14.34</v>
      </c>
      <c r="H21" s="793">
        <v>12.0</v>
      </c>
      <c r="I21" s="793">
        <v>19.5</v>
      </c>
      <c r="J21" s="793">
        <v>12.0</v>
      </c>
      <c r="K21" s="793">
        <v>44.44</v>
      </c>
      <c r="L21" s="793">
        <v>44.14</v>
      </c>
      <c r="M21" s="793">
        <v>13.5</v>
      </c>
      <c r="N21" s="793">
        <v>10.74</v>
      </c>
      <c r="O21" s="793">
        <v>46.28</v>
      </c>
      <c r="P21" s="793">
        <v>41.72</v>
      </c>
      <c r="Q21" s="793">
        <v>30.0</v>
      </c>
      <c r="R21" s="793">
        <v>35.68</v>
      </c>
      <c r="S21" s="793">
        <v>68.68</v>
      </c>
      <c r="T21" s="793">
        <v>41.1</v>
      </c>
      <c r="U21" s="793">
        <v>14.48</v>
      </c>
      <c r="V21" s="793">
        <v>1.5</v>
      </c>
      <c r="W21" s="793">
        <v>42.56</v>
      </c>
      <c r="X21" s="793">
        <v>21.22</v>
      </c>
      <c r="Y21" s="793">
        <v>54.94</v>
      </c>
      <c r="Z21" s="793">
        <v>26.54</v>
      </c>
      <c r="AA21" s="793">
        <v>15.0</v>
      </c>
      <c r="AB21" s="793">
        <v>39.68</v>
      </c>
      <c r="AC21" s="793">
        <v>25.78</v>
      </c>
      <c r="AD21" s="793">
        <v>17.06</v>
      </c>
      <c r="AE21" s="793">
        <v>4.5</v>
      </c>
      <c r="AF21" s="793">
        <v>9.16</v>
      </c>
      <c r="AG21" s="751">
        <f t="shared" si="1"/>
        <v>793.16</v>
      </c>
      <c r="AH21" s="455"/>
      <c r="AI21" s="38"/>
      <c r="AJ21" s="38"/>
      <c r="AK21" s="38"/>
      <c r="AL21" s="38"/>
      <c r="AM21" s="38"/>
      <c r="AN21" s="38"/>
      <c r="AP21" s="563" t="s">
        <v>122</v>
      </c>
      <c r="AQ21" s="176"/>
      <c r="AR21" s="177"/>
      <c r="AS21" s="564">
        <f>SUM(valuesByColor("#00b572", "", B3:AF33))</f>
        <v>49.26</v>
      </c>
      <c r="AT21" s="564">
        <f t="shared" si="8"/>
        <v>18.7188</v>
      </c>
      <c r="AU21" s="565">
        <f t="shared" si="9"/>
        <v>2.33985</v>
      </c>
      <c r="AV21" s="565"/>
      <c r="AW21" s="565">
        <f t="shared" si="10"/>
        <v>0</v>
      </c>
      <c r="AX21" s="565">
        <f t="shared" si="11"/>
        <v>0</v>
      </c>
      <c r="AY21" s="566"/>
    </row>
    <row r="22" ht="29.25" customHeight="1">
      <c r="A22" s="758" t="s">
        <v>96</v>
      </c>
      <c r="B22" s="777">
        <v>0.0</v>
      </c>
      <c r="C22" s="777">
        <v>0.0</v>
      </c>
      <c r="D22" s="777">
        <v>0.0</v>
      </c>
      <c r="E22" s="777">
        <v>0.0</v>
      </c>
      <c r="F22" s="777">
        <v>0.0</v>
      </c>
      <c r="G22" s="777">
        <v>0.0</v>
      </c>
      <c r="H22" s="777">
        <v>0.0</v>
      </c>
      <c r="I22" s="777">
        <v>0.0</v>
      </c>
      <c r="J22" s="777">
        <v>0.0</v>
      </c>
      <c r="K22" s="777">
        <v>0.0</v>
      </c>
      <c r="L22" s="777">
        <v>0.0</v>
      </c>
      <c r="M22" s="777">
        <v>0.0</v>
      </c>
      <c r="N22" s="777">
        <v>0.0</v>
      </c>
      <c r="O22" s="777">
        <v>0.0</v>
      </c>
      <c r="P22" s="777">
        <v>0.0</v>
      </c>
      <c r="Q22" s="777">
        <v>0.0</v>
      </c>
      <c r="R22" s="777">
        <v>0.0</v>
      </c>
      <c r="S22" s="777">
        <v>0.0</v>
      </c>
      <c r="T22" s="777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>
        <v>0.0</v>
      </c>
      <c r="AF22" s="777">
        <v>0.0</v>
      </c>
      <c r="AG22" s="473">
        <f t="shared" si="1"/>
        <v>0</v>
      </c>
      <c r="AH22" s="455"/>
      <c r="AI22" s="38"/>
      <c r="AJ22" s="38"/>
      <c r="AK22" s="38"/>
      <c r="AL22" s="38"/>
      <c r="AM22" s="38"/>
      <c r="AN22" s="38"/>
      <c r="AP22" s="575" t="s">
        <v>123</v>
      </c>
      <c r="AQ22" s="176"/>
      <c r="AR22" s="177"/>
      <c r="AS22" s="576">
        <f>SUM(valuesByColor("#7030a0", "", B3:AF33))</f>
        <v>24</v>
      </c>
      <c r="AT22" s="576">
        <f t="shared" si="8"/>
        <v>9.12</v>
      </c>
      <c r="AU22" s="577">
        <f t="shared" si="9"/>
        <v>1.14</v>
      </c>
      <c r="AV22" s="577"/>
      <c r="AW22" s="577">
        <f t="shared" si="10"/>
        <v>0</v>
      </c>
      <c r="AX22" s="577">
        <f t="shared" si="11"/>
        <v>0</v>
      </c>
      <c r="AY22" s="578"/>
    </row>
    <row r="23" ht="29.25" customHeight="1">
      <c r="A23" s="758" t="s">
        <v>97</v>
      </c>
      <c r="B23" s="748">
        <v>1.5</v>
      </c>
      <c r="C23" s="748">
        <v>1.5</v>
      </c>
      <c r="D23" s="748">
        <v>1.5</v>
      </c>
      <c r="E23" s="748">
        <v>3.36</v>
      </c>
      <c r="F23" s="748">
        <v>0.0</v>
      </c>
      <c r="G23" s="748">
        <v>10.22</v>
      </c>
      <c r="H23" s="680">
        <v>6.22</v>
      </c>
      <c r="I23" s="680">
        <v>1.78</v>
      </c>
      <c r="J23" s="680">
        <v>3.24</v>
      </c>
      <c r="K23" s="680">
        <v>3.24</v>
      </c>
      <c r="L23" s="680">
        <v>0.24</v>
      </c>
      <c r="M23" s="680">
        <v>1.62</v>
      </c>
      <c r="N23" s="680">
        <v>0.0</v>
      </c>
      <c r="O23" s="680">
        <v>0.0</v>
      </c>
      <c r="P23" s="680">
        <v>0.0</v>
      </c>
      <c r="Q23" s="680">
        <v>4.5</v>
      </c>
      <c r="R23" s="837">
        <v>0.0</v>
      </c>
      <c r="S23" s="837">
        <v>0.0</v>
      </c>
      <c r="T23" s="837">
        <v>0.0</v>
      </c>
      <c r="U23" s="837">
        <v>0.0</v>
      </c>
      <c r="V23" s="837">
        <v>0.0</v>
      </c>
      <c r="W23" s="837">
        <v>0.0</v>
      </c>
      <c r="X23" s="837">
        <v>0.0</v>
      </c>
      <c r="Y23" s="837">
        <v>0.0</v>
      </c>
      <c r="Z23" s="837">
        <v>0.0</v>
      </c>
      <c r="AA23" s="837">
        <v>0.0</v>
      </c>
      <c r="AB23" s="837">
        <v>0.0</v>
      </c>
      <c r="AC23" s="837">
        <v>0.0</v>
      </c>
      <c r="AD23" s="837">
        <v>0.0</v>
      </c>
      <c r="AE23" s="837">
        <v>0.0</v>
      </c>
      <c r="AF23" s="837">
        <v>0.0</v>
      </c>
      <c r="AG23" s="473">
        <f t="shared" si="1"/>
        <v>38.92</v>
      </c>
      <c r="AH23" s="455"/>
      <c r="AI23" s="38"/>
      <c r="AJ23" s="38"/>
      <c r="AK23" s="38"/>
      <c r="AL23" s="38"/>
      <c r="AM23" s="38"/>
      <c r="AN23" s="38"/>
      <c r="AP23" s="580"/>
      <c r="AQ23" s="176"/>
      <c r="AR23" s="177"/>
      <c r="AS23" s="581"/>
      <c r="AT23" s="582">
        <f t="shared" si="8"/>
        <v>0</v>
      </c>
      <c r="AU23" s="583">
        <f t="shared" si="9"/>
        <v>0</v>
      </c>
      <c r="AV23" s="584"/>
      <c r="AW23" s="583">
        <f t="shared" si="10"/>
        <v>0</v>
      </c>
      <c r="AX23" s="583">
        <f t="shared" si="11"/>
        <v>0</v>
      </c>
      <c r="AY23" s="585"/>
    </row>
    <row r="24" ht="29.25" customHeight="1">
      <c r="A24" s="758" t="s">
        <v>98</v>
      </c>
      <c r="B24" s="777">
        <v>0.0</v>
      </c>
      <c r="C24" s="777">
        <v>0.0</v>
      </c>
      <c r="D24" s="777">
        <v>0.0</v>
      </c>
      <c r="E24" s="777">
        <v>0.0</v>
      </c>
      <c r="F24" s="777">
        <v>0.0</v>
      </c>
      <c r="G24" s="777">
        <v>0.0</v>
      </c>
      <c r="H24" s="777">
        <v>0.0</v>
      </c>
      <c r="I24" s="777">
        <v>0.0</v>
      </c>
      <c r="J24" s="777">
        <v>0.0</v>
      </c>
      <c r="K24" s="777">
        <v>0.0</v>
      </c>
      <c r="L24" s="777">
        <v>0.0</v>
      </c>
      <c r="M24" s="777">
        <v>0.0</v>
      </c>
      <c r="N24" s="777">
        <v>0.0</v>
      </c>
      <c r="O24" s="777">
        <v>0.0</v>
      </c>
      <c r="P24" s="777">
        <v>0.0</v>
      </c>
      <c r="Q24" s="777">
        <v>0.0</v>
      </c>
      <c r="R24" s="777">
        <v>0.0</v>
      </c>
      <c r="S24" s="777">
        <v>0.0</v>
      </c>
      <c r="T24" s="777">
        <v>0.0</v>
      </c>
      <c r="U24" s="777">
        <v>0.0</v>
      </c>
      <c r="V24" s="777">
        <v>0.0</v>
      </c>
      <c r="W24" s="777">
        <v>0.0</v>
      </c>
      <c r="X24" s="777">
        <v>0.0</v>
      </c>
      <c r="Y24" s="822">
        <v>0.56</v>
      </c>
      <c r="Z24" s="822">
        <v>0.0</v>
      </c>
      <c r="AA24" s="822">
        <v>1.5</v>
      </c>
      <c r="AB24" s="822">
        <v>0.0</v>
      </c>
      <c r="AC24" s="777">
        <v>0.0</v>
      </c>
      <c r="AD24" s="777">
        <v>0.0</v>
      </c>
      <c r="AE24" s="777">
        <v>0.0</v>
      </c>
      <c r="AF24" s="777">
        <v>0.0</v>
      </c>
      <c r="AG24" s="473">
        <f t="shared" si="1"/>
        <v>2.06</v>
      </c>
      <c r="AH24" s="455"/>
      <c r="AI24" s="38"/>
      <c r="AJ24" s="38"/>
      <c r="AK24" s="38"/>
      <c r="AL24" s="38"/>
      <c r="AM24" s="38"/>
      <c r="AN24" s="38"/>
      <c r="AP24" s="588"/>
      <c r="AQ24" s="176"/>
      <c r="AR24" s="177"/>
      <c r="AS24" s="589"/>
      <c r="AT24" s="590">
        <f t="shared" si="8"/>
        <v>0</v>
      </c>
      <c r="AU24" s="591">
        <f t="shared" si="9"/>
        <v>0</v>
      </c>
      <c r="AV24" s="592"/>
      <c r="AW24" s="591">
        <f t="shared" si="10"/>
        <v>0</v>
      </c>
      <c r="AX24" s="591">
        <f t="shared" si="11"/>
        <v>0</v>
      </c>
      <c r="AY24" s="268"/>
    </row>
    <row r="25" ht="29.25" customHeight="1">
      <c r="A25" s="758" t="s">
        <v>99</v>
      </c>
      <c r="B25" s="532">
        <v>3.42</v>
      </c>
      <c r="C25" s="532">
        <v>97.5</v>
      </c>
      <c r="D25" s="532">
        <v>78.0</v>
      </c>
      <c r="E25" s="532">
        <v>60.0</v>
      </c>
      <c r="F25" s="532">
        <v>16.5</v>
      </c>
      <c r="G25" s="532">
        <v>10.5</v>
      </c>
      <c r="H25" s="532">
        <v>0.0</v>
      </c>
      <c r="I25" s="532">
        <v>0.0</v>
      </c>
      <c r="J25" s="532">
        <v>0.0</v>
      </c>
      <c r="K25" s="532">
        <v>9.0</v>
      </c>
      <c r="L25" s="532">
        <v>6.0</v>
      </c>
      <c r="M25" s="532">
        <v>0.0</v>
      </c>
      <c r="N25" s="532">
        <v>0.0</v>
      </c>
      <c r="O25" s="532">
        <v>0.0</v>
      </c>
      <c r="P25" s="793">
        <v>3.0</v>
      </c>
      <c r="Q25" s="793">
        <v>9.1</v>
      </c>
      <c r="R25" s="793">
        <v>8.42</v>
      </c>
      <c r="S25" s="793">
        <v>0.72</v>
      </c>
      <c r="T25" s="777">
        <v>0.0</v>
      </c>
      <c r="U25" s="777">
        <v>0.0</v>
      </c>
      <c r="V25" s="777">
        <v>0.0</v>
      </c>
      <c r="W25" s="777">
        <v>0.0</v>
      </c>
      <c r="X25" s="777">
        <v>0.0</v>
      </c>
      <c r="Y25" s="777">
        <v>0.0</v>
      </c>
      <c r="Z25" s="777">
        <v>0.0</v>
      </c>
      <c r="AA25" s="777">
        <v>0.0</v>
      </c>
      <c r="AB25" s="777">
        <v>0.0</v>
      </c>
      <c r="AC25" s="777">
        <v>0.0</v>
      </c>
      <c r="AD25" s="777">
        <v>0.0</v>
      </c>
      <c r="AE25" s="777">
        <v>0.0</v>
      </c>
      <c r="AF25" s="777">
        <v>0.0</v>
      </c>
      <c r="AG25" s="473">
        <f t="shared" si="1"/>
        <v>302.16</v>
      </c>
      <c r="AH25" s="455"/>
      <c r="AI25" s="38"/>
      <c r="AJ25" s="38"/>
      <c r="AK25" s="38"/>
      <c r="AL25" s="38"/>
      <c r="AM25" s="38"/>
      <c r="AN25" s="38"/>
      <c r="AP25" s="588"/>
      <c r="AQ25" s="176"/>
      <c r="AR25" s="177"/>
      <c r="AS25" s="589"/>
      <c r="AT25" s="590">
        <f t="shared" si="8"/>
        <v>0</v>
      </c>
      <c r="AU25" s="591">
        <f t="shared" si="9"/>
        <v>0</v>
      </c>
      <c r="AV25" s="592"/>
      <c r="AW25" s="591">
        <f t="shared" si="10"/>
        <v>0</v>
      </c>
      <c r="AX25" s="591">
        <f t="shared" si="11"/>
        <v>0</v>
      </c>
      <c r="AY25" s="270"/>
    </row>
    <row r="26" ht="29.25" customHeight="1">
      <c r="A26" s="758" t="s">
        <v>100</v>
      </c>
      <c r="B26" s="777">
        <v>0.0</v>
      </c>
      <c r="C26" s="777">
        <v>0.0</v>
      </c>
      <c r="D26" s="777">
        <v>0.0</v>
      </c>
      <c r="E26" s="777">
        <v>0.0</v>
      </c>
      <c r="F26" s="777">
        <v>0.0</v>
      </c>
      <c r="G26" s="777">
        <v>0.0</v>
      </c>
      <c r="H26" s="777">
        <v>0.0</v>
      </c>
      <c r="I26" s="777">
        <v>0.0</v>
      </c>
      <c r="J26" s="777">
        <v>0.0</v>
      </c>
      <c r="K26" s="777">
        <v>0.0</v>
      </c>
      <c r="L26" s="777">
        <v>0.0</v>
      </c>
      <c r="M26" s="777">
        <v>0.0</v>
      </c>
      <c r="N26" s="777">
        <v>0.0</v>
      </c>
      <c r="O26" s="777">
        <v>0.0</v>
      </c>
      <c r="P26" s="777">
        <v>0.0</v>
      </c>
      <c r="Q26" s="777">
        <v>0.0</v>
      </c>
      <c r="R26" s="777">
        <v>0.0</v>
      </c>
      <c r="S26" s="777">
        <v>0.0</v>
      </c>
      <c r="T26" s="777">
        <v>0.0</v>
      </c>
      <c r="U26" s="777">
        <v>0.0</v>
      </c>
      <c r="V26" s="777">
        <v>0.0</v>
      </c>
      <c r="W26" s="777">
        <v>0.0</v>
      </c>
      <c r="X26" s="777">
        <v>0.0</v>
      </c>
      <c r="Y26" s="777">
        <v>0.0</v>
      </c>
      <c r="Z26" s="777">
        <v>0.0</v>
      </c>
      <c r="AA26" s="777">
        <v>0.0</v>
      </c>
      <c r="AB26" s="777">
        <v>0.0</v>
      </c>
      <c r="AC26" s="777">
        <v>0.0</v>
      </c>
      <c r="AD26" s="777">
        <v>0.0</v>
      </c>
      <c r="AE26" s="777">
        <v>0.0</v>
      </c>
      <c r="AF26" s="777">
        <v>0.0</v>
      </c>
      <c r="AG26" s="473">
        <f t="shared" si="1"/>
        <v>0</v>
      </c>
      <c r="AH26" s="455"/>
      <c r="AI26" s="38"/>
      <c r="AJ26" s="38"/>
      <c r="AK26" s="38"/>
      <c r="AL26" s="38"/>
      <c r="AM26" s="38"/>
      <c r="AN26" s="38"/>
      <c r="AP26" s="588"/>
      <c r="AQ26" s="176"/>
      <c r="AR26" s="177"/>
      <c r="AS26" s="589"/>
      <c r="AT26" s="590">
        <f t="shared" si="8"/>
        <v>0</v>
      </c>
      <c r="AU26" s="591">
        <f t="shared" si="9"/>
        <v>0</v>
      </c>
      <c r="AV26" s="600"/>
      <c r="AW26" s="591">
        <f t="shared" si="10"/>
        <v>0</v>
      </c>
      <c r="AX26" s="591">
        <f t="shared" si="11"/>
        <v>0</v>
      </c>
      <c r="AY26" s="274"/>
    </row>
    <row r="27" ht="29.25" customHeight="1">
      <c r="A27" s="758" t="s">
        <v>117</v>
      </c>
      <c r="B27" s="768">
        <v>0.0</v>
      </c>
      <c r="C27" s="768">
        <v>0.0</v>
      </c>
      <c r="D27" s="768">
        <v>0.0</v>
      </c>
      <c r="E27" s="768">
        <v>0.0</v>
      </c>
      <c r="F27" s="768">
        <v>0.0</v>
      </c>
      <c r="G27" s="777">
        <v>0.0</v>
      </c>
      <c r="H27" s="768">
        <v>0.0</v>
      </c>
      <c r="I27" s="768">
        <v>0.0</v>
      </c>
      <c r="J27" s="768">
        <v>0.0</v>
      </c>
      <c r="K27" s="768">
        <v>0.0</v>
      </c>
      <c r="L27" s="768">
        <v>0.0</v>
      </c>
      <c r="M27" s="768">
        <v>0.0</v>
      </c>
      <c r="N27" s="768">
        <v>0.0</v>
      </c>
      <c r="O27" s="768">
        <v>0.0</v>
      </c>
      <c r="P27" s="768">
        <v>0.0</v>
      </c>
      <c r="Q27" s="768">
        <v>0.0</v>
      </c>
      <c r="R27" s="768">
        <v>0.0</v>
      </c>
      <c r="S27" s="768">
        <v>0.0</v>
      </c>
      <c r="T27" s="768">
        <v>0.0</v>
      </c>
      <c r="U27" s="777">
        <v>0.0</v>
      </c>
      <c r="V27" s="777">
        <v>0.0</v>
      </c>
      <c r="W27" s="777">
        <v>0.0</v>
      </c>
      <c r="X27" s="777">
        <v>0.0</v>
      </c>
      <c r="Y27" s="777">
        <v>0.0</v>
      </c>
      <c r="Z27" s="777">
        <v>0.0</v>
      </c>
      <c r="AA27" s="777">
        <v>0.0</v>
      </c>
      <c r="AB27" s="777">
        <v>0.0</v>
      </c>
      <c r="AC27" s="777">
        <v>0.0</v>
      </c>
      <c r="AD27" s="777">
        <v>0.0</v>
      </c>
      <c r="AE27" s="777">
        <v>0.0</v>
      </c>
      <c r="AF27" s="777">
        <v>0.0</v>
      </c>
      <c r="AG27" s="473">
        <f t="shared" si="1"/>
        <v>0</v>
      </c>
      <c r="AH27" s="455"/>
      <c r="AI27" s="38"/>
      <c r="AJ27" s="38"/>
      <c r="AK27" s="38"/>
      <c r="AL27" s="38"/>
      <c r="AM27" s="38"/>
      <c r="AN27" s="38"/>
      <c r="AP27" s="588"/>
      <c r="AQ27" s="176"/>
      <c r="AR27" s="177"/>
      <c r="AS27" s="589"/>
      <c r="AT27" s="590">
        <f t="shared" si="8"/>
        <v>0</v>
      </c>
      <c r="AU27" s="591">
        <f t="shared" si="9"/>
        <v>0</v>
      </c>
      <c r="AV27" s="600"/>
      <c r="AW27" s="591">
        <f t="shared" si="10"/>
        <v>0</v>
      </c>
      <c r="AX27" s="591">
        <f t="shared" si="11"/>
        <v>0</v>
      </c>
      <c r="AY27" s="280"/>
    </row>
    <row r="28" ht="29.25" customHeight="1">
      <c r="A28" s="758" t="s">
        <v>118</v>
      </c>
      <c r="B28" s="768">
        <v>0.0</v>
      </c>
      <c r="C28" s="768">
        <v>0.0</v>
      </c>
      <c r="D28" s="768">
        <v>0.0</v>
      </c>
      <c r="E28" s="783">
        <v>0.12</v>
      </c>
      <c r="F28" s="783">
        <v>1.5</v>
      </c>
      <c r="G28" s="777">
        <v>0.0</v>
      </c>
      <c r="H28" s="768">
        <v>0.0</v>
      </c>
      <c r="I28" s="768">
        <v>0.0</v>
      </c>
      <c r="J28" s="768">
        <v>0.0</v>
      </c>
      <c r="K28" s="768">
        <v>0.0</v>
      </c>
      <c r="L28" s="768">
        <v>0.0</v>
      </c>
      <c r="M28" s="768">
        <v>0.0</v>
      </c>
      <c r="N28" s="768">
        <v>0.0</v>
      </c>
      <c r="O28" s="768">
        <v>0.0</v>
      </c>
      <c r="P28" s="768">
        <v>0.0</v>
      </c>
      <c r="Q28" s="768">
        <v>0.0</v>
      </c>
      <c r="R28" s="768">
        <v>0.0</v>
      </c>
      <c r="S28" s="768">
        <v>0.0</v>
      </c>
      <c r="T28" s="768">
        <v>0.0</v>
      </c>
      <c r="U28" s="777">
        <v>0.0</v>
      </c>
      <c r="V28" s="777">
        <v>0.0</v>
      </c>
      <c r="W28" s="777">
        <v>0.0</v>
      </c>
      <c r="X28" s="777">
        <v>0.0</v>
      </c>
      <c r="Y28" s="787">
        <v>1.5</v>
      </c>
      <c r="Z28" s="787">
        <v>1.5</v>
      </c>
      <c r="AA28" s="777">
        <v>0.0</v>
      </c>
      <c r="AB28" s="777">
        <v>0.0</v>
      </c>
      <c r="AC28" s="777">
        <v>0.0</v>
      </c>
      <c r="AD28" s="777">
        <v>0.0</v>
      </c>
      <c r="AE28" s="777">
        <v>0.0</v>
      </c>
      <c r="AF28" s="777">
        <v>0.0</v>
      </c>
      <c r="AG28" s="473">
        <f t="shared" si="1"/>
        <v>4.62</v>
      </c>
      <c r="AH28" s="455"/>
      <c r="AI28" s="38"/>
      <c r="AJ28" s="38"/>
      <c r="AK28" s="38"/>
      <c r="AL28" s="38"/>
      <c r="AM28" s="38"/>
      <c r="AN28" s="38"/>
      <c r="AP28" s="588"/>
      <c r="AQ28" s="176"/>
      <c r="AR28" s="177"/>
      <c r="AS28" s="589"/>
      <c r="AT28" s="590">
        <f t="shared" si="8"/>
        <v>0</v>
      </c>
      <c r="AU28" s="591">
        <f t="shared" si="9"/>
        <v>0</v>
      </c>
      <c r="AV28" s="600"/>
      <c r="AW28" s="591">
        <f t="shared" si="10"/>
        <v>0</v>
      </c>
      <c r="AX28" s="591">
        <f t="shared" si="11"/>
        <v>0</v>
      </c>
      <c r="AY28" s="387"/>
    </row>
    <row r="29" ht="29.25" customHeight="1">
      <c r="A29" s="758" t="s">
        <v>119</v>
      </c>
      <c r="B29" s="783">
        <v>1.5</v>
      </c>
      <c r="C29" s="783">
        <v>1.62</v>
      </c>
      <c r="D29" s="783">
        <v>0.0</v>
      </c>
      <c r="E29" s="783">
        <v>1.5</v>
      </c>
      <c r="F29" s="783">
        <v>1.5</v>
      </c>
      <c r="G29" s="680">
        <v>0.12</v>
      </c>
      <c r="H29" s="768">
        <v>0.0</v>
      </c>
      <c r="I29" s="768">
        <v>0.0</v>
      </c>
      <c r="J29" s="783">
        <v>3.0</v>
      </c>
      <c r="K29" s="768">
        <v>0.0</v>
      </c>
      <c r="L29" s="768">
        <v>0.0</v>
      </c>
      <c r="M29" s="768">
        <v>0.0</v>
      </c>
      <c r="N29" s="768">
        <v>0.0</v>
      </c>
      <c r="O29" s="768">
        <v>0.0</v>
      </c>
      <c r="P29" s="768">
        <v>0.0</v>
      </c>
      <c r="Q29" s="768">
        <v>0.0</v>
      </c>
      <c r="R29" s="768">
        <v>0.0</v>
      </c>
      <c r="S29" s="768">
        <v>0.0</v>
      </c>
      <c r="T29" s="768">
        <v>0.0</v>
      </c>
      <c r="U29" s="777">
        <v>0.0</v>
      </c>
      <c r="V29" s="777">
        <v>0.0</v>
      </c>
      <c r="W29" s="777">
        <v>0.0</v>
      </c>
      <c r="X29" s="777">
        <v>0.0</v>
      </c>
      <c r="Y29" s="777">
        <v>0.0</v>
      </c>
      <c r="Z29" s="777">
        <v>0.0</v>
      </c>
      <c r="AA29" s="777">
        <v>0.0</v>
      </c>
      <c r="AB29" s="777">
        <v>0.0</v>
      </c>
      <c r="AC29" s="777">
        <v>0.0</v>
      </c>
      <c r="AD29" s="777">
        <v>0.0</v>
      </c>
      <c r="AE29" s="777">
        <v>0.0</v>
      </c>
      <c r="AF29" s="777">
        <v>0.0</v>
      </c>
      <c r="AG29" s="473">
        <f t="shared" si="1"/>
        <v>9.24</v>
      </c>
      <c r="AH29" s="455"/>
      <c r="AI29" s="38"/>
      <c r="AJ29" s="38"/>
      <c r="AK29" s="38"/>
      <c r="AL29" s="38"/>
      <c r="AM29" s="38"/>
      <c r="AN29" s="38"/>
      <c r="AS29" s="220">
        <f>SUM(AS19:AS28)</f>
        <v>73.26</v>
      </c>
      <c r="AT29" s="38"/>
      <c r="AU29" s="220">
        <f>SUM(AU19:AU28)</f>
        <v>3.47985</v>
      </c>
    </row>
    <row r="30" ht="29.25" customHeight="1">
      <c r="A30" s="838" t="s">
        <v>124</v>
      </c>
      <c r="B30" s="768">
        <v>0.0</v>
      </c>
      <c r="C30" s="768">
        <v>0.0</v>
      </c>
      <c r="D30" s="768">
        <v>0.0</v>
      </c>
      <c r="E30" s="768">
        <v>0.0</v>
      </c>
      <c r="F30" s="768">
        <v>0.0</v>
      </c>
      <c r="G30" s="768">
        <v>0.0</v>
      </c>
      <c r="H30" s="768">
        <v>0.0</v>
      </c>
      <c r="I30" s="768">
        <v>0.0</v>
      </c>
      <c r="J30" s="768">
        <v>0.0</v>
      </c>
      <c r="K30" s="768">
        <v>0.0</v>
      </c>
      <c r="L30" s="768">
        <v>0.0</v>
      </c>
      <c r="M30" s="768">
        <v>0.0</v>
      </c>
      <c r="N30" s="768">
        <v>0.0</v>
      </c>
      <c r="O30" s="768">
        <v>0.0</v>
      </c>
      <c r="P30" s="839">
        <v>87.14</v>
      </c>
      <c r="Q30" s="839">
        <v>26.12</v>
      </c>
      <c r="R30" s="839">
        <v>65.4</v>
      </c>
      <c r="S30" s="839">
        <v>35.34</v>
      </c>
      <c r="T30" s="839">
        <v>21.5</v>
      </c>
      <c r="U30" s="793">
        <v>23.76</v>
      </c>
      <c r="V30" s="793">
        <v>9.0</v>
      </c>
      <c r="W30" s="793">
        <v>69.66</v>
      </c>
      <c r="X30" s="793">
        <v>35.6</v>
      </c>
      <c r="Y30" s="793">
        <v>40.76</v>
      </c>
      <c r="Z30" s="793">
        <v>30.26</v>
      </c>
      <c r="AA30" s="793">
        <v>13.92</v>
      </c>
      <c r="AB30" s="793">
        <v>22.82</v>
      </c>
      <c r="AC30" s="793">
        <v>48.68</v>
      </c>
      <c r="AD30" s="793">
        <v>33.84</v>
      </c>
      <c r="AE30" s="793">
        <v>6.0</v>
      </c>
      <c r="AF30" s="793">
        <v>9.28</v>
      </c>
      <c r="AG30" s="473">
        <f t="shared" si="1"/>
        <v>579.08</v>
      </c>
      <c r="AH30" s="455"/>
      <c r="AI30" s="38"/>
      <c r="AJ30" s="38"/>
      <c r="AK30" s="38"/>
      <c r="AL30" s="38"/>
      <c r="AM30" s="38"/>
      <c r="AN30" s="38"/>
    </row>
    <row r="31" ht="29.25" customHeight="1">
      <c r="A31" s="758" t="s">
        <v>125</v>
      </c>
      <c r="B31" s="768">
        <v>0.0</v>
      </c>
      <c r="C31" s="768">
        <v>0.0</v>
      </c>
      <c r="D31" s="768">
        <v>0.0</v>
      </c>
      <c r="E31" s="768">
        <v>0.0</v>
      </c>
      <c r="F31" s="768">
        <v>0.0</v>
      </c>
      <c r="G31" s="768">
        <v>0.0</v>
      </c>
      <c r="H31" s="768">
        <v>0.0</v>
      </c>
      <c r="I31" s="768">
        <v>0.0</v>
      </c>
      <c r="J31" s="768">
        <v>0.0</v>
      </c>
      <c r="K31" s="768">
        <v>0.0</v>
      </c>
      <c r="L31" s="768">
        <v>0.0</v>
      </c>
      <c r="M31" s="768">
        <v>0.0</v>
      </c>
      <c r="N31" s="768">
        <v>0.0</v>
      </c>
      <c r="O31" s="768">
        <v>0.0</v>
      </c>
      <c r="P31" s="768">
        <v>0.0</v>
      </c>
      <c r="Q31" s="768">
        <v>0.0</v>
      </c>
      <c r="R31" s="768">
        <v>0.0</v>
      </c>
      <c r="S31" s="768">
        <v>0.0</v>
      </c>
      <c r="T31" s="768">
        <v>0.0</v>
      </c>
      <c r="U31" s="777">
        <v>0.0</v>
      </c>
      <c r="V31" s="777">
        <v>0.0</v>
      </c>
      <c r="W31" s="777">
        <v>0.0</v>
      </c>
      <c r="X31" s="777">
        <v>0.0</v>
      </c>
      <c r="Y31" s="777">
        <v>0.0</v>
      </c>
      <c r="Z31" s="777">
        <v>0.0</v>
      </c>
      <c r="AA31" s="777">
        <v>0.0</v>
      </c>
      <c r="AB31" s="777">
        <v>0.0</v>
      </c>
      <c r="AC31" s="777">
        <v>0.0</v>
      </c>
      <c r="AD31" s="680">
        <v>7.48</v>
      </c>
      <c r="AE31" s="680">
        <v>0.68</v>
      </c>
      <c r="AF31" s="680">
        <v>0.0</v>
      </c>
      <c r="AG31" s="473">
        <f t="shared" si="1"/>
        <v>8.16</v>
      </c>
      <c r="AH31" s="455"/>
      <c r="AI31" s="38"/>
      <c r="AJ31" s="38"/>
      <c r="AK31" s="38"/>
      <c r="AL31" s="38"/>
      <c r="AM31" s="38"/>
      <c r="AN31" s="38"/>
    </row>
    <row r="32" ht="29.25" customHeight="1">
      <c r="A32" s="758" t="s">
        <v>126</v>
      </c>
      <c r="B32" s="768">
        <v>0.0</v>
      </c>
      <c r="C32" s="768">
        <v>0.0</v>
      </c>
      <c r="D32" s="768">
        <v>0.0</v>
      </c>
      <c r="E32" s="768">
        <v>0.0</v>
      </c>
      <c r="F32" s="768">
        <v>0.0</v>
      </c>
      <c r="G32" s="768">
        <v>0.0</v>
      </c>
      <c r="H32" s="768">
        <v>0.0</v>
      </c>
      <c r="I32" s="768">
        <v>0.0</v>
      </c>
      <c r="J32" s="768">
        <v>0.0</v>
      </c>
      <c r="K32" s="768">
        <v>0.0</v>
      </c>
      <c r="L32" s="771">
        <v>7.0</v>
      </c>
      <c r="M32" s="768">
        <v>0.0</v>
      </c>
      <c r="N32" s="768">
        <v>0.0</v>
      </c>
      <c r="O32" s="768">
        <v>0.0</v>
      </c>
      <c r="P32" s="768">
        <v>0.0</v>
      </c>
      <c r="Q32" s="768">
        <v>0.0</v>
      </c>
      <c r="R32" s="768">
        <v>0.0</v>
      </c>
      <c r="S32" s="768">
        <v>0.0</v>
      </c>
      <c r="T32" s="768">
        <v>0.0</v>
      </c>
      <c r="U32" s="777">
        <v>0.0</v>
      </c>
      <c r="V32" s="777">
        <v>0.0</v>
      </c>
      <c r="W32" s="777">
        <v>0.0</v>
      </c>
      <c r="X32" s="777">
        <v>0.0</v>
      </c>
      <c r="Y32" s="777">
        <v>0.0</v>
      </c>
      <c r="Z32" s="777">
        <v>0.0</v>
      </c>
      <c r="AA32" s="777">
        <v>0.0</v>
      </c>
      <c r="AB32" s="777">
        <v>0.0</v>
      </c>
      <c r="AC32" s="777">
        <v>0.0</v>
      </c>
      <c r="AD32" s="777">
        <v>0.0</v>
      </c>
      <c r="AE32" s="777">
        <v>0.0</v>
      </c>
      <c r="AF32" s="777">
        <v>0.0</v>
      </c>
      <c r="AG32" s="473">
        <f t="shared" si="1"/>
        <v>7</v>
      </c>
      <c r="AH32" s="455"/>
      <c r="AI32" s="38"/>
      <c r="AJ32" s="38"/>
      <c r="AK32" s="38"/>
      <c r="AL32" s="38"/>
      <c r="AM32" s="38"/>
      <c r="AN32" s="38"/>
    </row>
    <row r="33" ht="29.25" customHeight="1">
      <c r="A33" s="758" t="s">
        <v>112</v>
      </c>
      <c r="B33" s="768">
        <v>0.0</v>
      </c>
      <c r="C33" s="768">
        <v>0.0</v>
      </c>
      <c r="D33" s="768">
        <v>0.0</v>
      </c>
      <c r="E33" s="821">
        <v>0.0</v>
      </c>
      <c r="F33" s="821">
        <v>0.0</v>
      </c>
      <c r="G33" s="822">
        <v>0.0</v>
      </c>
      <c r="H33" s="768">
        <v>0.0</v>
      </c>
      <c r="I33" s="768">
        <v>0.0</v>
      </c>
      <c r="J33" s="768">
        <v>0.0</v>
      </c>
      <c r="K33" s="768">
        <v>0.0</v>
      </c>
      <c r="L33" s="768">
        <v>0.0</v>
      </c>
      <c r="M33" s="768">
        <v>0.0</v>
      </c>
      <c r="N33" s="768">
        <v>0.0</v>
      </c>
      <c r="O33" s="768">
        <v>0.0</v>
      </c>
      <c r="P33" s="768">
        <v>0.0</v>
      </c>
      <c r="Q33" s="768">
        <v>0.0</v>
      </c>
      <c r="R33" s="768">
        <v>0.0</v>
      </c>
      <c r="S33" s="840">
        <v>1.5</v>
      </c>
      <c r="T33" s="840">
        <v>3.0</v>
      </c>
      <c r="U33" s="787">
        <v>1.5</v>
      </c>
      <c r="V33" s="787">
        <v>6.0</v>
      </c>
      <c r="W33" s="787">
        <v>1.5</v>
      </c>
      <c r="X33" s="787">
        <v>1.5</v>
      </c>
      <c r="Y33" s="787">
        <v>3.0</v>
      </c>
      <c r="Z33" s="787">
        <v>1.5</v>
      </c>
      <c r="AA33" s="787">
        <v>1.5</v>
      </c>
      <c r="AB33" s="787">
        <v>0.0</v>
      </c>
      <c r="AC33" s="777">
        <v>0.0</v>
      </c>
      <c r="AD33" s="777">
        <v>0.0</v>
      </c>
      <c r="AE33" s="777">
        <v>0.0</v>
      </c>
      <c r="AF33" s="777">
        <v>0.0</v>
      </c>
      <c r="AG33" s="473">
        <f t="shared" si="1"/>
        <v>21</v>
      </c>
      <c r="AH33" s="455"/>
      <c r="AI33" s="38"/>
      <c r="AJ33" s="38"/>
      <c r="AK33" s="38"/>
      <c r="AL33" s="38"/>
      <c r="AM33" s="38"/>
      <c r="AN33" s="38"/>
    </row>
    <row r="34" ht="24.75" customHeight="1">
      <c r="A34" s="47" t="s">
        <v>14</v>
      </c>
      <c r="B34" s="167">
        <f t="shared" ref="B34:AF34" si="12">SUM(B22:B33,B3:B20,B21)</f>
        <v>145.04</v>
      </c>
      <c r="C34" s="167">
        <f t="shared" si="12"/>
        <v>222.68</v>
      </c>
      <c r="D34" s="167">
        <f t="shared" si="12"/>
        <v>120.06</v>
      </c>
      <c r="E34" s="167">
        <f t="shared" si="12"/>
        <v>178.22</v>
      </c>
      <c r="F34" s="167">
        <f t="shared" si="12"/>
        <v>104.48</v>
      </c>
      <c r="G34" s="167">
        <f t="shared" si="12"/>
        <v>130.4</v>
      </c>
      <c r="H34" s="167">
        <f t="shared" si="12"/>
        <v>75.46</v>
      </c>
      <c r="I34" s="167">
        <f t="shared" si="12"/>
        <v>109.84</v>
      </c>
      <c r="J34" s="167">
        <f t="shared" si="12"/>
        <v>92.36</v>
      </c>
      <c r="K34" s="167">
        <f t="shared" si="12"/>
        <v>116.68</v>
      </c>
      <c r="L34" s="167">
        <f t="shared" si="12"/>
        <v>123.98</v>
      </c>
      <c r="M34" s="167">
        <f t="shared" si="12"/>
        <v>65.2</v>
      </c>
      <c r="N34" s="167">
        <f t="shared" si="12"/>
        <v>59.08</v>
      </c>
      <c r="O34" s="167">
        <f t="shared" si="12"/>
        <v>75.02</v>
      </c>
      <c r="P34" s="167">
        <f t="shared" si="12"/>
        <v>193.74</v>
      </c>
      <c r="Q34" s="167">
        <f t="shared" si="12"/>
        <v>115.78</v>
      </c>
      <c r="R34" s="167">
        <f t="shared" si="12"/>
        <v>147</v>
      </c>
      <c r="S34" s="167">
        <f t="shared" si="12"/>
        <v>154.82</v>
      </c>
      <c r="T34" s="167">
        <f t="shared" si="12"/>
        <v>150.42</v>
      </c>
      <c r="U34" s="167">
        <f t="shared" si="12"/>
        <v>99.12</v>
      </c>
      <c r="V34" s="167">
        <f t="shared" si="12"/>
        <v>79.86</v>
      </c>
      <c r="W34" s="167">
        <f t="shared" si="12"/>
        <v>177.32</v>
      </c>
      <c r="X34" s="167">
        <f t="shared" si="12"/>
        <v>139.56</v>
      </c>
      <c r="Y34" s="167">
        <f t="shared" si="12"/>
        <v>193.48</v>
      </c>
      <c r="Z34" s="167">
        <f t="shared" si="12"/>
        <v>108.5</v>
      </c>
      <c r="AA34" s="167">
        <f t="shared" si="12"/>
        <v>66.68</v>
      </c>
      <c r="AB34" s="167">
        <f t="shared" si="12"/>
        <v>102.2</v>
      </c>
      <c r="AC34" s="167">
        <f t="shared" si="12"/>
        <v>97.8</v>
      </c>
      <c r="AD34" s="167">
        <f t="shared" si="12"/>
        <v>122.84</v>
      </c>
      <c r="AE34" s="167">
        <f t="shared" si="12"/>
        <v>94.62</v>
      </c>
      <c r="AF34" s="167">
        <f t="shared" si="12"/>
        <v>58.1</v>
      </c>
      <c r="AG34" s="38"/>
      <c r="AH34" s="58"/>
      <c r="AI34" s="38"/>
      <c r="AJ34" s="38"/>
      <c r="AK34" s="38"/>
      <c r="AL34" s="38"/>
      <c r="AM34" s="38"/>
      <c r="AN34" s="38"/>
    </row>
    <row r="35" ht="15.75" customHeight="1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1"/>
      <c r="O35" s="631"/>
      <c r="P35" s="631"/>
      <c r="Q35" s="631"/>
      <c r="R35" s="631"/>
      <c r="S35" s="631"/>
      <c r="T35" s="631"/>
      <c r="U35" s="631"/>
      <c r="V35" s="631"/>
      <c r="W35" s="631"/>
      <c r="X35" s="631"/>
      <c r="Y35" s="631"/>
      <c r="Z35" s="631"/>
      <c r="AA35" s="631"/>
      <c r="AB35" s="631"/>
      <c r="AC35" s="631"/>
      <c r="AD35" s="631"/>
      <c r="AE35" s="631"/>
      <c r="AF35" s="632"/>
      <c r="AG35" s="38"/>
      <c r="AH35" s="58"/>
      <c r="AI35" s="38"/>
      <c r="AJ35" s="38"/>
      <c r="AK35" s="38"/>
      <c r="AL35" s="38"/>
      <c r="AM35" s="38"/>
      <c r="AN35" s="38"/>
    </row>
    <row r="36" ht="14.25" customHeight="1">
      <c r="A36" s="38"/>
      <c r="B36" s="38"/>
      <c r="C36" s="38"/>
      <c r="D36" s="38"/>
      <c r="E36" s="633"/>
      <c r="F36" s="633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58"/>
      <c r="AI36" s="38"/>
      <c r="AJ36" s="38"/>
      <c r="AK36" s="38"/>
      <c r="AL36" s="38"/>
      <c r="AM36" s="38"/>
      <c r="AN36" s="38"/>
    </row>
    <row r="37" ht="15.75" customHeight="1">
      <c r="A37" s="38"/>
      <c r="B37" s="38"/>
      <c r="C37" s="38"/>
      <c r="D37" s="38"/>
      <c r="E37" s="633"/>
      <c r="F37" s="633"/>
      <c r="AG37" s="49"/>
      <c r="AH37" s="8"/>
      <c r="AO37" s="226"/>
      <c r="AP37" s="226"/>
    </row>
    <row r="38" ht="15.75" customHeight="1">
      <c r="A38" s="38"/>
      <c r="B38" s="38"/>
      <c r="C38" s="38"/>
      <c r="D38" s="38"/>
      <c r="E38" s="38"/>
      <c r="F38" s="633"/>
      <c r="G38" s="428"/>
      <c r="AG38" s="49"/>
      <c r="AH38" s="8"/>
      <c r="AO38" s="226"/>
      <c r="AP38" s="226"/>
    </row>
    <row r="39" ht="15.75" customHeight="1">
      <c r="A39" s="38"/>
      <c r="B39" s="38"/>
      <c r="C39" s="38"/>
      <c r="D39" s="428"/>
      <c r="E39" s="38"/>
      <c r="AG39" s="49"/>
      <c r="AH39" s="8"/>
      <c r="AS39" s="226"/>
      <c r="AT39" s="226"/>
    </row>
    <row r="40" ht="15.75" customHeight="1">
      <c r="A40" s="38"/>
      <c r="B40" s="38"/>
      <c r="C40" s="38"/>
      <c r="D40" s="38"/>
      <c r="E40" s="38"/>
      <c r="AG40" s="49"/>
      <c r="AH40" s="8"/>
    </row>
    <row r="41" ht="15.75" customHeight="1">
      <c r="A41" s="38"/>
      <c r="B41" s="38"/>
      <c r="C41" s="38"/>
      <c r="D41" s="38"/>
      <c r="E41" s="38"/>
      <c r="AG41" s="49"/>
      <c r="AH41" s="8"/>
    </row>
    <row r="42" ht="15.75" customHeight="1">
      <c r="A42" s="38"/>
      <c r="B42" s="428"/>
      <c r="C42" s="38"/>
      <c r="D42" s="38"/>
      <c r="E42" s="38"/>
      <c r="AG42" s="49"/>
      <c r="AH42" s="8"/>
    </row>
    <row r="43" ht="15.75" customHeight="1">
      <c r="A43" s="38"/>
      <c r="B43" s="38"/>
      <c r="C43" s="58"/>
      <c r="D43" s="38"/>
      <c r="E43" s="38"/>
      <c r="F43" s="58"/>
      <c r="AG43" s="49"/>
      <c r="AH43" s="8"/>
    </row>
    <row r="44" ht="15.75" customHeight="1">
      <c r="B44" s="428"/>
      <c r="D44" s="428"/>
      <c r="AG44" s="49"/>
      <c r="AH44" s="8"/>
    </row>
    <row r="45" ht="15.75" customHeight="1">
      <c r="B45" s="428"/>
      <c r="AG45" s="49"/>
      <c r="AH45" s="8"/>
    </row>
    <row r="46" ht="15.75" customHeight="1">
      <c r="AG46" s="49"/>
      <c r="AH46" s="8"/>
    </row>
    <row r="47" ht="15.75" customHeight="1">
      <c r="AG47" s="49"/>
      <c r="AH47" s="8"/>
    </row>
    <row r="48" ht="15.75" customHeight="1">
      <c r="A48" s="38"/>
      <c r="R48" s="38"/>
      <c r="AG48" s="49"/>
      <c r="AH48" s="8"/>
    </row>
    <row r="49" ht="15.75" customHeight="1">
      <c r="A49" s="38"/>
      <c r="R49" s="38"/>
      <c r="AG49" s="49"/>
      <c r="AH49" s="8"/>
    </row>
    <row r="50" ht="15.75" customHeight="1">
      <c r="A50" s="38"/>
      <c r="B50" s="428"/>
      <c r="R50" s="38"/>
      <c r="AG50" s="49"/>
      <c r="AH50" s="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</row>
    <row r="52" ht="15.75" customHeight="1">
      <c r="A52" s="634"/>
      <c r="B52" s="635"/>
      <c r="C52" s="636"/>
      <c r="D52" s="636"/>
      <c r="E52" s="636"/>
      <c r="F52" s="636"/>
      <c r="G52" s="636"/>
      <c r="H52" s="636"/>
      <c r="M52" s="38"/>
      <c r="N52" s="635"/>
      <c r="O52" s="38"/>
      <c r="P52" s="635"/>
      <c r="Q52" s="635"/>
      <c r="R52" s="38"/>
      <c r="AG52" s="49"/>
      <c r="AH52" s="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  <c r="AP53" s="38"/>
      <c r="AQ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796"/>
      <c r="D57" s="797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796"/>
      <c r="D58" s="797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A61" s="38"/>
      <c r="B61" s="38"/>
      <c r="C61" s="796"/>
      <c r="D61" s="797"/>
      <c r="E61" s="38"/>
      <c r="F61" s="38"/>
      <c r="G61" s="38"/>
      <c r="H61" s="38"/>
      <c r="M61" s="38"/>
      <c r="N61" s="38"/>
      <c r="O61" s="38"/>
      <c r="P61" s="38"/>
      <c r="Q61" s="38"/>
      <c r="R61" s="38"/>
      <c r="AG61" s="49"/>
      <c r="AH61" s="8"/>
    </row>
    <row r="62" ht="15.75" customHeight="1">
      <c r="A62" s="38"/>
      <c r="B62" s="38"/>
      <c r="C62" s="796"/>
      <c r="D62" s="797"/>
      <c r="E62" s="38"/>
      <c r="F62" s="38"/>
      <c r="G62" s="38"/>
      <c r="H62" s="38"/>
      <c r="M62" s="38"/>
      <c r="N62" s="38"/>
      <c r="O62" s="38"/>
      <c r="P62" s="38"/>
      <c r="Q62" s="38"/>
      <c r="R62" s="38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  <c r="AP66" s="226"/>
      <c r="AQ66" s="226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C77" s="796"/>
      <c r="D77" s="797"/>
      <c r="AG77" s="49"/>
      <c r="AH77" s="8"/>
    </row>
    <row r="78" ht="15.75" customHeight="1">
      <c r="C78" s="796"/>
      <c r="D78" s="797"/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  <c r="AP104" s="3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5:AR15"/>
    <mergeCell ref="AP19:AR19"/>
    <mergeCell ref="AP20:AR20"/>
    <mergeCell ref="AP21:AR21"/>
    <mergeCell ref="I48:I50"/>
    <mergeCell ref="I51:I53"/>
    <mergeCell ref="I54:I56"/>
    <mergeCell ref="I57:I59"/>
    <mergeCell ref="I60:I62"/>
    <mergeCell ref="AP22:AR22"/>
    <mergeCell ref="AP23:AR23"/>
    <mergeCell ref="AP24:AR24"/>
    <mergeCell ref="AP25:AR25"/>
    <mergeCell ref="AP26:AR26"/>
    <mergeCell ref="AP27:AR27"/>
    <mergeCell ref="AP28:AR28"/>
  </mergeCells>
  <conditionalFormatting sqref="A35:BM36">
    <cfRule type="notContainsBlanks" dxfId="0" priority="1">
      <formula>LEN(TRIM(A35))&gt;0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1" width="18.71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745"/>
      <c r="AZ1" s="226"/>
      <c r="BA1" s="226"/>
      <c r="BB1" s="226"/>
      <c r="BC1" s="226"/>
      <c r="BD1" s="226"/>
      <c r="BE1" s="226"/>
      <c r="BF1" s="226"/>
      <c r="BG1" s="745"/>
      <c r="BH1" s="226"/>
      <c r="BI1" s="226"/>
      <c r="BJ1" s="746"/>
      <c r="BK1" s="226"/>
      <c r="BL1" s="226"/>
      <c r="BM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SUM(AG3:AG26,AU4:AU14,AU18:AU27)</f>
        <v>5627.18</v>
      </c>
      <c r="AH2" s="58"/>
      <c r="AI2" s="38"/>
    </row>
    <row r="3" ht="31.5" customHeight="1">
      <c r="A3" s="758" t="s">
        <v>5</v>
      </c>
      <c r="B3" s="841">
        <v>0.0</v>
      </c>
      <c r="C3" s="842">
        <v>33.48</v>
      </c>
      <c r="D3" s="843">
        <v>0.0</v>
      </c>
      <c r="E3" s="844">
        <v>21.6</v>
      </c>
      <c r="F3" s="807">
        <v>40.58</v>
      </c>
      <c r="G3" s="820">
        <v>22.62</v>
      </c>
      <c r="H3" s="807">
        <v>18.0</v>
      </c>
      <c r="I3" s="807">
        <v>15.0</v>
      </c>
      <c r="J3" s="807">
        <v>16.74</v>
      </c>
      <c r="K3" s="807">
        <v>12.0</v>
      </c>
      <c r="L3" s="807">
        <v>15.0</v>
      </c>
      <c r="M3" s="807">
        <v>12.0</v>
      </c>
      <c r="N3" s="807">
        <v>4.5</v>
      </c>
      <c r="O3" s="807">
        <v>12.56</v>
      </c>
      <c r="P3" s="807">
        <v>4.62</v>
      </c>
      <c r="Q3" s="807">
        <v>3.0</v>
      </c>
      <c r="R3" s="807">
        <v>18.42</v>
      </c>
      <c r="S3" s="807">
        <v>0.0</v>
      </c>
      <c r="T3" s="807">
        <v>15.0</v>
      </c>
      <c r="U3" s="807">
        <v>4.5</v>
      </c>
      <c r="V3" s="807">
        <v>3.0</v>
      </c>
      <c r="W3" s="807">
        <v>9.0</v>
      </c>
      <c r="X3" s="807">
        <v>7.5</v>
      </c>
      <c r="Y3" s="807">
        <v>7.5</v>
      </c>
      <c r="Z3" s="807">
        <v>4.5</v>
      </c>
      <c r="AA3" s="807">
        <v>17.2</v>
      </c>
      <c r="AB3" s="807">
        <v>6.0</v>
      </c>
      <c r="AC3" s="807">
        <v>4.5</v>
      </c>
      <c r="AD3" s="807">
        <v>15.0</v>
      </c>
      <c r="AE3" s="807">
        <v>3.0</v>
      </c>
      <c r="AF3" s="777"/>
      <c r="AG3" s="751">
        <f t="shared" ref="AG3:AG26" si="1">SUM(B3:AF3)</f>
        <v>346.82</v>
      </c>
      <c r="AH3" s="455"/>
      <c r="AI3" s="38"/>
      <c r="AO3" s="38"/>
      <c r="AP3" s="38"/>
      <c r="AQ3" s="38"/>
      <c r="AR3" s="173">
        <v>1.0</v>
      </c>
      <c r="AS3" s="174" t="s">
        <v>16</v>
      </c>
      <c r="AT3" s="173">
        <v>0.05</v>
      </c>
      <c r="AU3" s="456" t="s">
        <v>71</v>
      </c>
      <c r="AV3" s="456" t="s">
        <v>72</v>
      </c>
      <c r="AW3" s="456" t="s">
        <v>73</v>
      </c>
      <c r="AX3" s="246" t="s">
        <v>34</v>
      </c>
    </row>
    <row r="4" ht="40.5" customHeight="1">
      <c r="A4" s="764" t="s">
        <v>6</v>
      </c>
      <c r="B4" s="845">
        <v>4.5</v>
      </c>
      <c r="C4" s="845">
        <v>7.5</v>
      </c>
      <c r="D4" s="846">
        <v>34.86</v>
      </c>
      <c r="E4" s="846">
        <v>22.5</v>
      </c>
      <c r="F4" s="846">
        <v>10.5</v>
      </c>
      <c r="G4" s="847">
        <v>7.5</v>
      </c>
      <c r="H4" s="846">
        <v>19.62</v>
      </c>
      <c r="I4" s="846">
        <v>15.0</v>
      </c>
      <c r="J4" s="846">
        <v>15.24</v>
      </c>
      <c r="K4" s="846">
        <v>10.0</v>
      </c>
      <c r="L4" s="848">
        <v>19.5</v>
      </c>
      <c r="M4" s="846">
        <v>18.0</v>
      </c>
      <c r="N4" s="846">
        <v>19.62</v>
      </c>
      <c r="O4" s="846">
        <v>13.62</v>
      </c>
      <c r="P4" s="846">
        <v>12.0</v>
      </c>
      <c r="Q4" s="846">
        <v>21.0</v>
      </c>
      <c r="R4" s="846">
        <v>33.0</v>
      </c>
      <c r="S4" s="846">
        <v>16.5</v>
      </c>
      <c r="T4" s="846">
        <v>19.62</v>
      </c>
      <c r="U4" s="846">
        <v>12.0</v>
      </c>
      <c r="V4" s="846">
        <v>15.0</v>
      </c>
      <c r="W4" s="846">
        <v>16.5</v>
      </c>
      <c r="X4" s="846">
        <v>13.62</v>
      </c>
      <c r="Y4" s="846">
        <v>19.5</v>
      </c>
      <c r="Z4" s="846">
        <v>10.5</v>
      </c>
      <c r="AA4" s="846">
        <v>30.12</v>
      </c>
      <c r="AB4" s="846">
        <v>36.12</v>
      </c>
      <c r="AC4" s="846">
        <v>10.5</v>
      </c>
      <c r="AD4" s="846">
        <v>15.12</v>
      </c>
      <c r="AE4" s="846">
        <v>10.5</v>
      </c>
      <c r="AF4" s="755"/>
      <c r="AG4" s="751">
        <f t="shared" si="1"/>
        <v>509.56</v>
      </c>
      <c r="AH4" s="487"/>
      <c r="AI4" s="38"/>
      <c r="AJ4" s="38"/>
      <c r="AO4" s="344" t="s">
        <v>120</v>
      </c>
      <c r="AP4" s="176"/>
      <c r="AQ4" s="177"/>
      <c r="AR4" s="464">
        <f>SUM(valuesByColor("#980000", "", B3:AF26))</f>
        <v>582.72</v>
      </c>
      <c r="AS4" s="345">
        <f t="shared" ref="AS4:AS14" si="2">((AR4*(1-0.05))*(1-0.6))+AV4-AX4</f>
        <v>221.4336</v>
      </c>
      <c r="AT4" s="346">
        <f t="shared" ref="AT4:AT14" si="3">(AR4*(1-0.05))*(1-0.95)+AW4</f>
        <v>27.6792</v>
      </c>
      <c r="AU4" s="346"/>
      <c r="AV4" s="346">
        <f t="shared" ref="AV4:AV10" si="4">(AU4*(1-0.05))*(1-0.9)</f>
        <v>0</v>
      </c>
      <c r="AW4" s="346">
        <f t="shared" ref="AW4:AW10" si="5">(AU4*(1-0.05))*(1-0.95)</f>
        <v>0</v>
      </c>
      <c r="AX4" s="347"/>
    </row>
    <row r="5" ht="27.0" customHeight="1">
      <c r="A5" s="773" t="s">
        <v>3</v>
      </c>
      <c r="B5" s="771">
        <v>0.0</v>
      </c>
      <c r="C5" s="771">
        <v>3.0</v>
      </c>
      <c r="D5" s="771">
        <v>0.0</v>
      </c>
      <c r="E5" s="771">
        <v>0.0</v>
      </c>
      <c r="F5" s="771">
        <v>0.0</v>
      </c>
      <c r="G5" s="849">
        <v>0.14</v>
      </c>
      <c r="H5" s="771">
        <v>0.0</v>
      </c>
      <c r="I5" s="771">
        <v>0.0</v>
      </c>
      <c r="J5" s="771">
        <v>0.0</v>
      </c>
      <c r="K5" s="771">
        <v>0.0</v>
      </c>
      <c r="L5" s="771">
        <v>0.0</v>
      </c>
      <c r="M5" s="771">
        <v>0.0</v>
      </c>
      <c r="N5" s="771">
        <v>0.0</v>
      </c>
      <c r="O5" s="771">
        <v>0.0</v>
      </c>
      <c r="P5" s="771">
        <v>13.78</v>
      </c>
      <c r="Q5" s="771">
        <v>0.0</v>
      </c>
      <c r="R5" s="771">
        <v>0.0</v>
      </c>
      <c r="S5" s="771">
        <v>6.0</v>
      </c>
      <c r="T5" s="771">
        <v>31.83</v>
      </c>
      <c r="U5" s="748">
        <v>3.52</v>
      </c>
      <c r="V5" s="748">
        <v>9.32</v>
      </c>
      <c r="W5" s="748">
        <v>17.28</v>
      </c>
      <c r="X5" s="748">
        <v>0.0</v>
      </c>
      <c r="Y5" s="748">
        <v>24.64</v>
      </c>
      <c r="Z5" s="748">
        <v>12.24</v>
      </c>
      <c r="AA5" s="748">
        <v>27.28</v>
      </c>
      <c r="AB5" s="748">
        <v>19.22</v>
      </c>
      <c r="AC5" s="748">
        <v>0.0</v>
      </c>
      <c r="AD5" s="748">
        <v>26.26</v>
      </c>
      <c r="AE5" s="748">
        <v>34.46</v>
      </c>
      <c r="AF5" s="777"/>
      <c r="AG5" s="751">
        <f t="shared" si="1"/>
        <v>228.97</v>
      </c>
      <c r="AH5" s="487"/>
      <c r="AI5" s="38"/>
      <c r="AJ5" s="38"/>
      <c r="AO5" s="175" t="s">
        <v>102</v>
      </c>
      <c r="AP5" s="176"/>
      <c r="AQ5" s="177"/>
      <c r="AR5" s="467">
        <f>SUM(valuesByColor("yellow", "", B3:AF26))</f>
        <v>1500.3</v>
      </c>
      <c r="AS5" s="178">
        <f t="shared" si="2"/>
        <v>570.114</v>
      </c>
      <c r="AT5" s="248">
        <f t="shared" si="3"/>
        <v>71.26425</v>
      </c>
      <c r="AU5" s="248"/>
      <c r="AV5" s="248">
        <f t="shared" si="4"/>
        <v>0</v>
      </c>
      <c r="AW5" s="248">
        <f t="shared" si="5"/>
        <v>0</v>
      </c>
      <c r="AX5" s="249"/>
    </row>
    <row r="6" ht="28.5" customHeight="1">
      <c r="A6" s="747" t="s">
        <v>31</v>
      </c>
      <c r="B6" s="820">
        <v>3.0</v>
      </c>
      <c r="C6" s="807">
        <v>3.0</v>
      </c>
      <c r="D6" s="820">
        <v>0.0</v>
      </c>
      <c r="E6" s="820">
        <v>1.5</v>
      </c>
      <c r="F6" s="820">
        <v>6.12</v>
      </c>
      <c r="G6" s="850">
        <v>4.5</v>
      </c>
      <c r="H6" s="820">
        <v>6.28</v>
      </c>
      <c r="I6" s="820">
        <v>1.5</v>
      </c>
      <c r="J6" s="820">
        <v>13.5</v>
      </c>
      <c r="K6" s="820">
        <v>1.5</v>
      </c>
      <c r="L6" s="807">
        <v>76.5</v>
      </c>
      <c r="M6" s="807">
        <v>33.0</v>
      </c>
      <c r="N6" s="807">
        <v>16.5</v>
      </c>
      <c r="O6" s="807">
        <v>9.0</v>
      </c>
      <c r="P6" s="807">
        <v>4.5</v>
      </c>
      <c r="Q6" s="807">
        <v>1.5</v>
      </c>
      <c r="R6" s="807">
        <v>4.5</v>
      </c>
      <c r="S6" s="807">
        <v>0.0</v>
      </c>
      <c r="T6" s="807">
        <v>6.0</v>
      </c>
      <c r="U6" s="807">
        <v>4.5</v>
      </c>
      <c r="V6" s="807">
        <v>0.0</v>
      </c>
      <c r="W6" s="807">
        <v>3.0</v>
      </c>
      <c r="X6" s="807">
        <v>6.0</v>
      </c>
      <c r="Y6" s="807">
        <v>3.0</v>
      </c>
      <c r="Z6" s="807">
        <v>0.0</v>
      </c>
      <c r="AA6" s="807">
        <v>7.5</v>
      </c>
      <c r="AB6" s="807">
        <v>4.5</v>
      </c>
      <c r="AC6" s="807">
        <v>4.5</v>
      </c>
      <c r="AD6" s="807">
        <v>1.5</v>
      </c>
      <c r="AE6" s="807">
        <v>1.5</v>
      </c>
      <c r="AF6" s="777"/>
      <c r="AG6" s="751">
        <f t="shared" si="1"/>
        <v>228.4</v>
      </c>
      <c r="AH6" s="455"/>
      <c r="AI6" s="38"/>
      <c r="AJ6" s="38"/>
      <c r="AK6" s="38"/>
      <c r="AL6" s="38"/>
      <c r="AO6" s="252"/>
      <c r="AP6" s="176"/>
      <c r="AQ6" s="177"/>
      <c r="AR6" s="474">
        <f>SUM(valuesByColor("cyan", "", B3:AF26))</f>
        <v>0</v>
      </c>
      <c r="AS6" s="253">
        <f t="shared" si="2"/>
        <v>0</v>
      </c>
      <c r="AT6" s="254">
        <f t="shared" si="3"/>
        <v>0</v>
      </c>
      <c r="AU6" s="254"/>
      <c r="AV6" s="254">
        <f t="shared" si="4"/>
        <v>0</v>
      </c>
      <c r="AW6" s="254">
        <f t="shared" si="5"/>
        <v>0</v>
      </c>
      <c r="AX6" s="255"/>
    </row>
    <row r="7" ht="28.5" customHeight="1">
      <c r="A7" s="747" t="s">
        <v>32</v>
      </c>
      <c r="B7" s="768">
        <v>0.0</v>
      </c>
      <c r="C7" s="777">
        <v>0.0</v>
      </c>
      <c r="D7" s="777">
        <v>0.0</v>
      </c>
      <c r="E7" s="777">
        <v>0.0</v>
      </c>
      <c r="F7" s="768">
        <v>0.0</v>
      </c>
      <c r="G7" s="823">
        <v>0.0</v>
      </c>
      <c r="H7" s="768">
        <v>0.0</v>
      </c>
      <c r="I7" s="768">
        <v>0.0</v>
      </c>
      <c r="J7" s="768">
        <v>0.0</v>
      </c>
      <c r="K7" s="768">
        <v>0.0</v>
      </c>
      <c r="L7" s="777">
        <v>0.0</v>
      </c>
      <c r="M7" s="777">
        <v>0.0</v>
      </c>
      <c r="N7" s="777">
        <v>0.0</v>
      </c>
      <c r="O7" s="777">
        <v>0.0</v>
      </c>
      <c r="P7" s="777">
        <v>0.0</v>
      </c>
      <c r="Q7" s="777">
        <v>0.0</v>
      </c>
      <c r="R7" s="777">
        <v>0.0</v>
      </c>
      <c r="S7" s="822">
        <v>14.34</v>
      </c>
      <c r="T7" s="822">
        <v>4.12</v>
      </c>
      <c r="U7" s="822">
        <v>4.74</v>
      </c>
      <c r="V7" s="822">
        <v>6.0</v>
      </c>
      <c r="W7" s="822">
        <v>1.5</v>
      </c>
      <c r="X7" s="822">
        <v>0.0</v>
      </c>
      <c r="Y7" s="822">
        <v>0.0</v>
      </c>
      <c r="Z7" s="822">
        <v>1.5</v>
      </c>
      <c r="AA7" s="822">
        <v>0.0</v>
      </c>
      <c r="AB7" s="822">
        <v>3.12</v>
      </c>
      <c r="AC7" s="822">
        <v>0.0</v>
      </c>
      <c r="AD7" s="822">
        <v>0.0</v>
      </c>
      <c r="AE7" s="822">
        <v>1.62</v>
      </c>
      <c r="AF7" s="777"/>
      <c r="AG7" s="751">
        <f t="shared" si="1"/>
        <v>36.94</v>
      </c>
      <c r="AH7" s="455"/>
      <c r="AI7" s="38"/>
      <c r="AJ7" s="38"/>
      <c r="AK7" s="38"/>
      <c r="AL7" s="38"/>
      <c r="AO7" s="188" t="s">
        <v>38</v>
      </c>
      <c r="AP7" s="176"/>
      <c r="AQ7" s="177"/>
      <c r="AR7" s="481">
        <f>SUM(valuesByColor("#f09090", "", B3:AF26))</f>
        <v>2180.01</v>
      </c>
      <c r="AS7" s="189">
        <f t="shared" si="2"/>
        <v>728.4038</v>
      </c>
      <c r="AT7" s="256">
        <f t="shared" si="3"/>
        <v>103.550475</v>
      </c>
      <c r="AU7" s="256"/>
      <c r="AV7" s="482">
        <f t="shared" si="4"/>
        <v>0</v>
      </c>
      <c r="AW7" s="482">
        <f t="shared" si="5"/>
        <v>0</v>
      </c>
      <c r="AX7" s="257">
        <v>100.0</v>
      </c>
    </row>
    <row r="8" ht="24.75" customHeight="1">
      <c r="A8" s="747" t="s">
        <v>106</v>
      </c>
      <c r="B8" s="807">
        <v>7.5</v>
      </c>
      <c r="C8" s="777">
        <v>0.0</v>
      </c>
      <c r="D8" s="777">
        <v>0.0</v>
      </c>
      <c r="E8" s="777">
        <v>0.0</v>
      </c>
      <c r="F8" s="777">
        <v>0.0</v>
      </c>
      <c r="G8" s="823">
        <v>0.0</v>
      </c>
      <c r="H8" s="777">
        <v>0.0</v>
      </c>
      <c r="I8" s="777">
        <v>0.0</v>
      </c>
      <c r="J8" s="777">
        <v>0.0</v>
      </c>
      <c r="K8" s="777">
        <v>0.0</v>
      </c>
      <c r="L8" s="777">
        <v>0.0</v>
      </c>
      <c r="M8" s="777">
        <v>0.0</v>
      </c>
      <c r="N8" s="777">
        <v>0.0</v>
      </c>
      <c r="O8" s="777">
        <v>0.0</v>
      </c>
      <c r="P8" s="777">
        <v>0.0</v>
      </c>
      <c r="Q8" s="777">
        <v>0.0</v>
      </c>
      <c r="R8" s="777">
        <v>0.0</v>
      </c>
      <c r="S8" s="777">
        <v>0.0</v>
      </c>
      <c r="T8" s="777">
        <v>0.0</v>
      </c>
      <c r="U8" s="777">
        <v>0.0</v>
      </c>
      <c r="V8" s="777">
        <v>0.0</v>
      </c>
      <c r="W8" s="777">
        <v>0.0</v>
      </c>
      <c r="X8" s="777">
        <v>0.0</v>
      </c>
      <c r="Y8" s="777">
        <v>0.0</v>
      </c>
      <c r="Z8" s="777">
        <v>0.0</v>
      </c>
      <c r="AA8" s="777">
        <v>0.0</v>
      </c>
      <c r="AB8" s="777">
        <v>0.0</v>
      </c>
      <c r="AC8" s="777">
        <v>0.0</v>
      </c>
      <c r="AD8" s="777">
        <v>0.0</v>
      </c>
      <c r="AE8" s="777">
        <v>0.0</v>
      </c>
      <c r="AF8" s="777"/>
      <c r="AG8" s="751">
        <f t="shared" si="1"/>
        <v>7.5</v>
      </c>
      <c r="AH8" s="455"/>
      <c r="AI8" s="38"/>
      <c r="AJ8" s="38"/>
      <c r="AK8" s="38"/>
      <c r="AL8" s="38"/>
      <c r="AO8" s="263" t="s">
        <v>114</v>
      </c>
      <c r="AP8" s="176"/>
      <c r="AQ8" s="177"/>
      <c r="AR8" s="808">
        <f>SUM(valuesByColor("magenta", "", B3:AF26))</f>
        <v>214.8</v>
      </c>
      <c r="AS8" s="264">
        <f t="shared" si="2"/>
        <v>81.624</v>
      </c>
      <c r="AT8" s="265">
        <f t="shared" si="3"/>
        <v>10.203</v>
      </c>
      <c r="AU8" s="265"/>
      <c r="AV8" s="489">
        <f t="shared" si="4"/>
        <v>0</v>
      </c>
      <c r="AW8" s="489">
        <f t="shared" si="5"/>
        <v>0</v>
      </c>
      <c r="AX8" s="266"/>
    </row>
    <row r="9" ht="29.25" customHeight="1">
      <c r="A9" s="758" t="s">
        <v>68</v>
      </c>
      <c r="B9" s="822">
        <v>1.86</v>
      </c>
      <c r="C9" s="822">
        <v>0.0</v>
      </c>
      <c r="D9" s="822">
        <v>0.0</v>
      </c>
      <c r="E9" s="822">
        <v>0.0</v>
      </c>
      <c r="F9" s="822">
        <v>10.5</v>
      </c>
      <c r="G9" s="798">
        <v>1.5</v>
      </c>
      <c r="H9" s="822">
        <v>4.5</v>
      </c>
      <c r="I9" s="822">
        <v>4.5</v>
      </c>
      <c r="J9" s="822">
        <v>0.0</v>
      </c>
      <c r="K9" s="822">
        <v>8.34</v>
      </c>
      <c r="L9" s="822">
        <v>1.5</v>
      </c>
      <c r="M9" s="851">
        <v>0.12</v>
      </c>
      <c r="N9" s="822">
        <v>1.5</v>
      </c>
      <c r="O9" s="822">
        <v>1.12</v>
      </c>
      <c r="P9" s="822">
        <v>1.5</v>
      </c>
      <c r="Q9" s="822">
        <v>3.12</v>
      </c>
      <c r="R9" s="822">
        <v>0.0</v>
      </c>
      <c r="S9" s="777">
        <v>0.0</v>
      </c>
      <c r="T9" s="777">
        <v>0.0</v>
      </c>
      <c r="U9" s="777">
        <v>0.0</v>
      </c>
      <c r="V9" s="777">
        <v>0.0</v>
      </c>
      <c r="W9" s="777">
        <v>0.0</v>
      </c>
      <c r="X9" s="777">
        <v>0.0</v>
      </c>
      <c r="Y9" s="777">
        <v>0.0</v>
      </c>
      <c r="Z9" s="777">
        <v>0.0</v>
      </c>
      <c r="AA9" s="777">
        <v>0.0</v>
      </c>
      <c r="AB9" s="777">
        <v>0.0</v>
      </c>
      <c r="AC9" s="777">
        <v>0.0</v>
      </c>
      <c r="AD9" s="777">
        <v>0.0</v>
      </c>
      <c r="AE9" s="777">
        <v>0.0</v>
      </c>
      <c r="AF9" s="38"/>
      <c r="AG9" s="852">
        <f t="shared" si="1"/>
        <v>40.06</v>
      </c>
      <c r="AH9" s="455"/>
      <c r="AI9" s="38"/>
      <c r="AJ9" s="38"/>
      <c r="AK9" s="38"/>
      <c r="AL9" s="38"/>
      <c r="AO9" s="195"/>
      <c r="AP9" s="176"/>
      <c r="AQ9" s="177"/>
      <c r="AR9" s="493">
        <f>SUM(valuesByColor("#0070c0", "", B3:AF26))</f>
        <v>0</v>
      </c>
      <c r="AS9" s="196">
        <f t="shared" si="2"/>
        <v>0</v>
      </c>
      <c r="AT9" s="267">
        <f t="shared" si="3"/>
        <v>0</v>
      </c>
      <c r="AU9" s="267"/>
      <c r="AV9" s="494">
        <f t="shared" si="4"/>
        <v>0</v>
      </c>
      <c r="AW9" s="494">
        <f t="shared" si="5"/>
        <v>0</v>
      </c>
      <c r="AX9" s="268"/>
    </row>
    <row r="10" ht="29.25" customHeight="1">
      <c r="A10" s="758" t="s">
        <v>69</v>
      </c>
      <c r="B10" s="777">
        <v>0.0</v>
      </c>
      <c r="C10" s="777">
        <v>0.0</v>
      </c>
      <c r="D10" s="777">
        <v>0.0</v>
      </c>
      <c r="E10" s="777">
        <v>0.0</v>
      </c>
      <c r="F10" s="777">
        <v>0.0</v>
      </c>
      <c r="G10" s="823">
        <v>0.0</v>
      </c>
      <c r="H10" s="777">
        <v>0.0</v>
      </c>
      <c r="I10" s="777">
        <v>0.0</v>
      </c>
      <c r="J10" s="777">
        <v>0.0</v>
      </c>
      <c r="K10" s="777">
        <v>0.0</v>
      </c>
      <c r="L10" s="777">
        <v>0.0</v>
      </c>
      <c r="M10" s="777">
        <v>0.0</v>
      </c>
      <c r="N10" s="777">
        <v>0.0</v>
      </c>
      <c r="O10" s="777">
        <v>0.0</v>
      </c>
      <c r="P10" s="777">
        <v>0.0</v>
      </c>
      <c r="Q10" s="777">
        <v>0.0</v>
      </c>
      <c r="R10" s="777">
        <v>0.0</v>
      </c>
      <c r="S10" s="777">
        <v>0.0</v>
      </c>
      <c r="T10" s="777">
        <v>0.0</v>
      </c>
      <c r="U10" s="777">
        <v>0.0</v>
      </c>
      <c r="V10" s="777">
        <v>0.0</v>
      </c>
      <c r="W10" s="777">
        <v>0.0</v>
      </c>
      <c r="X10" s="777">
        <v>0.0</v>
      </c>
      <c r="Y10" s="777">
        <v>0.0</v>
      </c>
      <c r="Z10" s="777">
        <v>0.0</v>
      </c>
      <c r="AA10" s="777">
        <v>0.0</v>
      </c>
      <c r="AB10" s="777">
        <v>0.0</v>
      </c>
      <c r="AC10" s="777">
        <v>0.0</v>
      </c>
      <c r="AD10" s="777">
        <v>0.0</v>
      </c>
      <c r="AE10" s="777">
        <v>0.0</v>
      </c>
      <c r="AF10" s="777"/>
      <c r="AG10" s="751">
        <f t="shared" si="1"/>
        <v>0</v>
      </c>
      <c r="AH10" s="455"/>
      <c r="AI10" s="38"/>
      <c r="AJ10" s="38"/>
      <c r="AK10" s="38"/>
      <c r="AL10" s="38"/>
      <c r="AM10" s="38"/>
      <c r="AO10" s="201" t="s">
        <v>75</v>
      </c>
      <c r="AP10" s="176"/>
      <c r="AQ10" s="177"/>
      <c r="AR10" s="503">
        <f>SUM(valuesByColor("#ec7c31", "", B3:AF26))</f>
        <v>410.07</v>
      </c>
      <c r="AS10" s="202">
        <f t="shared" si="2"/>
        <v>155.8266</v>
      </c>
      <c r="AT10" s="269">
        <f t="shared" si="3"/>
        <v>19.478325</v>
      </c>
      <c r="AU10" s="269"/>
      <c r="AV10" s="504">
        <f t="shared" si="4"/>
        <v>0</v>
      </c>
      <c r="AW10" s="504">
        <f t="shared" si="5"/>
        <v>0</v>
      </c>
      <c r="AX10" s="270"/>
    </row>
    <row r="11" ht="29.25" customHeight="1">
      <c r="A11" s="747" t="s">
        <v>83</v>
      </c>
      <c r="B11" s="680">
        <v>0.0</v>
      </c>
      <c r="C11" s="680">
        <v>4.62</v>
      </c>
      <c r="D11" s="680">
        <v>3.0</v>
      </c>
      <c r="E11" s="680">
        <v>4.5</v>
      </c>
      <c r="F11" s="680">
        <v>7.5</v>
      </c>
      <c r="G11" s="853">
        <v>0.0</v>
      </c>
      <c r="H11" s="680">
        <v>7.62</v>
      </c>
      <c r="I11" s="680">
        <v>0.0</v>
      </c>
      <c r="J11" s="680">
        <v>0.0</v>
      </c>
      <c r="K11" s="680">
        <v>0.0</v>
      </c>
      <c r="L11" s="680">
        <v>12.0</v>
      </c>
      <c r="M11" s="680">
        <v>0.0</v>
      </c>
      <c r="N11" s="680">
        <v>0.0</v>
      </c>
      <c r="O11" s="680">
        <v>0.0</v>
      </c>
      <c r="P11" s="680">
        <v>0.0</v>
      </c>
      <c r="Q11" s="680">
        <v>0.0</v>
      </c>
      <c r="R11" s="680">
        <v>1.74</v>
      </c>
      <c r="S11" s="680">
        <v>0.0</v>
      </c>
      <c r="T11" s="680">
        <v>1.5</v>
      </c>
      <c r="U11" s="680">
        <v>0.0</v>
      </c>
      <c r="V11" s="777">
        <v>0.0</v>
      </c>
      <c r="W11" s="777">
        <v>0.0</v>
      </c>
      <c r="X11" s="777">
        <v>0.0</v>
      </c>
      <c r="Y11" s="777">
        <v>0.0</v>
      </c>
      <c r="Z11" s="777">
        <v>0.0</v>
      </c>
      <c r="AA11" s="777">
        <v>0.0</v>
      </c>
      <c r="AB11" s="777">
        <v>0.0</v>
      </c>
      <c r="AC11" s="777">
        <v>0.0</v>
      </c>
      <c r="AD11" s="777">
        <v>0.0</v>
      </c>
      <c r="AE11" s="777">
        <v>0.0</v>
      </c>
      <c r="AF11" s="777"/>
      <c r="AG11" s="751">
        <f t="shared" si="1"/>
        <v>42.48</v>
      </c>
      <c r="AH11" s="455"/>
      <c r="AI11" s="38"/>
      <c r="AJ11" s="38"/>
      <c r="AK11" s="38"/>
      <c r="AL11" s="38"/>
      <c r="AM11" s="38"/>
      <c r="AN11" s="38"/>
      <c r="AO11" s="810"/>
      <c r="AP11" s="176"/>
      <c r="AQ11" s="177"/>
      <c r="AR11" s="827">
        <f>SUM(valuesByColor("#911553", "", B3:AF26))</f>
        <v>0</v>
      </c>
      <c r="AS11" s="828">
        <f t="shared" si="2"/>
        <v>0</v>
      </c>
      <c r="AT11" s="829">
        <f t="shared" si="3"/>
        <v>0</v>
      </c>
      <c r="AU11" s="814"/>
      <c r="AV11" s="815">
        <v>0.0</v>
      </c>
      <c r="AW11" s="815">
        <v>0.0</v>
      </c>
      <c r="AX11" s="274"/>
    </row>
    <row r="12" ht="29.25" customHeight="1">
      <c r="A12" s="747" t="s">
        <v>84</v>
      </c>
      <c r="B12" s="749">
        <v>10.5</v>
      </c>
      <c r="C12" s="749">
        <v>9.0</v>
      </c>
      <c r="D12" s="777">
        <v>0.0</v>
      </c>
      <c r="E12" s="777">
        <v>0.0</v>
      </c>
      <c r="F12" s="777">
        <v>0.0</v>
      </c>
      <c r="G12" s="823">
        <v>0.0</v>
      </c>
      <c r="H12" s="777">
        <v>0.0</v>
      </c>
      <c r="I12" s="777">
        <v>0.0</v>
      </c>
      <c r="J12" s="777">
        <v>0.0</v>
      </c>
      <c r="K12" s="777">
        <v>0.0</v>
      </c>
      <c r="L12" s="777">
        <v>0.0</v>
      </c>
      <c r="M12" s="777">
        <v>0.0</v>
      </c>
      <c r="N12" s="777">
        <v>0.0</v>
      </c>
      <c r="O12" s="777">
        <v>0.0</v>
      </c>
      <c r="P12" s="777">
        <v>0.0</v>
      </c>
      <c r="Q12" s="777">
        <v>0.0</v>
      </c>
      <c r="R12" s="777">
        <v>0.0</v>
      </c>
      <c r="S12" s="777">
        <v>0.0</v>
      </c>
      <c r="T12" s="777">
        <v>0.0</v>
      </c>
      <c r="U12" s="777">
        <v>0.0</v>
      </c>
      <c r="V12" s="777">
        <v>0.0</v>
      </c>
      <c r="W12" s="787">
        <v>12.0</v>
      </c>
      <c r="X12" s="787">
        <v>4.14</v>
      </c>
      <c r="Y12" s="787">
        <v>13.62</v>
      </c>
      <c r="Z12" s="787">
        <v>12.12</v>
      </c>
      <c r="AA12" s="787">
        <v>0.0</v>
      </c>
      <c r="AB12" s="787">
        <v>0.0</v>
      </c>
      <c r="AC12" s="787">
        <v>21.0</v>
      </c>
      <c r="AD12" s="787">
        <v>8.48</v>
      </c>
      <c r="AE12" s="787">
        <v>7.5</v>
      </c>
      <c r="AF12" s="777"/>
      <c r="AG12" s="751">
        <f t="shared" si="1"/>
        <v>98.36</v>
      </c>
      <c r="AH12" s="455"/>
      <c r="AI12" s="38"/>
      <c r="AJ12" s="38"/>
      <c r="AK12" s="38"/>
      <c r="AL12" s="38"/>
      <c r="AM12" s="38"/>
      <c r="AN12" s="38"/>
      <c r="AO12" s="277"/>
      <c r="AP12" s="176"/>
      <c r="AQ12" s="177"/>
      <c r="AR12" s="518">
        <f>SUM(valuesByColor("lime", "", B3:AF26))</f>
        <v>0</v>
      </c>
      <c r="AS12" s="278">
        <f t="shared" si="2"/>
        <v>0</v>
      </c>
      <c r="AT12" s="279">
        <f t="shared" si="3"/>
        <v>0</v>
      </c>
      <c r="AU12" s="279"/>
      <c r="AV12" s="519">
        <f t="shared" ref="AV12:AV14" si="6">(AU12*(1-0.05))*(1-0.9)</f>
        <v>0</v>
      </c>
      <c r="AW12" s="519">
        <f t="shared" ref="AW12:AW14" si="7">(AU12*(1-0.05))*(1-0.95)</f>
        <v>0</v>
      </c>
      <c r="AX12" s="280"/>
    </row>
    <row r="13" ht="29.25" customHeight="1">
      <c r="A13" s="747" t="s">
        <v>85</v>
      </c>
      <c r="B13" s="819">
        <v>1.5</v>
      </c>
      <c r="C13" s="819">
        <v>0.0</v>
      </c>
      <c r="D13" s="819">
        <v>71.5</v>
      </c>
      <c r="E13" s="819">
        <v>37.5</v>
      </c>
      <c r="F13" s="819">
        <v>5.9</v>
      </c>
      <c r="G13" s="854">
        <v>17.9</v>
      </c>
      <c r="H13" s="819">
        <v>64.0</v>
      </c>
      <c r="I13" s="819">
        <v>7.5</v>
      </c>
      <c r="J13" s="819">
        <v>4.5</v>
      </c>
      <c r="K13" s="819">
        <v>3.0</v>
      </c>
      <c r="L13" s="819">
        <v>0.0</v>
      </c>
      <c r="M13" s="819">
        <v>1.5</v>
      </c>
      <c r="N13" s="819">
        <v>0.0</v>
      </c>
      <c r="O13" s="819">
        <v>0.0</v>
      </c>
      <c r="P13" s="819">
        <v>0.0</v>
      </c>
      <c r="Q13" s="819">
        <v>0.0</v>
      </c>
      <c r="R13" s="819">
        <v>0.0</v>
      </c>
      <c r="S13" s="819">
        <v>0.0</v>
      </c>
      <c r="T13" s="777">
        <v>0.0</v>
      </c>
      <c r="U13" s="777">
        <v>0.0</v>
      </c>
      <c r="V13" s="777">
        <v>0.0</v>
      </c>
      <c r="W13" s="777">
        <v>0.0</v>
      </c>
      <c r="X13" s="777">
        <v>0.0</v>
      </c>
      <c r="Y13" s="777">
        <v>0.0</v>
      </c>
      <c r="Z13" s="777">
        <v>0.0</v>
      </c>
      <c r="AA13" s="777">
        <v>0.0</v>
      </c>
      <c r="AB13" s="777">
        <v>0.0</v>
      </c>
      <c r="AC13" s="777">
        <v>0.0</v>
      </c>
      <c r="AD13" s="777">
        <v>0.0</v>
      </c>
      <c r="AE13" s="777">
        <v>0.0</v>
      </c>
      <c r="AF13" s="777"/>
      <c r="AG13" s="751">
        <f t="shared" si="1"/>
        <v>214.8</v>
      </c>
      <c r="AH13" s="455"/>
      <c r="AI13" s="38"/>
      <c r="AJ13" s="38"/>
      <c r="AK13" s="38"/>
      <c r="AL13" s="38"/>
      <c r="AM13" s="38"/>
      <c r="AN13" s="38"/>
      <c r="AO13" s="668"/>
      <c r="AP13" s="176"/>
      <c r="AQ13" s="177"/>
      <c r="AR13" s="669">
        <f>SUM(valuesByColor("#7a00ff", "", B3:AF26))</f>
        <v>0</v>
      </c>
      <c r="AS13" s="670">
        <f t="shared" si="2"/>
        <v>0</v>
      </c>
      <c r="AT13" s="671">
        <f t="shared" si="3"/>
        <v>0</v>
      </c>
      <c r="AU13" s="671"/>
      <c r="AV13" s="672">
        <f t="shared" si="6"/>
        <v>0</v>
      </c>
      <c r="AW13" s="672">
        <f t="shared" si="7"/>
        <v>0</v>
      </c>
      <c r="AX13" s="673"/>
    </row>
    <row r="14" ht="29.25" customHeight="1">
      <c r="A14" s="747" t="s">
        <v>111</v>
      </c>
      <c r="B14" s="793">
        <v>4.5</v>
      </c>
      <c r="C14" s="793">
        <v>27.32</v>
      </c>
      <c r="D14" s="793">
        <v>29.9</v>
      </c>
      <c r="E14" s="793">
        <v>0.0</v>
      </c>
      <c r="F14" s="793">
        <v>0.0</v>
      </c>
      <c r="G14" s="855">
        <v>10.5</v>
      </c>
      <c r="H14" s="793">
        <v>19.24</v>
      </c>
      <c r="I14" s="793">
        <v>41.68</v>
      </c>
      <c r="J14" s="793">
        <v>16.5</v>
      </c>
      <c r="K14" s="793">
        <v>9.0</v>
      </c>
      <c r="L14" s="793">
        <v>36.14</v>
      </c>
      <c r="M14" s="793">
        <v>45.9</v>
      </c>
      <c r="N14" s="793">
        <v>36.34</v>
      </c>
      <c r="O14" s="793">
        <v>24.72</v>
      </c>
      <c r="P14" s="793">
        <v>8.2</v>
      </c>
      <c r="Q14" s="793">
        <v>12.28</v>
      </c>
      <c r="R14" s="793">
        <v>23.14</v>
      </c>
      <c r="S14" s="793">
        <v>9.0</v>
      </c>
      <c r="T14" s="793">
        <v>0.0</v>
      </c>
      <c r="U14" s="793">
        <v>10.5</v>
      </c>
      <c r="V14" s="793">
        <v>10.5</v>
      </c>
      <c r="W14" s="793">
        <v>12.56</v>
      </c>
      <c r="X14" s="793">
        <v>12.0</v>
      </c>
      <c r="Y14" s="793">
        <v>19.64</v>
      </c>
      <c r="Z14" s="793">
        <v>0.0</v>
      </c>
      <c r="AA14" s="793">
        <v>33.42</v>
      </c>
      <c r="AB14" s="793">
        <v>8.44</v>
      </c>
      <c r="AC14" s="793">
        <v>9.56</v>
      </c>
      <c r="AD14" s="793">
        <v>3.0</v>
      </c>
      <c r="AE14" s="793">
        <v>25.5</v>
      </c>
      <c r="AF14" s="777"/>
      <c r="AG14" s="751">
        <f t="shared" si="1"/>
        <v>499.48</v>
      </c>
      <c r="AH14" s="455"/>
      <c r="AI14" s="38"/>
      <c r="AJ14" s="38"/>
      <c r="AK14" s="38"/>
      <c r="AL14" s="38"/>
      <c r="AM14" s="38"/>
      <c r="AN14" s="38"/>
      <c r="AO14" s="384"/>
      <c r="AP14" s="176"/>
      <c r="AQ14" s="177"/>
      <c r="AR14" s="521">
        <f>SUM(valuesByColor("dark yellow 3", "", B3:AF26))</f>
        <v>0</v>
      </c>
      <c r="AS14" s="385">
        <f t="shared" si="2"/>
        <v>0</v>
      </c>
      <c r="AT14" s="386">
        <f t="shared" si="3"/>
        <v>0</v>
      </c>
      <c r="AU14" s="386"/>
      <c r="AV14" s="522">
        <f t="shared" si="6"/>
        <v>0</v>
      </c>
      <c r="AW14" s="522">
        <f t="shared" si="7"/>
        <v>0</v>
      </c>
      <c r="AX14" s="387"/>
    </row>
    <row r="15" ht="29.25" customHeight="1">
      <c r="A15" s="758" t="s">
        <v>97</v>
      </c>
      <c r="B15" s="777">
        <v>0.0</v>
      </c>
      <c r="C15" s="777">
        <v>0.0</v>
      </c>
      <c r="D15" s="777">
        <v>0.0</v>
      </c>
      <c r="E15" s="777">
        <v>0.0</v>
      </c>
      <c r="F15" s="777">
        <v>0.0</v>
      </c>
      <c r="G15" s="823">
        <v>0.0</v>
      </c>
      <c r="H15" s="777">
        <v>0.0</v>
      </c>
      <c r="I15" s="777">
        <v>0.0</v>
      </c>
      <c r="J15" s="777">
        <v>0.0</v>
      </c>
      <c r="K15" s="777">
        <v>0.0</v>
      </c>
      <c r="L15" s="777">
        <v>0.0</v>
      </c>
      <c r="M15" s="777">
        <v>0.0</v>
      </c>
      <c r="N15" s="777">
        <v>0.0</v>
      </c>
      <c r="O15" s="777">
        <v>0.0</v>
      </c>
      <c r="P15" s="777">
        <v>0.0</v>
      </c>
      <c r="Q15" s="777">
        <v>0.0</v>
      </c>
      <c r="R15" s="777">
        <v>0.0</v>
      </c>
      <c r="S15" s="777">
        <v>0.0</v>
      </c>
      <c r="T15" s="680">
        <v>9.0</v>
      </c>
      <c r="U15" s="680">
        <v>8.1</v>
      </c>
      <c r="V15" s="680">
        <v>105.0</v>
      </c>
      <c r="W15" s="680">
        <v>72.0</v>
      </c>
      <c r="X15" s="680">
        <v>196.5</v>
      </c>
      <c r="Y15" s="680">
        <v>171.6</v>
      </c>
      <c r="Z15" s="680">
        <v>145.5</v>
      </c>
      <c r="AA15" s="680">
        <v>87.0</v>
      </c>
      <c r="AB15" s="680">
        <v>36.0</v>
      </c>
      <c r="AC15" s="680">
        <v>105.0</v>
      </c>
      <c r="AD15" s="680">
        <v>54.0</v>
      </c>
      <c r="AE15" s="680">
        <v>63.0</v>
      </c>
      <c r="AF15" s="777"/>
      <c r="AG15" s="473">
        <f t="shared" si="1"/>
        <v>1052.7</v>
      </c>
      <c r="AH15" s="455"/>
      <c r="AI15" s="38"/>
      <c r="AJ15" s="38"/>
      <c r="AK15" s="38"/>
      <c r="AL15" s="38"/>
      <c r="AM15" s="38"/>
      <c r="AN15" s="38"/>
      <c r="AR15" s="527">
        <f>SUM(AR4:AR14)</f>
        <v>4887.9</v>
      </c>
      <c r="AS15" s="38"/>
      <c r="AT15" s="220">
        <f>SUM(AT4:AT14)</f>
        <v>232.17525</v>
      </c>
    </row>
    <row r="16" ht="29.25" customHeight="1">
      <c r="A16" s="758" t="s">
        <v>99</v>
      </c>
      <c r="B16" s="777">
        <v>0.0</v>
      </c>
      <c r="C16" s="777">
        <v>0.0</v>
      </c>
      <c r="D16" s="777">
        <v>0.0</v>
      </c>
      <c r="E16" s="777">
        <v>0.0</v>
      </c>
      <c r="F16" s="777">
        <v>0.0</v>
      </c>
      <c r="G16" s="823">
        <v>0.0</v>
      </c>
      <c r="H16" s="777">
        <v>0.0</v>
      </c>
      <c r="I16" s="777">
        <v>0.0</v>
      </c>
      <c r="J16" s="777">
        <v>0.0</v>
      </c>
      <c r="K16" s="777">
        <v>0.0</v>
      </c>
      <c r="L16" s="777">
        <v>0.0</v>
      </c>
      <c r="M16" s="777">
        <v>0.0</v>
      </c>
      <c r="N16" s="777">
        <v>0.0</v>
      </c>
      <c r="O16" s="777">
        <v>0.0</v>
      </c>
      <c r="P16" s="777">
        <v>0.0</v>
      </c>
      <c r="Q16" s="777">
        <v>0.0</v>
      </c>
      <c r="R16" s="777">
        <v>0.0</v>
      </c>
      <c r="S16" s="777">
        <v>0.0</v>
      </c>
      <c r="T16" s="777">
        <v>0.0</v>
      </c>
      <c r="U16" s="777">
        <v>0.0</v>
      </c>
      <c r="V16" s="777">
        <v>0.0</v>
      </c>
      <c r="W16" s="777">
        <v>0.0</v>
      </c>
      <c r="X16" s="777">
        <v>0.0</v>
      </c>
      <c r="Y16" s="777">
        <v>0.0</v>
      </c>
      <c r="Z16" s="777">
        <v>0.0</v>
      </c>
      <c r="AA16" s="777">
        <v>0.0</v>
      </c>
      <c r="AB16" s="777">
        <v>0.0</v>
      </c>
      <c r="AC16" s="777">
        <v>1.5</v>
      </c>
      <c r="AD16" s="777">
        <v>0.0</v>
      </c>
      <c r="AE16" s="777">
        <v>0.0</v>
      </c>
      <c r="AF16" s="777"/>
      <c r="AG16" s="473">
        <f t="shared" si="1"/>
        <v>1.5</v>
      </c>
      <c r="AH16" s="455"/>
      <c r="AI16" s="38"/>
      <c r="AJ16" s="38"/>
      <c r="AK16" s="38"/>
      <c r="AL16" s="38"/>
      <c r="AM16" s="38"/>
      <c r="AN16" s="38"/>
    </row>
    <row r="17" ht="29.25" customHeight="1">
      <c r="A17" s="758" t="s">
        <v>100</v>
      </c>
      <c r="B17" s="777">
        <v>0.0</v>
      </c>
      <c r="C17" s="777">
        <v>0.0</v>
      </c>
      <c r="D17" s="777">
        <v>0.0</v>
      </c>
      <c r="E17" s="777">
        <v>0.0</v>
      </c>
      <c r="F17" s="777">
        <v>0.0</v>
      </c>
      <c r="G17" s="823">
        <v>0.0</v>
      </c>
      <c r="H17" s="777">
        <v>0.0</v>
      </c>
      <c r="I17" s="777">
        <v>0.0</v>
      </c>
      <c r="J17" s="777">
        <v>0.0</v>
      </c>
      <c r="K17" s="777">
        <v>0.0</v>
      </c>
      <c r="L17" s="777">
        <v>0.0</v>
      </c>
      <c r="M17" s="777">
        <v>0.0</v>
      </c>
      <c r="N17" s="777">
        <v>0.0</v>
      </c>
      <c r="O17" s="777">
        <v>0.0</v>
      </c>
      <c r="P17" s="777">
        <v>0.0</v>
      </c>
      <c r="Q17" s="777">
        <v>0.0</v>
      </c>
      <c r="R17" s="777">
        <v>0.0</v>
      </c>
      <c r="S17" s="777">
        <v>0.0</v>
      </c>
      <c r="T17" s="777">
        <v>0.0</v>
      </c>
      <c r="U17" s="777">
        <v>0.0</v>
      </c>
      <c r="V17" s="777">
        <v>0.0</v>
      </c>
      <c r="W17" s="777">
        <v>0.0</v>
      </c>
      <c r="X17" s="777">
        <v>0.0</v>
      </c>
      <c r="Y17" s="777">
        <v>0.0</v>
      </c>
      <c r="Z17" s="777">
        <v>0.0</v>
      </c>
      <c r="AA17" s="777">
        <v>0.0</v>
      </c>
      <c r="AB17" s="777">
        <v>0.0</v>
      </c>
      <c r="AC17" s="777">
        <v>0.0</v>
      </c>
      <c r="AD17" s="777">
        <v>0.0</v>
      </c>
      <c r="AE17" s="777">
        <v>0.0</v>
      </c>
      <c r="AF17" s="777"/>
      <c r="AG17" s="473">
        <f t="shared" si="1"/>
        <v>0</v>
      </c>
      <c r="AH17" s="455"/>
      <c r="AI17" s="38"/>
      <c r="AJ17" s="38"/>
      <c r="AK17" s="38"/>
      <c r="AL17" s="38"/>
      <c r="AM17" s="38"/>
      <c r="AN17" s="38"/>
      <c r="AO17" s="38"/>
      <c r="AP17" s="38"/>
      <c r="AQ17" s="38"/>
      <c r="AR17" s="173">
        <v>1.0</v>
      </c>
      <c r="AS17" s="174" t="s">
        <v>16</v>
      </c>
      <c r="AT17" s="173">
        <v>0.05</v>
      </c>
      <c r="AU17" s="456" t="s">
        <v>71</v>
      </c>
      <c r="AV17" s="456" t="s">
        <v>72</v>
      </c>
      <c r="AW17" s="456" t="s">
        <v>73</v>
      </c>
      <c r="AX17" s="246" t="s">
        <v>34</v>
      </c>
    </row>
    <row r="18" ht="29.25" customHeight="1">
      <c r="A18" s="838" t="s">
        <v>124</v>
      </c>
      <c r="B18" s="839">
        <v>36.14</v>
      </c>
      <c r="C18" s="839">
        <v>18.0</v>
      </c>
      <c r="D18" s="839">
        <v>21.26</v>
      </c>
      <c r="E18" s="839">
        <v>0.0</v>
      </c>
      <c r="F18" s="839">
        <v>0.0</v>
      </c>
      <c r="G18" s="855">
        <v>20.84</v>
      </c>
      <c r="H18" s="839">
        <v>36.16</v>
      </c>
      <c r="I18" s="839">
        <v>40.02</v>
      </c>
      <c r="J18" s="839">
        <v>12.0</v>
      </c>
      <c r="K18" s="839">
        <v>30.14</v>
      </c>
      <c r="L18" s="839">
        <v>57.88</v>
      </c>
      <c r="M18" s="839">
        <v>146.4</v>
      </c>
      <c r="N18" s="839">
        <v>48.04</v>
      </c>
      <c r="O18" s="839">
        <v>39.7</v>
      </c>
      <c r="P18" s="839">
        <v>36.34</v>
      </c>
      <c r="Q18" s="839">
        <v>55.32</v>
      </c>
      <c r="R18" s="839">
        <v>37.02</v>
      </c>
      <c r="S18" s="839">
        <v>18.64</v>
      </c>
      <c r="T18" s="839">
        <v>0.0</v>
      </c>
      <c r="U18" s="793">
        <v>24.98</v>
      </c>
      <c r="V18" s="793">
        <v>53.9</v>
      </c>
      <c r="W18" s="793">
        <v>27.18</v>
      </c>
      <c r="X18" s="793">
        <v>31.5</v>
      </c>
      <c r="Y18" s="793">
        <v>55.66</v>
      </c>
      <c r="Z18" s="793">
        <v>6.0</v>
      </c>
      <c r="AA18" s="793">
        <v>95.3</v>
      </c>
      <c r="AB18" s="793">
        <v>27.0</v>
      </c>
      <c r="AC18" s="793">
        <v>16.26</v>
      </c>
      <c r="AD18" s="793">
        <v>9.0</v>
      </c>
      <c r="AE18" s="793">
        <v>31.5</v>
      </c>
      <c r="AF18" s="777"/>
      <c r="AG18" s="473">
        <f t="shared" si="1"/>
        <v>1032.18</v>
      </c>
      <c r="AH18" s="455"/>
      <c r="AI18" s="38"/>
      <c r="AJ18" s="38"/>
      <c r="AK18" s="38"/>
      <c r="AL18" s="38"/>
      <c r="AM18" s="38"/>
      <c r="AN18" s="38"/>
      <c r="AO18" s="544" t="s">
        <v>108</v>
      </c>
      <c r="AP18" s="176"/>
      <c r="AQ18" s="177"/>
      <c r="AR18" s="545">
        <f>SUM(valuesByColor("#ffc4d5", "", B3:AF26))</f>
        <v>67.86</v>
      </c>
      <c r="AS18" s="545">
        <f t="shared" ref="AS18:AS27" si="8">((AR18*(1-0.05))*(1-0.6))+AV18-AX18</f>
        <v>25.7868</v>
      </c>
      <c r="AT18" s="546">
        <f t="shared" ref="AT18:AT27" si="9">(AR18*(1-0.05))*(1-0.95)+AW18</f>
        <v>3.22335</v>
      </c>
      <c r="AU18" s="546"/>
      <c r="AV18" s="546">
        <f t="shared" ref="AV18:AV27" si="10">(AU18*(1-0.05))*(1-0.9)</f>
        <v>0</v>
      </c>
      <c r="AW18" s="546">
        <f t="shared" ref="AW18:AW27" si="11">(AU18*(1-0.05))*(1-0.95)</f>
        <v>0</v>
      </c>
      <c r="AX18" s="547"/>
    </row>
    <row r="19" ht="29.25" customHeight="1">
      <c r="A19" s="758" t="s">
        <v>125</v>
      </c>
      <c r="B19" s="768">
        <v>0.0</v>
      </c>
      <c r="C19" s="768">
        <v>0.0</v>
      </c>
      <c r="D19" s="768">
        <v>0.0</v>
      </c>
      <c r="E19" s="768">
        <v>0.0</v>
      </c>
      <c r="F19" s="768">
        <v>0.0</v>
      </c>
      <c r="G19" s="823">
        <v>0.0</v>
      </c>
      <c r="H19" s="768">
        <v>0.0</v>
      </c>
      <c r="I19" s="768">
        <v>0.0</v>
      </c>
      <c r="J19" s="768">
        <v>0.0</v>
      </c>
      <c r="K19" s="768">
        <v>0.0</v>
      </c>
      <c r="L19" s="768">
        <v>0.0</v>
      </c>
      <c r="M19" s="768">
        <v>0.0</v>
      </c>
      <c r="N19" s="768">
        <v>0.0</v>
      </c>
      <c r="O19" s="768">
        <v>0.0</v>
      </c>
      <c r="P19" s="768">
        <v>0.0</v>
      </c>
      <c r="Q19" s="768">
        <v>0.0</v>
      </c>
      <c r="R19" s="768">
        <v>0.0</v>
      </c>
      <c r="S19" s="768">
        <v>0.0</v>
      </c>
      <c r="T19" s="771">
        <v>12.18</v>
      </c>
      <c r="U19" s="748">
        <v>3.24</v>
      </c>
      <c r="V19" s="748">
        <v>1.74</v>
      </c>
      <c r="W19" s="748">
        <v>3.0</v>
      </c>
      <c r="X19" s="748">
        <v>0.0</v>
      </c>
      <c r="Y19" s="748">
        <v>1.92</v>
      </c>
      <c r="Z19" s="748">
        <v>3.04</v>
      </c>
      <c r="AA19" s="748">
        <v>10.4</v>
      </c>
      <c r="AB19" s="748">
        <v>8.2</v>
      </c>
      <c r="AC19" s="748">
        <v>0.0</v>
      </c>
      <c r="AD19" s="748">
        <v>5.2</v>
      </c>
      <c r="AE19" s="748">
        <v>6.82</v>
      </c>
      <c r="AF19" s="777"/>
      <c r="AG19" s="473">
        <f t="shared" si="1"/>
        <v>55.74</v>
      </c>
      <c r="AH19" s="455"/>
      <c r="AI19" s="38"/>
      <c r="AJ19" s="38"/>
      <c r="AK19" s="38"/>
      <c r="AL19" s="38"/>
      <c r="AM19" s="38"/>
      <c r="AN19" s="38"/>
      <c r="AO19" s="555"/>
      <c r="AP19" s="176"/>
      <c r="AQ19" s="177"/>
      <c r="AR19" s="556">
        <f>SUM(valuesByColor("#636212", "", B3:AF26))</f>
        <v>0</v>
      </c>
      <c r="AS19" s="556">
        <f t="shared" si="8"/>
        <v>0</v>
      </c>
      <c r="AT19" s="557">
        <f t="shared" si="9"/>
        <v>0</v>
      </c>
      <c r="AU19" s="557"/>
      <c r="AV19" s="557">
        <f t="shared" si="10"/>
        <v>0</v>
      </c>
      <c r="AW19" s="557">
        <f t="shared" si="11"/>
        <v>0</v>
      </c>
      <c r="AX19" s="558"/>
    </row>
    <row r="20" ht="29.25" customHeight="1">
      <c r="A20" s="758" t="s">
        <v>126</v>
      </c>
      <c r="B20" s="768">
        <v>0.0</v>
      </c>
      <c r="C20" s="768">
        <v>0.0</v>
      </c>
      <c r="D20" s="768">
        <v>0.0</v>
      </c>
      <c r="E20" s="768">
        <v>0.0</v>
      </c>
      <c r="F20" s="768">
        <v>0.0</v>
      </c>
      <c r="G20" s="823">
        <v>0.0</v>
      </c>
      <c r="H20" s="768">
        <v>0.0</v>
      </c>
      <c r="I20" s="768">
        <v>0.0</v>
      </c>
      <c r="J20" s="768">
        <v>0.0</v>
      </c>
      <c r="K20" s="768">
        <v>0.0</v>
      </c>
      <c r="L20" s="768">
        <v>0.0</v>
      </c>
      <c r="M20" s="768">
        <v>0.0</v>
      </c>
      <c r="N20" s="768">
        <v>0.0</v>
      </c>
      <c r="O20" s="768">
        <v>0.0</v>
      </c>
      <c r="P20" s="768">
        <v>0.0</v>
      </c>
      <c r="Q20" s="768">
        <v>0.0</v>
      </c>
      <c r="R20" s="768">
        <v>0.0</v>
      </c>
      <c r="S20" s="768">
        <v>0.0</v>
      </c>
      <c r="T20" s="768">
        <v>0.0</v>
      </c>
      <c r="U20" s="777">
        <v>0.0</v>
      </c>
      <c r="V20" s="777">
        <v>0.0</v>
      </c>
      <c r="W20" s="777">
        <v>0.0</v>
      </c>
      <c r="X20" s="777">
        <v>0.0</v>
      </c>
      <c r="Y20" s="777">
        <v>0.0</v>
      </c>
      <c r="Z20" s="777">
        <v>0.0</v>
      </c>
      <c r="AA20" s="777">
        <v>0.0</v>
      </c>
      <c r="AB20" s="777">
        <v>0.0</v>
      </c>
      <c r="AC20" s="777">
        <v>0.0</v>
      </c>
      <c r="AD20" s="777">
        <v>0.0</v>
      </c>
      <c r="AE20" s="777">
        <v>0.0</v>
      </c>
      <c r="AF20" s="777"/>
      <c r="AG20" s="473">
        <f t="shared" si="1"/>
        <v>0</v>
      </c>
      <c r="AH20" s="455"/>
      <c r="AI20" s="38"/>
      <c r="AJ20" s="38"/>
      <c r="AK20" s="38"/>
      <c r="AL20" s="38"/>
      <c r="AM20" s="38"/>
      <c r="AN20" s="38"/>
      <c r="AO20" s="563" t="s">
        <v>122</v>
      </c>
      <c r="AP20" s="176"/>
      <c r="AQ20" s="177"/>
      <c r="AR20" s="564">
        <f>SUM(valuesByColor("#00b572", "", B3:AF26))</f>
        <v>77</v>
      </c>
      <c r="AS20" s="564">
        <f t="shared" si="8"/>
        <v>29.26</v>
      </c>
      <c r="AT20" s="565">
        <f t="shared" si="9"/>
        <v>3.6575</v>
      </c>
      <c r="AU20" s="565"/>
      <c r="AV20" s="565">
        <f t="shared" si="10"/>
        <v>0</v>
      </c>
      <c r="AW20" s="565">
        <f t="shared" si="11"/>
        <v>0</v>
      </c>
      <c r="AX20" s="566"/>
    </row>
    <row r="21" ht="29.25" customHeight="1">
      <c r="A21" s="758" t="s">
        <v>127</v>
      </c>
      <c r="B21" s="768">
        <v>0.0</v>
      </c>
      <c r="C21" s="768">
        <v>0.0</v>
      </c>
      <c r="D21" s="768">
        <v>0.0</v>
      </c>
      <c r="E21" s="768">
        <v>0.0</v>
      </c>
      <c r="F21" s="768">
        <v>0.0</v>
      </c>
      <c r="G21" s="823">
        <v>0.0</v>
      </c>
      <c r="H21" s="768">
        <v>0.0</v>
      </c>
      <c r="I21" s="768">
        <v>0.0</v>
      </c>
      <c r="J21" s="768">
        <v>0.0</v>
      </c>
      <c r="K21" s="768">
        <v>0.0</v>
      </c>
      <c r="L21" s="768">
        <v>0.0</v>
      </c>
      <c r="M21" s="768">
        <v>0.0</v>
      </c>
      <c r="N21" s="768">
        <v>0.0</v>
      </c>
      <c r="O21" s="768">
        <v>0.0</v>
      </c>
      <c r="P21" s="768">
        <v>0.0</v>
      </c>
      <c r="Q21" s="768">
        <v>0.0</v>
      </c>
      <c r="R21" s="768">
        <v>0.0</v>
      </c>
      <c r="S21" s="768">
        <v>0.0</v>
      </c>
      <c r="T21" s="768">
        <v>0.0</v>
      </c>
      <c r="U21" s="777">
        <v>0.0</v>
      </c>
      <c r="V21" s="777">
        <v>0.0</v>
      </c>
      <c r="W21" s="777">
        <v>0.0</v>
      </c>
      <c r="X21" s="777">
        <v>0.0</v>
      </c>
      <c r="Y21" s="777">
        <v>0.0</v>
      </c>
      <c r="Z21" s="777">
        <v>0.0</v>
      </c>
      <c r="AA21" s="777">
        <v>0.0</v>
      </c>
      <c r="AB21" s="777">
        <v>0.0</v>
      </c>
      <c r="AC21" s="777">
        <v>0.0</v>
      </c>
      <c r="AD21" s="777">
        <v>0.0</v>
      </c>
      <c r="AE21" s="777">
        <v>0.0</v>
      </c>
      <c r="AF21" s="777"/>
      <c r="AG21" s="473">
        <f t="shared" si="1"/>
        <v>0</v>
      </c>
      <c r="AH21" s="455"/>
      <c r="AI21" s="38"/>
      <c r="AJ21" s="38"/>
      <c r="AK21" s="38"/>
      <c r="AL21" s="38"/>
      <c r="AM21" s="38"/>
      <c r="AN21" s="38"/>
      <c r="AO21" s="575" t="s">
        <v>128</v>
      </c>
      <c r="AP21" s="176"/>
      <c r="AQ21" s="177"/>
      <c r="AR21" s="576">
        <f>SUM(valuesByColor("#7030a0", "", B3:AF26))</f>
        <v>78.86</v>
      </c>
      <c r="AS21" s="576">
        <f t="shared" si="8"/>
        <v>29.9668</v>
      </c>
      <c r="AT21" s="577">
        <f t="shared" si="9"/>
        <v>3.74585</v>
      </c>
      <c r="AU21" s="577"/>
      <c r="AV21" s="577">
        <f t="shared" si="10"/>
        <v>0</v>
      </c>
      <c r="AW21" s="577">
        <f t="shared" si="11"/>
        <v>0</v>
      </c>
      <c r="AX21" s="578"/>
    </row>
    <row r="22" ht="29.25" customHeight="1">
      <c r="A22" s="758" t="s">
        <v>129</v>
      </c>
      <c r="B22" s="768">
        <v>0.0</v>
      </c>
      <c r="C22" s="768">
        <v>0.0</v>
      </c>
      <c r="D22" s="768">
        <v>0.0</v>
      </c>
      <c r="E22" s="768">
        <v>0.0</v>
      </c>
      <c r="F22" s="768">
        <v>0.0</v>
      </c>
      <c r="G22" s="823">
        <v>0.0</v>
      </c>
      <c r="H22" s="768">
        <v>0.0</v>
      </c>
      <c r="I22" s="768">
        <v>0.0</v>
      </c>
      <c r="J22" s="768">
        <v>0.0</v>
      </c>
      <c r="K22" s="768">
        <v>0.0</v>
      </c>
      <c r="L22" s="768">
        <v>0.0</v>
      </c>
      <c r="M22" s="768">
        <v>0.0</v>
      </c>
      <c r="N22" s="768">
        <v>0.0</v>
      </c>
      <c r="O22" s="768">
        <v>0.0</v>
      </c>
      <c r="P22" s="768">
        <v>0.0</v>
      </c>
      <c r="Q22" s="768">
        <v>0.0</v>
      </c>
      <c r="R22" s="768">
        <v>0.0</v>
      </c>
      <c r="S22" s="839">
        <v>75.92</v>
      </c>
      <c r="T22" s="839">
        <v>0.0</v>
      </c>
      <c r="U22" s="793">
        <v>7.5</v>
      </c>
      <c r="V22" s="793">
        <v>36.41</v>
      </c>
      <c r="W22" s="793">
        <v>29.98</v>
      </c>
      <c r="X22" s="793">
        <v>31.5</v>
      </c>
      <c r="Y22" s="793">
        <v>29.2</v>
      </c>
      <c r="Z22" s="793">
        <v>3.0</v>
      </c>
      <c r="AA22" s="793">
        <v>124.74</v>
      </c>
      <c r="AB22" s="793">
        <v>136.32</v>
      </c>
      <c r="AC22" s="793">
        <v>80.29</v>
      </c>
      <c r="AD22" s="793">
        <v>34.85</v>
      </c>
      <c r="AE22" s="793">
        <v>58.64</v>
      </c>
      <c r="AF22" s="777"/>
      <c r="AG22" s="473">
        <f t="shared" si="1"/>
        <v>648.35</v>
      </c>
      <c r="AH22" s="455"/>
      <c r="AI22" s="38"/>
      <c r="AJ22" s="38"/>
      <c r="AK22" s="38"/>
      <c r="AL22" s="38"/>
      <c r="AM22" s="38"/>
      <c r="AN22" s="38"/>
      <c r="AO22" s="580" t="s">
        <v>130</v>
      </c>
      <c r="AP22" s="176"/>
      <c r="AQ22" s="177"/>
      <c r="AR22" s="581">
        <f>SUM(valuesByColor("#9bbb59", "", B4:AF27))</f>
        <v>3</v>
      </c>
      <c r="AS22" s="582">
        <f t="shared" si="8"/>
        <v>1.14</v>
      </c>
      <c r="AT22" s="583">
        <f t="shared" si="9"/>
        <v>0.1425</v>
      </c>
      <c r="AU22" s="584"/>
      <c r="AV22" s="583">
        <f t="shared" si="10"/>
        <v>0</v>
      </c>
      <c r="AW22" s="583">
        <f t="shared" si="11"/>
        <v>0</v>
      </c>
      <c r="AX22" s="585"/>
    </row>
    <row r="23" ht="29.25" customHeight="1">
      <c r="A23" s="758" t="s">
        <v>131</v>
      </c>
      <c r="B23" s="768">
        <v>0.0</v>
      </c>
      <c r="C23" s="768">
        <v>0.0</v>
      </c>
      <c r="D23" s="783">
        <v>7.0</v>
      </c>
      <c r="E23" s="783">
        <v>7.62</v>
      </c>
      <c r="F23" s="783">
        <v>34.86</v>
      </c>
      <c r="G23" s="853">
        <v>10.5</v>
      </c>
      <c r="H23" s="783">
        <v>46.5</v>
      </c>
      <c r="I23" s="783">
        <v>10.5</v>
      </c>
      <c r="J23" s="783">
        <v>16.5</v>
      </c>
      <c r="K23" s="783">
        <v>4.5</v>
      </c>
      <c r="L23" s="783">
        <v>15.12</v>
      </c>
      <c r="M23" s="783">
        <v>12.0</v>
      </c>
      <c r="N23" s="783">
        <v>3.0</v>
      </c>
      <c r="O23" s="783">
        <v>4.5</v>
      </c>
      <c r="P23" s="783">
        <v>3.0</v>
      </c>
      <c r="Q23" s="783">
        <v>21.0</v>
      </c>
      <c r="R23" s="783">
        <v>15.0</v>
      </c>
      <c r="S23" s="783">
        <v>6.12</v>
      </c>
      <c r="T23" s="783">
        <v>15.48</v>
      </c>
      <c r="U23" s="680">
        <v>10.5</v>
      </c>
      <c r="V23" s="680">
        <v>6.36</v>
      </c>
      <c r="W23" s="680">
        <v>1.5</v>
      </c>
      <c r="X23" s="680">
        <v>16.62</v>
      </c>
      <c r="Y23" s="680">
        <v>31.5</v>
      </c>
      <c r="Z23" s="680">
        <v>9.12</v>
      </c>
      <c r="AA23" s="680">
        <v>0.0</v>
      </c>
      <c r="AB23" s="680">
        <v>7.62</v>
      </c>
      <c r="AC23" s="680">
        <v>34.7</v>
      </c>
      <c r="AD23" s="680">
        <v>36.0</v>
      </c>
      <c r="AE23" s="680">
        <v>18.0</v>
      </c>
      <c r="AF23" s="777"/>
      <c r="AG23" s="473">
        <f t="shared" si="1"/>
        <v>405.12</v>
      </c>
      <c r="AH23" s="455"/>
      <c r="AI23" s="38"/>
      <c r="AJ23" s="38"/>
      <c r="AK23" s="38"/>
      <c r="AL23" s="38"/>
      <c r="AM23" s="38"/>
      <c r="AN23" s="38"/>
      <c r="AO23" s="588"/>
      <c r="AP23" s="176"/>
      <c r="AQ23" s="177"/>
      <c r="AR23" s="589"/>
      <c r="AS23" s="590">
        <f t="shared" si="8"/>
        <v>0</v>
      </c>
      <c r="AT23" s="591">
        <f t="shared" si="9"/>
        <v>0</v>
      </c>
      <c r="AU23" s="592"/>
      <c r="AV23" s="591">
        <f t="shared" si="10"/>
        <v>0</v>
      </c>
      <c r="AW23" s="591">
        <f t="shared" si="11"/>
        <v>0</v>
      </c>
      <c r="AX23" s="268"/>
    </row>
    <row r="24" ht="29.25" customHeight="1">
      <c r="A24" s="758" t="s">
        <v>132</v>
      </c>
      <c r="B24" s="768"/>
      <c r="C24" s="768"/>
      <c r="D24" s="768"/>
      <c r="E24" s="768"/>
      <c r="F24" s="768"/>
      <c r="G24" s="823"/>
      <c r="H24" s="768"/>
      <c r="I24" s="768"/>
      <c r="J24" s="768"/>
      <c r="K24" s="768"/>
      <c r="L24" s="768"/>
      <c r="M24" s="768"/>
      <c r="N24" s="768"/>
      <c r="O24" s="768"/>
      <c r="P24" s="768"/>
      <c r="Q24" s="768"/>
      <c r="R24" s="768"/>
      <c r="S24" s="768"/>
      <c r="T24" s="768"/>
      <c r="U24" s="777"/>
      <c r="V24" s="777">
        <v>1.5</v>
      </c>
      <c r="W24" s="777">
        <v>0.0</v>
      </c>
      <c r="X24" s="777">
        <v>0.0</v>
      </c>
      <c r="Y24" s="748">
        <v>1.4</v>
      </c>
      <c r="Z24" s="748">
        <v>7.52</v>
      </c>
      <c r="AA24" s="748">
        <v>8.32</v>
      </c>
      <c r="AB24" s="748">
        <v>20.44</v>
      </c>
      <c r="AC24" s="748">
        <v>2.94</v>
      </c>
      <c r="AD24" s="748">
        <v>7.66</v>
      </c>
      <c r="AE24" s="748">
        <v>4.9</v>
      </c>
      <c r="AF24" s="777"/>
      <c r="AG24" s="473">
        <f t="shared" si="1"/>
        <v>54.68</v>
      </c>
      <c r="AH24" s="455"/>
      <c r="AI24" s="38"/>
      <c r="AJ24" s="38"/>
      <c r="AK24" s="38"/>
      <c r="AL24" s="38"/>
      <c r="AM24" s="38"/>
      <c r="AN24" s="38"/>
      <c r="AO24" s="588"/>
      <c r="AP24" s="176"/>
      <c r="AQ24" s="177"/>
      <c r="AR24" s="589"/>
      <c r="AS24" s="590">
        <f t="shared" si="8"/>
        <v>0</v>
      </c>
      <c r="AT24" s="591">
        <f t="shared" si="9"/>
        <v>0</v>
      </c>
      <c r="AU24" s="592"/>
      <c r="AV24" s="591">
        <f t="shared" si="10"/>
        <v>0</v>
      </c>
      <c r="AW24" s="591">
        <f t="shared" si="11"/>
        <v>0</v>
      </c>
      <c r="AX24" s="270"/>
    </row>
    <row r="25" ht="29.25" customHeight="1">
      <c r="A25" s="758" t="s">
        <v>133</v>
      </c>
      <c r="B25" s="768">
        <v>0.0</v>
      </c>
      <c r="C25" s="768">
        <v>0.0</v>
      </c>
      <c r="D25" s="768">
        <v>0.0</v>
      </c>
      <c r="E25" s="768">
        <v>0.0</v>
      </c>
      <c r="F25" s="768">
        <v>0.0</v>
      </c>
      <c r="G25" s="823">
        <v>0.0</v>
      </c>
      <c r="H25" s="768">
        <v>0.0</v>
      </c>
      <c r="I25" s="768">
        <v>0.0</v>
      </c>
      <c r="J25" s="768">
        <v>0.0</v>
      </c>
      <c r="K25" s="768">
        <v>0.0</v>
      </c>
      <c r="L25" s="768">
        <v>0.0</v>
      </c>
      <c r="M25" s="768">
        <v>0.0</v>
      </c>
      <c r="N25" s="768">
        <v>0.0</v>
      </c>
      <c r="O25" s="768">
        <v>0.0</v>
      </c>
      <c r="P25" s="768">
        <v>0.0</v>
      </c>
      <c r="Q25" s="768">
        <v>0.0</v>
      </c>
      <c r="R25" s="768">
        <v>0.0</v>
      </c>
      <c r="S25" s="768">
        <v>0.0</v>
      </c>
      <c r="T25" s="771">
        <v>7.0</v>
      </c>
      <c r="U25" s="748">
        <v>36.2</v>
      </c>
      <c r="V25" s="748">
        <v>5.2</v>
      </c>
      <c r="W25" s="748">
        <v>0.0</v>
      </c>
      <c r="X25" s="748">
        <v>0.0</v>
      </c>
      <c r="Y25" s="748">
        <v>0.0</v>
      </c>
      <c r="Z25" s="748">
        <v>8.78</v>
      </c>
      <c r="AA25" s="748">
        <v>0.0</v>
      </c>
      <c r="AB25" s="748">
        <v>7.5</v>
      </c>
      <c r="AC25" s="748">
        <v>0.0</v>
      </c>
      <c r="AD25" s="748">
        <v>6.0</v>
      </c>
      <c r="AE25" s="748">
        <v>1.5</v>
      </c>
      <c r="AF25" s="777"/>
      <c r="AG25" s="473">
        <f t="shared" si="1"/>
        <v>72.18</v>
      </c>
      <c r="AH25" s="455"/>
      <c r="AI25" s="38"/>
      <c r="AJ25" s="38"/>
      <c r="AK25" s="38"/>
      <c r="AL25" s="38"/>
      <c r="AM25" s="38"/>
      <c r="AN25" s="38"/>
      <c r="AO25" s="588"/>
      <c r="AP25" s="176"/>
      <c r="AQ25" s="177"/>
      <c r="AR25" s="589"/>
      <c r="AS25" s="590">
        <f t="shared" si="8"/>
        <v>0</v>
      </c>
      <c r="AT25" s="591">
        <f t="shared" si="9"/>
        <v>0</v>
      </c>
      <c r="AU25" s="600"/>
      <c r="AV25" s="591">
        <f t="shared" si="10"/>
        <v>0</v>
      </c>
      <c r="AW25" s="591">
        <f t="shared" si="11"/>
        <v>0</v>
      </c>
      <c r="AX25" s="274"/>
    </row>
    <row r="26" ht="29.25" customHeight="1">
      <c r="A26" s="758" t="s">
        <v>112</v>
      </c>
      <c r="B26" s="768">
        <v>0.0</v>
      </c>
      <c r="C26" s="768">
        <v>0.0</v>
      </c>
      <c r="D26" s="768">
        <v>0.0</v>
      </c>
      <c r="E26" s="768">
        <v>0.0</v>
      </c>
      <c r="F26" s="768">
        <v>0.0</v>
      </c>
      <c r="G26" s="823">
        <v>0.0</v>
      </c>
      <c r="H26" s="768">
        <v>0.0</v>
      </c>
      <c r="I26" s="768">
        <v>0.0</v>
      </c>
      <c r="J26" s="768">
        <v>0.0</v>
      </c>
      <c r="K26" s="768">
        <v>0.0</v>
      </c>
      <c r="L26" s="768">
        <v>0.0</v>
      </c>
      <c r="M26" s="780">
        <v>1.5</v>
      </c>
      <c r="N26" s="768">
        <v>0.0</v>
      </c>
      <c r="O26" s="768">
        <v>0.0</v>
      </c>
      <c r="P26" s="768">
        <v>0.0</v>
      </c>
      <c r="Q26" s="780">
        <v>0.12</v>
      </c>
      <c r="R26" s="780">
        <v>1.5</v>
      </c>
      <c r="S26" s="780">
        <v>4.62</v>
      </c>
      <c r="T26" s="780">
        <v>16.62</v>
      </c>
      <c r="U26" s="749">
        <v>13.5</v>
      </c>
      <c r="V26" s="749">
        <v>10.5</v>
      </c>
      <c r="W26" s="856">
        <v>1.5</v>
      </c>
      <c r="X26" s="856">
        <v>0.0</v>
      </c>
      <c r="Y26" s="856">
        <v>0.0</v>
      </c>
      <c r="Z26" s="856">
        <v>1.5</v>
      </c>
      <c r="AA26" s="777">
        <v>0.0</v>
      </c>
      <c r="AB26" s="777">
        <v>0.0</v>
      </c>
      <c r="AC26" s="777">
        <v>0.0</v>
      </c>
      <c r="AD26" s="777">
        <v>0.0</v>
      </c>
      <c r="AE26" s="777">
        <v>0.0</v>
      </c>
      <c r="AF26" s="777"/>
      <c r="AG26" s="473">
        <f t="shared" si="1"/>
        <v>51.36</v>
      </c>
      <c r="AH26" s="455"/>
      <c r="AI26" s="38"/>
      <c r="AJ26" s="38"/>
      <c r="AK26" s="38"/>
      <c r="AL26" s="38"/>
      <c r="AM26" s="38"/>
      <c r="AN26" s="38"/>
      <c r="AO26" s="588"/>
      <c r="AP26" s="176"/>
      <c r="AQ26" s="177"/>
      <c r="AR26" s="589"/>
      <c r="AS26" s="590">
        <f t="shared" si="8"/>
        <v>0</v>
      </c>
      <c r="AT26" s="591">
        <f t="shared" si="9"/>
        <v>0</v>
      </c>
      <c r="AU26" s="600"/>
      <c r="AV26" s="591">
        <f t="shared" si="10"/>
        <v>0</v>
      </c>
      <c r="AW26" s="591">
        <f t="shared" si="11"/>
        <v>0</v>
      </c>
      <c r="AX26" s="280"/>
    </row>
    <row r="27" ht="24.75" customHeight="1">
      <c r="A27" s="47" t="s">
        <v>14</v>
      </c>
      <c r="B27" s="167">
        <f t="shared" ref="B27:AF27" si="12">SUM(B15:B26,B3:B13,B14)</f>
        <v>69.5</v>
      </c>
      <c r="C27" s="167">
        <f t="shared" si="12"/>
        <v>105.92</v>
      </c>
      <c r="D27" s="167">
        <f t="shared" si="12"/>
        <v>167.52</v>
      </c>
      <c r="E27" s="167">
        <f t="shared" si="12"/>
        <v>95.22</v>
      </c>
      <c r="F27" s="167">
        <f t="shared" si="12"/>
        <v>115.96</v>
      </c>
      <c r="G27" s="167">
        <f t="shared" si="12"/>
        <v>96</v>
      </c>
      <c r="H27" s="167">
        <f t="shared" si="12"/>
        <v>221.92</v>
      </c>
      <c r="I27" s="167">
        <f t="shared" si="12"/>
        <v>135.7</v>
      </c>
      <c r="J27" s="167">
        <f t="shared" si="12"/>
        <v>94.98</v>
      </c>
      <c r="K27" s="167">
        <f t="shared" si="12"/>
        <v>78.48</v>
      </c>
      <c r="L27" s="167">
        <f t="shared" si="12"/>
        <v>233.64</v>
      </c>
      <c r="M27" s="167">
        <f t="shared" si="12"/>
        <v>270.42</v>
      </c>
      <c r="N27" s="167">
        <f t="shared" si="12"/>
        <v>129.5</v>
      </c>
      <c r="O27" s="167">
        <f t="shared" si="12"/>
        <v>105.22</v>
      </c>
      <c r="P27" s="167">
        <f t="shared" si="12"/>
        <v>83.94</v>
      </c>
      <c r="Q27" s="167">
        <f t="shared" si="12"/>
        <v>117.34</v>
      </c>
      <c r="R27" s="167">
        <f t="shared" si="12"/>
        <v>134.32</v>
      </c>
      <c r="S27" s="167">
        <f t="shared" si="12"/>
        <v>151.14</v>
      </c>
      <c r="T27" s="167">
        <f t="shared" si="12"/>
        <v>138.35</v>
      </c>
      <c r="U27" s="167">
        <f t="shared" si="12"/>
        <v>143.78</v>
      </c>
      <c r="V27" s="167">
        <f t="shared" si="12"/>
        <v>264.43</v>
      </c>
      <c r="W27" s="167">
        <f t="shared" si="12"/>
        <v>207</v>
      </c>
      <c r="X27" s="167">
        <f t="shared" si="12"/>
        <v>319.38</v>
      </c>
      <c r="Y27" s="167">
        <f t="shared" si="12"/>
        <v>379.18</v>
      </c>
      <c r="Z27" s="167">
        <f t="shared" si="12"/>
        <v>225.32</v>
      </c>
      <c r="AA27" s="167">
        <f t="shared" si="12"/>
        <v>441.28</v>
      </c>
      <c r="AB27" s="167">
        <f t="shared" si="12"/>
        <v>320.48</v>
      </c>
      <c r="AC27" s="167">
        <f t="shared" si="12"/>
        <v>290.75</v>
      </c>
      <c r="AD27" s="167">
        <f t="shared" si="12"/>
        <v>222.07</v>
      </c>
      <c r="AE27" s="167">
        <f t="shared" si="12"/>
        <v>268.44</v>
      </c>
      <c r="AF27" s="857">
        <f t="shared" si="12"/>
        <v>0</v>
      </c>
      <c r="AG27" s="38"/>
      <c r="AH27" s="58"/>
      <c r="AI27" s="38"/>
      <c r="AJ27" s="38"/>
      <c r="AK27" s="38"/>
      <c r="AL27" s="38"/>
      <c r="AM27" s="38"/>
      <c r="AN27" s="38"/>
      <c r="AO27" s="588"/>
      <c r="AP27" s="176"/>
      <c r="AQ27" s="177"/>
      <c r="AR27" s="589"/>
      <c r="AS27" s="590">
        <f t="shared" si="8"/>
        <v>0</v>
      </c>
      <c r="AT27" s="591">
        <f t="shared" si="9"/>
        <v>0</v>
      </c>
      <c r="AU27" s="600"/>
      <c r="AV27" s="591">
        <f t="shared" si="10"/>
        <v>0</v>
      </c>
      <c r="AW27" s="591">
        <f t="shared" si="11"/>
        <v>0</v>
      </c>
      <c r="AX27" s="387"/>
    </row>
    <row r="28" ht="15.75" customHeight="1">
      <c r="A28" s="630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1"/>
      <c r="O28" s="631"/>
      <c r="P28" s="631"/>
      <c r="Q28" s="631"/>
      <c r="R28" s="631"/>
      <c r="S28" s="631"/>
      <c r="T28" s="631"/>
      <c r="U28" s="631"/>
      <c r="V28" s="631"/>
      <c r="W28" s="631"/>
      <c r="X28" s="631"/>
      <c r="Y28" s="631"/>
      <c r="Z28" s="631"/>
      <c r="AA28" s="631"/>
      <c r="AB28" s="631"/>
      <c r="AC28" s="631"/>
      <c r="AD28" s="631"/>
      <c r="AE28" s="631"/>
      <c r="AF28" s="632"/>
      <c r="AG28" s="38"/>
      <c r="AH28" s="58"/>
      <c r="AI28" s="38"/>
      <c r="AJ28" s="38"/>
      <c r="AK28" s="38"/>
      <c r="AL28" s="38"/>
      <c r="AM28" s="38"/>
      <c r="AN28" s="38"/>
      <c r="AR28" s="220">
        <f>SUM(AR18:AR27)</f>
        <v>226.72</v>
      </c>
      <c r="AS28" s="38"/>
      <c r="AT28" s="220">
        <f>SUM(AT18:AT27)</f>
        <v>10.7692</v>
      </c>
    </row>
    <row r="29" ht="14.25" customHeight="1">
      <c r="A29" s="38"/>
      <c r="B29" s="38"/>
      <c r="C29" s="38"/>
      <c r="D29" s="38"/>
      <c r="E29" s="633"/>
      <c r="F29" s="633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58"/>
      <c r="AI29" s="38"/>
      <c r="AJ29" s="38"/>
      <c r="AK29" s="38"/>
      <c r="AL29" s="38"/>
      <c r="AM29" s="38"/>
      <c r="AN29" s="38"/>
    </row>
    <row r="30" ht="15.75" customHeight="1">
      <c r="A30" s="38"/>
      <c r="B30" s="38"/>
      <c r="C30" s="38"/>
      <c r="D30" s="38"/>
      <c r="E30" s="633"/>
      <c r="F30" s="633"/>
      <c r="AG30" s="49"/>
      <c r="AH30" s="8"/>
      <c r="AO30" s="226"/>
      <c r="AP30" s="226"/>
    </row>
    <row r="31" ht="15.75" customHeight="1">
      <c r="A31" s="38"/>
      <c r="B31" s="38"/>
      <c r="C31" s="38"/>
      <c r="D31" s="38"/>
      <c r="E31" s="38"/>
      <c r="F31" s="633"/>
      <c r="G31" s="428"/>
      <c r="AG31" s="49"/>
      <c r="AH31" s="8"/>
      <c r="AO31" s="226"/>
      <c r="AP31" s="226"/>
    </row>
    <row r="32" ht="15.75" customHeight="1">
      <c r="A32" s="38"/>
      <c r="B32" s="38"/>
      <c r="C32" s="38"/>
      <c r="D32" s="428"/>
      <c r="E32" s="38"/>
      <c r="AG32" s="49"/>
      <c r="AH32" s="8"/>
    </row>
    <row r="33" ht="15.75" customHeight="1">
      <c r="A33" s="38"/>
      <c r="B33" s="38"/>
      <c r="C33" s="38"/>
      <c r="D33" s="38"/>
      <c r="E33" s="38"/>
      <c r="AG33" s="49"/>
      <c r="AH33" s="8"/>
    </row>
    <row r="34" ht="15.75" customHeight="1">
      <c r="A34" s="38"/>
      <c r="B34" s="38"/>
      <c r="C34" s="38"/>
      <c r="D34" s="38"/>
      <c r="E34" s="38"/>
      <c r="AG34" s="49"/>
      <c r="AH34" s="8"/>
    </row>
    <row r="35" ht="15.75" customHeight="1">
      <c r="A35" s="38"/>
      <c r="B35" s="428"/>
      <c r="C35" s="38"/>
      <c r="D35" s="38"/>
      <c r="E35" s="38"/>
      <c r="AG35" s="49"/>
      <c r="AH35" s="8"/>
    </row>
    <row r="36" ht="15.75" customHeight="1">
      <c r="A36" s="38"/>
      <c r="B36" s="38"/>
      <c r="C36" s="58"/>
      <c r="D36" s="38"/>
      <c r="E36" s="38"/>
      <c r="F36" s="58"/>
      <c r="AG36" s="49"/>
      <c r="AH36" s="8"/>
    </row>
    <row r="37" ht="15.75" customHeight="1">
      <c r="B37" s="428"/>
      <c r="D37" s="428"/>
      <c r="AG37" s="49"/>
      <c r="AH37" s="8"/>
    </row>
    <row r="38" ht="15.75" customHeight="1">
      <c r="B38" s="428"/>
      <c r="AG38" s="49"/>
      <c r="AH38" s="8"/>
    </row>
    <row r="39" ht="15.75" customHeight="1">
      <c r="AG39" s="49"/>
      <c r="AH39" s="8"/>
    </row>
    <row r="40" ht="15.75" customHeight="1">
      <c r="AG40" s="49"/>
      <c r="AH40" s="8"/>
    </row>
    <row r="41" ht="15.75" customHeight="1">
      <c r="A41" s="38"/>
      <c r="R41" s="38"/>
      <c r="AG41" s="49"/>
      <c r="AH41" s="8"/>
    </row>
    <row r="42" ht="15.75" customHeight="1">
      <c r="A42" s="38"/>
      <c r="R42" s="38"/>
      <c r="AG42" s="49"/>
      <c r="AH42" s="8"/>
    </row>
    <row r="43" ht="15.75" customHeight="1">
      <c r="A43" s="38"/>
      <c r="B43" s="428"/>
      <c r="R43" s="38"/>
      <c r="AG43" s="49"/>
      <c r="AH43" s="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M44" s="38"/>
      <c r="N44" s="38"/>
      <c r="O44" s="38"/>
      <c r="P44" s="38"/>
      <c r="Q44" s="38"/>
      <c r="R44" s="38"/>
      <c r="AG44" s="49"/>
      <c r="AH44" s="8"/>
    </row>
    <row r="45" ht="15.75" customHeight="1">
      <c r="A45" s="634"/>
      <c r="B45" s="635"/>
      <c r="C45" s="636"/>
      <c r="D45" s="636"/>
      <c r="E45" s="636"/>
      <c r="F45" s="636"/>
      <c r="G45" s="636"/>
      <c r="H45" s="636"/>
      <c r="M45" s="38"/>
      <c r="N45" s="635"/>
      <c r="O45" s="38"/>
      <c r="P45" s="635"/>
      <c r="Q45" s="635"/>
      <c r="R45" s="38"/>
      <c r="AG45" s="49"/>
      <c r="AH45" s="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M46" s="38"/>
      <c r="N46" s="38"/>
      <c r="O46" s="38"/>
      <c r="P46" s="38"/>
      <c r="Q46" s="38"/>
      <c r="R46" s="38"/>
      <c r="AG46" s="49"/>
      <c r="AH46" s="8"/>
      <c r="AP46" s="38"/>
      <c r="AQ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M47" s="38"/>
      <c r="N47" s="38"/>
      <c r="O47" s="38"/>
      <c r="P47" s="38"/>
      <c r="Q47" s="38"/>
      <c r="R47" s="38"/>
      <c r="AG47" s="49"/>
      <c r="AH47" s="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M48" s="38"/>
      <c r="N48" s="38"/>
      <c r="O48" s="38"/>
      <c r="P48" s="38"/>
      <c r="Q48" s="38"/>
      <c r="R48" s="38"/>
      <c r="AG48" s="49"/>
      <c r="AH48" s="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M49" s="38"/>
      <c r="N49" s="38"/>
      <c r="O49" s="38"/>
      <c r="P49" s="38"/>
      <c r="Q49" s="38"/>
      <c r="R49" s="38"/>
      <c r="AG49" s="49"/>
      <c r="AH49" s="8"/>
    </row>
    <row r="50" ht="15.75" customHeight="1">
      <c r="A50" s="38"/>
      <c r="B50" s="38"/>
      <c r="C50" s="796"/>
      <c r="D50" s="797"/>
      <c r="E50" s="38"/>
      <c r="F50" s="38"/>
      <c r="G50" s="38"/>
      <c r="H50" s="38"/>
      <c r="M50" s="38"/>
      <c r="N50" s="38"/>
      <c r="O50" s="38"/>
      <c r="P50" s="38"/>
      <c r="Q50" s="38"/>
      <c r="R50" s="38"/>
      <c r="AG50" s="49"/>
      <c r="AH50" s="8"/>
    </row>
    <row r="51" ht="15.75" customHeight="1">
      <c r="A51" s="38"/>
      <c r="B51" s="38"/>
      <c r="C51" s="796"/>
      <c r="D51" s="797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</row>
    <row r="52" ht="15.75" customHeight="1">
      <c r="A52" s="38"/>
      <c r="B52" s="38"/>
      <c r="C52" s="796"/>
      <c r="D52" s="797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</row>
    <row r="53" ht="15.75" customHeight="1">
      <c r="A53" s="38"/>
      <c r="B53" s="38"/>
      <c r="C53" s="796"/>
      <c r="D53" s="797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</row>
    <row r="54" ht="15.75" customHeight="1">
      <c r="A54" s="38"/>
      <c r="B54" s="38"/>
      <c r="C54" s="796"/>
      <c r="D54" s="797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38"/>
      <c r="B55" s="38"/>
      <c r="C55" s="796"/>
      <c r="D55" s="797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C56" s="796"/>
      <c r="D56" s="797"/>
      <c r="AG56" s="49"/>
      <c r="AH56" s="8"/>
    </row>
    <row r="57" ht="15.75" customHeight="1">
      <c r="C57" s="796"/>
      <c r="D57" s="797"/>
      <c r="AG57" s="49"/>
      <c r="AH57" s="8"/>
    </row>
    <row r="58" ht="15.75" customHeight="1">
      <c r="C58" s="796"/>
      <c r="D58" s="797"/>
      <c r="AG58" s="49"/>
      <c r="AH58" s="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  <c r="AP97" s="3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O4:AQ4"/>
    <mergeCell ref="AO5:AQ5"/>
    <mergeCell ref="AO6:AQ6"/>
    <mergeCell ref="AO7:AQ7"/>
    <mergeCell ref="AO8:AQ8"/>
    <mergeCell ref="AO9:AQ9"/>
    <mergeCell ref="AO10:AQ10"/>
    <mergeCell ref="AO11:AQ11"/>
    <mergeCell ref="AO12:AQ12"/>
    <mergeCell ref="AO13:AQ13"/>
    <mergeCell ref="AO14:AQ14"/>
    <mergeCell ref="AO18:AQ18"/>
    <mergeCell ref="AO19:AQ19"/>
    <mergeCell ref="AO20:AQ20"/>
    <mergeCell ref="I41:I43"/>
    <mergeCell ref="I44:I46"/>
    <mergeCell ref="I47:I49"/>
    <mergeCell ref="I50:I52"/>
    <mergeCell ref="I53:I55"/>
    <mergeCell ref="AO21:AQ21"/>
    <mergeCell ref="AO22:AQ22"/>
    <mergeCell ref="AO23:AQ23"/>
    <mergeCell ref="AO24:AQ24"/>
    <mergeCell ref="AO25:AQ25"/>
    <mergeCell ref="AO26:AQ26"/>
    <mergeCell ref="AO27:AQ27"/>
  </mergeCells>
  <conditionalFormatting sqref="A28:AN29 AO29:AX29 AY28:BM29">
    <cfRule type="notContainsBlanks" dxfId="0" priority="1">
      <formula>LEN(TRIM(A28))&gt;0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1" width="18.71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745"/>
      <c r="AZ1" s="226"/>
      <c r="BA1" s="226"/>
      <c r="BB1" s="226"/>
      <c r="BC1" s="226"/>
      <c r="BD1" s="226"/>
      <c r="BE1" s="226"/>
      <c r="BF1" s="226"/>
      <c r="BG1" s="745"/>
      <c r="BH1" s="226"/>
      <c r="BI1" s="226"/>
      <c r="BJ1" s="746"/>
      <c r="BK1" s="226"/>
      <c r="BL1" s="226"/>
      <c r="BM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SUM(AG3:AG30,AV4:AV14,AV17:AV26)</f>
        <v>7423.37</v>
      </c>
      <c r="AH2" s="58"/>
      <c r="AI2" s="38"/>
    </row>
    <row r="3" ht="31.5" customHeight="1">
      <c r="A3" s="758" t="s">
        <v>5</v>
      </c>
      <c r="B3" s="841">
        <v>0.0</v>
      </c>
      <c r="C3" s="842">
        <v>9.0</v>
      </c>
      <c r="D3" s="843">
        <v>13.5</v>
      </c>
      <c r="E3" s="844">
        <v>8.58</v>
      </c>
      <c r="F3" s="807">
        <v>8.56</v>
      </c>
      <c r="G3" s="820">
        <v>21.0</v>
      </c>
      <c r="H3" s="807">
        <v>0.0</v>
      </c>
      <c r="I3" s="807">
        <v>4.5</v>
      </c>
      <c r="J3" s="807">
        <v>19.18</v>
      </c>
      <c r="K3" s="807">
        <v>4.5</v>
      </c>
      <c r="L3" s="807">
        <v>16.5</v>
      </c>
      <c r="M3" s="807">
        <v>20.56</v>
      </c>
      <c r="N3" s="807">
        <v>12.56</v>
      </c>
      <c r="O3" s="807">
        <v>30.68</v>
      </c>
      <c r="P3" s="807">
        <v>10.62</v>
      </c>
      <c r="Q3" s="807">
        <v>9.12</v>
      </c>
      <c r="R3" s="807">
        <v>3.0</v>
      </c>
      <c r="S3" s="807">
        <v>6.0</v>
      </c>
      <c r="T3" s="807">
        <v>15.2</v>
      </c>
      <c r="U3" s="807">
        <v>9.56</v>
      </c>
      <c r="V3" s="807">
        <v>3.46</v>
      </c>
      <c r="W3" s="807">
        <v>9.0</v>
      </c>
      <c r="X3" s="807">
        <v>9.0</v>
      </c>
      <c r="Y3" s="807">
        <v>27.88</v>
      </c>
      <c r="Z3" s="807">
        <v>3.0</v>
      </c>
      <c r="AA3" s="807">
        <v>13.5</v>
      </c>
      <c r="AB3" s="807">
        <v>6.0</v>
      </c>
      <c r="AC3" s="807">
        <v>3.0</v>
      </c>
      <c r="AD3" s="807">
        <v>4.5</v>
      </c>
      <c r="AE3" s="807">
        <v>0.0</v>
      </c>
      <c r="AF3" s="807">
        <v>10.64</v>
      </c>
      <c r="AG3" s="751">
        <f t="shared" ref="AG3:AG30" si="1">SUM(B3:AF3)</f>
        <v>312.6</v>
      </c>
      <c r="AH3" s="455"/>
      <c r="AI3" s="38"/>
      <c r="AP3" s="38"/>
      <c r="AQ3" s="38"/>
      <c r="AR3" s="38"/>
      <c r="AS3" s="173">
        <v>1.0</v>
      </c>
      <c r="AT3" s="174" t="s">
        <v>16</v>
      </c>
      <c r="AU3" s="173">
        <v>0.05</v>
      </c>
      <c r="AV3" s="456" t="s">
        <v>71</v>
      </c>
      <c r="AW3" s="456" t="s">
        <v>72</v>
      </c>
      <c r="AX3" s="456" t="s">
        <v>73</v>
      </c>
      <c r="AY3" s="246" t="s">
        <v>34</v>
      </c>
    </row>
    <row r="4" ht="40.5" customHeight="1">
      <c r="A4" s="764" t="s">
        <v>6</v>
      </c>
      <c r="B4" s="845">
        <v>21.0</v>
      </c>
      <c r="C4" s="845">
        <v>21.12</v>
      </c>
      <c r="D4" s="846">
        <v>9.48</v>
      </c>
      <c r="E4" s="846">
        <v>10.5</v>
      </c>
      <c r="F4" s="846">
        <v>3.0</v>
      </c>
      <c r="G4" s="847">
        <v>4.5</v>
      </c>
      <c r="H4" s="846">
        <v>13.5</v>
      </c>
      <c r="I4" s="846">
        <v>13.5</v>
      </c>
      <c r="J4" s="846">
        <v>79.5</v>
      </c>
      <c r="K4" s="846">
        <v>18.0</v>
      </c>
      <c r="L4" s="848">
        <v>16.5</v>
      </c>
      <c r="M4" s="846">
        <v>13.62</v>
      </c>
      <c r="N4" s="846">
        <v>16.5</v>
      </c>
      <c r="O4" s="846">
        <v>0.0</v>
      </c>
      <c r="P4" s="846">
        <v>13.5</v>
      </c>
      <c r="Q4" s="846">
        <v>12.24</v>
      </c>
      <c r="R4" s="846">
        <v>9.0</v>
      </c>
      <c r="S4" s="846">
        <v>18.12</v>
      </c>
      <c r="T4" s="846">
        <v>6.0</v>
      </c>
      <c r="U4" s="846">
        <v>13.5</v>
      </c>
      <c r="V4" s="846">
        <v>6.24</v>
      </c>
      <c r="W4" s="846">
        <v>10.62</v>
      </c>
      <c r="X4" s="846">
        <v>1.5</v>
      </c>
      <c r="Y4" s="846">
        <v>12.12</v>
      </c>
      <c r="Z4" s="846">
        <v>18.0</v>
      </c>
      <c r="AA4" s="846">
        <v>1.62</v>
      </c>
      <c r="AB4" s="846">
        <v>15.12</v>
      </c>
      <c r="AC4" s="846">
        <v>4.0</v>
      </c>
      <c r="AD4" s="846">
        <v>25.5</v>
      </c>
      <c r="AE4" s="846">
        <v>9.12</v>
      </c>
      <c r="AF4" s="846">
        <v>0.0</v>
      </c>
      <c r="AG4" s="751">
        <f t="shared" si="1"/>
        <v>416.92</v>
      </c>
      <c r="AH4" s="487"/>
      <c r="AI4" s="38"/>
      <c r="AJ4" s="38"/>
      <c r="AP4" s="344" t="s">
        <v>120</v>
      </c>
      <c r="AQ4" s="176"/>
      <c r="AR4" s="177"/>
      <c r="AS4" s="464">
        <f>SUM(valuesByColor("#980000", "", B3:AF30))</f>
        <v>485.86</v>
      </c>
      <c r="AT4" s="345">
        <f t="shared" ref="AT4:AT14" si="2">((AS4*(1-0.05))*(1-0.6))+AW4-AY4</f>
        <v>184.6268</v>
      </c>
      <c r="AU4" s="346">
        <f t="shared" ref="AU4:AU14" si="3">(AS4*(1-0.05))*(1-0.95)+AX4</f>
        <v>23.07835</v>
      </c>
      <c r="AV4" s="346"/>
      <c r="AW4" s="346">
        <f t="shared" ref="AW4:AW10" si="4">(AV4*(1-0.05))*(1-0.9)</f>
        <v>0</v>
      </c>
      <c r="AX4" s="346">
        <f t="shared" ref="AX4:AX10" si="5">(AV4*(1-0.05))*(1-0.95)</f>
        <v>0</v>
      </c>
      <c r="AY4" s="347"/>
    </row>
    <row r="5" ht="27.0" customHeight="1">
      <c r="A5" s="773" t="s">
        <v>134</v>
      </c>
      <c r="B5" s="846"/>
      <c r="C5" s="846"/>
      <c r="D5" s="846"/>
      <c r="E5" s="846">
        <v>7.0</v>
      </c>
      <c r="F5" s="846">
        <v>0.0</v>
      </c>
      <c r="G5" s="847">
        <v>0.12</v>
      </c>
      <c r="H5" s="846">
        <v>30.0</v>
      </c>
      <c r="I5" s="846">
        <v>15.0</v>
      </c>
      <c r="J5" s="846">
        <v>72.0</v>
      </c>
      <c r="K5" s="846">
        <v>18.12</v>
      </c>
      <c r="L5" s="848">
        <v>6.0</v>
      </c>
      <c r="M5" s="846">
        <v>0.0</v>
      </c>
      <c r="N5" s="846">
        <v>16.98</v>
      </c>
      <c r="O5" s="846">
        <v>0.0</v>
      </c>
      <c r="P5" s="846">
        <v>9.36</v>
      </c>
      <c r="Q5" s="846">
        <v>4.5</v>
      </c>
      <c r="R5" s="846">
        <v>9.0</v>
      </c>
      <c r="S5" s="846">
        <v>6.0</v>
      </c>
      <c r="T5" s="846">
        <v>6.24</v>
      </c>
      <c r="U5" s="858">
        <v>6.0</v>
      </c>
      <c r="V5" s="858">
        <v>19.74</v>
      </c>
      <c r="W5" s="858">
        <v>6.24</v>
      </c>
      <c r="X5" s="858">
        <v>4.62</v>
      </c>
      <c r="Y5" s="858">
        <v>4.5</v>
      </c>
      <c r="Z5" s="858">
        <v>3.12</v>
      </c>
      <c r="AA5" s="858">
        <v>6.0</v>
      </c>
      <c r="AB5" s="858">
        <v>54.48</v>
      </c>
      <c r="AC5" s="858">
        <v>21.0</v>
      </c>
      <c r="AD5" s="858">
        <v>3.0</v>
      </c>
      <c r="AE5" s="858">
        <v>0.0</v>
      </c>
      <c r="AF5" s="858">
        <v>0.0</v>
      </c>
      <c r="AG5" s="751">
        <f t="shared" si="1"/>
        <v>329.02</v>
      </c>
      <c r="AH5" s="487"/>
      <c r="AI5" s="38"/>
      <c r="AJ5" s="38"/>
      <c r="AP5" s="175" t="s">
        <v>102</v>
      </c>
      <c r="AQ5" s="176"/>
      <c r="AR5" s="177"/>
      <c r="AS5" s="467">
        <f>SUM(valuesByColor("yellow", "", B3:AF30))</f>
        <v>1922.9</v>
      </c>
      <c r="AT5" s="178">
        <f t="shared" si="2"/>
        <v>730.702</v>
      </c>
      <c r="AU5" s="248">
        <f t="shared" si="3"/>
        <v>91.33775</v>
      </c>
      <c r="AV5" s="248"/>
      <c r="AW5" s="248">
        <f t="shared" si="4"/>
        <v>0</v>
      </c>
      <c r="AX5" s="248">
        <f t="shared" si="5"/>
        <v>0</v>
      </c>
      <c r="AY5" s="249"/>
    </row>
    <row r="6" ht="27.0" customHeight="1">
      <c r="A6" s="773" t="s">
        <v>3</v>
      </c>
      <c r="B6" s="771">
        <v>0.98</v>
      </c>
      <c r="C6" s="771">
        <v>9.0</v>
      </c>
      <c r="D6" s="771">
        <v>23.06</v>
      </c>
      <c r="E6" s="771">
        <v>1.5</v>
      </c>
      <c r="F6" s="771">
        <v>28.76</v>
      </c>
      <c r="G6" s="849">
        <v>36.61</v>
      </c>
      <c r="H6" s="771">
        <v>11.52</v>
      </c>
      <c r="I6" s="771">
        <v>6.0</v>
      </c>
      <c r="J6" s="771">
        <v>31.8</v>
      </c>
      <c r="K6" s="771">
        <v>0.0</v>
      </c>
      <c r="L6" s="771">
        <v>1.5</v>
      </c>
      <c r="M6" s="771">
        <v>13.58</v>
      </c>
      <c r="N6" s="771">
        <v>4.5</v>
      </c>
      <c r="O6" s="771">
        <v>32.06</v>
      </c>
      <c r="P6" s="771">
        <v>23.62</v>
      </c>
      <c r="Q6" s="771">
        <v>24.03</v>
      </c>
      <c r="R6" s="771">
        <v>10.18</v>
      </c>
      <c r="S6" s="771">
        <v>20.7</v>
      </c>
      <c r="T6" s="771">
        <v>19.8</v>
      </c>
      <c r="U6" s="748">
        <v>10.5</v>
      </c>
      <c r="V6" s="748">
        <v>40.2</v>
      </c>
      <c r="W6" s="748">
        <v>15.1</v>
      </c>
      <c r="X6" s="748">
        <v>29.92</v>
      </c>
      <c r="Y6" s="748">
        <v>0.0</v>
      </c>
      <c r="Z6" s="748">
        <v>0.0</v>
      </c>
      <c r="AA6" s="748">
        <v>0.0</v>
      </c>
      <c r="AB6" s="748">
        <v>20.3</v>
      </c>
      <c r="AC6" s="748">
        <v>0.0</v>
      </c>
      <c r="AD6" s="748">
        <v>0.0</v>
      </c>
      <c r="AE6" s="748">
        <v>0.0</v>
      </c>
      <c r="AF6" s="748">
        <v>118.15</v>
      </c>
      <c r="AG6" s="751">
        <f t="shared" si="1"/>
        <v>533.37</v>
      </c>
      <c r="AH6" s="487"/>
      <c r="AI6" s="38"/>
      <c r="AJ6" s="38"/>
      <c r="AP6" s="252"/>
      <c r="AQ6" s="176"/>
      <c r="AR6" s="177"/>
      <c r="AS6" s="474">
        <f>SUM(valuesByColor("cyan", "", B3:AF30))</f>
        <v>0</v>
      </c>
      <c r="AT6" s="253">
        <f t="shared" si="2"/>
        <v>0</v>
      </c>
      <c r="AU6" s="254">
        <f t="shared" si="3"/>
        <v>0</v>
      </c>
      <c r="AV6" s="254"/>
      <c r="AW6" s="254">
        <f t="shared" si="4"/>
        <v>0</v>
      </c>
      <c r="AX6" s="254">
        <f t="shared" si="5"/>
        <v>0</v>
      </c>
      <c r="AY6" s="255"/>
    </row>
    <row r="7" ht="28.5" customHeight="1">
      <c r="A7" s="747" t="s">
        <v>31</v>
      </c>
      <c r="B7" s="820">
        <v>0.0</v>
      </c>
      <c r="C7" s="807">
        <v>3.0</v>
      </c>
      <c r="D7" s="820">
        <v>7.5</v>
      </c>
      <c r="E7" s="820">
        <v>2.7</v>
      </c>
      <c r="F7" s="820">
        <v>3.0</v>
      </c>
      <c r="G7" s="850">
        <v>2.34</v>
      </c>
      <c r="H7" s="820">
        <v>0.0</v>
      </c>
      <c r="I7" s="820">
        <v>4.5</v>
      </c>
      <c r="J7" s="820">
        <v>4.5</v>
      </c>
      <c r="K7" s="820">
        <v>0.0</v>
      </c>
      <c r="L7" s="807">
        <v>6.04</v>
      </c>
      <c r="M7" s="807">
        <v>10.68</v>
      </c>
      <c r="N7" s="807">
        <v>6.7</v>
      </c>
      <c r="O7" s="807">
        <v>1.5</v>
      </c>
      <c r="P7" s="807">
        <v>3.0</v>
      </c>
      <c r="Q7" s="807">
        <v>3.7</v>
      </c>
      <c r="R7" s="807">
        <v>0.0</v>
      </c>
      <c r="S7" s="807">
        <v>0.0</v>
      </c>
      <c r="T7" s="807">
        <v>0.36</v>
      </c>
      <c r="U7" s="807">
        <v>4.5</v>
      </c>
      <c r="V7" s="807">
        <v>1.5</v>
      </c>
      <c r="W7" s="807">
        <v>6.0</v>
      </c>
      <c r="X7" s="807">
        <v>4.5</v>
      </c>
      <c r="Y7" s="807">
        <v>25.48</v>
      </c>
      <c r="Z7" s="807">
        <v>5.9</v>
      </c>
      <c r="AA7" s="807">
        <v>1.5</v>
      </c>
      <c r="AB7" s="807">
        <v>6.0</v>
      </c>
      <c r="AC7" s="807">
        <v>1.5</v>
      </c>
      <c r="AD7" s="807">
        <v>3.0</v>
      </c>
      <c r="AE7" s="807">
        <v>0.0</v>
      </c>
      <c r="AF7" s="807">
        <v>6.0</v>
      </c>
      <c r="AG7" s="751">
        <f t="shared" si="1"/>
        <v>125.4</v>
      </c>
      <c r="AH7" s="455"/>
      <c r="AI7" s="38"/>
      <c r="AJ7" s="38"/>
      <c r="AK7" s="38"/>
      <c r="AL7" s="38"/>
      <c r="AP7" s="188" t="s">
        <v>38</v>
      </c>
      <c r="AQ7" s="176"/>
      <c r="AR7" s="177"/>
      <c r="AS7" s="481">
        <f>SUM(valuesByColor("#f09090", "", B3:AF30))</f>
        <v>2411.81</v>
      </c>
      <c r="AT7" s="189">
        <f t="shared" si="2"/>
        <v>816.4878</v>
      </c>
      <c r="AU7" s="256">
        <f t="shared" si="3"/>
        <v>114.560975</v>
      </c>
      <c r="AV7" s="256"/>
      <c r="AW7" s="482">
        <f t="shared" si="4"/>
        <v>0</v>
      </c>
      <c r="AX7" s="482">
        <f t="shared" si="5"/>
        <v>0</v>
      </c>
      <c r="AY7" s="257">
        <v>100.0</v>
      </c>
    </row>
    <row r="8" ht="28.5" customHeight="1">
      <c r="A8" s="747" t="s">
        <v>32</v>
      </c>
      <c r="B8" s="768">
        <v>3.34</v>
      </c>
      <c r="C8" s="777">
        <v>0.0</v>
      </c>
      <c r="D8" s="777">
        <v>0.0</v>
      </c>
      <c r="E8" s="777">
        <v>0.0</v>
      </c>
      <c r="F8" s="768">
        <v>0.0</v>
      </c>
      <c r="G8" s="823">
        <v>0.0</v>
      </c>
      <c r="H8" s="768">
        <v>0.0</v>
      </c>
      <c r="I8" s="768">
        <v>0.0</v>
      </c>
      <c r="J8" s="768">
        <v>0.0</v>
      </c>
      <c r="K8" s="768">
        <v>0.0</v>
      </c>
      <c r="L8" s="777">
        <v>0.0</v>
      </c>
      <c r="M8" s="777">
        <v>0.0</v>
      </c>
      <c r="N8" s="777">
        <v>0.0</v>
      </c>
      <c r="O8" s="777">
        <v>0.0</v>
      </c>
      <c r="P8" s="777">
        <v>0.0</v>
      </c>
      <c r="Q8" s="777">
        <v>0.0</v>
      </c>
      <c r="R8" s="777">
        <v>0.0</v>
      </c>
      <c r="S8" s="822">
        <v>0.0</v>
      </c>
      <c r="T8" s="822">
        <v>0.0</v>
      </c>
      <c r="U8" s="822">
        <v>0.0</v>
      </c>
      <c r="V8" s="822">
        <v>0.0</v>
      </c>
      <c r="W8" s="822">
        <v>0.0</v>
      </c>
      <c r="X8" s="822">
        <v>0.0</v>
      </c>
      <c r="Y8" s="822">
        <v>0.0</v>
      </c>
      <c r="Z8" s="822">
        <v>0.0</v>
      </c>
      <c r="AA8" s="822">
        <v>0.0</v>
      </c>
      <c r="AB8" s="822">
        <v>0.0</v>
      </c>
      <c r="AC8" s="822">
        <v>0.0</v>
      </c>
      <c r="AD8" s="822">
        <v>0.0</v>
      </c>
      <c r="AE8" s="822">
        <v>0.0</v>
      </c>
      <c r="AF8" s="822">
        <v>0.0</v>
      </c>
      <c r="AG8" s="751">
        <f t="shared" si="1"/>
        <v>3.34</v>
      </c>
      <c r="AH8" s="455"/>
      <c r="AI8" s="38"/>
      <c r="AJ8" s="38"/>
      <c r="AK8" s="38"/>
      <c r="AL8" s="38"/>
      <c r="AP8" s="263" t="s">
        <v>114</v>
      </c>
      <c r="AQ8" s="176"/>
      <c r="AR8" s="177"/>
      <c r="AS8" s="808">
        <f>SUM(valuesByColor("magenta", "", B3:AF30))</f>
        <v>140.14</v>
      </c>
      <c r="AT8" s="264">
        <f t="shared" si="2"/>
        <v>53.2532</v>
      </c>
      <c r="AU8" s="265">
        <f t="shared" si="3"/>
        <v>6.65665</v>
      </c>
      <c r="AV8" s="265"/>
      <c r="AW8" s="489">
        <f t="shared" si="4"/>
        <v>0</v>
      </c>
      <c r="AX8" s="489">
        <f t="shared" si="5"/>
        <v>0</v>
      </c>
      <c r="AY8" s="266"/>
    </row>
    <row r="9" ht="29.25" customHeight="1">
      <c r="A9" s="747" t="s">
        <v>83</v>
      </c>
      <c r="B9" s="750">
        <v>0.0</v>
      </c>
      <c r="C9" s="750">
        <v>0.0</v>
      </c>
      <c r="D9" s="750">
        <v>0.0</v>
      </c>
      <c r="E9" s="750">
        <v>0.0</v>
      </c>
      <c r="F9" s="750">
        <v>0.0</v>
      </c>
      <c r="G9" s="859">
        <v>0.0</v>
      </c>
      <c r="H9" s="750">
        <v>0.0</v>
      </c>
      <c r="I9" s="750">
        <v>0.0</v>
      </c>
      <c r="J9" s="750">
        <v>0.0</v>
      </c>
      <c r="K9" s="750">
        <v>0.0</v>
      </c>
      <c r="L9" s="750">
        <v>0.0</v>
      </c>
      <c r="M9" s="750">
        <v>0.0</v>
      </c>
      <c r="N9" s="750">
        <v>0.0</v>
      </c>
      <c r="O9" s="750">
        <v>0.0</v>
      </c>
      <c r="P9" s="750">
        <v>0.0</v>
      </c>
      <c r="Q9" s="750">
        <v>0.0</v>
      </c>
      <c r="R9" s="750">
        <v>0.0</v>
      </c>
      <c r="S9" s="750">
        <v>0.0</v>
      </c>
      <c r="T9" s="750">
        <v>0.0</v>
      </c>
      <c r="U9" s="750">
        <v>0.0</v>
      </c>
      <c r="V9" s="777">
        <v>0.0</v>
      </c>
      <c r="W9" s="777">
        <v>0.0</v>
      </c>
      <c r="X9" s="777">
        <v>0.0</v>
      </c>
      <c r="Y9" s="777">
        <v>0.0</v>
      </c>
      <c r="Z9" s="777">
        <v>0.0</v>
      </c>
      <c r="AA9" s="777">
        <v>0.0</v>
      </c>
      <c r="AB9" s="777">
        <v>0.0</v>
      </c>
      <c r="AC9" s="777">
        <v>0.0</v>
      </c>
      <c r="AD9" s="777">
        <v>0.0</v>
      </c>
      <c r="AE9" s="777">
        <v>0.0</v>
      </c>
      <c r="AF9" s="777">
        <v>0.0</v>
      </c>
      <c r="AG9" s="751">
        <f t="shared" si="1"/>
        <v>0</v>
      </c>
      <c r="AH9" s="455"/>
      <c r="AI9" s="38"/>
      <c r="AJ9" s="38"/>
      <c r="AK9" s="38"/>
      <c r="AL9" s="38"/>
      <c r="AM9" s="38"/>
      <c r="AN9" s="38"/>
      <c r="AP9" s="195"/>
      <c r="AQ9" s="176"/>
      <c r="AR9" s="177"/>
      <c r="AS9" s="493">
        <f>SUM(valuesByColor("#0070c0", "", B3:AF30))</f>
        <v>0</v>
      </c>
      <c r="AT9" s="196">
        <f t="shared" si="2"/>
        <v>0</v>
      </c>
      <c r="AU9" s="267">
        <f t="shared" si="3"/>
        <v>0</v>
      </c>
      <c r="AV9" s="267"/>
      <c r="AW9" s="494">
        <f t="shared" si="4"/>
        <v>0</v>
      </c>
      <c r="AX9" s="494">
        <f t="shared" si="5"/>
        <v>0</v>
      </c>
      <c r="AY9" s="268"/>
    </row>
    <row r="10" ht="29.25" customHeight="1">
      <c r="A10" s="747" t="s">
        <v>84</v>
      </c>
      <c r="B10" s="787">
        <v>7.5</v>
      </c>
      <c r="C10" s="787">
        <v>9.0</v>
      </c>
      <c r="D10" s="787">
        <v>19.98</v>
      </c>
      <c r="E10" s="787">
        <v>9.0</v>
      </c>
      <c r="F10" s="787">
        <v>12.28</v>
      </c>
      <c r="G10" s="860">
        <v>0.0</v>
      </c>
      <c r="H10" s="680">
        <v>3.0</v>
      </c>
      <c r="I10" s="822">
        <v>18.0</v>
      </c>
      <c r="J10" s="822">
        <v>15.12</v>
      </c>
      <c r="K10" s="822">
        <v>36.12</v>
      </c>
      <c r="L10" s="822">
        <v>9.12</v>
      </c>
      <c r="M10" s="822">
        <v>24.0</v>
      </c>
      <c r="N10" s="822">
        <v>24.12</v>
      </c>
      <c r="O10" s="822">
        <v>12.0</v>
      </c>
      <c r="P10" s="822">
        <v>7.62</v>
      </c>
      <c r="Q10" s="822">
        <v>28.5</v>
      </c>
      <c r="R10" s="822">
        <v>15.82</v>
      </c>
      <c r="S10" s="822">
        <v>22.76</v>
      </c>
      <c r="T10" s="822">
        <v>9.48</v>
      </c>
      <c r="U10" s="822">
        <v>54.72</v>
      </c>
      <c r="V10" s="822">
        <v>54.12</v>
      </c>
      <c r="W10" s="822">
        <v>22.62</v>
      </c>
      <c r="X10" s="822">
        <v>12.56</v>
      </c>
      <c r="Y10" s="822">
        <v>45.82</v>
      </c>
      <c r="Z10" s="822">
        <v>58.5</v>
      </c>
      <c r="AA10" s="822">
        <v>36.36</v>
      </c>
      <c r="AB10" s="822">
        <v>19.5</v>
      </c>
      <c r="AC10" s="822">
        <v>23.9</v>
      </c>
      <c r="AD10" s="822">
        <v>15.0</v>
      </c>
      <c r="AE10" s="822">
        <v>6.0</v>
      </c>
      <c r="AF10" s="822">
        <v>28.74</v>
      </c>
      <c r="AG10" s="861">
        <f t="shared" si="1"/>
        <v>661.26</v>
      </c>
      <c r="AH10" s="455"/>
      <c r="AI10" s="38"/>
      <c r="AJ10" s="38"/>
      <c r="AK10" s="38"/>
      <c r="AL10" s="38"/>
      <c r="AM10" s="38"/>
      <c r="AN10" s="38"/>
      <c r="AP10" s="201" t="s">
        <v>75</v>
      </c>
      <c r="AQ10" s="176"/>
      <c r="AR10" s="177"/>
      <c r="AS10" s="503">
        <f>SUM(valuesByColor("#ec7c31", "", B3:AF30))</f>
        <v>771.56</v>
      </c>
      <c r="AT10" s="202">
        <f t="shared" si="2"/>
        <v>218.1928</v>
      </c>
      <c r="AU10" s="269">
        <f t="shared" si="3"/>
        <v>36.6491</v>
      </c>
      <c r="AV10" s="269"/>
      <c r="AW10" s="504">
        <f t="shared" si="4"/>
        <v>0</v>
      </c>
      <c r="AX10" s="504">
        <f t="shared" si="5"/>
        <v>0</v>
      </c>
      <c r="AY10" s="270">
        <v>75.0</v>
      </c>
    </row>
    <row r="11" ht="29.25" customHeight="1">
      <c r="A11" s="747" t="s">
        <v>85</v>
      </c>
      <c r="B11" s="819">
        <v>0.0</v>
      </c>
      <c r="C11" s="819">
        <v>0.0</v>
      </c>
      <c r="D11" s="819">
        <v>0.0</v>
      </c>
      <c r="E11" s="819">
        <v>1.5</v>
      </c>
      <c r="F11" s="819">
        <v>1.5</v>
      </c>
      <c r="G11" s="854">
        <v>0.0</v>
      </c>
      <c r="H11" s="819">
        <v>1.5</v>
      </c>
      <c r="I11" s="819">
        <v>7.5</v>
      </c>
      <c r="J11" s="819">
        <v>21.0</v>
      </c>
      <c r="K11" s="819">
        <v>0.0</v>
      </c>
      <c r="L11" s="819">
        <v>13.5</v>
      </c>
      <c r="M11" s="819">
        <v>33.0</v>
      </c>
      <c r="N11" s="819">
        <v>3.0</v>
      </c>
      <c r="O11" s="819">
        <v>0.0</v>
      </c>
      <c r="P11" s="819">
        <v>0.0</v>
      </c>
      <c r="Q11" s="819">
        <v>0.0</v>
      </c>
      <c r="R11" s="819">
        <v>4.5</v>
      </c>
      <c r="S11" s="819">
        <v>3.0</v>
      </c>
      <c r="T11" s="819">
        <v>6.0</v>
      </c>
      <c r="U11" s="819">
        <v>0.0</v>
      </c>
      <c r="V11" s="819">
        <v>1.5</v>
      </c>
      <c r="W11" s="819">
        <v>0.0</v>
      </c>
      <c r="X11" s="819">
        <v>3.0</v>
      </c>
      <c r="Y11" s="819">
        <v>3.0</v>
      </c>
      <c r="Z11" s="819">
        <v>3.0</v>
      </c>
      <c r="AA11" s="819">
        <v>0.0</v>
      </c>
      <c r="AB11" s="819">
        <v>0.0</v>
      </c>
      <c r="AC11" s="819">
        <v>0.0</v>
      </c>
      <c r="AD11" s="819">
        <v>0.0</v>
      </c>
      <c r="AE11" s="819">
        <v>0.0</v>
      </c>
      <c r="AF11" s="777">
        <v>0.0</v>
      </c>
      <c r="AG11" s="751">
        <f t="shared" si="1"/>
        <v>106.5</v>
      </c>
      <c r="AH11" s="455"/>
      <c r="AI11" s="38"/>
      <c r="AJ11" s="38"/>
      <c r="AK11" s="38"/>
      <c r="AL11" s="38"/>
      <c r="AM11" s="38"/>
      <c r="AN11" s="38"/>
      <c r="AP11" s="810"/>
      <c r="AQ11" s="176"/>
      <c r="AR11" s="177"/>
      <c r="AS11" s="827">
        <f>SUM(valuesByColor("#911553", "", B3:AF30))</f>
        <v>0</v>
      </c>
      <c r="AT11" s="828">
        <f t="shared" si="2"/>
        <v>0</v>
      </c>
      <c r="AU11" s="829">
        <f t="shared" si="3"/>
        <v>0</v>
      </c>
      <c r="AV11" s="814"/>
      <c r="AW11" s="815">
        <v>0.0</v>
      </c>
      <c r="AX11" s="815">
        <v>0.0</v>
      </c>
      <c r="AY11" s="274"/>
    </row>
    <row r="12" ht="29.25" customHeight="1">
      <c r="A12" s="747" t="s">
        <v>111</v>
      </c>
      <c r="B12" s="793">
        <v>0.0</v>
      </c>
      <c r="C12" s="793">
        <v>22.5</v>
      </c>
      <c r="D12" s="793">
        <v>4.5</v>
      </c>
      <c r="E12" s="793">
        <v>0.0</v>
      </c>
      <c r="F12" s="793">
        <v>9.0</v>
      </c>
      <c r="G12" s="855">
        <v>12.0</v>
      </c>
      <c r="H12" s="793">
        <v>30.74</v>
      </c>
      <c r="I12" s="793">
        <v>16.5</v>
      </c>
      <c r="J12" s="793">
        <v>12.42</v>
      </c>
      <c r="K12" s="793">
        <v>7.5</v>
      </c>
      <c r="L12" s="793">
        <v>12.7</v>
      </c>
      <c r="M12" s="793">
        <v>10.74</v>
      </c>
      <c r="N12" s="793">
        <v>12.0</v>
      </c>
      <c r="O12" s="793">
        <v>0.0</v>
      </c>
      <c r="P12" s="793">
        <v>0.0</v>
      </c>
      <c r="Q12" s="793">
        <v>77.3</v>
      </c>
      <c r="R12" s="793">
        <v>45.44</v>
      </c>
      <c r="S12" s="793">
        <v>45.0</v>
      </c>
      <c r="T12" s="793">
        <v>11.34</v>
      </c>
      <c r="U12" s="793">
        <v>15.46</v>
      </c>
      <c r="V12" s="793">
        <v>5.66</v>
      </c>
      <c r="W12" s="793">
        <v>18.0</v>
      </c>
      <c r="X12" s="793">
        <v>62.32</v>
      </c>
      <c r="Y12" s="793">
        <v>25.78</v>
      </c>
      <c r="Z12" s="793">
        <v>82.5</v>
      </c>
      <c r="AA12" s="793">
        <v>92.4</v>
      </c>
      <c r="AB12" s="793">
        <v>71.46</v>
      </c>
      <c r="AC12" s="793">
        <v>37.96</v>
      </c>
      <c r="AD12" s="793">
        <v>3.0</v>
      </c>
      <c r="AE12" s="793">
        <v>18.0</v>
      </c>
      <c r="AF12" s="793">
        <v>12.0</v>
      </c>
      <c r="AG12" s="751">
        <f t="shared" si="1"/>
        <v>774.22</v>
      </c>
      <c r="AH12" s="455"/>
      <c r="AI12" s="38"/>
      <c r="AJ12" s="38"/>
      <c r="AK12" s="38"/>
      <c r="AL12" s="38"/>
      <c r="AM12" s="38"/>
      <c r="AN12" s="38"/>
      <c r="AP12" s="277"/>
      <c r="AQ12" s="176"/>
      <c r="AR12" s="177"/>
      <c r="AS12" s="518">
        <f>SUM(valuesByColor("lime", "", B3:AF30))</f>
        <v>0</v>
      </c>
      <c r="AT12" s="278">
        <f t="shared" si="2"/>
        <v>0</v>
      </c>
      <c r="AU12" s="279">
        <f t="shared" si="3"/>
        <v>0</v>
      </c>
      <c r="AV12" s="279"/>
      <c r="AW12" s="519">
        <f t="shared" ref="AW12:AW14" si="6">(AV12*(1-0.05))*(1-0.9)</f>
        <v>0</v>
      </c>
      <c r="AX12" s="519">
        <f t="shared" ref="AX12:AX14" si="7">(AV12*(1-0.05))*(1-0.95)</f>
        <v>0</v>
      </c>
      <c r="AY12" s="280"/>
    </row>
    <row r="13" ht="29.25" customHeight="1">
      <c r="A13" s="758" t="s">
        <v>97</v>
      </c>
      <c r="B13" s="680">
        <v>108.0</v>
      </c>
      <c r="C13" s="680">
        <v>165.0</v>
      </c>
      <c r="D13" s="680">
        <v>145.5</v>
      </c>
      <c r="E13" s="680">
        <v>50.0</v>
      </c>
      <c r="F13" s="680">
        <v>55.5</v>
      </c>
      <c r="G13" s="853">
        <v>43.62</v>
      </c>
      <c r="H13" s="680">
        <v>64.62</v>
      </c>
      <c r="I13" s="680">
        <v>37.5</v>
      </c>
      <c r="J13" s="680">
        <v>79.5</v>
      </c>
      <c r="K13" s="680">
        <v>106.5</v>
      </c>
      <c r="L13" s="680">
        <v>34.5</v>
      </c>
      <c r="M13" s="680">
        <v>52.5</v>
      </c>
      <c r="N13" s="680">
        <v>46.5</v>
      </c>
      <c r="O13" s="680">
        <v>15.0</v>
      </c>
      <c r="P13" s="680">
        <v>60.0</v>
      </c>
      <c r="Q13" s="680">
        <v>66.12</v>
      </c>
      <c r="R13" s="680">
        <v>123.0</v>
      </c>
      <c r="S13" s="680">
        <v>16.5</v>
      </c>
      <c r="T13" s="680">
        <v>37.5</v>
      </c>
      <c r="U13" s="680">
        <v>12.0</v>
      </c>
      <c r="V13" s="680">
        <v>9.0</v>
      </c>
      <c r="W13" s="680">
        <v>10.5</v>
      </c>
      <c r="X13" s="680">
        <v>3.0</v>
      </c>
      <c r="Y13" s="680">
        <v>3.0</v>
      </c>
      <c r="Z13" s="680">
        <v>0.12</v>
      </c>
      <c r="AA13" s="680">
        <v>0.0</v>
      </c>
      <c r="AB13" s="680">
        <v>0.0</v>
      </c>
      <c r="AC13" s="680">
        <v>0.0</v>
      </c>
      <c r="AD13" s="680">
        <v>0.0</v>
      </c>
      <c r="AE13" s="680">
        <v>25.5</v>
      </c>
      <c r="AF13" s="680">
        <v>25.5</v>
      </c>
      <c r="AG13" s="473">
        <f t="shared" si="1"/>
        <v>1395.98</v>
      </c>
      <c r="AH13" s="455"/>
      <c r="AI13" s="38"/>
      <c r="AJ13" s="38"/>
      <c r="AK13" s="38"/>
      <c r="AL13" s="38"/>
      <c r="AM13" s="38"/>
      <c r="AN13" s="38"/>
      <c r="AP13" s="668"/>
      <c r="AQ13" s="176"/>
      <c r="AR13" s="177"/>
      <c r="AS13" s="669">
        <f>SUM(valuesByColor("#7a00ff", "", B3:AF30))</f>
        <v>0</v>
      </c>
      <c r="AT13" s="670">
        <f t="shared" si="2"/>
        <v>0</v>
      </c>
      <c r="AU13" s="671">
        <f t="shared" si="3"/>
        <v>0</v>
      </c>
      <c r="AV13" s="671"/>
      <c r="AW13" s="672">
        <f t="shared" si="6"/>
        <v>0</v>
      </c>
      <c r="AX13" s="672">
        <f t="shared" si="7"/>
        <v>0</v>
      </c>
      <c r="AY13" s="673"/>
    </row>
    <row r="14" ht="29.25" customHeight="1">
      <c r="A14" s="758" t="s">
        <v>99</v>
      </c>
      <c r="B14" s="777">
        <v>0.0</v>
      </c>
      <c r="C14" s="777">
        <v>0.0</v>
      </c>
      <c r="D14" s="777">
        <v>0.0</v>
      </c>
      <c r="E14" s="777">
        <v>0.0</v>
      </c>
      <c r="F14" s="777">
        <v>0.0</v>
      </c>
      <c r="G14" s="823">
        <v>0.0</v>
      </c>
      <c r="H14" s="777">
        <v>1.5</v>
      </c>
      <c r="I14" s="822">
        <v>4.5</v>
      </c>
      <c r="J14" s="822">
        <v>0.0</v>
      </c>
      <c r="K14" s="822">
        <v>1.5</v>
      </c>
      <c r="L14" s="822">
        <v>7.56</v>
      </c>
      <c r="M14" s="822">
        <v>22.86</v>
      </c>
      <c r="N14" s="822">
        <v>12.12</v>
      </c>
      <c r="O14" s="822">
        <v>4.5</v>
      </c>
      <c r="P14" s="822">
        <v>8.54</v>
      </c>
      <c r="Q14" s="822">
        <v>17.08</v>
      </c>
      <c r="R14" s="822">
        <v>10.62</v>
      </c>
      <c r="S14" s="822">
        <v>6.0</v>
      </c>
      <c r="T14" s="822">
        <v>6.5</v>
      </c>
      <c r="U14" s="822">
        <v>18.0</v>
      </c>
      <c r="V14" s="822">
        <v>13.5</v>
      </c>
      <c r="W14" s="822">
        <v>24.12</v>
      </c>
      <c r="X14" s="822">
        <v>34.28</v>
      </c>
      <c r="Y14" s="822">
        <v>4.5</v>
      </c>
      <c r="Z14" s="822">
        <v>21.0</v>
      </c>
      <c r="AA14" s="822">
        <v>3.0</v>
      </c>
      <c r="AB14" s="822">
        <v>4.5</v>
      </c>
      <c r="AC14" s="822">
        <v>3.0</v>
      </c>
      <c r="AD14" s="822">
        <v>12.0</v>
      </c>
      <c r="AE14" s="822">
        <v>3.0</v>
      </c>
      <c r="AF14" s="822">
        <v>7.1</v>
      </c>
      <c r="AG14" s="473">
        <f t="shared" si="1"/>
        <v>251.28</v>
      </c>
      <c r="AH14" s="455"/>
      <c r="AI14" s="38"/>
      <c r="AJ14" s="38"/>
      <c r="AK14" s="38"/>
      <c r="AL14" s="38"/>
      <c r="AM14" s="38"/>
      <c r="AN14" s="38"/>
      <c r="AP14" s="384"/>
      <c r="AQ14" s="176"/>
      <c r="AR14" s="177"/>
      <c r="AS14" s="521">
        <f>SUM(valuesByColor("dark yellow 3", "", B3:AF30))</f>
        <v>0</v>
      </c>
      <c r="AT14" s="385">
        <f t="shared" si="2"/>
        <v>0</v>
      </c>
      <c r="AU14" s="386">
        <f t="shared" si="3"/>
        <v>0</v>
      </c>
      <c r="AV14" s="386"/>
      <c r="AW14" s="522">
        <f t="shared" si="6"/>
        <v>0</v>
      </c>
      <c r="AX14" s="522">
        <f t="shared" si="7"/>
        <v>0</v>
      </c>
      <c r="AY14" s="387"/>
    </row>
    <row r="15" ht="29.25" customHeight="1">
      <c r="A15" s="758" t="s">
        <v>100</v>
      </c>
      <c r="B15" s="777">
        <v>0.0</v>
      </c>
      <c r="C15" s="777">
        <v>0.0</v>
      </c>
      <c r="D15" s="777">
        <v>0.0</v>
      </c>
      <c r="E15" s="777">
        <v>0.0</v>
      </c>
      <c r="F15" s="777">
        <v>0.0</v>
      </c>
      <c r="G15" s="823">
        <v>0.0</v>
      </c>
      <c r="H15" s="777">
        <v>0.0</v>
      </c>
      <c r="I15" s="777">
        <v>0.0</v>
      </c>
      <c r="J15" s="777">
        <v>0.0</v>
      </c>
      <c r="K15" s="777">
        <v>0.0</v>
      </c>
      <c r="L15" s="777">
        <v>0.0</v>
      </c>
      <c r="M15" s="777">
        <v>0.0</v>
      </c>
      <c r="N15" s="777">
        <v>0.0</v>
      </c>
      <c r="O15" s="777">
        <v>0.0</v>
      </c>
      <c r="P15" s="777">
        <v>0.0</v>
      </c>
      <c r="Q15" s="777">
        <v>0.0</v>
      </c>
      <c r="R15" s="777">
        <v>0.0</v>
      </c>
      <c r="S15" s="777">
        <v>0.0</v>
      </c>
      <c r="T15" s="777">
        <v>0.0</v>
      </c>
      <c r="U15" s="777">
        <v>0.0</v>
      </c>
      <c r="V15" s="777">
        <v>0.0</v>
      </c>
      <c r="W15" s="777">
        <v>0.0</v>
      </c>
      <c r="X15" s="777">
        <v>0.0</v>
      </c>
      <c r="Y15" s="777">
        <v>0.0</v>
      </c>
      <c r="Z15" s="777">
        <v>0.0</v>
      </c>
      <c r="AA15" s="777">
        <v>0.0</v>
      </c>
      <c r="AB15" s="777">
        <v>0.0</v>
      </c>
      <c r="AC15" s="777">
        <v>0.0</v>
      </c>
      <c r="AD15" s="777">
        <v>0.0</v>
      </c>
      <c r="AE15" s="777">
        <v>0.0</v>
      </c>
      <c r="AF15" s="777">
        <v>0.0</v>
      </c>
      <c r="AG15" s="473">
        <f t="shared" si="1"/>
        <v>0</v>
      </c>
      <c r="AH15" s="455"/>
      <c r="AI15" s="38"/>
      <c r="AJ15" s="38"/>
      <c r="AK15" s="38"/>
      <c r="AL15" s="38"/>
      <c r="AM15" s="38"/>
      <c r="AN15" s="38"/>
      <c r="AS15" s="527">
        <f>SUM(AS4:AS14)</f>
        <v>5732.27</v>
      </c>
      <c r="AT15" s="38"/>
      <c r="AU15" s="220">
        <f>SUM(AU4:AU14)</f>
        <v>272.282825</v>
      </c>
    </row>
    <row r="16" ht="29.25" customHeight="1">
      <c r="A16" s="838" t="s">
        <v>124</v>
      </c>
      <c r="B16" s="839">
        <v>0.0</v>
      </c>
      <c r="C16" s="839">
        <v>24.0</v>
      </c>
      <c r="D16" s="839">
        <v>10.5</v>
      </c>
      <c r="E16" s="839">
        <v>0.0</v>
      </c>
      <c r="F16" s="839">
        <v>12.0</v>
      </c>
      <c r="G16" s="855">
        <v>19.5</v>
      </c>
      <c r="H16" s="839">
        <v>9.0</v>
      </c>
      <c r="I16" s="839">
        <v>13.92</v>
      </c>
      <c r="J16" s="839">
        <v>15.0</v>
      </c>
      <c r="K16" s="839">
        <v>22.52</v>
      </c>
      <c r="L16" s="839">
        <v>5.06</v>
      </c>
      <c r="M16" s="839">
        <v>35.16</v>
      </c>
      <c r="N16" s="839">
        <v>15.0</v>
      </c>
      <c r="O16" s="839">
        <v>0.0</v>
      </c>
      <c r="P16" s="839">
        <v>0.0</v>
      </c>
      <c r="Q16" s="839">
        <v>29.38</v>
      </c>
      <c r="R16" s="839">
        <v>34.26</v>
      </c>
      <c r="S16" s="839">
        <v>22.5</v>
      </c>
      <c r="T16" s="839">
        <v>4.5</v>
      </c>
      <c r="U16" s="793">
        <v>5.94</v>
      </c>
      <c r="V16" s="793">
        <v>3.0</v>
      </c>
      <c r="W16" s="793">
        <v>4.5</v>
      </c>
      <c r="X16" s="793">
        <v>36.16</v>
      </c>
      <c r="Y16" s="793">
        <v>3.0</v>
      </c>
      <c r="Z16" s="793">
        <v>4.5</v>
      </c>
      <c r="AA16" s="793">
        <v>12.0</v>
      </c>
      <c r="AB16" s="793">
        <v>12.0</v>
      </c>
      <c r="AC16" s="793">
        <v>13.5</v>
      </c>
      <c r="AD16" s="793">
        <v>3.0</v>
      </c>
      <c r="AE16" s="793">
        <v>3.0</v>
      </c>
      <c r="AF16" s="793">
        <v>4.5</v>
      </c>
      <c r="AG16" s="473">
        <f t="shared" si="1"/>
        <v>377.4</v>
      </c>
      <c r="AH16" s="455"/>
      <c r="AI16" s="38"/>
      <c r="AJ16" s="38"/>
      <c r="AK16" s="38"/>
      <c r="AL16" s="38"/>
      <c r="AM16" s="38"/>
      <c r="AN16" s="38"/>
      <c r="AP16" s="38"/>
      <c r="AQ16" s="38"/>
      <c r="AR16" s="38"/>
      <c r="AS16" s="173">
        <v>1.0</v>
      </c>
      <c r="AT16" s="174" t="s">
        <v>16</v>
      </c>
      <c r="AU16" s="173">
        <v>0.05</v>
      </c>
      <c r="AV16" s="456" t="s">
        <v>71</v>
      </c>
      <c r="AW16" s="456" t="s">
        <v>72</v>
      </c>
      <c r="AX16" s="456" t="s">
        <v>73</v>
      </c>
      <c r="AY16" s="246" t="s">
        <v>34</v>
      </c>
    </row>
    <row r="17" ht="29.25" customHeight="1">
      <c r="A17" s="758" t="s">
        <v>125</v>
      </c>
      <c r="B17" s="768">
        <v>2.24</v>
      </c>
      <c r="C17" s="771">
        <v>0.0</v>
      </c>
      <c r="D17" s="771">
        <v>9.0</v>
      </c>
      <c r="E17" s="771">
        <v>0.0</v>
      </c>
      <c r="F17" s="771">
        <v>0.0</v>
      </c>
      <c r="G17" s="849">
        <v>0.36</v>
      </c>
      <c r="H17" s="771">
        <v>0.0</v>
      </c>
      <c r="I17" s="771">
        <v>0.0</v>
      </c>
      <c r="J17" s="771">
        <v>0.0</v>
      </c>
      <c r="K17" s="771">
        <v>0.0</v>
      </c>
      <c r="L17" s="771">
        <v>0.0</v>
      </c>
      <c r="M17" s="771">
        <v>0.0</v>
      </c>
      <c r="N17" s="771">
        <v>0.0</v>
      </c>
      <c r="O17" s="771">
        <v>0.0</v>
      </c>
      <c r="P17" s="771">
        <v>9.0</v>
      </c>
      <c r="Q17" s="771">
        <v>3.78</v>
      </c>
      <c r="R17" s="771">
        <v>3.12</v>
      </c>
      <c r="S17" s="771">
        <v>0.0</v>
      </c>
      <c r="T17" s="771">
        <v>1.3</v>
      </c>
      <c r="U17" s="748">
        <v>0.0</v>
      </c>
      <c r="V17" s="748">
        <v>0.28</v>
      </c>
      <c r="W17" s="748">
        <v>0.0</v>
      </c>
      <c r="X17" s="748">
        <v>0.14</v>
      </c>
      <c r="Y17" s="748">
        <v>0.0</v>
      </c>
      <c r="Z17" s="748">
        <v>0.0</v>
      </c>
      <c r="AA17" s="748">
        <v>0.0</v>
      </c>
      <c r="AB17" s="748">
        <v>5.98</v>
      </c>
      <c r="AC17" s="748">
        <v>0.0</v>
      </c>
      <c r="AD17" s="748">
        <v>0.0</v>
      </c>
      <c r="AE17" s="748">
        <v>0.0</v>
      </c>
      <c r="AF17" s="748">
        <v>0.7</v>
      </c>
      <c r="AG17" s="473">
        <f t="shared" si="1"/>
        <v>35.9</v>
      </c>
      <c r="AH17" s="455"/>
      <c r="AI17" s="38"/>
      <c r="AJ17" s="38"/>
      <c r="AK17" s="38"/>
      <c r="AL17" s="38"/>
      <c r="AM17" s="38"/>
      <c r="AN17" s="38"/>
      <c r="AP17" s="544" t="s">
        <v>108</v>
      </c>
      <c r="AQ17" s="176"/>
      <c r="AR17" s="177"/>
      <c r="AS17" s="545">
        <f>SUM(valuesByColor("#ffc4d5", "", B3:AF30))</f>
        <v>0</v>
      </c>
      <c r="AT17" s="545">
        <f t="shared" ref="AT17:AT26" si="8">((AS17*(1-0.05))*(1-0.6))+AW17-AY17</f>
        <v>0</v>
      </c>
      <c r="AU17" s="546">
        <f t="shared" ref="AU17:AU26" si="9">(AS17*(1-0.05))*(1-0.95)+AX17</f>
        <v>0</v>
      </c>
      <c r="AV17" s="546"/>
      <c r="AW17" s="546">
        <f t="shared" ref="AW17:AW26" si="10">(AV17*(1-0.05))*(1-0.9)</f>
        <v>0</v>
      </c>
      <c r="AX17" s="546">
        <f t="shared" ref="AX17:AX26" si="11">(AV17*(1-0.05))*(1-0.95)</f>
        <v>0</v>
      </c>
      <c r="AY17" s="547"/>
    </row>
    <row r="18" ht="30.0" customHeight="1">
      <c r="A18" s="758" t="s">
        <v>126</v>
      </c>
      <c r="B18" s="768">
        <v>0.0</v>
      </c>
      <c r="C18" s="768">
        <v>0.0</v>
      </c>
      <c r="D18" s="768">
        <v>0.0</v>
      </c>
      <c r="E18" s="768">
        <v>0.0</v>
      </c>
      <c r="F18" s="768">
        <v>0.0</v>
      </c>
      <c r="G18" s="823">
        <v>0.0</v>
      </c>
      <c r="H18" s="768">
        <v>0.0</v>
      </c>
      <c r="I18" s="768">
        <v>0.0</v>
      </c>
      <c r="J18" s="768">
        <v>0.0</v>
      </c>
      <c r="K18" s="768">
        <v>0.0</v>
      </c>
      <c r="L18" s="768">
        <v>0.0</v>
      </c>
      <c r="M18" s="768">
        <v>0.0</v>
      </c>
      <c r="N18" s="768">
        <v>0.0</v>
      </c>
      <c r="O18" s="768">
        <v>0.0</v>
      </c>
      <c r="P18" s="768">
        <v>0.0</v>
      </c>
      <c r="Q18" s="768">
        <v>0.0</v>
      </c>
      <c r="R18" s="768">
        <v>0.0</v>
      </c>
      <c r="S18" s="768">
        <v>0.0</v>
      </c>
      <c r="T18" s="768">
        <v>0.0</v>
      </c>
      <c r="U18" s="777">
        <v>0.0</v>
      </c>
      <c r="V18" s="777">
        <v>0.0</v>
      </c>
      <c r="W18" s="777">
        <v>0.0</v>
      </c>
      <c r="X18" s="777">
        <v>0.0</v>
      </c>
      <c r="Y18" s="777">
        <v>0.0</v>
      </c>
      <c r="Z18" s="777">
        <v>0.0</v>
      </c>
      <c r="AA18" s="777">
        <v>0.0</v>
      </c>
      <c r="AB18" s="777">
        <v>0.0</v>
      </c>
      <c r="AC18" s="777">
        <v>0.0</v>
      </c>
      <c r="AD18" s="777">
        <v>0.0</v>
      </c>
      <c r="AE18" s="777">
        <v>0.0</v>
      </c>
      <c r="AF18" s="777">
        <v>0.0</v>
      </c>
      <c r="AG18" s="473">
        <f t="shared" si="1"/>
        <v>0</v>
      </c>
      <c r="AH18" s="455"/>
      <c r="AI18" s="38"/>
      <c r="AJ18" s="38"/>
      <c r="AK18" s="38"/>
      <c r="AL18" s="38"/>
      <c r="AM18" s="38"/>
      <c r="AN18" s="38"/>
      <c r="AP18" s="555"/>
      <c r="AQ18" s="176"/>
      <c r="AR18" s="177"/>
      <c r="AS18" s="556">
        <f>SUM(valuesByColor("#636212", "", B3:AF30))</f>
        <v>0</v>
      </c>
      <c r="AT18" s="556">
        <f t="shared" si="8"/>
        <v>0</v>
      </c>
      <c r="AU18" s="557">
        <f t="shared" si="9"/>
        <v>0</v>
      </c>
      <c r="AV18" s="557"/>
      <c r="AW18" s="557">
        <f t="shared" si="10"/>
        <v>0</v>
      </c>
      <c r="AX18" s="557">
        <f t="shared" si="11"/>
        <v>0</v>
      </c>
      <c r="AY18" s="558"/>
    </row>
    <row r="19" ht="30.0" customHeight="1">
      <c r="A19" s="758" t="s">
        <v>127</v>
      </c>
      <c r="B19" s="768">
        <v>0.0</v>
      </c>
      <c r="C19" s="768">
        <v>0.0</v>
      </c>
      <c r="D19" s="768">
        <v>0.0</v>
      </c>
      <c r="E19" s="768">
        <v>0.0</v>
      </c>
      <c r="F19" s="768">
        <v>0.0</v>
      </c>
      <c r="G19" s="823">
        <v>0.0</v>
      </c>
      <c r="H19" s="768">
        <v>0.0</v>
      </c>
      <c r="I19" s="768">
        <v>0.0</v>
      </c>
      <c r="J19" s="768">
        <v>0.0</v>
      </c>
      <c r="K19" s="768">
        <v>0.0</v>
      </c>
      <c r="L19" s="768">
        <v>0.0</v>
      </c>
      <c r="M19" s="768">
        <v>0.0</v>
      </c>
      <c r="N19" s="768">
        <v>0.0</v>
      </c>
      <c r="O19" s="768">
        <v>0.0</v>
      </c>
      <c r="P19" s="768">
        <v>0.0</v>
      </c>
      <c r="Q19" s="768">
        <v>0.0</v>
      </c>
      <c r="R19" s="768">
        <v>0.0</v>
      </c>
      <c r="S19" s="768">
        <v>0.0</v>
      </c>
      <c r="T19" s="768">
        <v>0.0</v>
      </c>
      <c r="U19" s="777">
        <v>0.0</v>
      </c>
      <c r="V19" s="777">
        <v>0.0</v>
      </c>
      <c r="W19" s="777">
        <v>0.0</v>
      </c>
      <c r="X19" s="777">
        <v>0.0</v>
      </c>
      <c r="Y19" s="777">
        <v>0.0</v>
      </c>
      <c r="Z19" s="777">
        <v>0.0</v>
      </c>
      <c r="AA19" s="777">
        <v>0.0</v>
      </c>
      <c r="AB19" s="777">
        <v>0.0</v>
      </c>
      <c r="AC19" s="777">
        <v>0.0</v>
      </c>
      <c r="AD19" s="777">
        <v>0.0</v>
      </c>
      <c r="AE19" s="777">
        <v>0.0</v>
      </c>
      <c r="AF19" s="777">
        <v>0.0</v>
      </c>
      <c r="AG19" s="473">
        <f t="shared" si="1"/>
        <v>0</v>
      </c>
      <c r="AH19" s="455"/>
      <c r="AI19" s="38"/>
      <c r="AJ19" s="38"/>
      <c r="AK19" s="38"/>
      <c r="AL19" s="38"/>
      <c r="AM19" s="38"/>
      <c r="AN19" s="38"/>
      <c r="AP19" s="563" t="s">
        <v>135</v>
      </c>
      <c r="AQ19" s="176"/>
      <c r="AR19" s="177"/>
      <c r="AS19" s="564">
        <f>SUM(valuesByColor("#00b572", "", B3:AF30))</f>
        <v>850.28</v>
      </c>
      <c r="AT19" s="564">
        <f t="shared" si="8"/>
        <v>298.1064</v>
      </c>
      <c r="AU19" s="565">
        <f t="shared" si="9"/>
        <v>40.3883</v>
      </c>
      <c r="AV19" s="565"/>
      <c r="AW19" s="565">
        <f t="shared" si="10"/>
        <v>0</v>
      </c>
      <c r="AX19" s="565">
        <f t="shared" si="11"/>
        <v>0</v>
      </c>
      <c r="AY19" s="566">
        <v>25.0</v>
      </c>
    </row>
    <row r="20" ht="30.0" customHeight="1">
      <c r="A20" s="758" t="s">
        <v>129</v>
      </c>
      <c r="B20" s="839">
        <v>0.0</v>
      </c>
      <c r="C20" s="839">
        <v>48.0</v>
      </c>
      <c r="D20" s="839">
        <v>77.51</v>
      </c>
      <c r="E20" s="839">
        <v>6.0</v>
      </c>
      <c r="F20" s="839">
        <v>45.18</v>
      </c>
      <c r="G20" s="855">
        <v>79.19</v>
      </c>
      <c r="H20" s="839">
        <v>68.88</v>
      </c>
      <c r="I20" s="839">
        <v>31.3</v>
      </c>
      <c r="J20" s="839">
        <v>32.62</v>
      </c>
      <c r="K20" s="839">
        <v>64.32</v>
      </c>
      <c r="L20" s="839">
        <v>40.5</v>
      </c>
      <c r="M20" s="839">
        <v>64.28</v>
      </c>
      <c r="N20" s="839">
        <v>42.08</v>
      </c>
      <c r="O20" s="839">
        <v>0.0</v>
      </c>
      <c r="P20" s="839">
        <v>0.0</v>
      </c>
      <c r="Q20" s="839">
        <v>98.01</v>
      </c>
      <c r="R20" s="839">
        <v>62.85</v>
      </c>
      <c r="S20" s="839">
        <v>40.5</v>
      </c>
      <c r="T20" s="839">
        <v>56.04</v>
      </c>
      <c r="U20" s="793">
        <v>16.5</v>
      </c>
      <c r="V20" s="793">
        <v>39.42</v>
      </c>
      <c r="W20" s="793">
        <v>53.9</v>
      </c>
      <c r="X20" s="793">
        <v>46.5</v>
      </c>
      <c r="Y20" s="793">
        <v>15.0</v>
      </c>
      <c r="Z20" s="793">
        <v>46.5</v>
      </c>
      <c r="AA20" s="793">
        <v>50.76</v>
      </c>
      <c r="AB20" s="793">
        <v>56.93</v>
      </c>
      <c r="AC20" s="793">
        <v>48.78</v>
      </c>
      <c r="AD20" s="793">
        <v>16.64</v>
      </c>
      <c r="AE20" s="793">
        <v>6.0</v>
      </c>
      <c r="AF20" s="793">
        <v>6.0</v>
      </c>
      <c r="AG20" s="473">
        <f t="shared" si="1"/>
        <v>1260.19</v>
      </c>
      <c r="AH20" s="455"/>
      <c r="AI20" s="38"/>
      <c r="AJ20" s="38"/>
      <c r="AK20" s="38"/>
      <c r="AL20" s="38"/>
      <c r="AM20" s="38"/>
      <c r="AN20" s="38"/>
      <c r="AP20" s="575" t="s">
        <v>128</v>
      </c>
      <c r="AQ20" s="176"/>
      <c r="AR20" s="177"/>
      <c r="AS20" s="576">
        <f>SUM(valuesByColor("#7030a0", "", B3:AF30))</f>
        <v>57.76</v>
      </c>
      <c r="AT20" s="576">
        <f t="shared" si="8"/>
        <v>21.9488</v>
      </c>
      <c r="AU20" s="577">
        <f t="shared" si="9"/>
        <v>2.7436</v>
      </c>
      <c r="AV20" s="577"/>
      <c r="AW20" s="577">
        <f t="shared" si="10"/>
        <v>0</v>
      </c>
      <c r="AX20" s="577">
        <f t="shared" si="11"/>
        <v>0</v>
      </c>
      <c r="AY20" s="578"/>
    </row>
    <row r="21" ht="30.0" customHeight="1">
      <c r="A21" s="758" t="s">
        <v>131</v>
      </c>
      <c r="B21" s="783">
        <v>18.0</v>
      </c>
      <c r="C21" s="783">
        <v>3.0</v>
      </c>
      <c r="D21" s="783">
        <v>19.5</v>
      </c>
      <c r="E21" s="783">
        <v>1.5</v>
      </c>
      <c r="F21" s="783">
        <v>6.12</v>
      </c>
      <c r="G21" s="853">
        <v>34.14</v>
      </c>
      <c r="H21" s="783">
        <v>35.38</v>
      </c>
      <c r="I21" s="783">
        <v>25.12</v>
      </c>
      <c r="J21" s="783">
        <v>25.62</v>
      </c>
      <c r="K21" s="783">
        <v>18.0</v>
      </c>
      <c r="L21" s="783">
        <v>26.06</v>
      </c>
      <c r="M21" s="783">
        <v>7.62</v>
      </c>
      <c r="N21" s="783">
        <v>33.0</v>
      </c>
      <c r="O21" s="783">
        <v>13.5</v>
      </c>
      <c r="P21" s="783">
        <v>30.0</v>
      </c>
      <c r="Q21" s="783">
        <v>16.5</v>
      </c>
      <c r="R21" s="783">
        <v>16.5</v>
      </c>
      <c r="S21" s="783">
        <v>0.0</v>
      </c>
      <c r="T21" s="783">
        <v>25.62</v>
      </c>
      <c r="U21" s="680">
        <v>18.36</v>
      </c>
      <c r="V21" s="680">
        <v>15.12</v>
      </c>
      <c r="W21" s="680">
        <v>15.24</v>
      </c>
      <c r="X21" s="680">
        <v>0.0</v>
      </c>
      <c r="Y21" s="680">
        <v>0.0</v>
      </c>
      <c r="Z21" s="680">
        <v>54.56</v>
      </c>
      <c r="AA21" s="680">
        <v>12.0</v>
      </c>
      <c r="AB21" s="680">
        <v>27.0</v>
      </c>
      <c r="AC21" s="680">
        <v>0.0</v>
      </c>
      <c r="AD21" s="680">
        <v>3.0</v>
      </c>
      <c r="AE21" s="680">
        <v>9.0</v>
      </c>
      <c r="AF21" s="680">
        <v>12.96</v>
      </c>
      <c r="AG21" s="473">
        <f t="shared" si="1"/>
        <v>522.42</v>
      </c>
      <c r="AH21" s="455"/>
      <c r="AI21" s="38"/>
      <c r="AJ21" s="38"/>
      <c r="AK21" s="38"/>
      <c r="AL21" s="38"/>
      <c r="AM21" s="38"/>
      <c r="AN21" s="38"/>
      <c r="AP21" s="580" t="s">
        <v>130</v>
      </c>
      <c r="AQ21" s="176"/>
      <c r="AR21" s="177"/>
      <c r="AS21" s="581">
        <f>SUM(valuesByColor("#9bbb59", "", B4:AF31))</f>
        <v>0</v>
      </c>
      <c r="AT21" s="582">
        <f t="shared" si="8"/>
        <v>0</v>
      </c>
      <c r="AU21" s="583">
        <f t="shared" si="9"/>
        <v>0</v>
      </c>
      <c r="AV21" s="584"/>
      <c r="AW21" s="583">
        <f t="shared" si="10"/>
        <v>0</v>
      </c>
      <c r="AX21" s="583">
        <f t="shared" si="11"/>
        <v>0</v>
      </c>
      <c r="AY21" s="585"/>
    </row>
    <row r="22" ht="30.0" customHeight="1">
      <c r="A22" s="758" t="s">
        <v>136</v>
      </c>
      <c r="B22" s="768">
        <v>0.0</v>
      </c>
      <c r="C22" s="768">
        <v>0.0</v>
      </c>
      <c r="D22" s="768">
        <v>0.0</v>
      </c>
      <c r="E22" s="768">
        <v>0.0</v>
      </c>
      <c r="F22" s="768">
        <v>3.0</v>
      </c>
      <c r="G22" s="823">
        <v>1.5</v>
      </c>
      <c r="H22" s="768">
        <v>0.0</v>
      </c>
      <c r="I22" s="768">
        <v>0.0</v>
      </c>
      <c r="J22" s="768">
        <v>0.0</v>
      </c>
      <c r="K22" s="768">
        <v>0.0</v>
      </c>
      <c r="L22" s="768">
        <v>0.0</v>
      </c>
      <c r="M22" s="771">
        <v>11.5</v>
      </c>
      <c r="N22" s="768">
        <v>0.0</v>
      </c>
      <c r="O22" s="768">
        <v>0.0</v>
      </c>
      <c r="P22" s="768">
        <v>0.0</v>
      </c>
      <c r="Q22" s="768">
        <v>0.0</v>
      </c>
      <c r="R22" s="768">
        <v>0.0</v>
      </c>
      <c r="S22" s="768">
        <v>0.0</v>
      </c>
      <c r="T22" s="768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>
        <v>0.0</v>
      </c>
      <c r="AF22" s="777">
        <v>0.0</v>
      </c>
      <c r="AG22" s="473">
        <f t="shared" si="1"/>
        <v>16</v>
      </c>
      <c r="AH22" s="455"/>
      <c r="AI22" s="38"/>
      <c r="AJ22" s="38"/>
      <c r="AK22" s="38"/>
      <c r="AL22" s="38"/>
      <c r="AM22" s="38"/>
      <c r="AN22" s="38"/>
      <c r="AP22" s="588"/>
      <c r="AQ22" s="176"/>
      <c r="AR22" s="177"/>
      <c r="AS22" s="589"/>
      <c r="AT22" s="590">
        <f t="shared" si="8"/>
        <v>0</v>
      </c>
      <c r="AU22" s="591">
        <f t="shared" si="9"/>
        <v>0</v>
      </c>
      <c r="AV22" s="592"/>
      <c r="AW22" s="591">
        <f t="shared" si="10"/>
        <v>0</v>
      </c>
      <c r="AX22" s="591">
        <f t="shared" si="11"/>
        <v>0</v>
      </c>
      <c r="AY22" s="268"/>
    </row>
    <row r="23" ht="30.0" customHeight="1">
      <c r="A23" s="758" t="s">
        <v>132</v>
      </c>
      <c r="B23" s="771">
        <v>0.7</v>
      </c>
      <c r="C23" s="771">
        <v>0.98</v>
      </c>
      <c r="D23" s="771">
        <v>2.9</v>
      </c>
      <c r="E23" s="768">
        <v>0.0</v>
      </c>
      <c r="F23" s="768">
        <v>0.0</v>
      </c>
      <c r="G23" s="823">
        <v>0.0</v>
      </c>
      <c r="H23" s="768">
        <v>0.0</v>
      </c>
      <c r="I23" s="768">
        <v>0.0</v>
      </c>
      <c r="J23" s="768">
        <v>0.0</v>
      </c>
      <c r="K23" s="768">
        <v>0.0</v>
      </c>
      <c r="L23" s="768">
        <v>0.0</v>
      </c>
      <c r="M23" s="768">
        <v>0.0</v>
      </c>
      <c r="N23" s="768">
        <v>0.0</v>
      </c>
      <c r="O23" s="768">
        <v>0.0</v>
      </c>
      <c r="P23" s="768">
        <v>0.0</v>
      </c>
      <c r="Q23" s="768">
        <v>0.0</v>
      </c>
      <c r="R23" s="768">
        <v>0.0</v>
      </c>
      <c r="S23" s="768">
        <v>0.0</v>
      </c>
      <c r="T23" s="768">
        <v>0.0</v>
      </c>
      <c r="U23" s="777">
        <v>0.0</v>
      </c>
      <c r="V23" s="777">
        <v>0.0</v>
      </c>
      <c r="W23" s="777">
        <v>0.0</v>
      </c>
      <c r="X23" s="777">
        <v>0.0</v>
      </c>
      <c r="Y23" s="748">
        <v>0.0</v>
      </c>
      <c r="Z23" s="748">
        <v>0.0</v>
      </c>
      <c r="AA23" s="748">
        <v>0.0</v>
      </c>
      <c r="AB23" s="748">
        <v>0.0</v>
      </c>
      <c r="AC23" s="748">
        <v>0.0</v>
      </c>
      <c r="AD23" s="748">
        <v>0.0</v>
      </c>
      <c r="AE23" s="748">
        <v>0.0</v>
      </c>
      <c r="AF23" s="777">
        <v>0.0</v>
      </c>
      <c r="AG23" s="473">
        <f t="shared" si="1"/>
        <v>4.58</v>
      </c>
      <c r="AH23" s="455"/>
      <c r="AI23" s="38"/>
      <c r="AJ23" s="38"/>
      <c r="AK23" s="38"/>
      <c r="AL23" s="38"/>
      <c r="AM23" s="38"/>
      <c r="AN23" s="38"/>
      <c r="AP23" s="588"/>
      <c r="AQ23" s="176"/>
      <c r="AR23" s="177"/>
      <c r="AS23" s="589"/>
      <c r="AT23" s="590">
        <f t="shared" si="8"/>
        <v>0</v>
      </c>
      <c r="AU23" s="591">
        <f t="shared" si="9"/>
        <v>0</v>
      </c>
      <c r="AV23" s="592"/>
      <c r="AW23" s="591">
        <f t="shared" si="10"/>
        <v>0</v>
      </c>
      <c r="AX23" s="591">
        <f t="shared" si="11"/>
        <v>0</v>
      </c>
      <c r="AY23" s="270"/>
    </row>
    <row r="24" ht="30.0" customHeight="1">
      <c r="A24" s="758" t="s">
        <v>137</v>
      </c>
      <c r="B24" s="768">
        <v>0.0</v>
      </c>
      <c r="C24" s="768">
        <v>0.0</v>
      </c>
      <c r="D24" s="768">
        <v>0.0</v>
      </c>
      <c r="E24" s="768">
        <v>0.0</v>
      </c>
      <c r="F24" s="768">
        <v>0.0</v>
      </c>
      <c r="G24" s="823">
        <v>0.0</v>
      </c>
      <c r="H24" s="768">
        <v>0.0</v>
      </c>
      <c r="I24" s="768">
        <v>0.0</v>
      </c>
      <c r="J24" s="768">
        <v>0.0</v>
      </c>
      <c r="K24" s="768">
        <v>0.0</v>
      </c>
      <c r="L24" s="768">
        <v>0.0</v>
      </c>
      <c r="M24" s="820">
        <v>7.0</v>
      </c>
      <c r="N24" s="820">
        <v>1.74</v>
      </c>
      <c r="O24" s="820">
        <v>0.0</v>
      </c>
      <c r="P24" s="820">
        <v>1.5</v>
      </c>
      <c r="Q24" s="820">
        <v>0.0</v>
      </c>
      <c r="R24" s="820">
        <v>0.0</v>
      </c>
      <c r="S24" s="820">
        <v>1.5</v>
      </c>
      <c r="T24" s="820">
        <v>1.62</v>
      </c>
      <c r="U24" s="807">
        <v>6.0</v>
      </c>
      <c r="V24" s="807">
        <v>15.0</v>
      </c>
      <c r="W24" s="807">
        <v>1.5</v>
      </c>
      <c r="X24" s="807">
        <v>1.5</v>
      </c>
      <c r="Y24" s="807">
        <v>1.5</v>
      </c>
      <c r="Z24" s="807">
        <v>3.0</v>
      </c>
      <c r="AA24" s="807">
        <v>1.5</v>
      </c>
      <c r="AB24" s="807">
        <v>3.0</v>
      </c>
      <c r="AC24" s="807">
        <v>0.0</v>
      </c>
      <c r="AD24" s="807">
        <v>1.5</v>
      </c>
      <c r="AE24" s="807">
        <v>0.0</v>
      </c>
      <c r="AF24" s="807">
        <v>0.0</v>
      </c>
      <c r="AG24" s="473">
        <f t="shared" si="1"/>
        <v>47.86</v>
      </c>
      <c r="AH24" s="455"/>
      <c r="AI24" s="38"/>
      <c r="AJ24" s="38"/>
      <c r="AK24" s="38"/>
      <c r="AL24" s="38"/>
      <c r="AM24" s="38"/>
      <c r="AN24" s="38"/>
      <c r="AP24" s="588"/>
      <c r="AQ24" s="176"/>
      <c r="AR24" s="177"/>
      <c r="AS24" s="589"/>
      <c r="AT24" s="590">
        <f t="shared" si="8"/>
        <v>0</v>
      </c>
      <c r="AU24" s="591">
        <f t="shared" si="9"/>
        <v>0</v>
      </c>
      <c r="AV24" s="600"/>
      <c r="AW24" s="591">
        <f t="shared" si="10"/>
        <v>0</v>
      </c>
      <c r="AX24" s="591">
        <f t="shared" si="11"/>
        <v>0</v>
      </c>
      <c r="AY24" s="274"/>
    </row>
    <row r="25" ht="30.0" customHeight="1">
      <c r="A25" s="758" t="s">
        <v>133</v>
      </c>
      <c r="B25" s="771">
        <v>1.5</v>
      </c>
      <c r="C25" s="771">
        <v>0.0</v>
      </c>
      <c r="D25" s="771">
        <v>0.0</v>
      </c>
      <c r="E25" s="771">
        <v>0.0</v>
      </c>
      <c r="F25" s="771">
        <v>3.0</v>
      </c>
      <c r="G25" s="849">
        <v>0.72</v>
      </c>
      <c r="H25" s="771">
        <v>0.0</v>
      </c>
      <c r="I25" s="771">
        <v>0.0</v>
      </c>
      <c r="J25" s="771">
        <v>0.0</v>
      </c>
      <c r="K25" s="771">
        <v>0.0</v>
      </c>
      <c r="L25" s="771">
        <v>0.0</v>
      </c>
      <c r="M25" s="771">
        <v>0.0</v>
      </c>
      <c r="N25" s="771">
        <v>0.0</v>
      </c>
      <c r="O25" s="771">
        <v>0.0</v>
      </c>
      <c r="P25" s="771">
        <v>1.5</v>
      </c>
      <c r="Q25" s="771">
        <v>1.5</v>
      </c>
      <c r="R25" s="771">
        <v>0.12</v>
      </c>
      <c r="S25" s="768">
        <v>0.0</v>
      </c>
      <c r="T25" s="768">
        <v>0.0</v>
      </c>
      <c r="U25" s="777">
        <v>0.0</v>
      </c>
      <c r="V25" s="777">
        <v>0.0</v>
      </c>
      <c r="W25" s="777">
        <v>0.0</v>
      </c>
      <c r="X25" s="777">
        <v>0.0</v>
      </c>
      <c r="Y25" s="777">
        <v>0.0</v>
      </c>
      <c r="Z25" s="777">
        <v>0.0</v>
      </c>
      <c r="AA25" s="777">
        <v>0.0</v>
      </c>
      <c r="AB25" s="777">
        <v>0.0</v>
      </c>
      <c r="AC25" s="777">
        <v>0.0</v>
      </c>
      <c r="AD25" s="777">
        <v>0.0</v>
      </c>
      <c r="AE25" s="777">
        <v>0.0</v>
      </c>
      <c r="AF25" s="777">
        <v>0.0</v>
      </c>
      <c r="AG25" s="473">
        <f t="shared" si="1"/>
        <v>8.34</v>
      </c>
      <c r="AH25" s="455"/>
      <c r="AI25" s="38"/>
      <c r="AJ25" s="38"/>
      <c r="AK25" s="38"/>
      <c r="AL25" s="38"/>
      <c r="AM25" s="38"/>
      <c r="AN25" s="38"/>
      <c r="AP25" s="588"/>
      <c r="AQ25" s="176"/>
      <c r="AR25" s="177"/>
      <c r="AS25" s="589"/>
      <c r="AT25" s="590">
        <f t="shared" si="8"/>
        <v>0</v>
      </c>
      <c r="AU25" s="591">
        <f t="shared" si="9"/>
        <v>0</v>
      </c>
      <c r="AV25" s="600"/>
      <c r="AW25" s="591">
        <f t="shared" si="10"/>
        <v>0</v>
      </c>
      <c r="AX25" s="591">
        <f t="shared" si="11"/>
        <v>0</v>
      </c>
      <c r="AY25" s="280"/>
    </row>
    <row r="26" ht="30.0" customHeight="1">
      <c r="A26" s="758" t="s">
        <v>138</v>
      </c>
      <c r="B26" s="768"/>
      <c r="C26" s="768"/>
      <c r="D26" s="768"/>
      <c r="E26" s="768"/>
      <c r="F26" s="768"/>
      <c r="G26" s="823"/>
      <c r="H26" s="768"/>
      <c r="I26" s="768"/>
      <c r="J26" s="768"/>
      <c r="K26" s="768"/>
      <c r="L26" s="768"/>
      <c r="M26" s="768"/>
      <c r="N26" s="768"/>
      <c r="O26" s="768"/>
      <c r="P26" s="768"/>
      <c r="Q26" s="768"/>
      <c r="R26" s="768"/>
      <c r="S26" s="768"/>
      <c r="T26" s="768"/>
      <c r="U26" s="777"/>
      <c r="V26" s="777"/>
      <c r="W26" s="819">
        <v>7.0</v>
      </c>
      <c r="X26" s="819">
        <v>1.5</v>
      </c>
      <c r="Y26" s="819">
        <v>1.5</v>
      </c>
      <c r="Z26" s="819">
        <v>3.0</v>
      </c>
      <c r="AA26" s="819">
        <v>0.0</v>
      </c>
      <c r="AB26" s="819">
        <v>13.34</v>
      </c>
      <c r="AC26" s="819">
        <v>2.8</v>
      </c>
      <c r="AD26" s="819">
        <v>4.5</v>
      </c>
      <c r="AE26" s="819">
        <v>0.0</v>
      </c>
      <c r="AF26" s="819">
        <v>0.0</v>
      </c>
      <c r="AG26" s="473">
        <f t="shared" si="1"/>
        <v>33.64</v>
      </c>
      <c r="AH26" s="455"/>
      <c r="AI26" s="38"/>
      <c r="AJ26" s="38"/>
      <c r="AK26" s="38"/>
      <c r="AL26" s="38"/>
      <c r="AM26" s="38"/>
      <c r="AN26" s="38"/>
      <c r="AP26" s="588"/>
      <c r="AQ26" s="176"/>
      <c r="AR26" s="177"/>
      <c r="AS26" s="589"/>
      <c r="AT26" s="590">
        <f t="shared" si="8"/>
        <v>0</v>
      </c>
      <c r="AU26" s="591">
        <f t="shared" si="9"/>
        <v>0</v>
      </c>
      <c r="AV26" s="600"/>
      <c r="AW26" s="591">
        <f t="shared" si="10"/>
        <v>0</v>
      </c>
      <c r="AX26" s="591">
        <f t="shared" si="11"/>
        <v>0</v>
      </c>
      <c r="AY26" s="387"/>
    </row>
    <row r="27" ht="30.0" customHeight="1">
      <c r="A27" s="758" t="s">
        <v>139</v>
      </c>
      <c r="B27" s="768"/>
      <c r="C27" s="768"/>
      <c r="D27" s="768"/>
      <c r="E27" s="768"/>
      <c r="F27" s="768"/>
      <c r="G27" s="823"/>
      <c r="H27" s="768"/>
      <c r="I27" s="768"/>
      <c r="J27" s="768"/>
      <c r="K27" s="768"/>
      <c r="L27" s="768"/>
      <c r="M27" s="768"/>
      <c r="N27" s="768"/>
      <c r="O27" s="768"/>
      <c r="P27" s="768"/>
      <c r="Q27" s="768"/>
      <c r="R27" s="771">
        <v>7.0</v>
      </c>
      <c r="S27" s="771">
        <v>0.0</v>
      </c>
      <c r="T27" s="771">
        <v>22.4</v>
      </c>
      <c r="U27" s="748">
        <v>6.76</v>
      </c>
      <c r="V27" s="748">
        <v>10.16</v>
      </c>
      <c r="W27" s="748">
        <v>7.58</v>
      </c>
      <c r="X27" s="748">
        <v>38.89</v>
      </c>
      <c r="Y27" s="748">
        <v>31.13</v>
      </c>
      <c r="Z27" s="748">
        <v>0.0</v>
      </c>
      <c r="AA27" s="748">
        <v>0.0</v>
      </c>
      <c r="AB27" s="748">
        <v>19.43</v>
      </c>
      <c r="AC27" s="748">
        <v>3.2</v>
      </c>
      <c r="AD27" s="748">
        <v>0.0</v>
      </c>
      <c r="AE27" s="748">
        <v>0.0</v>
      </c>
      <c r="AF27" s="748">
        <v>33.56</v>
      </c>
      <c r="AG27" s="473">
        <f t="shared" si="1"/>
        <v>180.11</v>
      </c>
      <c r="AH27" s="455"/>
      <c r="AI27" s="38"/>
      <c r="AJ27" s="38"/>
      <c r="AK27" s="38"/>
      <c r="AL27" s="38"/>
      <c r="AM27" s="38"/>
      <c r="AN27" s="38"/>
      <c r="AS27" s="220">
        <f>SUM(AS17:AS26)</f>
        <v>908.04</v>
      </c>
      <c r="AT27" s="38"/>
      <c r="AU27" s="220">
        <f>SUM(AU17:AU26)</f>
        <v>43.1319</v>
      </c>
    </row>
    <row r="28" ht="30.0" customHeight="1">
      <c r="A28" s="758" t="s">
        <v>140</v>
      </c>
      <c r="B28" s="768"/>
      <c r="C28" s="768"/>
      <c r="D28" s="768"/>
      <c r="E28" s="768"/>
      <c r="F28" s="768"/>
      <c r="G28" s="823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77"/>
      <c r="V28" s="777"/>
      <c r="W28" s="777"/>
      <c r="X28" s="777"/>
      <c r="Y28" s="777"/>
      <c r="Z28" s="777"/>
      <c r="AA28" s="777">
        <v>17.5</v>
      </c>
      <c r="AB28" s="777">
        <v>0.42</v>
      </c>
      <c r="AC28" s="777">
        <v>4.5</v>
      </c>
      <c r="AD28" s="777">
        <v>3.0</v>
      </c>
      <c r="AE28" s="777">
        <v>0.0</v>
      </c>
      <c r="AF28" s="777">
        <v>0.0</v>
      </c>
      <c r="AG28" s="473">
        <f t="shared" si="1"/>
        <v>25.42</v>
      </c>
      <c r="AH28" s="455"/>
      <c r="AI28" s="38"/>
      <c r="AJ28" s="38"/>
      <c r="AK28" s="38"/>
      <c r="AL28" s="38"/>
      <c r="AM28" s="38"/>
      <c r="AN28" s="38"/>
    </row>
    <row r="29" ht="30.0" customHeight="1">
      <c r="A29" s="758" t="s">
        <v>141</v>
      </c>
      <c r="B29" s="768"/>
      <c r="C29" s="768"/>
      <c r="D29" s="768"/>
      <c r="E29" s="768"/>
      <c r="F29" s="768"/>
      <c r="G29" s="823"/>
      <c r="H29" s="768"/>
      <c r="I29" s="768"/>
      <c r="J29" s="768"/>
      <c r="K29" s="768"/>
      <c r="L29" s="768"/>
      <c r="M29" s="768"/>
      <c r="N29" s="768"/>
      <c r="O29" s="768"/>
      <c r="P29" s="768"/>
      <c r="Q29" s="768"/>
      <c r="R29" s="768"/>
      <c r="S29" s="768"/>
      <c r="T29" s="768"/>
      <c r="U29" s="777"/>
      <c r="V29" s="777"/>
      <c r="W29" s="777"/>
      <c r="X29" s="777"/>
      <c r="Y29" s="777"/>
      <c r="Z29" s="777"/>
      <c r="AA29" s="777"/>
      <c r="AB29" s="777"/>
      <c r="AC29" s="777"/>
      <c r="AD29" s="777"/>
      <c r="AE29" s="777"/>
      <c r="AF29" s="777">
        <v>0.0</v>
      </c>
      <c r="AG29" s="473">
        <f t="shared" si="1"/>
        <v>0</v>
      </c>
      <c r="AH29" s="455"/>
      <c r="AI29" s="38"/>
      <c r="AJ29" s="38"/>
      <c r="AK29" s="38"/>
      <c r="AL29" s="38"/>
      <c r="AM29" s="38"/>
      <c r="AN29" s="38"/>
    </row>
    <row r="30" ht="30.0" customHeight="1">
      <c r="A30" s="758" t="s">
        <v>112</v>
      </c>
      <c r="B30" s="768">
        <v>0.0</v>
      </c>
      <c r="C30" s="768">
        <v>0.0</v>
      </c>
      <c r="D30" s="768">
        <v>0.0</v>
      </c>
      <c r="E30" s="768">
        <v>0.0</v>
      </c>
      <c r="F30" s="768">
        <v>0.0</v>
      </c>
      <c r="G30" s="823">
        <v>0.0</v>
      </c>
      <c r="H30" s="783">
        <v>1.5</v>
      </c>
      <c r="I30" s="768">
        <v>0.0</v>
      </c>
      <c r="J30" s="768">
        <v>0.0</v>
      </c>
      <c r="K30" s="768">
        <v>0.0</v>
      </c>
      <c r="L30" s="768">
        <v>0.0</v>
      </c>
      <c r="M30" s="780">
        <v>0.0</v>
      </c>
      <c r="N30" s="768">
        <v>0.0</v>
      </c>
      <c r="O30" s="768">
        <v>0.0</v>
      </c>
      <c r="P30" s="768">
        <v>0.0</v>
      </c>
      <c r="Q30" s="780">
        <v>0.0</v>
      </c>
      <c r="R30" s="780">
        <v>0.0</v>
      </c>
      <c r="S30" s="780">
        <v>0.0</v>
      </c>
      <c r="T30" s="780">
        <v>0.0</v>
      </c>
      <c r="U30" s="749">
        <v>0.0</v>
      </c>
      <c r="V30" s="749">
        <v>0.0</v>
      </c>
      <c r="W30" s="856">
        <v>0.0</v>
      </c>
      <c r="X30" s="856">
        <v>0.0</v>
      </c>
      <c r="Y30" s="856">
        <v>0.0</v>
      </c>
      <c r="Z30" s="856">
        <v>0.0</v>
      </c>
      <c r="AA30" s="777">
        <v>0.0</v>
      </c>
      <c r="AB30" s="777">
        <v>0.0</v>
      </c>
      <c r="AC30" s="777">
        <v>0.12</v>
      </c>
      <c r="AD30" s="777">
        <v>0.0</v>
      </c>
      <c r="AE30" s="777">
        <v>0.0</v>
      </c>
      <c r="AF30" s="777">
        <v>0.0</v>
      </c>
      <c r="AG30" s="473">
        <f t="shared" si="1"/>
        <v>1.62</v>
      </c>
      <c r="AH30" s="455"/>
      <c r="AI30" s="38"/>
      <c r="AJ30" s="38"/>
      <c r="AK30" s="38"/>
      <c r="AL30" s="38"/>
      <c r="AM30" s="38"/>
      <c r="AN30" s="38"/>
    </row>
    <row r="31" ht="30.0" customHeight="1">
      <c r="A31" s="47" t="s">
        <v>14</v>
      </c>
      <c r="B31" s="167">
        <f t="shared" ref="B31:AF31" si="12">SUM(B13:B30,B3:B11,B12)</f>
        <v>163.26</v>
      </c>
      <c r="C31" s="167">
        <f t="shared" si="12"/>
        <v>314.6</v>
      </c>
      <c r="D31" s="167">
        <f t="shared" si="12"/>
        <v>342.93</v>
      </c>
      <c r="E31" s="167">
        <f t="shared" si="12"/>
        <v>98.28</v>
      </c>
      <c r="F31" s="167">
        <f t="shared" si="12"/>
        <v>190.9</v>
      </c>
      <c r="G31" s="167">
        <f t="shared" si="12"/>
        <v>255.6</v>
      </c>
      <c r="H31" s="167">
        <f t="shared" si="12"/>
        <v>271.14</v>
      </c>
      <c r="I31" s="167">
        <f t="shared" si="12"/>
        <v>197.84</v>
      </c>
      <c r="J31" s="167">
        <f t="shared" si="12"/>
        <v>408.26</v>
      </c>
      <c r="K31" s="167">
        <f t="shared" si="12"/>
        <v>297.08</v>
      </c>
      <c r="L31" s="167">
        <f t="shared" si="12"/>
        <v>195.54</v>
      </c>
      <c r="M31" s="167">
        <f t="shared" si="12"/>
        <v>327.1</v>
      </c>
      <c r="N31" s="167">
        <f t="shared" si="12"/>
        <v>246.8</v>
      </c>
      <c r="O31" s="167">
        <f t="shared" si="12"/>
        <v>109.24</v>
      </c>
      <c r="P31" s="167">
        <f t="shared" si="12"/>
        <v>178.26</v>
      </c>
      <c r="Q31" s="167">
        <f t="shared" si="12"/>
        <v>391.76</v>
      </c>
      <c r="R31" s="167">
        <f t="shared" si="12"/>
        <v>354.41</v>
      </c>
      <c r="S31" s="167">
        <f t="shared" si="12"/>
        <v>208.58</v>
      </c>
      <c r="T31" s="167">
        <f t="shared" si="12"/>
        <v>229.9</v>
      </c>
      <c r="U31" s="167">
        <f t="shared" si="12"/>
        <v>197.8</v>
      </c>
      <c r="V31" s="167">
        <f t="shared" si="12"/>
        <v>237.9</v>
      </c>
      <c r="W31" s="167">
        <f t="shared" si="12"/>
        <v>211.92</v>
      </c>
      <c r="X31" s="167">
        <f t="shared" si="12"/>
        <v>289.39</v>
      </c>
      <c r="Y31" s="167">
        <f t="shared" si="12"/>
        <v>204.21</v>
      </c>
      <c r="Z31" s="167">
        <f t="shared" si="12"/>
        <v>306.7</v>
      </c>
      <c r="AA31" s="167">
        <f t="shared" si="12"/>
        <v>248.14</v>
      </c>
      <c r="AB31" s="167">
        <f t="shared" si="12"/>
        <v>335.46</v>
      </c>
      <c r="AC31" s="167">
        <f t="shared" si="12"/>
        <v>167.26</v>
      </c>
      <c r="AD31" s="167">
        <f t="shared" si="12"/>
        <v>97.64</v>
      </c>
      <c r="AE31" s="167">
        <f t="shared" si="12"/>
        <v>79.62</v>
      </c>
      <c r="AF31" s="857">
        <f t="shared" si="12"/>
        <v>265.85</v>
      </c>
      <c r="AG31" s="38"/>
      <c r="AH31" s="58"/>
      <c r="AI31" s="38"/>
      <c r="AJ31" s="38"/>
      <c r="AK31" s="38"/>
      <c r="AL31" s="38"/>
      <c r="AM31" s="38"/>
      <c r="AN31" s="38"/>
    </row>
    <row r="32" ht="30.0" customHeight="1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1"/>
      <c r="O32" s="631"/>
      <c r="P32" s="631"/>
      <c r="Q32" s="631"/>
      <c r="R32" s="631"/>
      <c r="S32" s="631"/>
      <c r="T32" s="631"/>
      <c r="U32" s="631"/>
      <c r="V32" s="631"/>
      <c r="W32" s="631"/>
      <c r="X32" s="631"/>
      <c r="Y32" s="631"/>
      <c r="Z32" s="631"/>
      <c r="AA32" s="631"/>
      <c r="AB32" s="631"/>
      <c r="AC32" s="631"/>
      <c r="AD32" s="631"/>
      <c r="AE32" s="631"/>
      <c r="AF32" s="632"/>
      <c r="AG32" s="38"/>
      <c r="AH32" s="58"/>
      <c r="AI32" s="38"/>
      <c r="AJ32" s="38"/>
      <c r="AK32" s="38"/>
      <c r="AL32" s="38"/>
      <c r="AM32" s="38"/>
      <c r="AN32" s="38"/>
    </row>
    <row r="33" ht="30.75" customHeight="1">
      <c r="A33" s="38"/>
      <c r="B33" s="38"/>
      <c r="C33" s="38"/>
      <c r="D33" s="38"/>
      <c r="E33" s="633"/>
      <c r="F33" s="633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58"/>
      <c r="AI33" s="38"/>
      <c r="AJ33" s="38"/>
      <c r="AK33" s="38"/>
      <c r="AL33" s="38"/>
      <c r="AM33" s="38"/>
      <c r="AN33" s="38"/>
    </row>
    <row r="34" ht="30.75" customHeight="1">
      <c r="A34" s="38"/>
      <c r="B34" s="38"/>
      <c r="C34" s="38"/>
      <c r="D34" s="38"/>
      <c r="E34" s="633"/>
      <c r="F34" s="633"/>
      <c r="AG34" s="49"/>
      <c r="AH34" s="8"/>
      <c r="AO34" s="226"/>
    </row>
    <row r="35" ht="15.75" customHeight="1">
      <c r="A35" s="38"/>
      <c r="B35" s="38"/>
      <c r="C35" s="38"/>
      <c r="D35" s="38"/>
      <c r="E35" s="38"/>
      <c r="F35" s="633"/>
      <c r="G35" s="428"/>
      <c r="AG35" s="49"/>
      <c r="AH35" s="8"/>
      <c r="AO35" s="226"/>
      <c r="AP35" s="226"/>
    </row>
    <row r="36" ht="15.75" customHeight="1">
      <c r="A36" s="38"/>
      <c r="B36" s="38"/>
      <c r="C36" s="38"/>
      <c r="D36" s="428"/>
      <c r="E36" s="38"/>
      <c r="AG36" s="49"/>
      <c r="AH36" s="8"/>
    </row>
    <row r="37" ht="15.75" customHeight="1">
      <c r="A37" s="38"/>
      <c r="B37" s="38"/>
      <c r="C37" s="38"/>
      <c r="D37" s="38"/>
      <c r="E37" s="38"/>
      <c r="AG37" s="49"/>
      <c r="AH37" s="8"/>
    </row>
    <row r="38" ht="15.75" customHeight="1">
      <c r="A38" s="38"/>
      <c r="B38" s="38"/>
      <c r="C38" s="38"/>
      <c r="D38" s="38"/>
      <c r="E38" s="38"/>
      <c r="AG38" s="49"/>
      <c r="AH38" s="8"/>
    </row>
    <row r="39" ht="15.75" customHeight="1">
      <c r="A39" s="38"/>
      <c r="B39" s="428"/>
      <c r="C39" s="38"/>
      <c r="D39" s="38"/>
      <c r="E39" s="38"/>
      <c r="AG39" s="49"/>
      <c r="AH39" s="8"/>
    </row>
    <row r="40" ht="15.75" customHeight="1">
      <c r="A40" s="38"/>
      <c r="B40" s="38"/>
      <c r="C40" s="58"/>
      <c r="D40" s="38"/>
      <c r="E40" s="38"/>
      <c r="F40" s="58"/>
      <c r="AG40" s="49"/>
      <c r="AH40" s="8"/>
    </row>
    <row r="41" ht="15.75" customHeight="1">
      <c r="B41" s="428"/>
      <c r="D41" s="428"/>
      <c r="AG41" s="49"/>
      <c r="AH41" s="8"/>
    </row>
    <row r="42" ht="15.75" customHeight="1">
      <c r="B42" s="428"/>
      <c r="AG42" s="49"/>
      <c r="AH42" s="8"/>
    </row>
    <row r="43" ht="15.75" customHeight="1">
      <c r="AG43" s="49"/>
      <c r="AH43" s="8"/>
    </row>
    <row r="44" ht="15.75" customHeight="1">
      <c r="AG44" s="49"/>
      <c r="AH44" s="8"/>
    </row>
    <row r="45" ht="15.75" customHeight="1">
      <c r="A45" s="38"/>
      <c r="R45" s="38"/>
      <c r="AG45" s="49"/>
      <c r="AH45" s="8"/>
    </row>
    <row r="46" ht="15.75" customHeight="1">
      <c r="A46" s="38"/>
      <c r="R46" s="38"/>
      <c r="AG46" s="49"/>
      <c r="AH46" s="8"/>
    </row>
    <row r="47" ht="15.75" customHeight="1">
      <c r="A47" s="38"/>
      <c r="B47" s="428"/>
      <c r="R47" s="38"/>
      <c r="AG47" s="49"/>
      <c r="AH47" s="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M48" s="38"/>
      <c r="N48" s="38"/>
      <c r="O48" s="38"/>
      <c r="P48" s="38"/>
      <c r="Q48" s="38"/>
      <c r="R48" s="38"/>
      <c r="AG48" s="49"/>
      <c r="AH48" s="8"/>
    </row>
    <row r="49" ht="15.75" customHeight="1">
      <c r="A49" s="634"/>
      <c r="B49" s="635"/>
      <c r="C49" s="636"/>
      <c r="D49" s="636"/>
      <c r="E49" s="636"/>
      <c r="F49" s="636"/>
      <c r="G49" s="636"/>
      <c r="H49" s="636"/>
      <c r="M49" s="38"/>
      <c r="N49" s="635"/>
      <c r="O49" s="38"/>
      <c r="P49" s="635"/>
      <c r="Q49" s="635"/>
      <c r="R49" s="38"/>
      <c r="AG49" s="49"/>
      <c r="AH49" s="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M50" s="38"/>
      <c r="N50" s="38"/>
      <c r="O50" s="38"/>
      <c r="P50" s="38"/>
      <c r="Q50" s="38"/>
      <c r="R50" s="38"/>
      <c r="AG50" s="49"/>
      <c r="AH50" s="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</row>
    <row r="54" ht="15.75" customHeight="1">
      <c r="A54" s="38"/>
      <c r="B54" s="38"/>
      <c r="C54" s="796"/>
      <c r="D54" s="797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38"/>
      <c r="B55" s="38"/>
      <c r="C55" s="796"/>
      <c r="D55" s="797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A56" s="38"/>
      <c r="B56" s="38"/>
      <c r="C56" s="796"/>
      <c r="D56" s="797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796"/>
      <c r="D57" s="797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796"/>
      <c r="D58" s="797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  <c r="AP101" s="3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7:AR17"/>
    <mergeCell ref="AP18:AR18"/>
    <mergeCell ref="AP19:AR19"/>
    <mergeCell ref="I45:I47"/>
    <mergeCell ref="I48:I50"/>
    <mergeCell ref="I51:I53"/>
    <mergeCell ref="I54:I56"/>
    <mergeCell ref="I57:I59"/>
    <mergeCell ref="AP20:AR20"/>
    <mergeCell ref="AP21:AR21"/>
    <mergeCell ref="AP22:AR22"/>
    <mergeCell ref="AP23:AR23"/>
    <mergeCell ref="AP24:AR24"/>
    <mergeCell ref="AP25:AR25"/>
    <mergeCell ref="AP26:AR26"/>
  </mergeCells>
  <conditionalFormatting sqref="A32:AN33 AO33 AZ32:BM33">
    <cfRule type="notContainsBlanks" dxfId="0" priority="1">
      <formula>LEN(TRIM(A32))&gt;0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Z1" s="745"/>
      <c r="BA1" s="226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SUM(AG3:AG31,AW4:AW14,AW17:AW26)</f>
        <v>7928.34</v>
      </c>
      <c r="AH2" s="58"/>
      <c r="AI2" s="38"/>
    </row>
    <row r="3" ht="31.5" customHeight="1">
      <c r="A3" s="758" t="s">
        <v>5</v>
      </c>
      <c r="B3" s="841">
        <v>21.72</v>
      </c>
      <c r="C3" s="842">
        <v>7.5</v>
      </c>
      <c r="D3" s="843">
        <v>0.0</v>
      </c>
      <c r="E3" s="844">
        <v>0.0</v>
      </c>
      <c r="F3" s="807">
        <v>0.0</v>
      </c>
      <c r="G3" s="820">
        <v>0.0</v>
      </c>
      <c r="H3" s="807">
        <v>0.0</v>
      </c>
      <c r="I3" s="807">
        <v>0.0</v>
      </c>
      <c r="J3" s="807">
        <v>6.0</v>
      </c>
      <c r="K3" s="807">
        <v>27.94</v>
      </c>
      <c r="L3" s="807">
        <v>7.5</v>
      </c>
      <c r="M3" s="807">
        <v>10.92</v>
      </c>
      <c r="N3" s="807">
        <v>22.26</v>
      </c>
      <c r="O3" s="807">
        <v>18.56</v>
      </c>
      <c r="P3" s="807">
        <v>10.78</v>
      </c>
      <c r="Q3" s="807">
        <v>12.74</v>
      </c>
      <c r="R3" s="807">
        <v>7.5</v>
      </c>
      <c r="S3" s="807">
        <v>7.2</v>
      </c>
      <c r="T3" s="807">
        <v>4.54</v>
      </c>
      <c r="U3" s="807">
        <v>0.0</v>
      </c>
      <c r="V3" s="807">
        <v>13.92</v>
      </c>
      <c r="W3" s="807">
        <v>23.1</v>
      </c>
      <c r="X3" s="807">
        <v>12.46</v>
      </c>
      <c r="Y3" s="807">
        <v>7.5</v>
      </c>
      <c r="Z3" s="807">
        <v>7.5</v>
      </c>
      <c r="AA3" s="807">
        <v>5.48</v>
      </c>
      <c r="AB3" s="807">
        <v>12.48</v>
      </c>
      <c r="AC3" s="807">
        <v>3.0</v>
      </c>
      <c r="AD3" s="807">
        <v>11.18</v>
      </c>
      <c r="AE3" s="807">
        <v>6.0</v>
      </c>
      <c r="AF3" s="807">
        <v>6.0</v>
      </c>
      <c r="AG3" s="751">
        <f t="shared" ref="AG3:AG31" si="1">SUM(B3:AF3)</f>
        <v>273.78</v>
      </c>
      <c r="AH3" s="455"/>
      <c r="AI3" s="38"/>
      <c r="AP3" s="38"/>
      <c r="AQ3" s="38"/>
      <c r="AR3" s="38"/>
      <c r="AS3" s="862"/>
      <c r="AT3" s="173">
        <v>1.0</v>
      </c>
      <c r="AU3" s="174" t="s">
        <v>16</v>
      </c>
      <c r="AV3" s="173">
        <v>0.05</v>
      </c>
      <c r="AW3" s="456" t="s">
        <v>71</v>
      </c>
      <c r="AX3" s="456" t="s">
        <v>72</v>
      </c>
      <c r="AY3" s="456" t="s">
        <v>73</v>
      </c>
      <c r="AZ3" s="246" t="s">
        <v>34</v>
      </c>
    </row>
    <row r="4" ht="40.5" customHeight="1">
      <c r="A4" s="764" t="s">
        <v>6</v>
      </c>
      <c r="B4" s="845">
        <v>0.0</v>
      </c>
      <c r="C4" s="845">
        <v>10.5</v>
      </c>
      <c r="D4" s="846">
        <v>13.5</v>
      </c>
      <c r="E4" s="846">
        <v>6.0</v>
      </c>
      <c r="F4" s="846">
        <v>1.5</v>
      </c>
      <c r="G4" s="847">
        <v>7.5</v>
      </c>
      <c r="H4" s="846">
        <v>3.0</v>
      </c>
      <c r="I4" s="846">
        <v>3.0</v>
      </c>
      <c r="J4" s="846">
        <v>6.0</v>
      </c>
      <c r="K4" s="846">
        <v>4.5</v>
      </c>
      <c r="L4" s="848">
        <v>1.5</v>
      </c>
      <c r="M4" s="846">
        <v>4.86</v>
      </c>
      <c r="N4" s="846">
        <v>0.12</v>
      </c>
      <c r="O4" s="846">
        <v>4.5</v>
      </c>
      <c r="P4" s="846">
        <v>10.74</v>
      </c>
      <c r="Q4" s="846">
        <v>0.0</v>
      </c>
      <c r="R4" s="846">
        <v>7.5</v>
      </c>
      <c r="S4" s="846">
        <v>0.0</v>
      </c>
      <c r="T4" s="846">
        <v>12.0</v>
      </c>
      <c r="U4" s="846">
        <v>0.0</v>
      </c>
      <c r="V4" s="846">
        <v>0.0</v>
      </c>
      <c r="W4" s="846">
        <v>24.0</v>
      </c>
      <c r="X4" s="846">
        <v>16.5</v>
      </c>
      <c r="Y4" s="846">
        <v>0.0</v>
      </c>
      <c r="Z4" s="846">
        <v>16.62</v>
      </c>
      <c r="AA4" s="846">
        <v>0.0</v>
      </c>
      <c r="AB4" s="846">
        <v>15.0</v>
      </c>
      <c r="AC4" s="846">
        <v>12.0</v>
      </c>
      <c r="AD4" s="846">
        <v>9.0</v>
      </c>
      <c r="AE4" s="846">
        <v>6.0</v>
      </c>
      <c r="AF4" s="846">
        <v>0.0</v>
      </c>
      <c r="AG4" s="751">
        <f t="shared" si="1"/>
        <v>195.84</v>
      </c>
      <c r="AH4" s="487"/>
      <c r="AI4" s="38"/>
      <c r="AJ4" s="38"/>
      <c r="AP4" s="344" t="s">
        <v>120</v>
      </c>
      <c r="AQ4" s="176"/>
      <c r="AR4" s="177"/>
      <c r="AS4" s="464"/>
      <c r="AT4" s="464">
        <f>SUM(valuesByColor("#980000", "", B3:AF31))</f>
        <v>335.6</v>
      </c>
      <c r="AU4" s="345">
        <f t="shared" ref="AU4:AU14" si="2">((AT4*(1-0.05))*(1-0.6))+AX4-AZ4</f>
        <v>127.528</v>
      </c>
      <c r="AV4" s="346">
        <f t="shared" ref="AV4:AV14" si="3">(AT4*(1-0.05))*(1-0.95)+AY4</f>
        <v>15.941</v>
      </c>
      <c r="AW4" s="346"/>
      <c r="AX4" s="346">
        <f t="shared" ref="AX4:AX10" si="4">(AW4*(1-0.05))*(1-0.9)</f>
        <v>0</v>
      </c>
      <c r="AY4" s="346">
        <f t="shared" ref="AY4:AY10" si="5">(AW4*(1-0.05))*(1-0.95)</f>
        <v>0</v>
      </c>
      <c r="AZ4" s="347"/>
    </row>
    <row r="5" ht="27.0" customHeight="1">
      <c r="A5" s="773" t="s">
        <v>134</v>
      </c>
      <c r="B5" s="846">
        <v>0.0</v>
      </c>
      <c r="C5" s="846">
        <v>24.12</v>
      </c>
      <c r="D5" s="846">
        <v>9.0</v>
      </c>
      <c r="E5" s="846">
        <v>3.0</v>
      </c>
      <c r="F5" s="846">
        <v>4.5</v>
      </c>
      <c r="G5" s="847">
        <v>1.62</v>
      </c>
      <c r="H5" s="846">
        <v>1.5</v>
      </c>
      <c r="I5" s="846">
        <v>0.0</v>
      </c>
      <c r="J5" s="846">
        <v>0.0</v>
      </c>
      <c r="K5" s="846">
        <v>1.5</v>
      </c>
      <c r="L5" s="848">
        <v>0.0</v>
      </c>
      <c r="M5" s="846">
        <v>3.0</v>
      </c>
      <c r="N5" s="846">
        <v>0.0</v>
      </c>
      <c r="O5" s="846">
        <v>4.5</v>
      </c>
      <c r="P5" s="846">
        <v>4.62</v>
      </c>
      <c r="Q5" s="846">
        <v>0.0</v>
      </c>
      <c r="R5" s="846">
        <v>3.0</v>
      </c>
      <c r="S5" s="846">
        <v>0.0</v>
      </c>
      <c r="T5" s="846">
        <v>0.0</v>
      </c>
      <c r="U5" s="858">
        <v>0.0</v>
      </c>
      <c r="V5" s="858">
        <v>0.0</v>
      </c>
      <c r="W5" s="858">
        <v>1.62</v>
      </c>
      <c r="X5" s="858">
        <v>1.62</v>
      </c>
      <c r="Y5" s="858">
        <v>0.0</v>
      </c>
      <c r="Z5" s="858">
        <v>1.5</v>
      </c>
      <c r="AA5" s="858">
        <v>0.0</v>
      </c>
      <c r="AB5" s="858">
        <v>1.5</v>
      </c>
      <c r="AC5" s="858">
        <v>6.0</v>
      </c>
      <c r="AD5" s="858">
        <v>0.0</v>
      </c>
      <c r="AE5" s="858">
        <v>4.74</v>
      </c>
      <c r="AF5" s="858">
        <v>0.0</v>
      </c>
      <c r="AG5" s="751">
        <f t="shared" si="1"/>
        <v>77.34</v>
      </c>
      <c r="AH5" s="487"/>
      <c r="AI5" s="38"/>
      <c r="AJ5" s="38"/>
      <c r="AP5" s="175" t="s">
        <v>102</v>
      </c>
      <c r="AQ5" s="176"/>
      <c r="AR5" s="177"/>
      <c r="AS5" s="467"/>
      <c r="AT5" s="467">
        <f>SUM(valuesByColor("yellow", "", B3:AF31))</f>
        <v>1331.4</v>
      </c>
      <c r="AU5" s="178">
        <f t="shared" si="2"/>
        <v>455.932</v>
      </c>
      <c r="AV5" s="248">
        <f t="shared" si="3"/>
        <v>63.2415</v>
      </c>
      <c r="AW5" s="248"/>
      <c r="AX5" s="248">
        <f t="shared" si="4"/>
        <v>0</v>
      </c>
      <c r="AY5" s="248">
        <f t="shared" si="5"/>
        <v>0</v>
      </c>
      <c r="AZ5" s="249">
        <v>50.0</v>
      </c>
    </row>
    <row r="6" ht="27.0" customHeight="1">
      <c r="A6" s="773" t="s">
        <v>3</v>
      </c>
      <c r="B6" s="771">
        <v>74.82</v>
      </c>
      <c r="C6" s="771">
        <v>8.38</v>
      </c>
      <c r="D6" s="771">
        <v>5.81</v>
      </c>
      <c r="E6" s="771">
        <v>25.27</v>
      </c>
      <c r="F6" s="771">
        <v>12.64</v>
      </c>
      <c r="G6" s="849">
        <v>0.56</v>
      </c>
      <c r="H6" s="771">
        <v>15.92</v>
      </c>
      <c r="I6" s="771">
        <v>22.83</v>
      </c>
      <c r="J6" s="771">
        <v>9.77</v>
      </c>
      <c r="K6" s="771">
        <v>1.96</v>
      </c>
      <c r="L6" s="771">
        <v>23.74</v>
      </c>
      <c r="M6" s="771">
        <v>19.79</v>
      </c>
      <c r="N6" s="771">
        <v>14.28</v>
      </c>
      <c r="O6" s="771">
        <v>0.0</v>
      </c>
      <c r="P6" s="771">
        <v>9.46</v>
      </c>
      <c r="Q6" s="771">
        <v>7.98</v>
      </c>
      <c r="R6" s="771">
        <v>1.5</v>
      </c>
      <c r="S6" s="771">
        <v>11.57</v>
      </c>
      <c r="T6" s="771">
        <v>5.76</v>
      </c>
      <c r="U6" s="748">
        <v>14.68</v>
      </c>
      <c r="V6" s="748">
        <v>7.5</v>
      </c>
      <c r="W6" s="748">
        <v>11.48</v>
      </c>
      <c r="X6" s="748">
        <v>11.74</v>
      </c>
      <c r="Y6" s="748">
        <v>4.5</v>
      </c>
      <c r="Z6" s="748">
        <v>2.9</v>
      </c>
      <c r="AA6" s="748">
        <v>5.2</v>
      </c>
      <c r="AB6" s="748">
        <v>4.5</v>
      </c>
      <c r="AC6" s="748">
        <v>8.64</v>
      </c>
      <c r="AD6" s="748">
        <v>3.42</v>
      </c>
      <c r="AE6" s="748">
        <v>0.0</v>
      </c>
      <c r="AF6" s="748">
        <v>0.14</v>
      </c>
      <c r="AG6" s="751">
        <f t="shared" si="1"/>
        <v>346.74</v>
      </c>
      <c r="AH6" s="487"/>
      <c r="AI6" s="38"/>
      <c r="AJ6" s="38"/>
      <c r="AP6" s="252"/>
      <c r="AQ6" s="176"/>
      <c r="AR6" s="177"/>
      <c r="AS6" s="474"/>
      <c r="AT6" s="474">
        <f>SUM(valuesByColor("cyan", "", B3:AF31))</f>
        <v>0</v>
      </c>
      <c r="AU6" s="253">
        <f t="shared" si="2"/>
        <v>0</v>
      </c>
      <c r="AV6" s="254">
        <f t="shared" si="3"/>
        <v>0</v>
      </c>
      <c r="AW6" s="254"/>
      <c r="AX6" s="254">
        <f t="shared" si="4"/>
        <v>0</v>
      </c>
      <c r="AY6" s="254">
        <f t="shared" si="5"/>
        <v>0</v>
      </c>
      <c r="AZ6" s="255"/>
    </row>
    <row r="7" ht="28.5" customHeight="1">
      <c r="A7" s="747" t="s">
        <v>31</v>
      </c>
      <c r="B7" s="820">
        <v>3.0</v>
      </c>
      <c r="C7" s="807">
        <v>3.0</v>
      </c>
      <c r="D7" s="820">
        <v>0.0</v>
      </c>
      <c r="E7" s="820">
        <v>0.0</v>
      </c>
      <c r="F7" s="820">
        <v>0.0</v>
      </c>
      <c r="G7" s="850">
        <v>0.0</v>
      </c>
      <c r="H7" s="820">
        <v>0.0</v>
      </c>
      <c r="I7" s="820">
        <v>0.0</v>
      </c>
      <c r="J7" s="820">
        <v>3.0</v>
      </c>
      <c r="K7" s="820">
        <v>0.0</v>
      </c>
      <c r="L7" s="807">
        <v>0.0</v>
      </c>
      <c r="M7" s="807">
        <v>7.5</v>
      </c>
      <c r="N7" s="807">
        <v>3.0</v>
      </c>
      <c r="O7" s="807">
        <v>0.0</v>
      </c>
      <c r="P7" s="807">
        <v>0.0</v>
      </c>
      <c r="Q7" s="748">
        <v>1.5</v>
      </c>
      <c r="R7" s="777">
        <v>0.0</v>
      </c>
      <c r="S7" s="777">
        <v>0.0</v>
      </c>
      <c r="T7" s="777">
        <v>0.0</v>
      </c>
      <c r="U7" s="777">
        <v>0.0</v>
      </c>
      <c r="V7" s="777">
        <v>0.0</v>
      </c>
      <c r="W7" s="777">
        <v>0.0</v>
      </c>
      <c r="X7" s="777">
        <v>0.0</v>
      </c>
      <c r="Y7" s="777">
        <v>0.0</v>
      </c>
      <c r="Z7" s="777">
        <v>0.0</v>
      </c>
      <c r="AA7" s="777">
        <v>0.0</v>
      </c>
      <c r="AB7" s="777">
        <v>0.0</v>
      </c>
      <c r="AC7" s="777">
        <v>0.0</v>
      </c>
      <c r="AD7" s="777">
        <v>0.0</v>
      </c>
      <c r="AE7" s="777">
        <v>0.0</v>
      </c>
      <c r="AF7" s="777">
        <v>0.0</v>
      </c>
      <c r="AG7" s="751">
        <f t="shared" si="1"/>
        <v>21</v>
      </c>
      <c r="AH7" s="455"/>
      <c r="AI7" s="38"/>
      <c r="AJ7" s="38"/>
      <c r="AK7" s="38"/>
      <c r="AL7" s="38"/>
      <c r="AP7" s="188" t="s">
        <v>38</v>
      </c>
      <c r="AQ7" s="176"/>
      <c r="AR7" s="177"/>
      <c r="AS7" s="481"/>
      <c r="AT7" s="481">
        <f>SUM(valuesByColor("#f09090", "", B3:AF31))</f>
        <v>2426.56</v>
      </c>
      <c r="AU7" s="189">
        <f t="shared" si="2"/>
        <v>880.6428</v>
      </c>
      <c r="AV7" s="256">
        <f t="shared" si="3"/>
        <v>119.5366</v>
      </c>
      <c r="AW7" s="256">
        <v>90.0</v>
      </c>
      <c r="AX7" s="482">
        <f t="shared" si="4"/>
        <v>8.55</v>
      </c>
      <c r="AY7" s="482">
        <f t="shared" si="5"/>
        <v>4.275</v>
      </c>
      <c r="AZ7" s="257">
        <v>50.0</v>
      </c>
    </row>
    <row r="8" ht="28.5" customHeight="1">
      <c r="A8" s="747" t="s">
        <v>32</v>
      </c>
      <c r="B8" s="768">
        <v>0.0</v>
      </c>
      <c r="C8" s="777">
        <v>0.0</v>
      </c>
      <c r="D8" s="777">
        <v>0.0</v>
      </c>
      <c r="E8" s="777">
        <v>0.0</v>
      </c>
      <c r="F8" s="768">
        <v>0.0</v>
      </c>
      <c r="G8" s="823">
        <v>0.0</v>
      </c>
      <c r="H8" s="768">
        <v>0.0</v>
      </c>
      <c r="I8" s="768">
        <v>0.0</v>
      </c>
      <c r="J8" s="768">
        <v>0.0</v>
      </c>
      <c r="K8" s="768">
        <v>0.0</v>
      </c>
      <c r="L8" s="777">
        <v>0.0</v>
      </c>
      <c r="M8" s="777">
        <v>0.0</v>
      </c>
      <c r="N8" s="807">
        <v>9.0</v>
      </c>
      <c r="O8" s="807">
        <v>1.5</v>
      </c>
      <c r="P8" s="807">
        <v>0.0</v>
      </c>
      <c r="Q8" s="807">
        <v>0.0</v>
      </c>
      <c r="R8" s="807">
        <v>3.0</v>
      </c>
      <c r="S8" s="807">
        <v>1.62</v>
      </c>
      <c r="T8" s="807">
        <v>1.5</v>
      </c>
      <c r="U8" s="807">
        <v>0.0</v>
      </c>
      <c r="V8" s="807">
        <v>15.2</v>
      </c>
      <c r="W8" s="807">
        <v>0.0</v>
      </c>
      <c r="X8" s="807">
        <v>3.0</v>
      </c>
      <c r="Y8" s="807">
        <v>1.5</v>
      </c>
      <c r="Z8" s="807">
        <v>1.5</v>
      </c>
      <c r="AA8" s="807">
        <v>0.0</v>
      </c>
      <c r="AB8" s="807">
        <v>1.5</v>
      </c>
      <c r="AC8" s="807">
        <v>3.0</v>
      </c>
      <c r="AD8" s="807">
        <v>0.0</v>
      </c>
      <c r="AE8" s="807">
        <v>0.0</v>
      </c>
      <c r="AF8" s="807">
        <v>0.0</v>
      </c>
      <c r="AG8" s="751">
        <f t="shared" si="1"/>
        <v>42.32</v>
      </c>
      <c r="AH8" s="455"/>
      <c r="AI8" s="38"/>
      <c r="AJ8" s="38"/>
      <c r="AK8" s="38"/>
      <c r="AL8" s="38"/>
      <c r="AP8" s="263" t="s">
        <v>114</v>
      </c>
      <c r="AQ8" s="176"/>
      <c r="AR8" s="177"/>
      <c r="AS8" s="808"/>
      <c r="AT8" s="808">
        <f>SUM(valuesByColor("magenta", "", B3:AF31))</f>
        <v>54.58</v>
      </c>
      <c r="AU8" s="264">
        <f t="shared" si="2"/>
        <v>20.7404</v>
      </c>
      <c r="AV8" s="265">
        <f t="shared" si="3"/>
        <v>2.59255</v>
      </c>
      <c r="AW8" s="265"/>
      <c r="AX8" s="489">
        <f t="shared" si="4"/>
        <v>0</v>
      </c>
      <c r="AY8" s="489">
        <f t="shared" si="5"/>
        <v>0</v>
      </c>
      <c r="AZ8" s="266"/>
    </row>
    <row r="9" ht="29.25" customHeight="1">
      <c r="A9" s="747" t="s">
        <v>83</v>
      </c>
      <c r="B9" s="750">
        <v>0.0</v>
      </c>
      <c r="C9" s="750">
        <v>0.0</v>
      </c>
      <c r="D9" s="750">
        <v>0.0</v>
      </c>
      <c r="E9" s="750">
        <v>0.0</v>
      </c>
      <c r="F9" s="750">
        <v>0.0</v>
      </c>
      <c r="G9" s="859">
        <v>0.0</v>
      </c>
      <c r="H9" s="750">
        <v>0.0</v>
      </c>
      <c r="I9" s="750">
        <v>0.0</v>
      </c>
      <c r="J9" s="863">
        <v>1.74</v>
      </c>
      <c r="K9" s="863">
        <v>6.0</v>
      </c>
      <c r="L9" s="863">
        <v>1.5</v>
      </c>
      <c r="M9" s="863">
        <v>18.71</v>
      </c>
      <c r="N9" s="863">
        <v>10.5</v>
      </c>
      <c r="O9" s="863">
        <v>4.5</v>
      </c>
      <c r="P9" s="863">
        <v>1.5</v>
      </c>
      <c r="Q9" s="863">
        <v>3.0</v>
      </c>
      <c r="R9" s="863">
        <v>1.5</v>
      </c>
      <c r="S9" s="863">
        <v>5.9</v>
      </c>
      <c r="T9" s="863">
        <v>4.5</v>
      </c>
      <c r="U9" s="863">
        <v>7.5</v>
      </c>
      <c r="V9" s="863">
        <v>13.3</v>
      </c>
      <c r="W9" s="863">
        <v>13.5</v>
      </c>
      <c r="X9" s="863">
        <v>6.0</v>
      </c>
      <c r="Y9" s="863">
        <v>10.5</v>
      </c>
      <c r="Z9" s="863">
        <v>27.44</v>
      </c>
      <c r="AA9" s="863">
        <v>4.5</v>
      </c>
      <c r="AB9" s="863">
        <v>4.5</v>
      </c>
      <c r="AC9" s="863">
        <v>4.5</v>
      </c>
      <c r="AD9" s="863">
        <v>7.5</v>
      </c>
      <c r="AE9" s="863">
        <v>7.5</v>
      </c>
      <c r="AF9" s="863">
        <v>6.0</v>
      </c>
      <c r="AG9" s="751">
        <f t="shared" si="1"/>
        <v>172.09</v>
      </c>
      <c r="AH9" s="455"/>
      <c r="AI9" s="38"/>
      <c r="AJ9" s="38"/>
      <c r="AK9" s="38"/>
      <c r="AL9" s="38"/>
      <c r="AM9" s="38"/>
      <c r="AN9" s="38"/>
      <c r="AP9" s="195"/>
      <c r="AQ9" s="176"/>
      <c r="AR9" s="177"/>
      <c r="AS9" s="493"/>
      <c r="AT9" s="493">
        <f>SUM(valuesByColor("#0070c0", "", B3:AF31))</f>
        <v>0</v>
      </c>
      <c r="AU9" s="196">
        <f t="shared" si="2"/>
        <v>0</v>
      </c>
      <c r="AV9" s="267">
        <f t="shared" si="3"/>
        <v>0</v>
      </c>
      <c r="AW9" s="267"/>
      <c r="AX9" s="494">
        <f t="shared" si="4"/>
        <v>0</v>
      </c>
      <c r="AY9" s="494">
        <f t="shared" si="5"/>
        <v>0</v>
      </c>
      <c r="AZ9" s="268"/>
    </row>
    <row r="10" ht="29.25" customHeight="1">
      <c r="A10" s="747" t="s">
        <v>84</v>
      </c>
      <c r="B10" s="822">
        <v>16.74</v>
      </c>
      <c r="C10" s="822">
        <v>6.0</v>
      </c>
      <c r="D10" s="822">
        <v>33.0</v>
      </c>
      <c r="E10" s="822">
        <v>13.62</v>
      </c>
      <c r="F10" s="822">
        <v>25.78</v>
      </c>
      <c r="G10" s="798">
        <v>13.5</v>
      </c>
      <c r="H10" s="822">
        <v>29.57</v>
      </c>
      <c r="I10" s="822">
        <v>4.5</v>
      </c>
      <c r="J10" s="822">
        <v>4.62</v>
      </c>
      <c r="K10" s="822">
        <v>3.68</v>
      </c>
      <c r="L10" s="822">
        <v>11.18</v>
      </c>
      <c r="M10" s="822">
        <v>9.12</v>
      </c>
      <c r="N10" s="822">
        <v>20.28</v>
      </c>
      <c r="O10" s="822">
        <v>32.73</v>
      </c>
      <c r="P10" s="822">
        <v>7.0</v>
      </c>
      <c r="Q10" s="822">
        <v>48.1</v>
      </c>
      <c r="R10" s="822">
        <v>30.12</v>
      </c>
      <c r="S10" s="822">
        <v>27.0</v>
      </c>
      <c r="T10" s="822">
        <v>29.22</v>
      </c>
      <c r="U10" s="822">
        <v>25.39</v>
      </c>
      <c r="V10" s="822">
        <v>46.92</v>
      </c>
      <c r="W10" s="822">
        <v>46.62</v>
      </c>
      <c r="X10" s="822">
        <v>24.12</v>
      </c>
      <c r="Y10" s="822">
        <v>20.74</v>
      </c>
      <c r="Z10" s="822">
        <v>12.24</v>
      </c>
      <c r="AA10" s="822">
        <v>30.06</v>
      </c>
      <c r="AB10" s="822">
        <v>72.85</v>
      </c>
      <c r="AC10" s="822">
        <v>56.66</v>
      </c>
      <c r="AD10" s="822">
        <v>9.0</v>
      </c>
      <c r="AE10" s="822">
        <v>29.24</v>
      </c>
      <c r="AF10" s="822">
        <v>52.62</v>
      </c>
      <c r="AG10" s="861">
        <f t="shared" si="1"/>
        <v>792.22</v>
      </c>
      <c r="AH10" s="455"/>
      <c r="AI10" s="38"/>
      <c r="AJ10" s="38"/>
      <c r="AK10" s="38"/>
      <c r="AL10" s="38"/>
      <c r="AM10" s="38"/>
      <c r="AN10" s="38"/>
      <c r="AP10" s="201" t="s">
        <v>75</v>
      </c>
      <c r="AQ10" s="176"/>
      <c r="AR10" s="177"/>
      <c r="AS10" s="503"/>
      <c r="AT10" s="503">
        <f>SUM(valuesByColor("#ec7c31", "", B3:AF31))</f>
        <v>1072.52</v>
      </c>
      <c r="AU10" s="202">
        <f t="shared" si="2"/>
        <v>407.5576</v>
      </c>
      <c r="AV10" s="269">
        <f t="shared" si="3"/>
        <v>50.9447</v>
      </c>
      <c r="AW10" s="269"/>
      <c r="AX10" s="504">
        <f t="shared" si="4"/>
        <v>0</v>
      </c>
      <c r="AY10" s="504">
        <f t="shared" si="5"/>
        <v>0</v>
      </c>
      <c r="AZ10" s="270"/>
    </row>
    <row r="11" ht="29.25" customHeight="1">
      <c r="A11" s="747" t="s">
        <v>85</v>
      </c>
      <c r="B11" s="819">
        <v>1.5</v>
      </c>
      <c r="C11" s="819">
        <v>1.5</v>
      </c>
      <c r="D11" s="819">
        <v>0.0</v>
      </c>
      <c r="E11" s="819">
        <v>3.0</v>
      </c>
      <c r="F11" s="819">
        <v>1.5</v>
      </c>
      <c r="G11" s="854">
        <v>0.0</v>
      </c>
      <c r="H11" s="819">
        <v>0.0</v>
      </c>
      <c r="I11" s="819">
        <v>0.0</v>
      </c>
      <c r="J11" s="819">
        <v>0.0</v>
      </c>
      <c r="K11" s="819">
        <v>0.0</v>
      </c>
      <c r="L11" s="819">
        <v>0.0</v>
      </c>
      <c r="M11" s="819">
        <v>0.0</v>
      </c>
      <c r="N11" s="819">
        <v>0.0</v>
      </c>
      <c r="O11" s="819">
        <v>0.0</v>
      </c>
      <c r="P11" s="819">
        <v>0.0</v>
      </c>
      <c r="Q11" s="819">
        <v>0.0</v>
      </c>
      <c r="R11" s="819">
        <v>0.0</v>
      </c>
      <c r="S11" s="819">
        <v>0.0</v>
      </c>
      <c r="T11" s="819">
        <v>0.0</v>
      </c>
      <c r="U11" s="819">
        <v>1.5</v>
      </c>
      <c r="V11" s="819">
        <v>0.0</v>
      </c>
      <c r="W11" s="819">
        <v>0.0</v>
      </c>
      <c r="X11" s="819">
        <v>0.0</v>
      </c>
      <c r="Y11" s="819">
        <v>3.0</v>
      </c>
      <c r="Z11" s="819">
        <v>1.5</v>
      </c>
      <c r="AA11" s="819">
        <v>0.0</v>
      </c>
      <c r="AB11" s="819">
        <v>0.0</v>
      </c>
      <c r="AC11" s="819">
        <v>3.0</v>
      </c>
      <c r="AD11" s="819">
        <v>0.0</v>
      </c>
      <c r="AE11" s="819">
        <v>0.0</v>
      </c>
      <c r="AF11" s="819">
        <v>0.0</v>
      </c>
      <c r="AG11" s="751">
        <f t="shared" si="1"/>
        <v>16.5</v>
      </c>
      <c r="AH11" s="455"/>
      <c r="AI11" s="38"/>
      <c r="AJ11" s="38"/>
      <c r="AK11" s="38"/>
      <c r="AL11" s="38"/>
      <c r="AM11" s="38"/>
      <c r="AN11" s="38"/>
      <c r="AP11" s="810"/>
      <c r="AQ11" s="176"/>
      <c r="AR11" s="177"/>
      <c r="AS11" s="827"/>
      <c r="AT11" s="827">
        <f>SUM(valuesByColor("#911553", "", B3:AF31))</f>
        <v>0</v>
      </c>
      <c r="AU11" s="828">
        <f t="shared" si="2"/>
        <v>0</v>
      </c>
      <c r="AV11" s="829">
        <f t="shared" si="3"/>
        <v>0</v>
      </c>
      <c r="AW11" s="814"/>
      <c r="AX11" s="815">
        <v>0.0</v>
      </c>
      <c r="AY11" s="815">
        <v>0.0</v>
      </c>
      <c r="AZ11" s="274"/>
    </row>
    <row r="12" ht="29.25" customHeight="1">
      <c r="A12" s="747" t="s">
        <v>111</v>
      </c>
      <c r="B12" s="793">
        <v>121.93</v>
      </c>
      <c r="C12" s="793">
        <v>77.94</v>
      </c>
      <c r="D12" s="793">
        <v>12.0</v>
      </c>
      <c r="E12" s="793">
        <v>49.78</v>
      </c>
      <c r="F12" s="793">
        <v>6.0</v>
      </c>
      <c r="G12" s="855">
        <v>6.0</v>
      </c>
      <c r="H12" s="793">
        <v>63.32</v>
      </c>
      <c r="I12" s="793">
        <v>33.0</v>
      </c>
      <c r="J12" s="793">
        <v>39.88</v>
      </c>
      <c r="K12" s="793">
        <v>36.0</v>
      </c>
      <c r="L12" s="793">
        <v>28.54</v>
      </c>
      <c r="M12" s="793">
        <v>21.0</v>
      </c>
      <c r="N12" s="793">
        <v>19.5</v>
      </c>
      <c r="O12" s="793">
        <v>40.48</v>
      </c>
      <c r="P12" s="793">
        <v>19.56</v>
      </c>
      <c r="Q12" s="793">
        <v>26.92</v>
      </c>
      <c r="R12" s="793">
        <v>45.16</v>
      </c>
      <c r="S12" s="793">
        <v>33.14</v>
      </c>
      <c r="T12" s="793">
        <v>57.4</v>
      </c>
      <c r="U12" s="793">
        <v>66.22</v>
      </c>
      <c r="V12" s="793">
        <v>40.5</v>
      </c>
      <c r="W12" s="793">
        <v>1.5</v>
      </c>
      <c r="X12" s="793">
        <v>21.0</v>
      </c>
      <c r="Y12" s="793">
        <v>24.04</v>
      </c>
      <c r="Z12" s="793">
        <v>37.5</v>
      </c>
      <c r="AA12" s="793">
        <v>13.5</v>
      </c>
      <c r="AB12" s="793">
        <v>0.0</v>
      </c>
      <c r="AC12" s="793">
        <v>39.0</v>
      </c>
      <c r="AD12" s="793">
        <v>39.13</v>
      </c>
      <c r="AE12" s="793">
        <v>7.5</v>
      </c>
      <c r="AF12" s="793">
        <v>16.5</v>
      </c>
      <c r="AG12" s="751">
        <f t="shared" si="1"/>
        <v>1043.94</v>
      </c>
      <c r="AH12" s="455"/>
      <c r="AI12" s="38"/>
      <c r="AJ12" s="38"/>
      <c r="AK12" s="38"/>
      <c r="AL12" s="38"/>
      <c r="AM12" s="38"/>
      <c r="AN12" s="38"/>
      <c r="AP12" s="277" t="s">
        <v>142</v>
      </c>
      <c r="AQ12" s="176"/>
      <c r="AR12" s="177"/>
      <c r="AS12" s="518"/>
      <c r="AT12" s="518">
        <f>SUM(valuesByColor("lime", "", B3:AF31))</f>
        <v>253.71</v>
      </c>
      <c r="AU12" s="278">
        <f t="shared" si="2"/>
        <v>96.4098</v>
      </c>
      <c r="AV12" s="279">
        <f t="shared" si="3"/>
        <v>12.051225</v>
      </c>
      <c r="AW12" s="279"/>
      <c r="AX12" s="519">
        <f t="shared" ref="AX12:AX14" si="6">(AW12*(1-0.05))*(1-0.9)</f>
        <v>0</v>
      </c>
      <c r="AY12" s="519">
        <f t="shared" ref="AY12:AY14" si="7">(AW12*(1-0.05))*(1-0.95)</f>
        <v>0</v>
      </c>
      <c r="AZ12" s="280"/>
    </row>
    <row r="13" ht="29.25" customHeight="1">
      <c r="A13" s="758" t="s">
        <v>97</v>
      </c>
      <c r="B13" s="680">
        <v>36.0</v>
      </c>
      <c r="C13" s="680">
        <v>28.62</v>
      </c>
      <c r="D13" s="680">
        <v>49.5</v>
      </c>
      <c r="E13" s="680">
        <v>42.12</v>
      </c>
      <c r="F13" s="680">
        <v>28.86</v>
      </c>
      <c r="G13" s="853">
        <v>39.12</v>
      </c>
      <c r="H13" s="680">
        <v>49.98</v>
      </c>
      <c r="I13" s="680">
        <v>12.24</v>
      </c>
      <c r="J13" s="680">
        <v>28.74</v>
      </c>
      <c r="K13" s="680">
        <v>60.24</v>
      </c>
      <c r="L13" s="680">
        <v>46.62</v>
      </c>
      <c r="M13" s="680">
        <v>43.5</v>
      </c>
      <c r="N13" s="680">
        <v>61.5</v>
      </c>
      <c r="O13" s="680">
        <v>51.12</v>
      </c>
      <c r="P13" s="680">
        <v>37.5</v>
      </c>
      <c r="Q13" s="680">
        <v>49.5</v>
      </c>
      <c r="R13" s="680">
        <v>22.5</v>
      </c>
      <c r="S13" s="680">
        <v>28.5</v>
      </c>
      <c r="T13" s="680">
        <v>48.0</v>
      </c>
      <c r="U13" s="680">
        <v>55.5</v>
      </c>
      <c r="V13" s="680">
        <v>4.5</v>
      </c>
      <c r="W13" s="680">
        <v>60.0</v>
      </c>
      <c r="X13" s="680">
        <v>51.0</v>
      </c>
      <c r="Y13" s="680">
        <v>61.62</v>
      </c>
      <c r="Z13" s="680">
        <v>66.12</v>
      </c>
      <c r="AA13" s="680">
        <v>40.5</v>
      </c>
      <c r="AB13" s="680">
        <v>37.5</v>
      </c>
      <c r="AC13" s="680">
        <v>97.5</v>
      </c>
      <c r="AD13" s="680">
        <v>12.0</v>
      </c>
      <c r="AE13" s="680">
        <v>33.0</v>
      </c>
      <c r="AF13" s="680">
        <v>48.0</v>
      </c>
      <c r="AG13" s="473">
        <f t="shared" si="1"/>
        <v>1331.4</v>
      </c>
      <c r="AH13" s="455"/>
      <c r="AI13" s="38"/>
      <c r="AJ13" s="38"/>
      <c r="AK13" s="38"/>
      <c r="AL13" s="38"/>
      <c r="AM13" s="38"/>
      <c r="AN13" s="38"/>
      <c r="AP13" s="668"/>
      <c r="AQ13" s="176"/>
      <c r="AR13" s="177"/>
      <c r="AS13" s="669"/>
      <c r="AT13" s="669">
        <f>SUM(valuesByColor("#7a00ff", "", B3:AF31))</f>
        <v>0</v>
      </c>
      <c r="AU13" s="670">
        <f t="shared" si="2"/>
        <v>0</v>
      </c>
      <c r="AV13" s="671">
        <f t="shared" si="3"/>
        <v>0</v>
      </c>
      <c r="AW13" s="671"/>
      <c r="AX13" s="672">
        <f t="shared" si="6"/>
        <v>0</v>
      </c>
      <c r="AY13" s="672">
        <f t="shared" si="7"/>
        <v>0</v>
      </c>
      <c r="AZ13" s="673"/>
    </row>
    <row r="14" ht="29.25" customHeight="1">
      <c r="A14" s="758" t="s">
        <v>99</v>
      </c>
      <c r="B14" s="822">
        <v>18.0</v>
      </c>
      <c r="C14" s="822">
        <v>12.0</v>
      </c>
      <c r="D14" s="822">
        <v>13.62</v>
      </c>
      <c r="E14" s="822">
        <v>7.5</v>
      </c>
      <c r="F14" s="822">
        <v>25.5</v>
      </c>
      <c r="G14" s="798">
        <v>1.62</v>
      </c>
      <c r="H14" s="822">
        <v>3.12</v>
      </c>
      <c r="I14" s="822">
        <v>28.5</v>
      </c>
      <c r="J14" s="822">
        <v>44.18</v>
      </c>
      <c r="K14" s="822">
        <v>4.5</v>
      </c>
      <c r="L14" s="822">
        <v>6.12</v>
      </c>
      <c r="M14" s="822">
        <v>9.0</v>
      </c>
      <c r="N14" s="822">
        <v>12.0</v>
      </c>
      <c r="O14" s="822">
        <v>10.92</v>
      </c>
      <c r="P14" s="822">
        <v>18.43</v>
      </c>
      <c r="Q14" s="822">
        <v>0.0</v>
      </c>
      <c r="R14" s="822">
        <v>4.5</v>
      </c>
      <c r="S14" s="822">
        <v>3.0</v>
      </c>
      <c r="T14" s="822">
        <v>21.68</v>
      </c>
      <c r="U14" s="822">
        <v>6.3</v>
      </c>
      <c r="V14" s="822">
        <v>1.5</v>
      </c>
      <c r="W14" s="822">
        <v>7.5</v>
      </c>
      <c r="X14" s="822">
        <v>13.5</v>
      </c>
      <c r="Y14" s="822">
        <v>7.5</v>
      </c>
      <c r="Z14" s="822">
        <v>7.5</v>
      </c>
      <c r="AA14" s="822">
        <v>3.0</v>
      </c>
      <c r="AB14" s="822">
        <v>0.0</v>
      </c>
      <c r="AC14" s="822">
        <v>0.0</v>
      </c>
      <c r="AD14" s="822">
        <v>1.5</v>
      </c>
      <c r="AE14" s="822">
        <v>4.5</v>
      </c>
      <c r="AF14" s="822">
        <v>1.5</v>
      </c>
      <c r="AG14" s="473">
        <f t="shared" si="1"/>
        <v>298.49</v>
      </c>
      <c r="AH14" s="455"/>
      <c r="AI14" s="38"/>
      <c r="AJ14" s="38"/>
      <c r="AK14" s="38"/>
      <c r="AL14" s="38"/>
      <c r="AM14" s="38"/>
      <c r="AN14" s="38"/>
      <c r="AP14" s="384"/>
      <c r="AQ14" s="176"/>
      <c r="AR14" s="177"/>
      <c r="AS14" s="521"/>
      <c r="AT14" s="521">
        <f>SUM(valuesByColor("dark yellow 3", "", B3:AF31))</f>
        <v>0</v>
      </c>
      <c r="AU14" s="385">
        <f t="shared" si="2"/>
        <v>0</v>
      </c>
      <c r="AV14" s="386">
        <f t="shared" si="3"/>
        <v>0</v>
      </c>
      <c r="AW14" s="386"/>
      <c r="AX14" s="522">
        <f t="shared" si="6"/>
        <v>0</v>
      </c>
      <c r="AY14" s="522">
        <f t="shared" si="7"/>
        <v>0</v>
      </c>
      <c r="AZ14" s="387"/>
    </row>
    <row r="15" ht="29.25" customHeight="1">
      <c r="A15" s="758" t="s">
        <v>100</v>
      </c>
      <c r="B15" s="777">
        <v>0.0</v>
      </c>
      <c r="C15" s="777">
        <v>0.0</v>
      </c>
      <c r="D15" s="777">
        <v>0.0</v>
      </c>
      <c r="E15" s="777">
        <v>0.0</v>
      </c>
      <c r="F15" s="777">
        <v>0.0</v>
      </c>
      <c r="G15" s="823">
        <v>0.0</v>
      </c>
      <c r="H15" s="777">
        <v>0.0</v>
      </c>
      <c r="I15" s="777">
        <v>0.0</v>
      </c>
      <c r="J15" s="777">
        <v>0.0</v>
      </c>
      <c r="K15" s="777">
        <v>0.0</v>
      </c>
      <c r="L15" s="777">
        <v>0.0</v>
      </c>
      <c r="M15" s="777">
        <v>0.0</v>
      </c>
      <c r="N15" s="864">
        <v>0.0</v>
      </c>
      <c r="O15" s="864">
        <v>6.0</v>
      </c>
      <c r="P15" s="777">
        <v>0.0</v>
      </c>
      <c r="Q15" s="777">
        <v>0.0</v>
      </c>
      <c r="R15" s="777">
        <v>0.0</v>
      </c>
      <c r="S15" s="777">
        <v>0.0</v>
      </c>
      <c r="T15" s="777">
        <v>0.0</v>
      </c>
      <c r="U15" s="777">
        <v>0.0</v>
      </c>
      <c r="V15" s="777">
        <v>0.0</v>
      </c>
      <c r="W15" s="777">
        <v>0.0</v>
      </c>
      <c r="X15" s="777">
        <v>0.0</v>
      </c>
      <c r="Y15" s="777">
        <v>0.0</v>
      </c>
      <c r="Z15" s="777">
        <v>0.0</v>
      </c>
      <c r="AA15" s="777">
        <v>0.0</v>
      </c>
      <c r="AB15" s="777">
        <v>0.0</v>
      </c>
      <c r="AC15" s="777">
        <v>0.0</v>
      </c>
      <c r="AD15" s="777">
        <v>0.0</v>
      </c>
      <c r="AE15" s="777">
        <v>0.0</v>
      </c>
      <c r="AF15" s="777">
        <v>0.0</v>
      </c>
      <c r="AG15" s="473">
        <f t="shared" si="1"/>
        <v>6</v>
      </c>
      <c r="AH15" s="455"/>
      <c r="AI15" s="38"/>
      <c r="AJ15" s="38"/>
      <c r="AK15" s="38"/>
      <c r="AL15" s="38"/>
      <c r="AM15" s="38"/>
      <c r="AN15" s="38"/>
      <c r="AS15" s="865"/>
      <c r="AT15" s="527">
        <f>SUM(AT4:AT14)</f>
        <v>5474.37</v>
      </c>
      <c r="AU15" s="38"/>
      <c r="AV15" s="220">
        <f>SUM(AV4:AV14)</f>
        <v>264.307575</v>
      </c>
    </row>
    <row r="16" ht="29.25" customHeight="1">
      <c r="A16" s="838" t="s">
        <v>124</v>
      </c>
      <c r="B16" s="839">
        <v>12.0</v>
      </c>
      <c r="C16" s="839">
        <v>6.0</v>
      </c>
      <c r="D16" s="839">
        <v>0.0</v>
      </c>
      <c r="E16" s="839">
        <v>7.5</v>
      </c>
      <c r="F16" s="839">
        <v>0.0</v>
      </c>
      <c r="G16" s="855">
        <v>0.0</v>
      </c>
      <c r="H16" s="772">
        <v>3.38</v>
      </c>
      <c r="I16" s="772">
        <v>12.02</v>
      </c>
      <c r="J16" s="772">
        <v>16.65</v>
      </c>
      <c r="K16" s="772">
        <v>1.5</v>
      </c>
      <c r="L16" s="772">
        <v>6.47</v>
      </c>
      <c r="M16" s="772">
        <v>3.0</v>
      </c>
      <c r="N16" s="772">
        <v>8.94</v>
      </c>
      <c r="O16" s="772">
        <v>30.59</v>
      </c>
      <c r="P16" s="772">
        <v>55.77</v>
      </c>
      <c r="Q16" s="772">
        <v>25.36</v>
      </c>
      <c r="R16" s="772">
        <v>1.5</v>
      </c>
      <c r="S16" s="772">
        <v>0.0</v>
      </c>
      <c r="T16" s="772">
        <v>16.22</v>
      </c>
      <c r="U16" s="763">
        <v>3.94</v>
      </c>
      <c r="V16" s="763">
        <v>3.94</v>
      </c>
      <c r="W16" s="763">
        <v>7.82</v>
      </c>
      <c r="X16" s="763">
        <v>1.5</v>
      </c>
      <c r="Y16" s="763">
        <v>4.5</v>
      </c>
      <c r="Z16" s="763">
        <v>1.5</v>
      </c>
      <c r="AA16" s="763">
        <v>0.0</v>
      </c>
      <c r="AB16" s="763">
        <v>1.62</v>
      </c>
      <c r="AC16" s="763">
        <v>26.05</v>
      </c>
      <c r="AD16" s="763">
        <v>11.28</v>
      </c>
      <c r="AE16" s="763">
        <v>3.14</v>
      </c>
      <c r="AF16" s="763">
        <v>0.0</v>
      </c>
      <c r="AG16" s="473">
        <f t="shared" si="1"/>
        <v>272.19</v>
      </c>
      <c r="AH16" s="455"/>
      <c r="AI16" s="38"/>
      <c r="AJ16" s="38"/>
      <c r="AK16" s="38"/>
      <c r="AL16" s="38"/>
      <c r="AM16" s="38"/>
      <c r="AN16" s="38"/>
      <c r="AP16" s="38"/>
      <c r="AQ16" s="38"/>
      <c r="AR16" s="38"/>
      <c r="AS16" s="862"/>
      <c r="AT16" s="173">
        <v>1.0</v>
      </c>
      <c r="AU16" s="174" t="s">
        <v>16</v>
      </c>
      <c r="AV16" s="173">
        <v>0.05</v>
      </c>
      <c r="AW16" s="456" t="s">
        <v>71</v>
      </c>
      <c r="AX16" s="456" t="s">
        <v>72</v>
      </c>
      <c r="AY16" s="456" t="s">
        <v>73</v>
      </c>
      <c r="AZ16" s="246" t="s">
        <v>34</v>
      </c>
    </row>
    <row r="17" ht="29.25" customHeight="1">
      <c r="A17" s="758" t="s">
        <v>125</v>
      </c>
      <c r="B17" s="771">
        <v>19.46</v>
      </c>
      <c r="C17" s="771">
        <v>0.0</v>
      </c>
      <c r="D17" s="771">
        <v>0.7</v>
      </c>
      <c r="E17" s="771">
        <v>3.5</v>
      </c>
      <c r="F17" s="771">
        <v>1.26</v>
      </c>
      <c r="G17" s="849">
        <v>0.0</v>
      </c>
      <c r="H17" s="771">
        <v>0.0</v>
      </c>
      <c r="I17" s="771">
        <v>0.0</v>
      </c>
      <c r="J17" s="771">
        <v>0.0</v>
      </c>
      <c r="K17" s="771">
        <v>0.0</v>
      </c>
      <c r="L17" s="771">
        <v>0.0</v>
      </c>
      <c r="M17" s="771">
        <v>1.5</v>
      </c>
      <c r="N17" s="771">
        <v>0.6</v>
      </c>
      <c r="O17" s="768">
        <v>0.0</v>
      </c>
      <c r="P17" s="768">
        <v>0.0</v>
      </c>
      <c r="Q17" s="768">
        <v>0.0</v>
      </c>
      <c r="R17" s="768">
        <v>0.0</v>
      </c>
      <c r="S17" s="768">
        <v>0.0</v>
      </c>
      <c r="T17" s="768">
        <v>0.0</v>
      </c>
      <c r="U17" s="777">
        <v>0.0</v>
      </c>
      <c r="V17" s="777">
        <v>0.0</v>
      </c>
      <c r="W17" s="777">
        <v>0.0</v>
      </c>
      <c r="X17" s="777">
        <v>0.0</v>
      </c>
      <c r="Y17" s="777">
        <v>0.0</v>
      </c>
      <c r="Z17" s="777">
        <v>0.0</v>
      </c>
      <c r="AA17" s="777">
        <v>0.0</v>
      </c>
      <c r="AB17" s="777">
        <v>0.0</v>
      </c>
      <c r="AC17" s="777">
        <v>0.0</v>
      </c>
      <c r="AD17" s="777">
        <v>0.0</v>
      </c>
      <c r="AE17" s="777">
        <v>0.0</v>
      </c>
      <c r="AF17" s="777">
        <v>0.0</v>
      </c>
      <c r="AG17" s="473">
        <f t="shared" si="1"/>
        <v>27.02</v>
      </c>
      <c r="AH17" s="455"/>
      <c r="AI17" s="38"/>
      <c r="AJ17" s="38"/>
      <c r="AK17" s="38"/>
      <c r="AL17" s="38"/>
      <c r="AM17" s="38"/>
      <c r="AN17" s="38"/>
      <c r="AP17" s="544" t="s">
        <v>108</v>
      </c>
      <c r="AQ17" s="176"/>
      <c r="AR17" s="177"/>
      <c r="AS17" s="545"/>
      <c r="AT17" s="545">
        <f>SUM(valuesByColor("#ffc4d5", "", B3:AF31))</f>
        <v>793.91</v>
      </c>
      <c r="AU17" s="545">
        <f t="shared" ref="AU17:AU26" si="8">((AT17*(1-0.05))*(1-0.6))+AX17-AZ17</f>
        <v>301.6858</v>
      </c>
      <c r="AV17" s="546">
        <f t="shared" ref="AV17:AV26" si="9">(AT17*(1-0.05))*(1-0.95)+AY17</f>
        <v>37.710725</v>
      </c>
      <c r="AW17" s="546"/>
      <c r="AX17" s="546">
        <f t="shared" ref="AX17:AX26" si="10">(AW17*(1-0.05))*(1-0.9)</f>
        <v>0</v>
      </c>
      <c r="AY17" s="546">
        <f t="shared" ref="AY17:AY26" si="11">(AW17*(1-0.05))*(1-0.95)</f>
        <v>0</v>
      </c>
      <c r="AZ17" s="547"/>
    </row>
    <row r="18" ht="30.0" customHeight="1">
      <c r="A18" s="758" t="s">
        <v>126</v>
      </c>
      <c r="B18" s="768">
        <v>0.0</v>
      </c>
      <c r="C18" s="768">
        <v>0.0</v>
      </c>
      <c r="D18" s="768">
        <v>0.0</v>
      </c>
      <c r="E18" s="768">
        <v>0.0</v>
      </c>
      <c r="F18" s="768">
        <v>0.0</v>
      </c>
      <c r="G18" s="823">
        <v>0.0</v>
      </c>
      <c r="H18" s="768">
        <v>0.0</v>
      </c>
      <c r="I18" s="768">
        <v>0.0</v>
      </c>
      <c r="J18" s="768">
        <v>0.0</v>
      </c>
      <c r="K18" s="768">
        <v>0.0</v>
      </c>
      <c r="L18" s="768">
        <v>0.0</v>
      </c>
      <c r="M18" s="772">
        <v>0.12</v>
      </c>
      <c r="N18" s="772">
        <v>0.0</v>
      </c>
      <c r="O18" s="772">
        <v>0.0</v>
      </c>
      <c r="P18" s="772">
        <v>1.4</v>
      </c>
      <c r="Q18" s="772">
        <v>0.0</v>
      </c>
      <c r="R18" s="772">
        <v>0.0</v>
      </c>
      <c r="S18" s="772">
        <v>0.0</v>
      </c>
      <c r="T18" s="772">
        <v>1.5</v>
      </c>
      <c r="U18" s="763">
        <v>0.0</v>
      </c>
      <c r="V18" s="763">
        <v>0.0</v>
      </c>
      <c r="W18" s="763">
        <v>1.62</v>
      </c>
      <c r="X18" s="763">
        <v>0.0</v>
      </c>
      <c r="Y18" s="763">
        <v>0.0</v>
      </c>
      <c r="Z18" s="763">
        <v>0.0</v>
      </c>
      <c r="AA18" s="763">
        <v>0.0</v>
      </c>
      <c r="AB18" s="763">
        <v>0.0</v>
      </c>
      <c r="AC18" s="763">
        <v>0.0</v>
      </c>
      <c r="AD18" s="763">
        <v>0.0</v>
      </c>
      <c r="AE18" s="763">
        <v>0.0</v>
      </c>
      <c r="AF18" s="763">
        <v>0.0</v>
      </c>
      <c r="AG18" s="473">
        <f t="shared" si="1"/>
        <v>4.64</v>
      </c>
      <c r="AH18" s="455"/>
      <c r="AI18" s="38"/>
      <c r="AJ18" s="38"/>
      <c r="AK18" s="38"/>
      <c r="AL18" s="38"/>
      <c r="AM18" s="38"/>
      <c r="AN18" s="38"/>
      <c r="AP18" s="555"/>
      <c r="AQ18" s="176"/>
      <c r="AR18" s="177"/>
      <c r="AS18" s="556"/>
      <c r="AT18" s="556">
        <f>SUM(valuesByColor("#636212", "", B3:AF31))</f>
        <v>0</v>
      </c>
      <c r="AU18" s="556">
        <f t="shared" si="8"/>
        <v>0</v>
      </c>
      <c r="AV18" s="557">
        <f t="shared" si="9"/>
        <v>0</v>
      </c>
      <c r="AW18" s="557"/>
      <c r="AX18" s="557">
        <f t="shared" si="10"/>
        <v>0</v>
      </c>
      <c r="AY18" s="557">
        <f t="shared" si="11"/>
        <v>0</v>
      </c>
      <c r="AZ18" s="558"/>
    </row>
    <row r="19" ht="30.0" customHeight="1">
      <c r="A19" s="758" t="s">
        <v>127</v>
      </c>
      <c r="B19" s="768">
        <v>0.0</v>
      </c>
      <c r="C19" s="768">
        <v>0.0</v>
      </c>
      <c r="D19" s="768">
        <v>0.0</v>
      </c>
      <c r="E19" s="768">
        <v>0.0</v>
      </c>
      <c r="F19" s="768">
        <v>0.0</v>
      </c>
      <c r="G19" s="823">
        <v>0.0</v>
      </c>
      <c r="H19" s="768">
        <v>0.0</v>
      </c>
      <c r="I19" s="768">
        <v>0.0</v>
      </c>
      <c r="J19" s="768">
        <v>0.0</v>
      </c>
      <c r="K19" s="768">
        <v>0.0</v>
      </c>
      <c r="L19" s="768">
        <v>0.0</v>
      </c>
      <c r="M19" s="768">
        <v>0.0</v>
      </c>
      <c r="N19" s="768">
        <v>0.0</v>
      </c>
      <c r="O19" s="768">
        <v>0.0</v>
      </c>
      <c r="P19" s="768">
        <v>0.0</v>
      </c>
      <c r="Q19" s="768">
        <v>0.0</v>
      </c>
      <c r="R19" s="768">
        <v>0.0</v>
      </c>
      <c r="S19" s="768">
        <v>0.0</v>
      </c>
      <c r="T19" s="768">
        <v>0.0</v>
      </c>
      <c r="U19" s="777">
        <v>0.0</v>
      </c>
      <c r="V19" s="777">
        <v>0.0</v>
      </c>
      <c r="W19" s="777">
        <v>0.0</v>
      </c>
      <c r="X19" s="777">
        <v>0.0</v>
      </c>
      <c r="Y19" s="777">
        <v>0.0</v>
      </c>
      <c r="Z19" s="777">
        <v>0.0</v>
      </c>
      <c r="AA19" s="777">
        <v>0.0</v>
      </c>
      <c r="AB19" s="777">
        <v>0.0</v>
      </c>
      <c r="AC19" s="777">
        <v>0.0</v>
      </c>
      <c r="AD19" s="777">
        <v>0.0</v>
      </c>
      <c r="AE19" s="777">
        <v>0.0</v>
      </c>
      <c r="AF19" s="777">
        <v>0.0</v>
      </c>
      <c r="AG19" s="473">
        <f t="shared" si="1"/>
        <v>0</v>
      </c>
      <c r="AH19" s="455"/>
      <c r="AI19" s="38"/>
      <c r="AJ19" s="38"/>
      <c r="AK19" s="38"/>
      <c r="AL19" s="38"/>
      <c r="AM19" s="38"/>
      <c r="AN19" s="38"/>
      <c r="AP19" s="563" t="s">
        <v>135</v>
      </c>
      <c r="AQ19" s="176"/>
      <c r="AR19" s="177"/>
      <c r="AS19" s="564"/>
      <c r="AT19" s="564">
        <f>SUM(valuesByColor("#00b572", "", B3:AF31))</f>
        <v>1112.79</v>
      </c>
      <c r="AU19" s="564">
        <f t="shared" si="8"/>
        <v>322.8602</v>
      </c>
      <c r="AV19" s="565">
        <f t="shared" si="9"/>
        <v>52.857525</v>
      </c>
      <c r="AW19" s="565"/>
      <c r="AX19" s="565">
        <f t="shared" si="10"/>
        <v>0</v>
      </c>
      <c r="AY19" s="565">
        <f t="shared" si="11"/>
        <v>0</v>
      </c>
      <c r="AZ19" s="566">
        <v>100.0</v>
      </c>
    </row>
    <row r="20" ht="30.0" customHeight="1">
      <c r="A20" s="758" t="s">
        <v>129</v>
      </c>
      <c r="B20" s="839">
        <v>88.03</v>
      </c>
      <c r="C20" s="839">
        <v>53.42</v>
      </c>
      <c r="D20" s="839">
        <v>22.5</v>
      </c>
      <c r="E20" s="839">
        <v>24.0</v>
      </c>
      <c r="F20" s="839">
        <v>18.0</v>
      </c>
      <c r="G20" s="855">
        <v>7.5</v>
      </c>
      <c r="H20" s="839">
        <v>32.06</v>
      </c>
      <c r="I20" s="839">
        <v>27.0</v>
      </c>
      <c r="J20" s="839">
        <v>44.8</v>
      </c>
      <c r="K20" s="839">
        <v>78.3</v>
      </c>
      <c r="L20" s="839">
        <v>46.64</v>
      </c>
      <c r="M20" s="839">
        <v>32.36</v>
      </c>
      <c r="N20" s="839">
        <v>25.04</v>
      </c>
      <c r="O20" s="839">
        <v>55.5</v>
      </c>
      <c r="P20" s="839">
        <v>69.16</v>
      </c>
      <c r="Q20" s="839">
        <v>40.71</v>
      </c>
      <c r="R20" s="839">
        <v>55.75</v>
      </c>
      <c r="S20" s="839">
        <v>101.06</v>
      </c>
      <c r="T20" s="839">
        <v>76.98</v>
      </c>
      <c r="U20" s="793">
        <v>66.9</v>
      </c>
      <c r="V20" s="793">
        <v>40.92</v>
      </c>
      <c r="W20" s="793">
        <v>4.5</v>
      </c>
      <c r="X20" s="793">
        <v>41.52</v>
      </c>
      <c r="Y20" s="793">
        <v>34.6</v>
      </c>
      <c r="Z20" s="793">
        <v>25.02</v>
      </c>
      <c r="AA20" s="793">
        <v>19.5</v>
      </c>
      <c r="AB20" s="793">
        <v>1.5</v>
      </c>
      <c r="AC20" s="793">
        <v>64.9</v>
      </c>
      <c r="AD20" s="793">
        <v>62.21</v>
      </c>
      <c r="AE20" s="793">
        <v>12.0</v>
      </c>
      <c r="AF20" s="793">
        <v>42.04</v>
      </c>
      <c r="AG20" s="473">
        <f t="shared" si="1"/>
        <v>1314.42</v>
      </c>
      <c r="AH20" s="455"/>
      <c r="AI20" s="38"/>
      <c r="AJ20" s="38"/>
      <c r="AK20" s="38"/>
      <c r="AL20" s="38"/>
      <c r="AM20" s="38"/>
      <c r="AN20" s="38"/>
      <c r="AP20" s="575" t="s">
        <v>143</v>
      </c>
      <c r="AQ20" s="176"/>
      <c r="AR20" s="177"/>
      <c r="AS20" s="576"/>
      <c r="AT20" s="576">
        <f>SUM(valuesByColor("#7030a0", "", B3:AF31))</f>
        <v>0</v>
      </c>
      <c r="AU20" s="576">
        <f t="shared" si="8"/>
        <v>0</v>
      </c>
      <c r="AV20" s="577">
        <f t="shared" si="9"/>
        <v>0</v>
      </c>
      <c r="AW20" s="577"/>
      <c r="AX20" s="577">
        <f t="shared" si="10"/>
        <v>0</v>
      </c>
      <c r="AY20" s="577">
        <f t="shared" si="11"/>
        <v>0</v>
      </c>
      <c r="AZ20" s="578"/>
    </row>
    <row r="21" ht="30.0" customHeight="1">
      <c r="A21" s="758" t="s">
        <v>131</v>
      </c>
      <c r="B21" s="780">
        <v>13.62</v>
      </c>
      <c r="C21" s="780">
        <v>0.0</v>
      </c>
      <c r="D21" s="780">
        <v>23.78</v>
      </c>
      <c r="E21" s="780">
        <v>21.12</v>
      </c>
      <c r="F21" s="780">
        <v>15.8</v>
      </c>
      <c r="G21" s="752">
        <v>0.0</v>
      </c>
      <c r="H21" s="780">
        <v>31.74</v>
      </c>
      <c r="I21" s="780">
        <v>0.68</v>
      </c>
      <c r="J21" s="780">
        <v>27.01</v>
      </c>
      <c r="K21" s="780">
        <v>12.0</v>
      </c>
      <c r="L21" s="780">
        <v>22.74</v>
      </c>
      <c r="M21" s="780">
        <v>12.12</v>
      </c>
      <c r="N21" s="780">
        <v>49.62</v>
      </c>
      <c r="O21" s="780">
        <v>19.74</v>
      </c>
      <c r="P21" s="780">
        <v>48.54</v>
      </c>
      <c r="Q21" s="780">
        <v>36.0</v>
      </c>
      <c r="R21" s="780">
        <v>9.0</v>
      </c>
      <c r="S21" s="780">
        <v>10.9</v>
      </c>
      <c r="T21" s="780">
        <v>22.5</v>
      </c>
      <c r="U21" s="749">
        <v>25.32</v>
      </c>
      <c r="V21" s="749">
        <v>7.62</v>
      </c>
      <c r="W21" s="749">
        <v>24.62</v>
      </c>
      <c r="X21" s="749">
        <v>6.12</v>
      </c>
      <c r="Y21" s="749">
        <v>24.12</v>
      </c>
      <c r="Z21" s="749">
        <v>12.12</v>
      </c>
      <c r="AA21" s="749">
        <v>15.0</v>
      </c>
      <c r="AB21" s="749">
        <v>10.5</v>
      </c>
      <c r="AC21" s="749">
        <v>9.0</v>
      </c>
      <c r="AD21" s="749">
        <v>4.5</v>
      </c>
      <c r="AE21" s="749">
        <v>12.0</v>
      </c>
      <c r="AF21" s="749">
        <v>7.62</v>
      </c>
      <c r="AG21" s="473">
        <f t="shared" si="1"/>
        <v>535.45</v>
      </c>
      <c r="AH21" s="455"/>
      <c r="AI21" s="38"/>
      <c r="AJ21" s="38"/>
      <c r="AK21" s="38"/>
      <c r="AL21" s="38"/>
      <c r="AM21" s="38"/>
      <c r="AN21" s="38"/>
      <c r="AP21" s="580" t="s">
        <v>130</v>
      </c>
      <c r="AQ21" s="176"/>
      <c r="AR21" s="177"/>
      <c r="AS21" s="581"/>
      <c r="AT21" s="581">
        <f>SUM(valuesByColor("#9bbb59", "", B4:AF32))</f>
        <v>0</v>
      </c>
      <c r="AU21" s="582">
        <f t="shared" si="8"/>
        <v>0</v>
      </c>
      <c r="AV21" s="583">
        <f t="shared" si="9"/>
        <v>0</v>
      </c>
      <c r="AW21" s="584"/>
      <c r="AX21" s="583">
        <f t="shared" si="10"/>
        <v>0</v>
      </c>
      <c r="AY21" s="583">
        <f t="shared" si="11"/>
        <v>0</v>
      </c>
      <c r="AZ21" s="585"/>
    </row>
    <row r="22" ht="30.0" customHeight="1">
      <c r="A22" s="758" t="s">
        <v>136</v>
      </c>
      <c r="B22" s="768">
        <v>0.0</v>
      </c>
      <c r="C22" s="768">
        <v>0.0</v>
      </c>
      <c r="D22" s="768">
        <v>0.0</v>
      </c>
      <c r="E22" s="768">
        <v>0.0</v>
      </c>
      <c r="F22" s="768">
        <v>0.0</v>
      </c>
      <c r="G22" s="823">
        <v>0.0</v>
      </c>
      <c r="H22" s="772">
        <v>2.38</v>
      </c>
      <c r="I22" s="768">
        <v>0.0</v>
      </c>
      <c r="J22" s="768">
        <v>0.0</v>
      </c>
      <c r="K22" s="768">
        <v>0.0</v>
      </c>
      <c r="L22" s="768">
        <v>0.0</v>
      </c>
      <c r="M22" s="771">
        <v>0.0</v>
      </c>
      <c r="N22" s="768">
        <v>0.0</v>
      </c>
      <c r="O22" s="768">
        <v>0.0</v>
      </c>
      <c r="P22" s="768">
        <v>0.0</v>
      </c>
      <c r="Q22" s="768">
        <v>0.0</v>
      </c>
      <c r="R22" s="768">
        <v>0.0</v>
      </c>
      <c r="S22" s="768">
        <v>0.0</v>
      </c>
      <c r="T22" s="768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>
        <v>0.0</v>
      </c>
      <c r="AF22" s="777">
        <v>0.0</v>
      </c>
      <c r="AG22" s="473">
        <f t="shared" si="1"/>
        <v>2.38</v>
      </c>
      <c r="AH22" s="455"/>
      <c r="AI22" s="38"/>
      <c r="AJ22" s="38"/>
      <c r="AK22" s="38"/>
      <c r="AL22" s="38"/>
      <c r="AM22" s="38"/>
      <c r="AN22" s="38"/>
      <c r="AP22" s="588"/>
      <c r="AQ22" s="176"/>
      <c r="AR22" s="177"/>
      <c r="AS22" s="589"/>
      <c r="AT22" s="589"/>
      <c r="AU22" s="590">
        <f t="shared" si="8"/>
        <v>0</v>
      </c>
      <c r="AV22" s="591">
        <f t="shared" si="9"/>
        <v>0</v>
      </c>
      <c r="AW22" s="592"/>
      <c r="AX22" s="591">
        <f t="shared" si="10"/>
        <v>0</v>
      </c>
      <c r="AY22" s="591">
        <f t="shared" si="11"/>
        <v>0</v>
      </c>
      <c r="AZ22" s="268"/>
    </row>
    <row r="23" ht="30.0" customHeight="1">
      <c r="A23" s="758" t="s">
        <v>132</v>
      </c>
      <c r="B23" s="771">
        <v>0.0</v>
      </c>
      <c r="C23" s="771">
        <v>0.0</v>
      </c>
      <c r="D23" s="771">
        <v>0.0</v>
      </c>
      <c r="E23" s="768">
        <v>0.0</v>
      </c>
      <c r="F23" s="768">
        <v>0.0</v>
      </c>
      <c r="G23" s="823">
        <v>0.0</v>
      </c>
      <c r="H23" s="768">
        <v>0.0</v>
      </c>
      <c r="I23" s="768">
        <v>0.0</v>
      </c>
      <c r="J23" s="768">
        <v>0.0</v>
      </c>
      <c r="K23" s="768">
        <v>0.0</v>
      </c>
      <c r="L23" s="768">
        <v>0.0</v>
      </c>
      <c r="M23" s="768">
        <v>0.0</v>
      </c>
      <c r="N23" s="768">
        <v>0.0</v>
      </c>
      <c r="O23" s="768">
        <v>0.0</v>
      </c>
      <c r="P23" s="768">
        <v>0.0</v>
      </c>
      <c r="Q23" s="768">
        <v>0.0</v>
      </c>
      <c r="R23" s="768">
        <v>0.0</v>
      </c>
      <c r="S23" s="768">
        <v>0.0</v>
      </c>
      <c r="T23" s="768">
        <v>0.0</v>
      </c>
      <c r="U23" s="777">
        <v>0.0</v>
      </c>
      <c r="V23" s="777">
        <v>0.0</v>
      </c>
      <c r="W23" s="777">
        <v>0.0</v>
      </c>
      <c r="X23" s="777">
        <v>0.0</v>
      </c>
      <c r="Y23" s="777">
        <v>0.0</v>
      </c>
      <c r="Z23" s="777">
        <v>0.0</v>
      </c>
      <c r="AA23" s="777">
        <v>0.0</v>
      </c>
      <c r="AB23" s="777">
        <v>0.0</v>
      </c>
      <c r="AC23" s="777">
        <v>0.0</v>
      </c>
      <c r="AD23" s="777">
        <v>0.0</v>
      </c>
      <c r="AE23" s="777">
        <v>0.0</v>
      </c>
      <c r="AF23" s="777">
        <v>0.0</v>
      </c>
      <c r="AG23" s="473">
        <f t="shared" si="1"/>
        <v>0</v>
      </c>
      <c r="AH23" s="455"/>
      <c r="AI23" s="38"/>
      <c r="AJ23" s="38"/>
      <c r="AK23" s="38"/>
      <c r="AL23" s="38"/>
      <c r="AM23" s="38"/>
      <c r="AN23" s="38"/>
      <c r="AP23" s="588"/>
      <c r="AQ23" s="176"/>
      <c r="AR23" s="177"/>
      <c r="AS23" s="589"/>
      <c r="AT23" s="589"/>
      <c r="AU23" s="590">
        <f t="shared" si="8"/>
        <v>0</v>
      </c>
      <c r="AV23" s="591">
        <f t="shared" si="9"/>
        <v>0</v>
      </c>
      <c r="AW23" s="592"/>
      <c r="AX23" s="591">
        <f t="shared" si="10"/>
        <v>0</v>
      </c>
      <c r="AY23" s="591">
        <f t="shared" si="11"/>
        <v>0</v>
      </c>
      <c r="AZ23" s="270"/>
    </row>
    <row r="24" ht="30.0" customHeight="1">
      <c r="A24" s="758" t="s">
        <v>137</v>
      </c>
      <c r="B24" s="768">
        <v>0.0</v>
      </c>
      <c r="C24" s="768">
        <v>0.0</v>
      </c>
      <c r="D24" s="768">
        <v>0.0</v>
      </c>
      <c r="E24" s="768">
        <v>0.0</v>
      </c>
      <c r="F24" s="768">
        <v>0.0</v>
      </c>
      <c r="G24" s="823">
        <v>0.0</v>
      </c>
      <c r="H24" s="768">
        <v>0.0</v>
      </c>
      <c r="I24" s="768">
        <v>0.0</v>
      </c>
      <c r="J24" s="768">
        <v>0.0</v>
      </c>
      <c r="K24" s="768">
        <v>0.0</v>
      </c>
      <c r="L24" s="768">
        <v>0.0</v>
      </c>
      <c r="M24" s="820">
        <v>0.0</v>
      </c>
      <c r="N24" s="771">
        <v>4.5</v>
      </c>
      <c r="O24" s="768">
        <v>0.0</v>
      </c>
      <c r="P24" s="768">
        <v>0.0</v>
      </c>
      <c r="Q24" s="768">
        <v>0.0</v>
      </c>
      <c r="R24" s="768">
        <v>0.0</v>
      </c>
      <c r="S24" s="768">
        <v>0.0</v>
      </c>
      <c r="T24" s="768">
        <v>0.0</v>
      </c>
      <c r="U24" s="777">
        <v>0.0</v>
      </c>
      <c r="V24" s="777">
        <v>0.0</v>
      </c>
      <c r="W24" s="777">
        <v>0.0</v>
      </c>
      <c r="X24" s="777">
        <v>0.0</v>
      </c>
      <c r="Y24" s="777">
        <v>0.0</v>
      </c>
      <c r="Z24" s="777">
        <v>0.0</v>
      </c>
      <c r="AA24" s="777">
        <v>0.0</v>
      </c>
      <c r="AB24" s="777">
        <v>0.0</v>
      </c>
      <c r="AC24" s="777">
        <v>0.0</v>
      </c>
      <c r="AD24" s="777">
        <v>0.0</v>
      </c>
      <c r="AE24" s="777">
        <v>0.0</v>
      </c>
      <c r="AF24" s="777">
        <v>0.0</v>
      </c>
      <c r="AG24" s="473">
        <f t="shared" si="1"/>
        <v>4.5</v>
      </c>
      <c r="AH24" s="455"/>
      <c r="AI24" s="38"/>
      <c r="AJ24" s="38"/>
      <c r="AK24" s="38"/>
      <c r="AL24" s="38"/>
      <c r="AM24" s="38"/>
      <c r="AN24" s="38"/>
      <c r="AP24" s="588"/>
      <c r="AQ24" s="176"/>
      <c r="AR24" s="177"/>
      <c r="AS24" s="589"/>
      <c r="AT24" s="589"/>
      <c r="AU24" s="590">
        <f t="shared" si="8"/>
        <v>0</v>
      </c>
      <c r="AV24" s="591">
        <f t="shared" si="9"/>
        <v>0</v>
      </c>
      <c r="AW24" s="600"/>
      <c r="AX24" s="591">
        <f t="shared" si="10"/>
        <v>0</v>
      </c>
      <c r="AY24" s="591">
        <f t="shared" si="11"/>
        <v>0</v>
      </c>
      <c r="AZ24" s="274"/>
    </row>
    <row r="25" ht="30.0" customHeight="1">
      <c r="A25" s="758" t="s">
        <v>133</v>
      </c>
      <c r="B25" s="866">
        <v>0.0</v>
      </c>
      <c r="C25" s="866">
        <v>0.0</v>
      </c>
      <c r="D25" s="866">
        <v>0.0</v>
      </c>
      <c r="E25" s="866">
        <v>0.0</v>
      </c>
      <c r="F25" s="866">
        <v>0.0</v>
      </c>
      <c r="G25" s="867">
        <v>0.0</v>
      </c>
      <c r="H25" s="866">
        <v>0.0</v>
      </c>
      <c r="I25" s="866">
        <v>0.0</v>
      </c>
      <c r="J25" s="866">
        <v>0.0</v>
      </c>
      <c r="K25" s="866">
        <v>0.0</v>
      </c>
      <c r="L25" s="866">
        <v>0.0</v>
      </c>
      <c r="M25" s="866">
        <v>0.0</v>
      </c>
      <c r="N25" s="771">
        <v>0.0</v>
      </c>
      <c r="O25" s="771">
        <v>0.0</v>
      </c>
      <c r="P25" s="771">
        <v>0.0</v>
      </c>
      <c r="Q25" s="771">
        <v>0.0</v>
      </c>
      <c r="R25" s="771">
        <v>0.0</v>
      </c>
      <c r="S25" s="768">
        <v>0.0</v>
      </c>
      <c r="T25" s="768">
        <v>0.0</v>
      </c>
      <c r="U25" s="777">
        <v>0.0</v>
      </c>
      <c r="V25" s="777">
        <v>0.0</v>
      </c>
      <c r="W25" s="777">
        <v>0.0</v>
      </c>
      <c r="X25" s="777">
        <v>0.0</v>
      </c>
      <c r="Y25" s="777">
        <v>0.0</v>
      </c>
      <c r="Z25" s="777">
        <v>0.0</v>
      </c>
      <c r="AA25" s="777">
        <v>0.0</v>
      </c>
      <c r="AB25" s="777">
        <v>0.0</v>
      </c>
      <c r="AC25" s="777">
        <v>0.0</v>
      </c>
      <c r="AD25" s="777">
        <v>0.0</v>
      </c>
      <c r="AE25" s="777">
        <v>0.0</v>
      </c>
      <c r="AF25" s="777">
        <v>0.0</v>
      </c>
      <c r="AG25" s="473">
        <f t="shared" si="1"/>
        <v>0</v>
      </c>
      <c r="AH25" s="455"/>
      <c r="AI25" s="38"/>
      <c r="AJ25" s="38"/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8"/>
        <v>0</v>
      </c>
      <c r="AV25" s="591">
        <f t="shared" si="9"/>
        <v>0</v>
      </c>
      <c r="AW25" s="600"/>
      <c r="AX25" s="591">
        <f t="shared" si="10"/>
        <v>0</v>
      </c>
      <c r="AY25" s="591">
        <f t="shared" si="11"/>
        <v>0</v>
      </c>
      <c r="AZ25" s="280"/>
    </row>
    <row r="26" ht="30.0" customHeight="1">
      <c r="A26" s="758" t="s">
        <v>138</v>
      </c>
      <c r="B26" s="868">
        <v>0.0</v>
      </c>
      <c r="C26" s="868">
        <v>0.0</v>
      </c>
      <c r="D26" s="868">
        <v>7.3</v>
      </c>
      <c r="E26" s="868">
        <v>1.4</v>
      </c>
      <c r="F26" s="868">
        <v>0.0</v>
      </c>
      <c r="G26" s="854">
        <v>6.88</v>
      </c>
      <c r="H26" s="868">
        <v>3.0</v>
      </c>
      <c r="I26" s="868">
        <v>0.0</v>
      </c>
      <c r="J26" s="868">
        <v>0.0</v>
      </c>
      <c r="K26" s="868">
        <v>0.0</v>
      </c>
      <c r="L26" s="868">
        <v>0.0</v>
      </c>
      <c r="M26" s="868">
        <v>4.5</v>
      </c>
      <c r="N26" s="868">
        <v>0.0</v>
      </c>
      <c r="O26" s="868">
        <v>0.0</v>
      </c>
      <c r="P26" s="868">
        <v>0.0</v>
      </c>
      <c r="Q26" s="868">
        <v>0.0</v>
      </c>
      <c r="R26" s="868">
        <v>0.0</v>
      </c>
      <c r="S26" s="868">
        <v>0.0</v>
      </c>
      <c r="T26" s="868">
        <v>6.0</v>
      </c>
      <c r="U26" s="819">
        <v>1.5</v>
      </c>
      <c r="V26" s="819">
        <v>0.0</v>
      </c>
      <c r="W26" s="819">
        <v>0.0</v>
      </c>
      <c r="X26" s="819">
        <v>0.0</v>
      </c>
      <c r="Y26" s="819">
        <v>6.0</v>
      </c>
      <c r="Z26" s="819">
        <v>0.0</v>
      </c>
      <c r="AA26" s="819">
        <v>1.5</v>
      </c>
      <c r="AB26" s="819">
        <v>0.0</v>
      </c>
      <c r="AC26" s="819">
        <v>0.0</v>
      </c>
      <c r="AD26" s="819">
        <v>0.0</v>
      </c>
      <c r="AE26" s="819">
        <v>0.0</v>
      </c>
      <c r="AF26" s="819">
        <v>0.0</v>
      </c>
      <c r="AG26" s="473">
        <f t="shared" si="1"/>
        <v>38.08</v>
      </c>
      <c r="AH26" s="455"/>
      <c r="AI26" s="38"/>
      <c r="AJ26" s="38"/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8"/>
        <v>0</v>
      </c>
      <c r="AV26" s="591">
        <f t="shared" si="9"/>
        <v>0</v>
      </c>
      <c r="AW26" s="600"/>
      <c r="AX26" s="591">
        <f t="shared" si="10"/>
        <v>0</v>
      </c>
      <c r="AY26" s="591">
        <f t="shared" si="11"/>
        <v>0</v>
      </c>
      <c r="AZ26" s="387"/>
    </row>
    <row r="27" ht="30.0" customHeight="1">
      <c r="A27" s="758" t="s">
        <v>139</v>
      </c>
      <c r="B27" s="771">
        <v>15.68</v>
      </c>
      <c r="C27" s="771">
        <v>2.1</v>
      </c>
      <c r="D27" s="771">
        <v>3.6</v>
      </c>
      <c r="E27" s="771">
        <v>1.62</v>
      </c>
      <c r="F27" s="771">
        <v>0.0</v>
      </c>
      <c r="G27" s="849">
        <v>0.0</v>
      </c>
      <c r="H27" s="771">
        <v>3.0</v>
      </c>
      <c r="I27" s="771">
        <v>1.5</v>
      </c>
      <c r="J27" s="771">
        <v>0.0</v>
      </c>
      <c r="K27" s="771">
        <v>0.0</v>
      </c>
      <c r="L27" s="771">
        <v>4.5</v>
      </c>
      <c r="M27" s="771">
        <v>3.22</v>
      </c>
      <c r="N27" s="771">
        <v>9.54</v>
      </c>
      <c r="O27" s="768">
        <v>0.0</v>
      </c>
      <c r="P27" s="768">
        <v>0.0</v>
      </c>
      <c r="Q27" s="771">
        <v>4.99</v>
      </c>
      <c r="R27" s="768">
        <v>0.0</v>
      </c>
      <c r="S27" s="768">
        <v>0.0</v>
      </c>
      <c r="T27" s="768">
        <v>0.0</v>
      </c>
      <c r="U27" s="777">
        <v>0.0</v>
      </c>
      <c r="V27" s="777">
        <v>0.0</v>
      </c>
      <c r="W27" s="777">
        <v>0.0</v>
      </c>
      <c r="X27" s="777">
        <v>0.0</v>
      </c>
      <c r="Y27" s="777">
        <v>0.0</v>
      </c>
      <c r="Z27" s="777">
        <v>0.0</v>
      </c>
      <c r="AA27" s="777">
        <v>0.0</v>
      </c>
      <c r="AB27" s="777">
        <v>0.0</v>
      </c>
      <c r="AC27" s="777">
        <v>0.0</v>
      </c>
      <c r="AD27" s="777">
        <v>0.0</v>
      </c>
      <c r="AE27" s="777">
        <v>0.0</v>
      </c>
      <c r="AF27" s="777">
        <v>0.0</v>
      </c>
      <c r="AG27" s="473">
        <f t="shared" si="1"/>
        <v>49.75</v>
      </c>
      <c r="AH27" s="455"/>
      <c r="AI27" s="38"/>
      <c r="AJ27" s="38"/>
      <c r="AK27" s="38"/>
      <c r="AL27" s="38"/>
      <c r="AM27" s="38"/>
      <c r="AN27" s="38"/>
      <c r="AS27" s="865"/>
      <c r="AT27" s="220">
        <f>SUM(AT17:AT26)</f>
        <v>1906.7</v>
      </c>
      <c r="AU27" s="38"/>
      <c r="AV27" s="220">
        <f>SUM(AV17:AV26)</f>
        <v>90.56825</v>
      </c>
    </row>
    <row r="28" ht="30.0" customHeight="1">
      <c r="A28" s="758" t="s">
        <v>140</v>
      </c>
      <c r="B28" s="839">
        <v>15.0</v>
      </c>
      <c r="C28" s="839">
        <v>1.5</v>
      </c>
      <c r="D28" s="839">
        <v>1.5</v>
      </c>
      <c r="E28" s="839">
        <v>6.0</v>
      </c>
      <c r="F28" s="839">
        <v>0.0</v>
      </c>
      <c r="G28" s="855">
        <v>0.0</v>
      </c>
      <c r="H28" s="839">
        <v>0.0</v>
      </c>
      <c r="I28" s="839">
        <v>0.0</v>
      </c>
      <c r="J28" s="839">
        <v>8.2</v>
      </c>
      <c r="K28" s="839">
        <v>4.5</v>
      </c>
      <c r="L28" s="839">
        <v>0.0</v>
      </c>
      <c r="M28" s="839">
        <v>1.5</v>
      </c>
      <c r="N28" s="869">
        <v>0.0</v>
      </c>
      <c r="O28" s="839">
        <v>0.0</v>
      </c>
      <c r="P28" s="839">
        <v>0.0</v>
      </c>
      <c r="Q28" s="839">
        <v>0.0</v>
      </c>
      <c r="R28" s="839">
        <v>0.0</v>
      </c>
      <c r="S28" s="839">
        <v>1.5</v>
      </c>
      <c r="T28" s="839">
        <v>0.0</v>
      </c>
      <c r="U28" s="793">
        <v>3.0</v>
      </c>
      <c r="V28" s="793">
        <v>0.0</v>
      </c>
      <c r="W28" s="793">
        <v>0.0</v>
      </c>
      <c r="X28" s="793">
        <v>0.0</v>
      </c>
      <c r="Y28" s="793">
        <v>0.0</v>
      </c>
      <c r="Z28" s="870">
        <v>1.5</v>
      </c>
      <c r="AA28" s="870">
        <v>0.0</v>
      </c>
      <c r="AB28" s="870">
        <v>3.0</v>
      </c>
      <c r="AC28" s="870">
        <v>0.0</v>
      </c>
      <c r="AD28" s="870">
        <v>1.5</v>
      </c>
      <c r="AE28" s="870">
        <v>0.0</v>
      </c>
      <c r="AF28" s="870">
        <v>0.0</v>
      </c>
      <c r="AG28" s="473">
        <f t="shared" si="1"/>
        <v>48.7</v>
      </c>
      <c r="AH28" s="455"/>
      <c r="AI28" s="38"/>
      <c r="AJ28" s="38"/>
      <c r="AK28" s="38"/>
      <c r="AL28" s="38"/>
      <c r="AM28" s="38"/>
      <c r="AN28" s="38"/>
    </row>
    <row r="29" ht="30.0" customHeight="1">
      <c r="A29" s="758" t="s">
        <v>141</v>
      </c>
      <c r="B29" s="780">
        <v>0.0</v>
      </c>
      <c r="C29" s="780">
        <v>0.0</v>
      </c>
      <c r="D29" s="780">
        <v>0.0</v>
      </c>
      <c r="E29" s="780">
        <v>0.0</v>
      </c>
      <c r="F29" s="780">
        <v>7.12</v>
      </c>
      <c r="G29" s="752">
        <v>1.5</v>
      </c>
      <c r="H29" s="780">
        <v>0.0</v>
      </c>
      <c r="I29" s="780">
        <v>0.0</v>
      </c>
      <c r="J29" s="780">
        <v>7.5</v>
      </c>
      <c r="K29" s="780">
        <v>1.62</v>
      </c>
      <c r="L29" s="780">
        <v>37.54</v>
      </c>
      <c r="M29" s="780">
        <v>16.5</v>
      </c>
      <c r="N29" s="780">
        <v>12.24</v>
      </c>
      <c r="O29" s="780">
        <v>24.14</v>
      </c>
      <c r="P29" s="780">
        <v>19.5</v>
      </c>
      <c r="Q29" s="780">
        <v>4.74</v>
      </c>
      <c r="R29" s="780">
        <v>0.0</v>
      </c>
      <c r="S29" s="780">
        <v>0.0</v>
      </c>
      <c r="T29" s="780">
        <v>8.06</v>
      </c>
      <c r="U29" s="749">
        <v>24.0</v>
      </c>
      <c r="V29" s="749">
        <v>6.0</v>
      </c>
      <c r="W29" s="749">
        <v>10.5</v>
      </c>
      <c r="X29" s="749">
        <v>1.62</v>
      </c>
      <c r="Y29" s="749">
        <v>5.2</v>
      </c>
      <c r="Z29" s="749">
        <v>3.0</v>
      </c>
      <c r="AA29" s="749">
        <v>21.18</v>
      </c>
      <c r="AB29" s="749">
        <v>10.5</v>
      </c>
      <c r="AC29" s="749">
        <v>4.5</v>
      </c>
      <c r="AD29" s="749">
        <v>4.5</v>
      </c>
      <c r="AE29" s="749">
        <v>4.5</v>
      </c>
      <c r="AF29" s="749">
        <v>10.26</v>
      </c>
      <c r="AG29" s="473">
        <f t="shared" si="1"/>
        <v>246.22</v>
      </c>
      <c r="AH29" s="455"/>
      <c r="AI29" s="38"/>
      <c r="AJ29" s="38"/>
      <c r="AK29" s="38"/>
      <c r="AL29" s="38"/>
      <c r="AM29" s="38"/>
      <c r="AN29" s="38"/>
    </row>
    <row r="30" ht="30.0" customHeight="1">
      <c r="A30" s="758" t="s">
        <v>53</v>
      </c>
      <c r="B30" s="768">
        <v>0.0</v>
      </c>
      <c r="C30" s="768">
        <v>0.0</v>
      </c>
      <c r="D30" s="768">
        <v>0.0</v>
      </c>
      <c r="E30" s="768">
        <v>0.0</v>
      </c>
      <c r="F30" s="768">
        <v>0.0</v>
      </c>
      <c r="G30" s="823">
        <v>0.0</v>
      </c>
      <c r="H30" s="768">
        <v>0.0</v>
      </c>
      <c r="I30" s="768">
        <v>0.0</v>
      </c>
      <c r="J30" s="768">
        <v>0.0</v>
      </c>
      <c r="K30" s="768">
        <v>0.0</v>
      </c>
      <c r="L30" s="768">
        <v>0.0</v>
      </c>
      <c r="M30" s="768">
        <v>0.0</v>
      </c>
      <c r="N30" s="768">
        <v>0.0</v>
      </c>
      <c r="O30" s="768">
        <v>0.0</v>
      </c>
      <c r="P30" s="768">
        <v>0.0</v>
      </c>
      <c r="Q30" s="771">
        <v>0.0</v>
      </c>
      <c r="R30" s="771">
        <v>0.0</v>
      </c>
      <c r="S30" s="771">
        <v>25.44</v>
      </c>
      <c r="T30" s="771">
        <v>101.14</v>
      </c>
      <c r="U30" s="748">
        <v>61.54</v>
      </c>
      <c r="V30" s="748">
        <v>53.05</v>
      </c>
      <c r="W30" s="748">
        <v>21.22</v>
      </c>
      <c r="X30" s="748">
        <v>60.96</v>
      </c>
      <c r="Y30" s="748">
        <v>26.26</v>
      </c>
      <c r="Z30" s="748">
        <v>101.34</v>
      </c>
      <c r="AA30" s="748">
        <v>58.64</v>
      </c>
      <c r="AB30" s="748">
        <v>46.5</v>
      </c>
      <c r="AC30" s="748">
        <v>13.0</v>
      </c>
      <c r="AD30" s="748">
        <v>32.96</v>
      </c>
      <c r="AE30" s="748">
        <v>21.88</v>
      </c>
      <c r="AF30" s="748">
        <v>19.08</v>
      </c>
      <c r="AG30" s="473">
        <f t="shared" si="1"/>
        <v>643.01</v>
      </c>
      <c r="AH30" s="455"/>
      <c r="AI30" s="38"/>
      <c r="AJ30" s="38"/>
      <c r="AK30" s="38"/>
      <c r="AL30" s="38"/>
      <c r="AM30" s="38"/>
      <c r="AN30" s="38"/>
    </row>
    <row r="31" ht="30.0" customHeight="1">
      <c r="A31" s="758" t="s">
        <v>112</v>
      </c>
      <c r="B31" s="780">
        <v>0.0</v>
      </c>
      <c r="C31" s="780">
        <v>0.0</v>
      </c>
      <c r="D31" s="780">
        <v>0.0</v>
      </c>
      <c r="E31" s="780">
        <v>0.0</v>
      </c>
      <c r="F31" s="780">
        <v>0.0</v>
      </c>
      <c r="G31" s="752">
        <v>0.0</v>
      </c>
      <c r="H31" s="780">
        <v>0.0</v>
      </c>
      <c r="I31" s="780">
        <v>0.0</v>
      </c>
      <c r="J31" s="780">
        <v>0.0</v>
      </c>
      <c r="K31" s="780">
        <v>0.0</v>
      </c>
      <c r="L31" s="780">
        <v>0.0</v>
      </c>
      <c r="M31" s="780">
        <v>0.0</v>
      </c>
      <c r="N31" s="780">
        <v>3.12</v>
      </c>
      <c r="O31" s="780">
        <v>0.0</v>
      </c>
      <c r="P31" s="780">
        <v>0.0</v>
      </c>
      <c r="Q31" s="780">
        <v>0.0</v>
      </c>
      <c r="R31" s="780">
        <v>1.5</v>
      </c>
      <c r="S31" s="780">
        <v>0.0</v>
      </c>
      <c r="T31" s="780">
        <v>3.0</v>
      </c>
      <c r="U31" s="749">
        <v>3.12</v>
      </c>
      <c r="V31" s="749">
        <v>1.5</v>
      </c>
      <c r="W31" s="749">
        <v>0.0</v>
      </c>
      <c r="X31" s="837">
        <v>0.0</v>
      </c>
      <c r="Y31" s="837">
        <v>0.0</v>
      </c>
      <c r="Z31" s="837">
        <v>0.0</v>
      </c>
      <c r="AA31" s="822">
        <v>3.0</v>
      </c>
      <c r="AB31" s="822">
        <v>7.5</v>
      </c>
      <c r="AC31" s="822">
        <v>1.74</v>
      </c>
      <c r="AD31" s="822">
        <v>5.34</v>
      </c>
      <c r="AE31" s="822">
        <v>0.0</v>
      </c>
      <c r="AF31" s="822">
        <v>4.5</v>
      </c>
      <c r="AG31" s="473">
        <f t="shared" si="1"/>
        <v>34.32</v>
      </c>
      <c r="AH31" s="455"/>
      <c r="AI31" s="38"/>
      <c r="AJ31" s="38"/>
      <c r="AK31" s="38"/>
      <c r="AL31" s="38"/>
      <c r="AM31" s="38"/>
      <c r="AN31" s="38"/>
    </row>
    <row r="32" ht="30.0" customHeight="1">
      <c r="A32" s="47" t="s">
        <v>14</v>
      </c>
      <c r="B32" s="167">
        <f t="shared" ref="B32:AF32" si="12">SUM(B3:B31)</f>
        <v>457.5</v>
      </c>
      <c r="C32" s="167">
        <f t="shared" si="12"/>
        <v>242.58</v>
      </c>
      <c r="D32" s="167">
        <f t="shared" si="12"/>
        <v>195.81</v>
      </c>
      <c r="E32" s="167">
        <f t="shared" si="12"/>
        <v>215.43</v>
      </c>
      <c r="F32" s="167">
        <f t="shared" si="12"/>
        <v>148.46</v>
      </c>
      <c r="G32" s="167">
        <f t="shared" si="12"/>
        <v>85.8</v>
      </c>
      <c r="H32" s="167">
        <f t="shared" si="12"/>
        <v>241.97</v>
      </c>
      <c r="I32" s="167">
        <f t="shared" si="12"/>
        <v>145.27</v>
      </c>
      <c r="J32" s="167">
        <f t="shared" si="12"/>
        <v>248.09</v>
      </c>
      <c r="K32" s="167">
        <f t="shared" si="12"/>
        <v>244.24</v>
      </c>
      <c r="L32" s="167">
        <f t="shared" si="12"/>
        <v>244.59</v>
      </c>
      <c r="M32" s="167">
        <f t="shared" si="12"/>
        <v>222.22</v>
      </c>
      <c r="N32" s="167">
        <f t="shared" si="12"/>
        <v>286.04</v>
      </c>
      <c r="O32" s="167">
        <f t="shared" si="12"/>
        <v>304.78</v>
      </c>
      <c r="P32" s="167">
        <f t="shared" si="12"/>
        <v>313.96</v>
      </c>
      <c r="Q32" s="167">
        <f t="shared" si="12"/>
        <v>261.54</v>
      </c>
      <c r="R32" s="167">
        <f t="shared" si="12"/>
        <v>194.03</v>
      </c>
      <c r="S32" s="167">
        <f t="shared" si="12"/>
        <v>256.83</v>
      </c>
      <c r="T32" s="167">
        <f t="shared" si="12"/>
        <v>420</v>
      </c>
      <c r="U32" s="167">
        <f t="shared" si="12"/>
        <v>366.41</v>
      </c>
      <c r="V32" s="167">
        <f t="shared" si="12"/>
        <v>256.37</v>
      </c>
      <c r="W32" s="167">
        <f t="shared" si="12"/>
        <v>259.6</v>
      </c>
      <c r="X32" s="167">
        <f t="shared" si="12"/>
        <v>272.66</v>
      </c>
      <c r="Y32" s="167">
        <f t="shared" si="12"/>
        <v>241.58</v>
      </c>
      <c r="Z32" s="167">
        <f t="shared" si="12"/>
        <v>326.8</v>
      </c>
      <c r="AA32" s="167">
        <f t="shared" si="12"/>
        <v>221.06</v>
      </c>
      <c r="AB32" s="167">
        <f t="shared" si="12"/>
        <v>230.95</v>
      </c>
      <c r="AC32" s="167">
        <f t="shared" si="12"/>
        <v>352.49</v>
      </c>
      <c r="AD32" s="167">
        <f t="shared" si="12"/>
        <v>215.02</v>
      </c>
      <c r="AE32" s="167">
        <f t="shared" si="12"/>
        <v>152</v>
      </c>
      <c r="AF32" s="167">
        <f t="shared" si="12"/>
        <v>214.26</v>
      </c>
      <c r="AG32" s="38"/>
      <c r="AH32" s="58"/>
      <c r="AI32" s="38"/>
      <c r="AJ32" s="38"/>
      <c r="AK32" s="38"/>
      <c r="AL32" s="38"/>
      <c r="AM32" s="38"/>
      <c r="AN32" s="38"/>
    </row>
    <row r="33" ht="30.0" customHeight="1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1"/>
      <c r="O33" s="631"/>
      <c r="P33" s="631"/>
      <c r="Q33" s="631"/>
      <c r="R33" s="631"/>
      <c r="S33" s="631"/>
      <c r="T33" s="631"/>
      <c r="U33" s="631"/>
      <c r="V33" s="631"/>
      <c r="W33" s="631"/>
      <c r="X33" s="631"/>
      <c r="Y33" s="631"/>
      <c r="Z33" s="631"/>
      <c r="AA33" s="631"/>
      <c r="AB33" s="631"/>
      <c r="AC33" s="631"/>
      <c r="AD33" s="631"/>
      <c r="AE33" s="631"/>
      <c r="AF33" s="632"/>
      <c r="AG33" s="38"/>
      <c r="AH33" s="58"/>
      <c r="AI33" s="38"/>
      <c r="AJ33" s="38"/>
      <c r="AK33" s="38"/>
      <c r="AL33" s="38"/>
      <c r="AM33" s="38"/>
      <c r="AN33" s="38"/>
    </row>
    <row r="34" ht="30.75" customHeight="1">
      <c r="A34" s="38"/>
      <c r="B34" s="38"/>
      <c r="C34" s="38"/>
      <c r="D34" s="38"/>
      <c r="E34" s="633"/>
      <c r="F34" s="633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58"/>
      <c r="AI34" s="38"/>
      <c r="AJ34" s="38"/>
      <c r="AK34" s="38"/>
      <c r="AL34" s="38"/>
      <c r="AM34" s="38"/>
      <c r="AN34" s="38"/>
    </row>
    <row r="35" ht="30.75" customHeight="1">
      <c r="A35" s="38"/>
      <c r="B35" s="38"/>
      <c r="C35" s="38"/>
      <c r="D35" s="38"/>
      <c r="E35" s="633"/>
      <c r="F35" s="633"/>
      <c r="AG35" s="49"/>
      <c r="AH35" s="8"/>
      <c r="AO35" s="226"/>
    </row>
    <row r="36" ht="15.75" customHeight="1">
      <c r="A36" s="38"/>
      <c r="B36" s="38"/>
      <c r="C36" s="38"/>
      <c r="D36" s="38"/>
      <c r="E36" s="38"/>
      <c r="F36" s="633"/>
      <c r="G36" s="428"/>
      <c r="AG36" s="49"/>
      <c r="AH36" s="8"/>
      <c r="AO36" s="226"/>
    </row>
    <row r="37" ht="15.75" customHeight="1">
      <c r="A37" s="38"/>
      <c r="B37" s="38"/>
      <c r="C37" s="38"/>
      <c r="D37" s="428"/>
      <c r="E37" s="38"/>
      <c r="AG37" s="49"/>
      <c r="AH37" s="8"/>
    </row>
    <row r="38" ht="15.75" customHeight="1">
      <c r="A38" s="38"/>
      <c r="B38" s="38"/>
      <c r="C38" s="38"/>
      <c r="D38" s="38"/>
      <c r="E38" s="38"/>
      <c r="AG38" s="49"/>
      <c r="AH38" s="8"/>
    </row>
    <row r="39" ht="15.75" customHeight="1">
      <c r="A39" s="38"/>
      <c r="B39" s="38"/>
      <c r="C39" s="38"/>
      <c r="D39" s="38"/>
      <c r="E39" s="38"/>
      <c r="AG39" s="49"/>
      <c r="AH39" s="8"/>
    </row>
    <row r="40" ht="15.75" customHeight="1">
      <c r="A40" s="38"/>
      <c r="B40" s="428"/>
      <c r="C40" s="38"/>
      <c r="D40" s="38"/>
      <c r="E40" s="38"/>
      <c r="AG40" s="49"/>
      <c r="AH40" s="8"/>
    </row>
    <row r="41" ht="15.75" customHeight="1">
      <c r="A41" s="38"/>
      <c r="B41" s="38"/>
      <c r="C41" s="58"/>
      <c r="D41" s="38"/>
      <c r="E41" s="38"/>
      <c r="F41" s="58"/>
      <c r="AG41" s="49"/>
      <c r="AH41" s="8"/>
    </row>
    <row r="42" ht="15.75" customHeight="1">
      <c r="B42" s="428"/>
      <c r="D42" s="428"/>
      <c r="AG42" s="49"/>
      <c r="AH42" s="8"/>
      <c r="AP42" s="38"/>
      <c r="AQ42" s="38"/>
      <c r="AR42" s="38"/>
      <c r="AS42" s="862"/>
      <c r="AT42" s="173">
        <v>1.0</v>
      </c>
      <c r="AU42" s="174" t="s">
        <v>16</v>
      </c>
      <c r="AV42" s="173">
        <v>0.05</v>
      </c>
      <c r="AW42" s="456" t="s">
        <v>71</v>
      </c>
      <c r="AX42" s="456" t="s">
        <v>72</v>
      </c>
      <c r="AY42" s="456" t="s">
        <v>73</v>
      </c>
      <c r="AZ42" s="246" t="s">
        <v>34</v>
      </c>
    </row>
    <row r="43" ht="15.75" customHeight="1">
      <c r="B43" s="428"/>
      <c r="AG43" s="49"/>
      <c r="AH43" s="8"/>
      <c r="AP43" s="871" t="s">
        <v>144</v>
      </c>
      <c r="AQ43" s="176"/>
      <c r="AR43" s="177"/>
      <c r="AS43" s="872"/>
      <c r="AT43" s="872">
        <f>SUM(valuesByColor("#25e8a8", "", B4:AF32))</f>
        <v>6</v>
      </c>
      <c r="AU43" s="872">
        <f t="shared" ref="AU43:AU52" si="13">((AT43*(1-0.05))*(1-0.6))+AX43-AZ43</f>
        <v>2.28</v>
      </c>
      <c r="AV43" s="873">
        <f t="shared" ref="AV43:AV52" si="14">(AT43*(1-0.05))*(1-0.95)+AY43</f>
        <v>0.285</v>
      </c>
      <c r="AW43" s="873"/>
      <c r="AX43" s="873">
        <f t="shared" ref="AX43:AX52" si="15">(AW43*(1-0.05))*(1-0.9)</f>
        <v>0</v>
      </c>
      <c r="AY43" s="873">
        <f t="shared" ref="AY43:AY52" si="16">(AW43*(1-0.05))*(1-0.95)</f>
        <v>0</v>
      </c>
      <c r="AZ43" s="547"/>
    </row>
    <row r="44" ht="15.75" customHeight="1">
      <c r="AG44" s="49"/>
      <c r="AH44" s="8"/>
      <c r="AP44" s="874" t="s">
        <v>114</v>
      </c>
      <c r="AQ44" s="176"/>
      <c r="AR44" s="177"/>
      <c r="AS44" s="875"/>
      <c r="AT44" s="875">
        <f>SUM(valuesByColor("#6089ff", "", B4:AF32))</f>
        <v>6</v>
      </c>
      <c r="AU44" s="875">
        <f t="shared" si="13"/>
        <v>2.28</v>
      </c>
      <c r="AV44" s="876">
        <f t="shared" si="14"/>
        <v>0.285</v>
      </c>
      <c r="AW44" s="876"/>
      <c r="AX44" s="876">
        <f t="shared" si="15"/>
        <v>0</v>
      </c>
      <c r="AY44" s="876">
        <f t="shared" si="16"/>
        <v>0</v>
      </c>
      <c r="AZ44" s="558"/>
    </row>
    <row r="45" ht="15.75" customHeight="1">
      <c r="AG45" s="49"/>
      <c r="AH45" s="8"/>
      <c r="AP45" s="588"/>
      <c r="AQ45" s="176"/>
      <c r="AR45" s="177"/>
      <c r="AS45" s="590"/>
      <c r="AT45" s="590"/>
      <c r="AU45" s="590">
        <f t="shared" si="13"/>
        <v>0</v>
      </c>
      <c r="AV45" s="591">
        <f t="shared" si="14"/>
        <v>0</v>
      </c>
      <c r="AW45" s="591"/>
      <c r="AX45" s="591">
        <f t="shared" si="15"/>
        <v>0</v>
      </c>
      <c r="AY45" s="591">
        <f t="shared" si="16"/>
        <v>0</v>
      </c>
      <c r="AZ45" s="566"/>
    </row>
    <row r="46" ht="15.75" customHeight="1">
      <c r="A46" s="38"/>
      <c r="R46" s="38"/>
      <c r="AG46" s="49"/>
      <c r="AH46" s="8"/>
      <c r="AP46" s="638"/>
      <c r="AQ46" s="176"/>
      <c r="AR46" s="177"/>
      <c r="AS46" s="877"/>
      <c r="AT46" s="877"/>
      <c r="AU46" s="877">
        <f t="shared" si="13"/>
        <v>0</v>
      </c>
      <c r="AV46" s="878">
        <f t="shared" si="14"/>
        <v>0</v>
      </c>
      <c r="AW46" s="878"/>
      <c r="AX46" s="878">
        <f t="shared" si="15"/>
        <v>0</v>
      </c>
      <c r="AY46" s="878">
        <f t="shared" si="16"/>
        <v>0</v>
      </c>
      <c r="AZ46" s="578"/>
    </row>
    <row r="47" ht="15.75" customHeight="1">
      <c r="A47" s="38"/>
      <c r="R47" s="38"/>
      <c r="AG47" s="49"/>
      <c r="AH47" s="8"/>
      <c r="AP47" s="588"/>
      <c r="AQ47" s="176"/>
      <c r="AR47" s="177"/>
      <c r="AS47" s="589"/>
      <c r="AT47" s="589"/>
      <c r="AU47" s="590">
        <f t="shared" si="13"/>
        <v>0</v>
      </c>
      <c r="AV47" s="591">
        <f t="shared" si="14"/>
        <v>0</v>
      </c>
      <c r="AW47" s="592"/>
      <c r="AX47" s="591">
        <f t="shared" si="15"/>
        <v>0</v>
      </c>
      <c r="AY47" s="591">
        <f t="shared" si="16"/>
        <v>0</v>
      </c>
      <c r="AZ47" s="585"/>
    </row>
    <row r="48" ht="15.75" customHeight="1">
      <c r="A48" s="38"/>
      <c r="B48" s="428"/>
      <c r="R48" s="38"/>
      <c r="AG48" s="49"/>
      <c r="AH48" s="8"/>
      <c r="AP48" s="588"/>
      <c r="AQ48" s="176"/>
      <c r="AR48" s="177"/>
      <c r="AS48" s="589"/>
      <c r="AT48" s="589"/>
      <c r="AU48" s="590">
        <f t="shared" si="13"/>
        <v>0</v>
      </c>
      <c r="AV48" s="591">
        <f t="shared" si="14"/>
        <v>0</v>
      </c>
      <c r="AW48" s="592"/>
      <c r="AX48" s="591">
        <f t="shared" si="15"/>
        <v>0</v>
      </c>
      <c r="AY48" s="591">
        <f t="shared" si="16"/>
        <v>0</v>
      </c>
      <c r="AZ48" s="26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M49" s="38"/>
      <c r="N49" s="38"/>
      <c r="O49" s="38"/>
      <c r="P49" s="38"/>
      <c r="Q49" s="38"/>
      <c r="R49" s="38"/>
      <c r="AG49" s="49"/>
      <c r="AH49" s="8"/>
      <c r="AP49" s="588"/>
      <c r="AQ49" s="176"/>
      <c r="AR49" s="177"/>
      <c r="AS49" s="589"/>
      <c r="AT49" s="589"/>
      <c r="AU49" s="590">
        <f t="shared" si="13"/>
        <v>0</v>
      </c>
      <c r="AV49" s="591">
        <f t="shared" si="14"/>
        <v>0</v>
      </c>
      <c r="AW49" s="592"/>
      <c r="AX49" s="591">
        <f t="shared" si="15"/>
        <v>0</v>
      </c>
      <c r="AY49" s="591">
        <f t="shared" si="16"/>
        <v>0</v>
      </c>
      <c r="AZ49" s="270"/>
    </row>
    <row r="50" ht="15.75" customHeight="1">
      <c r="A50" s="634"/>
      <c r="B50" s="635"/>
      <c r="C50" s="636"/>
      <c r="D50" s="636"/>
      <c r="E50" s="636"/>
      <c r="F50" s="636"/>
      <c r="G50" s="636"/>
      <c r="H50" s="636"/>
      <c r="M50" s="38"/>
      <c r="N50" s="635"/>
      <c r="O50" s="38"/>
      <c r="P50" s="635"/>
      <c r="Q50" s="635"/>
      <c r="R50" s="38"/>
      <c r="AG50" s="49"/>
      <c r="AH50" s="8"/>
      <c r="AP50" s="588"/>
      <c r="AQ50" s="176"/>
      <c r="AR50" s="177"/>
      <c r="AS50" s="589"/>
      <c r="AT50" s="589"/>
      <c r="AU50" s="590">
        <f t="shared" si="13"/>
        <v>0</v>
      </c>
      <c r="AV50" s="591">
        <f t="shared" si="14"/>
        <v>0</v>
      </c>
      <c r="AW50" s="600"/>
      <c r="AX50" s="591">
        <f t="shared" si="15"/>
        <v>0</v>
      </c>
      <c r="AY50" s="591">
        <f t="shared" si="16"/>
        <v>0</v>
      </c>
      <c r="AZ50" s="274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  <c r="AP51" s="588"/>
      <c r="AQ51" s="176"/>
      <c r="AR51" s="177"/>
      <c r="AS51" s="589"/>
      <c r="AT51" s="589"/>
      <c r="AU51" s="590">
        <f t="shared" si="13"/>
        <v>0</v>
      </c>
      <c r="AV51" s="591">
        <f t="shared" si="14"/>
        <v>0</v>
      </c>
      <c r="AW51" s="600"/>
      <c r="AX51" s="591">
        <f t="shared" si="15"/>
        <v>0</v>
      </c>
      <c r="AY51" s="591">
        <f t="shared" si="16"/>
        <v>0</v>
      </c>
      <c r="AZ51" s="280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  <c r="AP52" s="588"/>
      <c r="AQ52" s="176"/>
      <c r="AR52" s="177"/>
      <c r="AS52" s="589"/>
      <c r="AT52" s="589"/>
      <c r="AU52" s="590">
        <f t="shared" si="13"/>
        <v>0</v>
      </c>
      <c r="AV52" s="591">
        <f t="shared" si="14"/>
        <v>0</v>
      </c>
      <c r="AW52" s="600"/>
      <c r="AX52" s="591">
        <f t="shared" si="15"/>
        <v>0</v>
      </c>
      <c r="AY52" s="591">
        <f t="shared" si="16"/>
        <v>0</v>
      </c>
      <c r="AZ52" s="387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  <c r="AS53" s="865"/>
      <c r="AT53" s="220">
        <f>SUM(AT43:AT52)</f>
        <v>12</v>
      </c>
      <c r="AU53" s="38"/>
      <c r="AV53" s="220">
        <f>SUM(AV43:AV52)</f>
        <v>0.57</v>
      </c>
    </row>
    <row r="54" ht="15.75" customHeight="1">
      <c r="A54" s="38"/>
      <c r="B54" s="38"/>
      <c r="C54" s="38"/>
      <c r="D54" s="38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38"/>
      <c r="B55" s="38"/>
      <c r="C55" s="796"/>
      <c r="D55" s="797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A56" s="38"/>
      <c r="B56" s="38"/>
      <c r="C56" s="796"/>
      <c r="D56" s="797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796"/>
      <c r="D57" s="797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796"/>
      <c r="D58" s="797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  <c r="AP102" s="3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>
      <c r="AG238" s="49"/>
      <c r="AH238" s="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48:AR48"/>
    <mergeCell ref="AP49:AR49"/>
    <mergeCell ref="AP50:AR50"/>
    <mergeCell ref="AP51:AR51"/>
    <mergeCell ref="AP47:AR47"/>
    <mergeCell ref="AP52:AR52"/>
    <mergeCell ref="I55:I57"/>
    <mergeCell ref="I58:I60"/>
    <mergeCell ref="AP43:AR43"/>
    <mergeCell ref="AP44:AR44"/>
    <mergeCell ref="AP45:AR45"/>
    <mergeCell ref="I46:I48"/>
    <mergeCell ref="AP46:AR46"/>
    <mergeCell ref="I49:I51"/>
    <mergeCell ref="I52:I54"/>
  </mergeCells>
  <conditionalFormatting sqref="A33:AN34 AO34 BA33:BN34">
    <cfRule type="notContainsBlanks" dxfId="0" priority="1">
      <formula>LEN(TRIM(A33))&gt;0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Z1" s="745"/>
      <c r="BA1" s="226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SUM(AG3:AG31,AW4:AW14,AW19:AW28)</f>
        <v>5790.16</v>
      </c>
      <c r="AH2" s="58"/>
      <c r="AI2" s="38"/>
    </row>
    <row r="3" ht="31.5" customHeight="1">
      <c r="A3" s="758" t="s">
        <v>5</v>
      </c>
      <c r="B3" s="841">
        <v>4.5</v>
      </c>
      <c r="C3" s="842">
        <v>9.36</v>
      </c>
      <c r="D3" s="843">
        <v>11.52</v>
      </c>
      <c r="E3" s="844">
        <v>3.0</v>
      </c>
      <c r="F3" s="807">
        <v>0.0</v>
      </c>
      <c r="G3" s="820">
        <v>20.74</v>
      </c>
      <c r="H3" s="807">
        <v>5.0</v>
      </c>
      <c r="I3" s="807">
        <v>1.9</v>
      </c>
      <c r="J3" s="807">
        <v>5.5</v>
      </c>
      <c r="K3" s="807">
        <v>7.0</v>
      </c>
      <c r="L3" s="807">
        <v>3.0</v>
      </c>
      <c r="M3" s="807">
        <v>0.0</v>
      </c>
      <c r="N3" s="807">
        <v>4.5</v>
      </c>
      <c r="O3" s="807">
        <v>6.0</v>
      </c>
      <c r="P3" s="807">
        <v>9.0</v>
      </c>
      <c r="Q3" s="807">
        <v>2.5</v>
      </c>
      <c r="R3" s="807">
        <v>7.44</v>
      </c>
      <c r="S3" s="807">
        <v>23.08</v>
      </c>
      <c r="T3" s="807">
        <v>0.0</v>
      </c>
      <c r="U3" s="807">
        <v>1.5</v>
      </c>
      <c r="V3" s="807">
        <v>10.76</v>
      </c>
      <c r="W3" s="807">
        <v>11.8</v>
      </c>
      <c r="X3" s="807">
        <v>4.0</v>
      </c>
      <c r="Y3" s="807">
        <v>6.0</v>
      </c>
      <c r="Z3" s="807">
        <v>3.0</v>
      </c>
      <c r="AA3" s="807">
        <v>7.3</v>
      </c>
      <c r="AB3" s="807">
        <v>7.3</v>
      </c>
      <c r="AC3" s="807">
        <v>10.3</v>
      </c>
      <c r="AD3" s="807">
        <v>32.02</v>
      </c>
      <c r="AE3" s="777"/>
      <c r="AF3" s="777"/>
      <c r="AG3" s="751">
        <f t="shared" ref="AG3:AG31" si="1">SUM(B3:AF3)</f>
        <v>218.02</v>
      </c>
      <c r="AH3" s="455"/>
      <c r="AI3" s="38"/>
      <c r="AP3" s="38"/>
      <c r="AQ3" s="38"/>
      <c r="AR3" s="38"/>
      <c r="AS3" s="862"/>
      <c r="AT3" s="173">
        <v>1.0</v>
      </c>
      <c r="AU3" s="174" t="s">
        <v>16</v>
      </c>
      <c r="AV3" s="173">
        <v>0.05</v>
      </c>
      <c r="AW3" s="456" t="s">
        <v>71</v>
      </c>
      <c r="AX3" s="456" t="s">
        <v>72</v>
      </c>
      <c r="AY3" s="456" t="s">
        <v>73</v>
      </c>
      <c r="AZ3" s="246" t="s">
        <v>34</v>
      </c>
    </row>
    <row r="4" ht="40.5" customHeight="1">
      <c r="A4" s="764" t="s">
        <v>6</v>
      </c>
      <c r="B4" s="879">
        <v>0.0</v>
      </c>
      <c r="C4" s="879">
        <v>13.5</v>
      </c>
      <c r="D4" s="880">
        <v>3.0</v>
      </c>
      <c r="E4" s="880">
        <v>4.5</v>
      </c>
      <c r="F4" s="880">
        <v>1.5</v>
      </c>
      <c r="G4" s="881">
        <v>4.5</v>
      </c>
      <c r="H4" s="880">
        <v>3.0</v>
      </c>
      <c r="I4" s="880">
        <v>3.0</v>
      </c>
      <c r="J4" s="880">
        <v>4.5</v>
      </c>
      <c r="K4" s="880">
        <v>6.0</v>
      </c>
      <c r="L4" s="882">
        <v>0.0</v>
      </c>
      <c r="M4" s="880">
        <v>0.0</v>
      </c>
      <c r="N4" s="880">
        <v>6.0</v>
      </c>
      <c r="O4" s="880">
        <v>9.12</v>
      </c>
      <c r="P4" s="880">
        <v>3.0</v>
      </c>
      <c r="Q4" s="880">
        <v>0.0</v>
      </c>
      <c r="R4" s="880">
        <v>0.0</v>
      </c>
      <c r="S4" s="880">
        <v>7.62</v>
      </c>
      <c r="T4" s="880">
        <v>0.0</v>
      </c>
      <c r="U4" s="880">
        <v>0.0</v>
      </c>
      <c r="V4" s="880">
        <v>7.62</v>
      </c>
      <c r="W4" s="880">
        <v>6.0</v>
      </c>
      <c r="X4" s="880">
        <v>4.5</v>
      </c>
      <c r="Y4" s="880">
        <v>3.12</v>
      </c>
      <c r="Z4" s="880">
        <v>9.12</v>
      </c>
      <c r="AA4" s="880">
        <v>4.62</v>
      </c>
      <c r="AB4" s="880">
        <v>10.5</v>
      </c>
      <c r="AC4" s="880">
        <v>6.0</v>
      </c>
      <c r="AD4" s="880">
        <v>0.0</v>
      </c>
      <c r="AE4" s="755"/>
      <c r="AF4" s="755"/>
      <c r="AG4" s="751">
        <f t="shared" si="1"/>
        <v>120.72</v>
      </c>
      <c r="AH4" s="487"/>
      <c r="AI4" s="38"/>
      <c r="AJ4" s="38"/>
      <c r="AP4" s="344" t="s">
        <v>120</v>
      </c>
      <c r="AQ4" s="176"/>
      <c r="AR4" s="177"/>
      <c r="AS4" s="464"/>
      <c r="AT4" s="464">
        <f>SUM(valuesByColor("#980000", "", B3:AF31))</f>
        <v>314.22</v>
      </c>
      <c r="AU4" s="345">
        <f t="shared" ref="AU4:AU14" si="2">((AT4*(1-0.05))*(1-0.6))+AX4-AZ4</f>
        <v>94.4036</v>
      </c>
      <c r="AV4" s="346">
        <f t="shared" ref="AV4:AV14" si="3">(AT4*(1-0.05))*(1-0.95)+AY4</f>
        <v>14.92545</v>
      </c>
      <c r="AW4" s="346"/>
      <c r="AX4" s="346">
        <f t="shared" ref="AX4:AX10" si="4">(AW4*(1-0.05))*(1-0.9)</f>
        <v>0</v>
      </c>
      <c r="AY4" s="346">
        <f t="shared" ref="AY4:AY10" si="5">(AW4*(1-0.05))*(1-0.95)</f>
        <v>0</v>
      </c>
      <c r="AZ4" s="883">
        <v>25.0</v>
      </c>
    </row>
    <row r="5" ht="27.0" customHeight="1">
      <c r="A5" s="773" t="s">
        <v>134</v>
      </c>
      <c r="B5" s="880">
        <v>0.0</v>
      </c>
      <c r="C5" s="880">
        <v>3.0</v>
      </c>
      <c r="D5" s="880">
        <v>4.62</v>
      </c>
      <c r="E5" s="880">
        <v>0.0</v>
      </c>
      <c r="F5" s="880">
        <v>15.0</v>
      </c>
      <c r="G5" s="881">
        <v>4.5</v>
      </c>
      <c r="H5" s="880">
        <v>0.0</v>
      </c>
      <c r="I5" s="880">
        <v>0.0</v>
      </c>
      <c r="J5" s="880">
        <v>1.74</v>
      </c>
      <c r="K5" s="880">
        <v>7.62</v>
      </c>
      <c r="L5" s="882">
        <v>0.0</v>
      </c>
      <c r="M5" s="880">
        <v>0.0</v>
      </c>
      <c r="N5" s="880">
        <v>0.0</v>
      </c>
      <c r="O5" s="880">
        <v>0.0</v>
      </c>
      <c r="P5" s="880">
        <v>1.74</v>
      </c>
      <c r="Q5" s="880">
        <v>0.0</v>
      </c>
      <c r="R5" s="880">
        <v>0.0</v>
      </c>
      <c r="S5" s="880">
        <v>0.0</v>
      </c>
      <c r="T5" s="880">
        <v>3.0</v>
      </c>
      <c r="U5" s="884">
        <v>0.0</v>
      </c>
      <c r="V5" s="884">
        <v>0.0</v>
      </c>
      <c r="W5" s="884">
        <v>0.0</v>
      </c>
      <c r="X5" s="884">
        <v>0.0</v>
      </c>
      <c r="Y5" s="884">
        <v>0.12</v>
      </c>
      <c r="Z5" s="884">
        <v>0.0</v>
      </c>
      <c r="AA5" s="884">
        <v>3.0</v>
      </c>
      <c r="AB5" s="884">
        <v>0.0</v>
      </c>
      <c r="AC5" s="884">
        <v>1.62</v>
      </c>
      <c r="AD5" s="884">
        <v>0.0</v>
      </c>
      <c r="AE5" s="825"/>
      <c r="AF5" s="825"/>
      <c r="AG5" s="751">
        <f t="shared" si="1"/>
        <v>45.96</v>
      </c>
      <c r="AH5" s="487"/>
      <c r="AI5" s="38"/>
      <c r="AJ5" s="38"/>
      <c r="AP5" s="175" t="s">
        <v>102</v>
      </c>
      <c r="AQ5" s="176"/>
      <c r="AR5" s="177"/>
      <c r="AS5" s="467"/>
      <c r="AT5" s="467">
        <f>SUM(valuesByColor("yellow", "", B3:AF31))</f>
        <v>1558.66</v>
      </c>
      <c r="AU5" s="178">
        <f t="shared" si="2"/>
        <v>592.2908</v>
      </c>
      <c r="AV5" s="248">
        <f t="shared" si="3"/>
        <v>74.03635</v>
      </c>
      <c r="AW5" s="248"/>
      <c r="AX5" s="248">
        <f t="shared" si="4"/>
        <v>0</v>
      </c>
      <c r="AY5" s="248">
        <f t="shared" si="5"/>
        <v>0</v>
      </c>
      <c r="AZ5" s="249"/>
    </row>
    <row r="6" ht="27.0" customHeight="1">
      <c r="A6" s="773" t="s">
        <v>3</v>
      </c>
      <c r="B6" s="771">
        <v>0.7</v>
      </c>
      <c r="C6" s="771">
        <v>6.56</v>
      </c>
      <c r="D6" s="771">
        <v>6.0</v>
      </c>
      <c r="E6" s="771">
        <v>11.3</v>
      </c>
      <c r="F6" s="771">
        <v>8.1</v>
      </c>
      <c r="G6" s="849">
        <v>6.0</v>
      </c>
      <c r="H6" s="771">
        <v>0.0</v>
      </c>
      <c r="I6" s="771">
        <v>1.5</v>
      </c>
      <c r="J6" s="771">
        <v>0.0</v>
      </c>
      <c r="K6" s="771">
        <v>0.0</v>
      </c>
      <c r="L6" s="771">
        <v>0.0</v>
      </c>
      <c r="M6" s="771">
        <v>0.0</v>
      </c>
      <c r="N6" s="771">
        <v>42.68</v>
      </c>
      <c r="O6" s="771">
        <v>16.47</v>
      </c>
      <c r="P6" s="771">
        <v>0.0</v>
      </c>
      <c r="Q6" s="771">
        <v>11.82</v>
      </c>
      <c r="R6" s="771">
        <v>6.96</v>
      </c>
      <c r="S6" s="771">
        <v>4.5</v>
      </c>
      <c r="T6" s="771">
        <v>0.7</v>
      </c>
      <c r="U6" s="748">
        <v>3.7</v>
      </c>
      <c r="V6" s="748">
        <v>0.0</v>
      </c>
      <c r="W6" s="748">
        <v>3.0</v>
      </c>
      <c r="X6" s="748">
        <v>1.5</v>
      </c>
      <c r="Y6" s="748">
        <v>6.92</v>
      </c>
      <c r="Z6" s="748">
        <v>14.12</v>
      </c>
      <c r="AA6" s="748">
        <v>9.9</v>
      </c>
      <c r="AB6" s="748">
        <v>20.26</v>
      </c>
      <c r="AC6" s="748">
        <v>0.0</v>
      </c>
      <c r="AD6" s="748">
        <v>0.56</v>
      </c>
      <c r="AE6" s="777"/>
      <c r="AF6" s="777"/>
      <c r="AG6" s="751">
        <f t="shared" si="1"/>
        <v>183.25</v>
      </c>
      <c r="AH6" s="487"/>
      <c r="AI6" s="38"/>
      <c r="AJ6" s="38"/>
      <c r="AP6" s="252"/>
      <c r="AQ6" s="176"/>
      <c r="AR6" s="177"/>
      <c r="AS6" s="474"/>
      <c r="AT6" s="474">
        <f>SUM(valuesByColor("cyan", "", B3:AF31))</f>
        <v>0</v>
      </c>
      <c r="AU6" s="253">
        <f t="shared" si="2"/>
        <v>0</v>
      </c>
      <c r="AV6" s="254">
        <f t="shared" si="3"/>
        <v>0</v>
      </c>
      <c r="AW6" s="254"/>
      <c r="AX6" s="254">
        <f t="shared" si="4"/>
        <v>0</v>
      </c>
      <c r="AY6" s="254">
        <f t="shared" si="5"/>
        <v>0</v>
      </c>
      <c r="AZ6" s="255"/>
    </row>
    <row r="7" ht="28.5" customHeight="1">
      <c r="A7" s="747" t="s">
        <v>32</v>
      </c>
      <c r="B7" s="820">
        <v>1.5</v>
      </c>
      <c r="C7" s="777">
        <v>0.0</v>
      </c>
      <c r="D7" s="777">
        <v>0.0</v>
      </c>
      <c r="E7" s="777">
        <v>0.0</v>
      </c>
      <c r="F7" s="768">
        <v>0.0</v>
      </c>
      <c r="G7" s="823">
        <v>0.0</v>
      </c>
      <c r="H7" s="768">
        <v>0.0</v>
      </c>
      <c r="I7" s="768">
        <v>0.0</v>
      </c>
      <c r="J7" s="768">
        <v>0.0</v>
      </c>
      <c r="K7" s="768">
        <v>0.0</v>
      </c>
      <c r="L7" s="777">
        <v>0.0</v>
      </c>
      <c r="M7" s="777">
        <v>0.0</v>
      </c>
      <c r="N7" s="777">
        <v>0.0</v>
      </c>
      <c r="O7" s="777">
        <v>0.0</v>
      </c>
      <c r="P7" s="777">
        <v>0.0</v>
      </c>
      <c r="Q7" s="777">
        <v>0.0</v>
      </c>
      <c r="R7" s="777">
        <v>0.0</v>
      </c>
      <c r="S7" s="777">
        <v>0.0</v>
      </c>
      <c r="T7" s="777">
        <v>0.0</v>
      </c>
      <c r="U7" s="777">
        <v>0.0</v>
      </c>
      <c r="V7" s="777">
        <v>0.0</v>
      </c>
      <c r="W7" s="777">
        <v>0.0</v>
      </c>
      <c r="X7" s="777">
        <v>0.0</v>
      </c>
      <c r="Y7" s="777">
        <v>0.0</v>
      </c>
      <c r="Z7" s="777">
        <v>0.0</v>
      </c>
      <c r="AA7" s="777">
        <v>0.0</v>
      </c>
      <c r="AB7" s="777">
        <v>0.0</v>
      </c>
      <c r="AC7" s="777">
        <v>0.0</v>
      </c>
      <c r="AD7" s="777">
        <v>0.0</v>
      </c>
      <c r="AE7" s="777"/>
      <c r="AF7" s="777"/>
      <c r="AG7" s="751">
        <f t="shared" si="1"/>
        <v>1.5</v>
      </c>
      <c r="AH7" s="455"/>
      <c r="AI7" s="38"/>
      <c r="AJ7" s="38"/>
      <c r="AK7" s="38"/>
      <c r="AL7" s="38"/>
      <c r="AP7" s="188" t="s">
        <v>38</v>
      </c>
      <c r="AQ7" s="176"/>
      <c r="AR7" s="177"/>
      <c r="AS7" s="481"/>
      <c r="AT7" s="481">
        <f>SUM(valuesByColor("#f09090", "", B3:AF31))</f>
        <v>1360.24</v>
      </c>
      <c r="AU7" s="189">
        <f t="shared" si="2"/>
        <v>516.8912</v>
      </c>
      <c r="AV7" s="256">
        <f t="shared" si="3"/>
        <v>64.6114</v>
      </c>
      <c r="AW7" s="256"/>
      <c r="AX7" s="482">
        <f t="shared" si="4"/>
        <v>0</v>
      </c>
      <c r="AY7" s="482">
        <f t="shared" si="5"/>
        <v>0</v>
      </c>
      <c r="AZ7" s="257"/>
    </row>
    <row r="8" ht="29.25" customHeight="1">
      <c r="A8" s="747" t="s">
        <v>83</v>
      </c>
      <c r="B8" s="885">
        <v>4.5</v>
      </c>
      <c r="C8" s="885">
        <v>14.74</v>
      </c>
      <c r="D8" s="885">
        <v>6.0</v>
      </c>
      <c r="E8" s="885">
        <v>3.98</v>
      </c>
      <c r="F8" s="885">
        <v>3.0</v>
      </c>
      <c r="G8" s="881">
        <v>4.5</v>
      </c>
      <c r="H8" s="885">
        <v>6.0</v>
      </c>
      <c r="I8" s="885">
        <v>0.0</v>
      </c>
      <c r="J8" s="885">
        <v>9.0</v>
      </c>
      <c r="K8" s="885">
        <v>12.84</v>
      </c>
      <c r="L8" s="885">
        <v>23.87</v>
      </c>
      <c r="M8" s="885">
        <v>12.76</v>
      </c>
      <c r="N8" s="885">
        <v>1.5</v>
      </c>
      <c r="O8" s="885">
        <v>7.5</v>
      </c>
      <c r="P8" s="885">
        <v>0.0</v>
      </c>
      <c r="Q8" s="885">
        <v>0.0</v>
      </c>
      <c r="R8" s="885">
        <v>6.12</v>
      </c>
      <c r="S8" s="885">
        <v>6.12</v>
      </c>
      <c r="T8" s="885">
        <v>5.62</v>
      </c>
      <c r="U8" s="885">
        <v>2.5</v>
      </c>
      <c r="V8" s="885">
        <v>0.0</v>
      </c>
      <c r="W8" s="885">
        <v>5.9</v>
      </c>
      <c r="X8" s="885">
        <v>8.5</v>
      </c>
      <c r="Y8" s="885">
        <v>3.0</v>
      </c>
      <c r="Z8" s="885">
        <v>3.0</v>
      </c>
      <c r="AA8" s="885">
        <v>10.5</v>
      </c>
      <c r="AB8" s="885">
        <v>1.5</v>
      </c>
      <c r="AC8" s="885">
        <v>1.5</v>
      </c>
      <c r="AD8" s="885">
        <v>1.5</v>
      </c>
      <c r="AE8" s="777"/>
      <c r="AF8" s="777"/>
      <c r="AG8" s="751">
        <f t="shared" si="1"/>
        <v>165.95</v>
      </c>
      <c r="AH8" s="455"/>
      <c r="AI8" s="38"/>
      <c r="AJ8" s="38"/>
      <c r="AK8" s="38"/>
      <c r="AL8" s="38"/>
      <c r="AM8" s="38"/>
      <c r="AN8" s="38"/>
      <c r="AP8" s="263" t="s">
        <v>114</v>
      </c>
      <c r="AQ8" s="176"/>
      <c r="AR8" s="177"/>
      <c r="AS8" s="808"/>
      <c r="AT8" s="808">
        <f>SUM(valuesByColor("magenta", "", B3:AF31))</f>
        <v>8.2</v>
      </c>
      <c r="AU8" s="264">
        <f t="shared" si="2"/>
        <v>3.116</v>
      </c>
      <c r="AV8" s="265">
        <f t="shared" si="3"/>
        <v>0.3895</v>
      </c>
      <c r="AW8" s="265"/>
      <c r="AX8" s="489">
        <f t="shared" si="4"/>
        <v>0</v>
      </c>
      <c r="AY8" s="489">
        <f t="shared" si="5"/>
        <v>0</v>
      </c>
      <c r="AZ8" s="266"/>
    </row>
    <row r="9" ht="29.25" customHeight="1">
      <c r="A9" s="747" t="s">
        <v>84</v>
      </c>
      <c r="B9" s="822">
        <v>29.9</v>
      </c>
      <c r="C9" s="822">
        <v>6.0</v>
      </c>
      <c r="D9" s="822">
        <v>61.12</v>
      </c>
      <c r="E9" s="822">
        <v>43.62</v>
      </c>
      <c r="F9" s="822">
        <v>45.7</v>
      </c>
      <c r="G9" s="798">
        <v>46.5</v>
      </c>
      <c r="H9" s="822">
        <v>19.9</v>
      </c>
      <c r="I9" s="822">
        <v>6.0</v>
      </c>
      <c r="J9" s="822">
        <v>13.74</v>
      </c>
      <c r="K9" s="822">
        <v>27.02</v>
      </c>
      <c r="L9" s="822">
        <v>13.64</v>
      </c>
      <c r="M9" s="822">
        <v>16.5</v>
      </c>
      <c r="N9" s="822">
        <v>33.24</v>
      </c>
      <c r="O9" s="822">
        <v>60.0</v>
      </c>
      <c r="P9" s="822">
        <v>25.5</v>
      </c>
      <c r="Q9" s="822">
        <v>24.0</v>
      </c>
      <c r="R9" s="822">
        <v>78.24</v>
      </c>
      <c r="S9" s="822">
        <v>87.28</v>
      </c>
      <c r="T9" s="822">
        <v>39.12</v>
      </c>
      <c r="U9" s="822">
        <v>8.2</v>
      </c>
      <c r="V9" s="822">
        <v>39.12</v>
      </c>
      <c r="W9" s="822">
        <v>26.54</v>
      </c>
      <c r="X9" s="822">
        <v>13.62</v>
      </c>
      <c r="Y9" s="822">
        <v>27.12</v>
      </c>
      <c r="Z9" s="822">
        <v>43.5</v>
      </c>
      <c r="AA9" s="822">
        <v>22.5</v>
      </c>
      <c r="AB9" s="822">
        <v>24.12</v>
      </c>
      <c r="AC9" s="822">
        <v>10.64</v>
      </c>
      <c r="AD9" s="822">
        <v>27.12</v>
      </c>
      <c r="AE9" s="822"/>
      <c r="AF9" s="822"/>
      <c r="AG9" s="861">
        <f t="shared" si="1"/>
        <v>919.5</v>
      </c>
      <c r="AH9" s="455"/>
      <c r="AI9" s="38"/>
      <c r="AJ9" s="38"/>
      <c r="AK9" s="38"/>
      <c r="AL9" s="38"/>
      <c r="AM9" s="38"/>
      <c r="AN9" s="38"/>
      <c r="AP9" s="195"/>
      <c r="AQ9" s="176"/>
      <c r="AR9" s="177"/>
      <c r="AS9" s="493"/>
      <c r="AT9" s="493">
        <f>SUM(valuesByColor("#0070c0", "", B3:AF31))</f>
        <v>0</v>
      </c>
      <c r="AU9" s="196">
        <f t="shared" si="2"/>
        <v>0</v>
      </c>
      <c r="AV9" s="267">
        <f t="shared" si="3"/>
        <v>0</v>
      </c>
      <c r="AW9" s="267"/>
      <c r="AX9" s="494">
        <f t="shared" si="4"/>
        <v>0</v>
      </c>
      <c r="AY9" s="494">
        <f t="shared" si="5"/>
        <v>0</v>
      </c>
      <c r="AZ9" s="268"/>
    </row>
    <row r="10" ht="29.25" customHeight="1">
      <c r="A10" s="747" t="s">
        <v>85</v>
      </c>
      <c r="B10" s="819">
        <v>0.0</v>
      </c>
      <c r="C10" s="819">
        <v>0.0</v>
      </c>
      <c r="D10" s="819">
        <v>1.5</v>
      </c>
      <c r="E10" s="819">
        <v>0.0</v>
      </c>
      <c r="F10" s="819">
        <v>0.0</v>
      </c>
      <c r="G10" s="854">
        <v>0.0</v>
      </c>
      <c r="H10" s="819">
        <v>0.0</v>
      </c>
      <c r="I10" s="819">
        <v>0.0</v>
      </c>
      <c r="J10" s="819">
        <v>0.0</v>
      </c>
      <c r="K10" s="819">
        <v>0.0</v>
      </c>
      <c r="L10" s="819">
        <v>0.0</v>
      </c>
      <c r="M10" s="819">
        <v>0.0</v>
      </c>
      <c r="N10" s="819">
        <v>0.0</v>
      </c>
      <c r="O10" s="819">
        <v>0.0</v>
      </c>
      <c r="P10" s="819">
        <v>0.0</v>
      </c>
      <c r="Q10" s="819">
        <v>0.0</v>
      </c>
      <c r="R10" s="819">
        <v>0.0</v>
      </c>
      <c r="S10" s="819">
        <v>0.0</v>
      </c>
      <c r="T10" s="819">
        <v>0.0</v>
      </c>
      <c r="U10" s="819">
        <v>0.0</v>
      </c>
      <c r="V10" s="819">
        <v>0.0</v>
      </c>
      <c r="W10" s="819">
        <v>0.0</v>
      </c>
      <c r="X10" s="819">
        <v>0.0</v>
      </c>
      <c r="Y10" s="819">
        <v>0.0</v>
      </c>
      <c r="Z10" s="819">
        <v>0.0</v>
      </c>
      <c r="AA10" s="819">
        <v>0.0</v>
      </c>
      <c r="AB10" s="819">
        <v>0.0</v>
      </c>
      <c r="AC10" s="819">
        <v>0.0</v>
      </c>
      <c r="AD10" s="819">
        <v>0.0</v>
      </c>
      <c r="AE10" s="777"/>
      <c r="AF10" s="777"/>
      <c r="AG10" s="751">
        <f t="shared" si="1"/>
        <v>1.5</v>
      </c>
      <c r="AH10" s="455"/>
      <c r="AI10" s="38"/>
      <c r="AJ10" s="38"/>
      <c r="AK10" s="38"/>
      <c r="AL10" s="38"/>
      <c r="AM10" s="38"/>
      <c r="AN10" s="38"/>
      <c r="AP10" s="201" t="s">
        <v>75</v>
      </c>
      <c r="AQ10" s="176"/>
      <c r="AR10" s="177"/>
      <c r="AS10" s="503"/>
      <c r="AT10" s="503">
        <f>SUM(valuesByColor("#ec7c31", "", B3:AF31))</f>
        <v>774.21</v>
      </c>
      <c r="AU10" s="202">
        <f t="shared" si="2"/>
        <v>269.1998</v>
      </c>
      <c r="AV10" s="269">
        <f t="shared" si="3"/>
        <v>36.774975</v>
      </c>
      <c r="AW10" s="269"/>
      <c r="AX10" s="504">
        <f t="shared" si="4"/>
        <v>0</v>
      </c>
      <c r="AY10" s="504">
        <f t="shared" si="5"/>
        <v>0</v>
      </c>
      <c r="AZ10" s="270">
        <v>25.0</v>
      </c>
    </row>
    <row r="11" ht="29.25" customHeight="1">
      <c r="A11" s="747" t="s">
        <v>111</v>
      </c>
      <c r="B11" s="793">
        <v>1.5</v>
      </c>
      <c r="C11" s="793">
        <v>35.4</v>
      </c>
      <c r="D11" s="793">
        <v>29.52</v>
      </c>
      <c r="E11" s="793">
        <v>6.0</v>
      </c>
      <c r="F11" s="793">
        <v>7.5</v>
      </c>
      <c r="G11" s="855">
        <v>6.0</v>
      </c>
      <c r="H11" s="793">
        <v>6.0</v>
      </c>
      <c r="I11" s="793">
        <v>11.48</v>
      </c>
      <c r="J11" s="793">
        <v>0.0</v>
      </c>
      <c r="K11" s="793">
        <v>6.0</v>
      </c>
      <c r="L11" s="793">
        <v>1.5</v>
      </c>
      <c r="M11" s="793">
        <v>10.5</v>
      </c>
      <c r="N11" s="793">
        <v>0.0</v>
      </c>
      <c r="O11" s="793">
        <v>30.98</v>
      </c>
      <c r="P11" s="793">
        <v>25.5</v>
      </c>
      <c r="Q11" s="793">
        <v>10.5</v>
      </c>
      <c r="R11" s="793">
        <v>4.5</v>
      </c>
      <c r="S11" s="793">
        <v>30.74</v>
      </c>
      <c r="T11" s="793">
        <v>35.86</v>
      </c>
      <c r="U11" s="793">
        <v>18.0</v>
      </c>
      <c r="V11" s="793">
        <v>31.5</v>
      </c>
      <c r="W11" s="793">
        <v>12.14</v>
      </c>
      <c r="X11" s="793">
        <v>11.18</v>
      </c>
      <c r="Y11" s="793">
        <v>1.5</v>
      </c>
      <c r="Z11" s="793">
        <v>1.5</v>
      </c>
      <c r="AA11" s="793">
        <v>23.38</v>
      </c>
      <c r="AB11" s="793">
        <v>35.2</v>
      </c>
      <c r="AC11" s="793">
        <v>13.74</v>
      </c>
      <c r="AD11" s="793">
        <v>22.2</v>
      </c>
      <c r="AE11" s="777"/>
      <c r="AF11" s="777"/>
      <c r="AG11" s="751">
        <f t="shared" si="1"/>
        <v>429.82</v>
      </c>
      <c r="AH11" s="455"/>
      <c r="AI11" s="38"/>
      <c r="AJ11" s="38"/>
      <c r="AK11" s="38"/>
      <c r="AL11" s="38"/>
      <c r="AM11" s="38"/>
      <c r="AN11" s="38"/>
      <c r="AP11" s="810"/>
      <c r="AQ11" s="176"/>
      <c r="AR11" s="177"/>
      <c r="AS11" s="827"/>
      <c r="AT11" s="827">
        <f>SUM(valuesByColor("#911553", "", B3:AF31))</f>
        <v>0</v>
      </c>
      <c r="AU11" s="828">
        <f t="shared" si="2"/>
        <v>0</v>
      </c>
      <c r="AV11" s="829">
        <f t="shared" si="3"/>
        <v>0</v>
      </c>
      <c r="AW11" s="814"/>
      <c r="AX11" s="815">
        <v>0.0</v>
      </c>
      <c r="AY11" s="815">
        <v>0.0</v>
      </c>
      <c r="AZ11" s="274"/>
    </row>
    <row r="12" ht="29.25" customHeight="1">
      <c r="A12" s="758" t="s">
        <v>97</v>
      </c>
      <c r="B12" s="680">
        <v>76.5</v>
      </c>
      <c r="C12" s="680">
        <v>40.62</v>
      </c>
      <c r="D12" s="680">
        <v>57.0</v>
      </c>
      <c r="E12" s="680">
        <v>42.12</v>
      </c>
      <c r="F12" s="680">
        <v>16.5</v>
      </c>
      <c r="G12" s="853">
        <v>78.0</v>
      </c>
      <c r="H12" s="680">
        <v>7.5</v>
      </c>
      <c r="I12" s="680">
        <v>73.5</v>
      </c>
      <c r="J12" s="680">
        <v>70.62</v>
      </c>
      <c r="K12" s="680">
        <v>31.5</v>
      </c>
      <c r="L12" s="680">
        <v>45.0</v>
      </c>
      <c r="M12" s="680">
        <v>43.5</v>
      </c>
      <c r="N12" s="680">
        <v>36.24</v>
      </c>
      <c r="O12" s="680">
        <v>50.06</v>
      </c>
      <c r="P12" s="680">
        <v>82.74</v>
      </c>
      <c r="Q12" s="680">
        <v>46.78</v>
      </c>
      <c r="R12" s="680">
        <v>18.0</v>
      </c>
      <c r="S12" s="680">
        <v>75.0</v>
      </c>
      <c r="T12" s="680">
        <v>43.62</v>
      </c>
      <c r="U12" s="680">
        <v>39.0</v>
      </c>
      <c r="V12" s="680">
        <v>24.0</v>
      </c>
      <c r="W12" s="680">
        <v>45.0</v>
      </c>
      <c r="X12" s="680">
        <v>27.0</v>
      </c>
      <c r="Y12" s="680">
        <v>45.0</v>
      </c>
      <c r="Z12" s="680">
        <v>37.5</v>
      </c>
      <c r="AA12" s="680">
        <v>10.5</v>
      </c>
      <c r="AB12" s="680">
        <v>30.0</v>
      </c>
      <c r="AC12" s="680">
        <v>66.36</v>
      </c>
      <c r="AD12" s="680">
        <v>28.5</v>
      </c>
      <c r="AE12" s="680"/>
      <c r="AF12" s="680"/>
      <c r="AG12" s="473">
        <f t="shared" si="1"/>
        <v>1287.66</v>
      </c>
      <c r="AH12" s="455"/>
      <c r="AI12" s="38"/>
      <c r="AJ12" s="38"/>
      <c r="AK12" s="38"/>
      <c r="AL12" s="38"/>
      <c r="AM12" s="38"/>
      <c r="AN12" s="38"/>
      <c r="AP12" s="277"/>
      <c r="AQ12" s="176"/>
      <c r="AR12" s="177"/>
      <c r="AS12" s="518"/>
      <c r="AT12" s="518">
        <f>SUM(valuesByColor("lime", "", B3:AF31))</f>
        <v>0</v>
      </c>
      <c r="AU12" s="278">
        <f t="shared" si="2"/>
        <v>0</v>
      </c>
      <c r="AV12" s="279">
        <f t="shared" si="3"/>
        <v>0</v>
      </c>
      <c r="AW12" s="279"/>
      <c r="AX12" s="519">
        <f t="shared" ref="AX12:AX14" si="6">(AW12*(1-0.05))*(1-0.9)</f>
        <v>0</v>
      </c>
      <c r="AY12" s="519">
        <f t="shared" ref="AY12:AY14" si="7">(AW12*(1-0.05))*(1-0.95)</f>
        <v>0</v>
      </c>
      <c r="AZ12" s="280"/>
    </row>
    <row r="13" ht="29.25" customHeight="1">
      <c r="A13" s="758" t="s">
        <v>99</v>
      </c>
      <c r="B13" s="777">
        <v>0.0</v>
      </c>
      <c r="C13" s="777">
        <v>0.0</v>
      </c>
      <c r="D13" s="777">
        <v>0.0</v>
      </c>
      <c r="E13" s="777">
        <v>0.0</v>
      </c>
      <c r="F13" s="777">
        <v>0.0</v>
      </c>
      <c r="G13" s="823">
        <v>0.0</v>
      </c>
      <c r="H13" s="777">
        <v>0.0</v>
      </c>
      <c r="I13" s="777">
        <v>0.0</v>
      </c>
      <c r="J13" s="777">
        <v>0.0</v>
      </c>
      <c r="K13" s="777">
        <v>0.0</v>
      </c>
      <c r="L13" s="777">
        <v>0.0</v>
      </c>
      <c r="M13" s="777">
        <v>0.0</v>
      </c>
      <c r="N13" s="777">
        <v>0.0</v>
      </c>
      <c r="O13" s="777">
        <v>0.0</v>
      </c>
      <c r="P13" s="777">
        <v>0.0</v>
      </c>
      <c r="Q13" s="777">
        <v>0.0</v>
      </c>
      <c r="R13" s="777">
        <v>0.0</v>
      </c>
      <c r="S13" s="777">
        <v>0.0</v>
      </c>
      <c r="T13" s="777">
        <v>0.0</v>
      </c>
      <c r="U13" s="777">
        <v>0.0</v>
      </c>
      <c r="V13" s="777">
        <v>0.0</v>
      </c>
      <c r="W13" s="777">
        <v>0.0</v>
      </c>
      <c r="X13" s="777">
        <v>0.0</v>
      </c>
      <c r="Y13" s="777">
        <v>0.0</v>
      </c>
      <c r="Z13" s="777">
        <v>0.0</v>
      </c>
      <c r="AA13" s="777">
        <v>0.0</v>
      </c>
      <c r="AB13" s="777">
        <v>0.0</v>
      </c>
      <c r="AC13" s="777">
        <v>0.0</v>
      </c>
      <c r="AD13" s="777">
        <v>0.0</v>
      </c>
      <c r="AE13" s="777"/>
      <c r="AF13" s="777"/>
      <c r="AG13" s="473">
        <f t="shared" si="1"/>
        <v>0</v>
      </c>
      <c r="AH13" s="455"/>
      <c r="AI13" s="38"/>
      <c r="AJ13" s="38"/>
      <c r="AK13" s="38"/>
      <c r="AL13" s="38"/>
      <c r="AM13" s="38"/>
      <c r="AN13" s="38"/>
      <c r="AP13" s="668"/>
      <c r="AQ13" s="176"/>
      <c r="AR13" s="177"/>
      <c r="AS13" s="669"/>
      <c r="AT13" s="669">
        <f>SUM(valuesByColor("#7a00ff", "", B3:AF31))</f>
        <v>0</v>
      </c>
      <c r="AU13" s="670">
        <f t="shared" si="2"/>
        <v>0</v>
      </c>
      <c r="AV13" s="671">
        <f t="shared" si="3"/>
        <v>0</v>
      </c>
      <c r="AW13" s="671"/>
      <c r="AX13" s="672">
        <f t="shared" si="6"/>
        <v>0</v>
      </c>
      <c r="AY13" s="672">
        <f t="shared" si="7"/>
        <v>0</v>
      </c>
      <c r="AZ13" s="673"/>
    </row>
    <row r="14" ht="29.25" customHeight="1">
      <c r="A14" s="758" t="s">
        <v>100</v>
      </c>
      <c r="B14" s="793">
        <v>0.0</v>
      </c>
      <c r="C14" s="793">
        <v>0.0</v>
      </c>
      <c r="D14" s="793">
        <v>0.0</v>
      </c>
      <c r="E14" s="793">
        <v>0.0</v>
      </c>
      <c r="F14" s="793">
        <v>0.0</v>
      </c>
      <c r="G14" s="855">
        <v>0.0</v>
      </c>
      <c r="H14" s="864">
        <v>0.0</v>
      </c>
      <c r="I14" s="864">
        <v>0.0</v>
      </c>
      <c r="J14" s="864">
        <v>1.5</v>
      </c>
      <c r="K14" s="864">
        <v>0.24</v>
      </c>
      <c r="L14" s="864">
        <v>0.0</v>
      </c>
      <c r="M14" s="864">
        <v>0.0</v>
      </c>
      <c r="N14" s="793">
        <v>0.0</v>
      </c>
      <c r="O14" s="793">
        <v>0.0</v>
      </c>
      <c r="P14" s="793">
        <v>0.0</v>
      </c>
      <c r="Q14" s="793">
        <v>0.0</v>
      </c>
      <c r="R14" s="793">
        <v>0.0</v>
      </c>
      <c r="S14" s="793">
        <v>0.0</v>
      </c>
      <c r="T14" s="793">
        <v>0.0</v>
      </c>
      <c r="U14" s="777">
        <v>0.0</v>
      </c>
      <c r="V14" s="777">
        <v>0.0</v>
      </c>
      <c r="W14" s="777">
        <v>0.0</v>
      </c>
      <c r="X14" s="777">
        <v>0.0</v>
      </c>
      <c r="Y14" s="777">
        <v>0.0</v>
      </c>
      <c r="Z14" s="777">
        <v>0.0</v>
      </c>
      <c r="AA14" s="777">
        <v>0.0</v>
      </c>
      <c r="AB14" s="777">
        <v>0.0</v>
      </c>
      <c r="AC14" s="777">
        <v>0.0</v>
      </c>
      <c r="AD14" s="777">
        <v>0.0</v>
      </c>
      <c r="AE14" s="777"/>
      <c r="AF14" s="777"/>
      <c r="AG14" s="473">
        <f t="shared" si="1"/>
        <v>1.74</v>
      </c>
      <c r="AH14" s="455"/>
      <c r="AI14" s="38"/>
      <c r="AJ14" s="38"/>
      <c r="AK14" s="38"/>
      <c r="AL14" s="38"/>
      <c r="AM14" s="38"/>
      <c r="AN14" s="38"/>
      <c r="AP14" s="384"/>
      <c r="AQ14" s="176"/>
      <c r="AR14" s="177"/>
      <c r="AS14" s="521"/>
      <c r="AT14" s="521">
        <f>SUM(valuesByColor("dark yellow 3", "", B3:AF31))</f>
        <v>0</v>
      </c>
      <c r="AU14" s="385">
        <f t="shared" si="2"/>
        <v>0</v>
      </c>
      <c r="AV14" s="386">
        <f t="shared" si="3"/>
        <v>0</v>
      </c>
      <c r="AW14" s="386"/>
      <c r="AX14" s="522">
        <f t="shared" si="6"/>
        <v>0</v>
      </c>
      <c r="AY14" s="522">
        <f t="shared" si="7"/>
        <v>0</v>
      </c>
      <c r="AZ14" s="387"/>
    </row>
    <row r="15" ht="29.25" customHeight="1">
      <c r="A15" s="838" t="s">
        <v>124</v>
      </c>
      <c r="B15" s="820">
        <v>0.0</v>
      </c>
      <c r="C15" s="820">
        <v>4.62</v>
      </c>
      <c r="D15" s="820">
        <v>0.9</v>
      </c>
      <c r="E15" s="820">
        <v>1.5</v>
      </c>
      <c r="F15" s="820">
        <v>1.5</v>
      </c>
      <c r="G15" s="850">
        <v>4.5</v>
      </c>
      <c r="H15" s="820">
        <v>3.0</v>
      </c>
      <c r="I15" s="820">
        <v>1.0</v>
      </c>
      <c r="J15" s="820">
        <v>3.56</v>
      </c>
      <c r="K15" s="820">
        <v>0.0</v>
      </c>
      <c r="L15" s="820">
        <v>1.5</v>
      </c>
      <c r="M15" s="820">
        <v>0.0</v>
      </c>
      <c r="N15" s="820">
        <v>0.0</v>
      </c>
      <c r="O15" s="820">
        <v>0.0</v>
      </c>
      <c r="P15" s="820">
        <v>3.0</v>
      </c>
      <c r="Q15" s="820">
        <v>0.0</v>
      </c>
      <c r="R15" s="820">
        <v>10.46</v>
      </c>
      <c r="S15" s="820">
        <v>4.02</v>
      </c>
      <c r="T15" s="820">
        <v>1.5</v>
      </c>
      <c r="U15" s="807">
        <v>4.9</v>
      </c>
      <c r="V15" s="807">
        <v>1.5</v>
      </c>
      <c r="W15" s="807">
        <v>7.5</v>
      </c>
      <c r="X15" s="807">
        <v>0.0</v>
      </c>
      <c r="Y15" s="807">
        <v>3.0</v>
      </c>
      <c r="Z15" s="807">
        <v>0.0</v>
      </c>
      <c r="AA15" s="807">
        <v>0.0</v>
      </c>
      <c r="AB15" s="807">
        <v>4.68</v>
      </c>
      <c r="AC15" s="807">
        <v>1.5</v>
      </c>
      <c r="AD15" s="807">
        <v>3.0</v>
      </c>
      <c r="AE15" s="777"/>
      <c r="AF15" s="777"/>
      <c r="AG15" s="473">
        <f t="shared" si="1"/>
        <v>67.14</v>
      </c>
      <c r="AH15" s="455"/>
      <c r="AI15" s="38"/>
      <c r="AJ15" s="38"/>
      <c r="AK15" s="38"/>
      <c r="AL15" s="38"/>
      <c r="AM15" s="38"/>
      <c r="AN15" s="38"/>
      <c r="AS15" s="865"/>
      <c r="AT15" s="527">
        <f>SUM(AT4:AT14)</f>
        <v>4015.53</v>
      </c>
      <c r="AU15" s="38"/>
      <c r="AV15" s="220">
        <f>SUM(AV4:AV14)</f>
        <v>190.737675</v>
      </c>
    </row>
    <row r="16" ht="29.25" customHeight="1">
      <c r="A16" s="758" t="s">
        <v>125</v>
      </c>
      <c r="B16" s="771">
        <v>0.0</v>
      </c>
      <c r="C16" s="771">
        <v>0.0</v>
      </c>
      <c r="D16" s="771">
        <v>0.0</v>
      </c>
      <c r="E16" s="771">
        <v>0.0</v>
      </c>
      <c r="F16" s="771">
        <v>0.0</v>
      </c>
      <c r="G16" s="849">
        <v>0.0</v>
      </c>
      <c r="H16" s="771">
        <v>0.0</v>
      </c>
      <c r="I16" s="771">
        <v>12.0</v>
      </c>
      <c r="J16" s="771">
        <v>3.0</v>
      </c>
      <c r="K16" s="771">
        <v>0.0</v>
      </c>
      <c r="L16" s="771">
        <v>0.0</v>
      </c>
      <c r="M16" s="771">
        <v>0.0</v>
      </c>
      <c r="N16" s="771">
        <v>0.0</v>
      </c>
      <c r="O16" s="771">
        <v>0.0</v>
      </c>
      <c r="P16" s="771">
        <v>0.0</v>
      </c>
      <c r="Q16" s="771">
        <v>3.0</v>
      </c>
      <c r="R16" s="771">
        <v>0.0</v>
      </c>
      <c r="S16" s="771">
        <v>0.0</v>
      </c>
      <c r="T16" s="771">
        <v>0.0</v>
      </c>
      <c r="U16" s="748">
        <v>0.0</v>
      </c>
      <c r="V16" s="748">
        <v>0.0</v>
      </c>
      <c r="W16" s="748">
        <v>0.0</v>
      </c>
      <c r="X16" s="748">
        <v>0.0</v>
      </c>
      <c r="Y16" s="748">
        <v>2.62</v>
      </c>
      <c r="Z16" s="748">
        <v>0.0</v>
      </c>
      <c r="AA16" s="748">
        <v>0.0</v>
      </c>
      <c r="AB16" s="748">
        <v>0.56</v>
      </c>
      <c r="AC16" s="748">
        <v>0.0</v>
      </c>
      <c r="AD16" s="748">
        <v>0.0</v>
      </c>
      <c r="AE16" s="777"/>
      <c r="AF16" s="777"/>
      <c r="AG16" s="473">
        <f t="shared" si="1"/>
        <v>21.18</v>
      </c>
      <c r="AH16" s="455"/>
      <c r="AI16" s="38"/>
      <c r="AJ16" s="38"/>
      <c r="AK16" s="38"/>
      <c r="AL16" s="38"/>
      <c r="AM16" s="38"/>
      <c r="AN16" s="38"/>
    </row>
    <row r="17" ht="30.0" customHeight="1">
      <c r="A17" s="758" t="s">
        <v>126</v>
      </c>
      <c r="B17" s="768">
        <v>0.0</v>
      </c>
      <c r="C17" s="768">
        <v>0.0</v>
      </c>
      <c r="D17" s="768">
        <v>0.0</v>
      </c>
      <c r="E17" s="768">
        <v>0.0</v>
      </c>
      <c r="F17" s="768">
        <v>0.0</v>
      </c>
      <c r="G17" s="823">
        <v>0.0</v>
      </c>
      <c r="H17" s="768">
        <v>0.0</v>
      </c>
      <c r="I17" s="768">
        <v>0.0</v>
      </c>
      <c r="J17" s="768">
        <v>0.0</v>
      </c>
      <c r="K17" s="768">
        <v>0.0</v>
      </c>
      <c r="L17" s="768">
        <v>0.0</v>
      </c>
      <c r="M17" s="768">
        <v>0.0</v>
      </c>
      <c r="N17" s="768">
        <v>0.0</v>
      </c>
      <c r="O17" s="768">
        <v>0.0</v>
      </c>
      <c r="P17" s="768">
        <v>0.0</v>
      </c>
      <c r="Q17" s="768">
        <v>0.0</v>
      </c>
      <c r="R17" s="768">
        <v>0.0</v>
      </c>
      <c r="S17" s="768">
        <v>0.0</v>
      </c>
      <c r="T17" s="768">
        <v>0.0</v>
      </c>
      <c r="U17" s="777">
        <v>0.0</v>
      </c>
      <c r="V17" s="777">
        <v>0.0</v>
      </c>
      <c r="W17" s="777">
        <v>0.0</v>
      </c>
      <c r="X17" s="777">
        <v>0.0</v>
      </c>
      <c r="Y17" s="777">
        <v>0.0</v>
      </c>
      <c r="Z17" s="777">
        <v>0.0</v>
      </c>
      <c r="AA17" s="777">
        <v>0.0</v>
      </c>
      <c r="AB17" s="777">
        <v>0.0</v>
      </c>
      <c r="AC17" s="777">
        <v>0.0</v>
      </c>
      <c r="AD17" s="777">
        <v>0.0</v>
      </c>
      <c r="AE17" s="777"/>
      <c r="AF17" s="777"/>
      <c r="AG17" s="473">
        <f t="shared" si="1"/>
        <v>0</v>
      </c>
      <c r="AH17" s="455"/>
      <c r="AI17" s="38"/>
      <c r="AJ17" s="38"/>
      <c r="AK17" s="38"/>
      <c r="AL17" s="38"/>
      <c r="AM17" s="38"/>
      <c r="AN17" s="38"/>
    </row>
    <row r="18" ht="30.0" customHeight="1">
      <c r="A18" s="758" t="s">
        <v>129</v>
      </c>
      <c r="B18" s="839">
        <v>18.0</v>
      </c>
      <c r="C18" s="839">
        <v>16.5</v>
      </c>
      <c r="D18" s="839">
        <v>32.76</v>
      </c>
      <c r="E18" s="839">
        <v>6.0</v>
      </c>
      <c r="F18" s="839">
        <v>52.41</v>
      </c>
      <c r="G18" s="855">
        <v>48.32</v>
      </c>
      <c r="H18" s="839">
        <v>14.9</v>
      </c>
      <c r="I18" s="839">
        <v>14.26</v>
      </c>
      <c r="J18" s="839">
        <v>0.0</v>
      </c>
      <c r="K18" s="839">
        <v>42.0</v>
      </c>
      <c r="L18" s="839">
        <v>4.5</v>
      </c>
      <c r="M18" s="839">
        <v>30.52</v>
      </c>
      <c r="N18" s="839">
        <v>0.42</v>
      </c>
      <c r="O18" s="839">
        <v>58.5</v>
      </c>
      <c r="P18" s="839">
        <v>39.0</v>
      </c>
      <c r="Q18" s="839">
        <v>18.0</v>
      </c>
      <c r="R18" s="839">
        <v>1.92</v>
      </c>
      <c r="S18" s="839">
        <v>39.94</v>
      </c>
      <c r="T18" s="839">
        <v>42.0</v>
      </c>
      <c r="U18" s="793">
        <v>26.2</v>
      </c>
      <c r="V18" s="793">
        <v>27.89</v>
      </c>
      <c r="W18" s="793">
        <v>32.06</v>
      </c>
      <c r="X18" s="793">
        <v>69.08</v>
      </c>
      <c r="Y18" s="793">
        <v>34.5</v>
      </c>
      <c r="Z18" s="793">
        <v>0.0</v>
      </c>
      <c r="AA18" s="793">
        <v>57.18</v>
      </c>
      <c r="AB18" s="793">
        <v>79.54</v>
      </c>
      <c r="AC18" s="793">
        <v>57.7</v>
      </c>
      <c r="AD18" s="793">
        <v>66.32</v>
      </c>
      <c r="AE18" s="777"/>
      <c r="AF18" s="777"/>
      <c r="AG18" s="473">
        <f t="shared" si="1"/>
        <v>930.42</v>
      </c>
      <c r="AH18" s="455"/>
      <c r="AI18" s="38"/>
      <c r="AJ18" s="38"/>
      <c r="AK18" s="38"/>
      <c r="AL18" s="38"/>
      <c r="AM18" s="38"/>
      <c r="AN18" s="38"/>
      <c r="AP18" s="38"/>
      <c r="AQ18" s="38"/>
      <c r="AR18" s="38"/>
      <c r="AS18" s="862"/>
      <c r="AT18" s="173">
        <v>1.0</v>
      </c>
      <c r="AU18" s="174" t="s">
        <v>16</v>
      </c>
      <c r="AV18" s="173">
        <v>0.05</v>
      </c>
      <c r="AW18" s="456" t="s">
        <v>71</v>
      </c>
      <c r="AX18" s="456" t="s">
        <v>72</v>
      </c>
      <c r="AY18" s="456" t="s">
        <v>73</v>
      </c>
      <c r="AZ18" s="246" t="s">
        <v>34</v>
      </c>
    </row>
    <row r="19" ht="30.0" customHeight="1">
      <c r="A19" s="758" t="s">
        <v>131</v>
      </c>
      <c r="B19" s="783">
        <v>0.0</v>
      </c>
      <c r="C19" s="783">
        <v>28.5</v>
      </c>
      <c r="D19" s="783">
        <v>20.06</v>
      </c>
      <c r="E19" s="783">
        <v>16.5</v>
      </c>
      <c r="F19" s="783">
        <v>12.0</v>
      </c>
      <c r="G19" s="853">
        <v>12.0</v>
      </c>
      <c r="H19" s="783">
        <v>0.0</v>
      </c>
      <c r="I19" s="783">
        <v>6.0</v>
      </c>
      <c r="J19" s="783">
        <v>0.0</v>
      </c>
      <c r="K19" s="783">
        <v>0.0</v>
      </c>
      <c r="L19" s="840">
        <v>7.66</v>
      </c>
      <c r="M19" s="840">
        <v>15.96</v>
      </c>
      <c r="N19" s="840">
        <v>21.86</v>
      </c>
      <c r="O19" s="840">
        <v>20.96</v>
      </c>
      <c r="P19" s="840">
        <v>15.36</v>
      </c>
      <c r="Q19" s="840">
        <v>41.38</v>
      </c>
      <c r="R19" s="840">
        <v>16.64</v>
      </c>
      <c r="S19" s="840">
        <v>20.74</v>
      </c>
      <c r="T19" s="840">
        <v>14.88</v>
      </c>
      <c r="U19" s="787">
        <v>16.5</v>
      </c>
      <c r="V19" s="787">
        <v>17.6</v>
      </c>
      <c r="W19" s="787">
        <v>34.32</v>
      </c>
      <c r="X19" s="787">
        <v>13.5</v>
      </c>
      <c r="Y19" s="787">
        <v>6.12</v>
      </c>
      <c r="Z19" s="787">
        <v>28.68</v>
      </c>
      <c r="AA19" s="787">
        <v>22.62</v>
      </c>
      <c r="AB19" s="787">
        <v>25.01</v>
      </c>
      <c r="AC19" s="787">
        <v>13.5</v>
      </c>
      <c r="AD19" s="787">
        <v>14.62</v>
      </c>
      <c r="AE19" s="787"/>
      <c r="AF19" s="787"/>
      <c r="AG19" s="473">
        <f t="shared" si="1"/>
        <v>462.97</v>
      </c>
      <c r="AH19" s="455"/>
      <c r="AI19" s="38"/>
      <c r="AJ19" s="38"/>
      <c r="AK19" s="38"/>
      <c r="AL19" s="38"/>
      <c r="AM19" s="38"/>
      <c r="AN19" s="38"/>
      <c r="AP19" s="544" t="s">
        <v>108</v>
      </c>
      <c r="AQ19" s="176"/>
      <c r="AR19" s="177"/>
      <c r="AS19" s="545"/>
      <c r="AT19" s="545">
        <f>SUM(valuesByColor("#ffc4d5", "", B3:AF31))</f>
        <v>0</v>
      </c>
      <c r="AU19" s="545">
        <f t="shared" ref="AU19:AU28" si="8">((AT19*(1-0.05))*(1-0.6))+AX19-AZ19</f>
        <v>0</v>
      </c>
      <c r="AV19" s="546">
        <f t="shared" ref="AV19:AV28" si="9">(AT19*(1-0.05))*(1-0.95)+AY19</f>
        <v>0</v>
      </c>
      <c r="AW19" s="546"/>
      <c r="AX19" s="546">
        <f t="shared" ref="AX19:AX28" si="10">(AW19*(1-0.05))*(1-0.9)</f>
        <v>0</v>
      </c>
      <c r="AY19" s="546">
        <f t="shared" ref="AY19:AY28" si="11">(AW19*(1-0.05))*(1-0.95)</f>
        <v>0</v>
      </c>
      <c r="AZ19" s="547"/>
    </row>
    <row r="20" ht="30.0" customHeight="1">
      <c r="A20" s="758" t="s">
        <v>136</v>
      </c>
      <c r="B20" s="768">
        <v>0.0</v>
      </c>
      <c r="C20" s="768">
        <v>0.0</v>
      </c>
      <c r="D20" s="768">
        <v>0.0</v>
      </c>
      <c r="E20" s="768">
        <v>0.0</v>
      </c>
      <c r="F20" s="768">
        <v>0.0</v>
      </c>
      <c r="G20" s="823">
        <v>0.0</v>
      </c>
      <c r="H20" s="768">
        <v>0.0</v>
      </c>
      <c r="I20" s="768">
        <v>0.0</v>
      </c>
      <c r="J20" s="768">
        <v>0.0</v>
      </c>
      <c r="K20" s="768">
        <v>0.0</v>
      </c>
      <c r="L20" s="768">
        <v>0.0</v>
      </c>
      <c r="M20" s="768">
        <v>0.0</v>
      </c>
      <c r="N20" s="768">
        <v>0.0</v>
      </c>
      <c r="O20" s="768">
        <v>0.0</v>
      </c>
      <c r="P20" s="768">
        <v>0.0</v>
      </c>
      <c r="Q20" s="768">
        <v>0.0</v>
      </c>
      <c r="R20" s="768">
        <v>0.0</v>
      </c>
      <c r="S20" s="768">
        <v>0.0</v>
      </c>
      <c r="T20" s="768">
        <v>0.0</v>
      </c>
      <c r="U20" s="777">
        <v>0.0</v>
      </c>
      <c r="V20" s="777">
        <v>0.0</v>
      </c>
      <c r="W20" s="777">
        <v>0.0</v>
      </c>
      <c r="X20" s="777">
        <v>0.0</v>
      </c>
      <c r="Y20" s="777">
        <v>0.0</v>
      </c>
      <c r="Z20" s="777">
        <v>0.0</v>
      </c>
      <c r="AA20" s="777">
        <v>0.0</v>
      </c>
      <c r="AB20" s="777">
        <v>0.0</v>
      </c>
      <c r="AC20" s="777">
        <v>0.0</v>
      </c>
      <c r="AD20" s="777">
        <v>0.0</v>
      </c>
      <c r="AE20" s="777"/>
      <c r="AF20" s="777"/>
      <c r="AG20" s="473">
        <f t="shared" si="1"/>
        <v>0</v>
      </c>
      <c r="AH20" s="455"/>
      <c r="AI20" s="38"/>
      <c r="AJ20" s="38"/>
      <c r="AK20" s="38"/>
      <c r="AL20" s="38"/>
      <c r="AM20" s="38"/>
      <c r="AN20" s="38"/>
      <c r="AP20" s="555"/>
      <c r="AQ20" s="176"/>
      <c r="AR20" s="177"/>
      <c r="AS20" s="556"/>
      <c r="AT20" s="556">
        <f>SUM(valuesByColor("#636212", "", B3:AF31))</f>
        <v>0</v>
      </c>
      <c r="AU20" s="556">
        <f t="shared" si="8"/>
        <v>0</v>
      </c>
      <c r="AV20" s="557">
        <f t="shared" si="9"/>
        <v>0</v>
      </c>
      <c r="AW20" s="557"/>
      <c r="AX20" s="557">
        <f t="shared" si="10"/>
        <v>0</v>
      </c>
      <c r="AY20" s="557">
        <f t="shared" si="11"/>
        <v>0</v>
      </c>
      <c r="AZ20" s="558"/>
    </row>
    <row r="21" ht="30.0" customHeight="1">
      <c r="A21" s="758" t="s">
        <v>132</v>
      </c>
      <c r="B21" s="768">
        <v>0.0</v>
      </c>
      <c r="C21" s="768">
        <v>0.0</v>
      </c>
      <c r="D21" s="768">
        <v>0.0</v>
      </c>
      <c r="E21" s="768">
        <v>0.0</v>
      </c>
      <c r="F21" s="768">
        <v>0.0</v>
      </c>
      <c r="G21" s="823">
        <v>0.0</v>
      </c>
      <c r="H21" s="768">
        <v>0.0</v>
      </c>
      <c r="I21" s="768">
        <v>0.0</v>
      </c>
      <c r="J21" s="768">
        <v>0.0</v>
      </c>
      <c r="K21" s="768">
        <v>0.0</v>
      </c>
      <c r="L21" s="768">
        <v>0.0</v>
      </c>
      <c r="M21" s="768">
        <v>0.0</v>
      </c>
      <c r="N21" s="768">
        <v>0.0</v>
      </c>
      <c r="O21" s="768">
        <v>0.0</v>
      </c>
      <c r="P21" s="768">
        <v>0.0</v>
      </c>
      <c r="Q21" s="768">
        <v>0.0</v>
      </c>
      <c r="R21" s="768">
        <v>0.0</v>
      </c>
      <c r="S21" s="768">
        <v>0.0</v>
      </c>
      <c r="T21" s="768">
        <v>0.0</v>
      </c>
      <c r="U21" s="777">
        <v>0.0</v>
      </c>
      <c r="V21" s="777">
        <v>0.0</v>
      </c>
      <c r="W21" s="777">
        <v>0.0</v>
      </c>
      <c r="X21" s="777">
        <v>0.0</v>
      </c>
      <c r="Y21" s="777">
        <v>0.0</v>
      </c>
      <c r="Z21" s="777">
        <v>0.0</v>
      </c>
      <c r="AA21" s="777">
        <v>0.0</v>
      </c>
      <c r="AB21" s="777">
        <v>0.0</v>
      </c>
      <c r="AC21" s="777">
        <v>0.0</v>
      </c>
      <c r="AD21" s="777">
        <v>0.0</v>
      </c>
      <c r="AE21" s="777"/>
      <c r="AF21" s="777"/>
      <c r="AG21" s="473">
        <f t="shared" si="1"/>
        <v>0</v>
      </c>
      <c r="AH21" s="455"/>
      <c r="AI21" s="38"/>
      <c r="AJ21" s="38"/>
      <c r="AK21" s="38"/>
      <c r="AL21" s="38"/>
      <c r="AM21" s="38"/>
      <c r="AN21" s="38"/>
      <c r="AP21" s="563" t="s">
        <v>135</v>
      </c>
      <c r="AQ21" s="176"/>
      <c r="AR21" s="177"/>
      <c r="AS21" s="564"/>
      <c r="AT21" s="564">
        <f>SUM(valuesByColor("#00b572", "", B3:AF31))</f>
        <v>1035.44</v>
      </c>
      <c r="AU21" s="564">
        <f t="shared" si="8"/>
        <v>293.4672</v>
      </c>
      <c r="AV21" s="565">
        <f t="shared" si="9"/>
        <v>49.1834</v>
      </c>
      <c r="AW21" s="565"/>
      <c r="AX21" s="565">
        <f t="shared" si="10"/>
        <v>0</v>
      </c>
      <c r="AY21" s="565">
        <f t="shared" si="11"/>
        <v>0</v>
      </c>
      <c r="AZ21" s="566">
        <v>100.0</v>
      </c>
    </row>
    <row r="22" ht="30.0" customHeight="1">
      <c r="A22" s="758" t="s">
        <v>137</v>
      </c>
      <c r="B22" s="768">
        <v>0.0</v>
      </c>
      <c r="C22" s="768">
        <v>0.0</v>
      </c>
      <c r="D22" s="768">
        <v>0.0</v>
      </c>
      <c r="E22" s="768">
        <v>0.0</v>
      </c>
      <c r="F22" s="768">
        <v>0.0</v>
      </c>
      <c r="G22" s="823">
        <v>0.0</v>
      </c>
      <c r="H22" s="768">
        <v>0.0</v>
      </c>
      <c r="I22" s="768">
        <v>0.0</v>
      </c>
      <c r="J22" s="768">
        <v>0.0</v>
      </c>
      <c r="K22" s="768">
        <v>0.0</v>
      </c>
      <c r="L22" s="768">
        <v>0.0</v>
      </c>
      <c r="M22" s="768">
        <v>0.0</v>
      </c>
      <c r="N22" s="768">
        <v>0.0</v>
      </c>
      <c r="O22" s="768">
        <v>0.0</v>
      </c>
      <c r="P22" s="768">
        <v>0.0</v>
      </c>
      <c r="Q22" s="768">
        <v>0.0</v>
      </c>
      <c r="R22" s="768">
        <v>0.0</v>
      </c>
      <c r="S22" s="768">
        <v>0.0</v>
      </c>
      <c r="T22" s="768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/>
      <c r="AF22" s="777"/>
      <c r="AG22" s="473">
        <f t="shared" si="1"/>
        <v>0</v>
      </c>
      <c r="AH22" s="455"/>
      <c r="AI22" s="38"/>
      <c r="AJ22" s="38"/>
      <c r="AK22" s="38"/>
      <c r="AL22" s="38"/>
      <c r="AM22" s="38"/>
      <c r="AN22" s="38"/>
      <c r="AP22" s="575" t="s">
        <v>145</v>
      </c>
      <c r="AQ22" s="176"/>
      <c r="AR22" s="177"/>
      <c r="AS22" s="576"/>
      <c r="AT22" s="576">
        <f>SUM(valuesByColor("#7030a0", "", B3:AF31))</f>
        <v>367.91</v>
      </c>
      <c r="AU22" s="576">
        <f t="shared" si="8"/>
        <v>114.8058</v>
      </c>
      <c r="AV22" s="577">
        <f t="shared" si="9"/>
        <v>17.475725</v>
      </c>
      <c r="AW22" s="577"/>
      <c r="AX22" s="577">
        <f t="shared" si="10"/>
        <v>0</v>
      </c>
      <c r="AY22" s="577">
        <f t="shared" si="11"/>
        <v>0</v>
      </c>
      <c r="AZ22" s="578">
        <v>25.0</v>
      </c>
    </row>
    <row r="23" ht="30.0" customHeight="1">
      <c r="A23" s="758" t="s">
        <v>133</v>
      </c>
      <c r="B23" s="768">
        <v>0.0</v>
      </c>
      <c r="C23" s="768">
        <v>0.0</v>
      </c>
      <c r="D23" s="768">
        <v>0.0</v>
      </c>
      <c r="E23" s="768">
        <v>0.0</v>
      </c>
      <c r="F23" s="768">
        <v>0.0</v>
      </c>
      <c r="G23" s="823">
        <v>0.0</v>
      </c>
      <c r="H23" s="768">
        <v>0.0</v>
      </c>
      <c r="I23" s="768">
        <v>0.0</v>
      </c>
      <c r="J23" s="768">
        <v>0.0</v>
      </c>
      <c r="K23" s="768">
        <v>0.0</v>
      </c>
      <c r="L23" s="768">
        <v>0.0</v>
      </c>
      <c r="M23" s="768">
        <v>0.0</v>
      </c>
      <c r="N23" s="768">
        <v>0.0</v>
      </c>
      <c r="O23" s="768">
        <v>0.0</v>
      </c>
      <c r="P23" s="768">
        <v>0.0</v>
      </c>
      <c r="Q23" s="886">
        <v>1.62</v>
      </c>
      <c r="R23" s="886">
        <v>0.36</v>
      </c>
      <c r="S23" s="886">
        <v>0.0</v>
      </c>
      <c r="T23" s="886">
        <v>4.62</v>
      </c>
      <c r="U23" s="864">
        <v>0.0</v>
      </c>
      <c r="V23" s="864">
        <v>0.12</v>
      </c>
      <c r="W23" s="864">
        <v>0.0</v>
      </c>
      <c r="X23" s="864">
        <v>3.0</v>
      </c>
      <c r="Y23" s="864">
        <v>4.5</v>
      </c>
      <c r="Z23" s="864">
        <v>1.5</v>
      </c>
      <c r="AA23" s="864">
        <v>0.0</v>
      </c>
      <c r="AB23" s="864">
        <v>0.0</v>
      </c>
      <c r="AC23" s="864">
        <v>0.0</v>
      </c>
      <c r="AD23" s="864">
        <v>0.0</v>
      </c>
      <c r="AE23" s="777"/>
      <c r="AF23" s="777"/>
      <c r="AG23" s="473">
        <f t="shared" si="1"/>
        <v>15.72</v>
      </c>
      <c r="AH23" s="455"/>
      <c r="AI23" s="38"/>
      <c r="AJ23" s="38"/>
      <c r="AK23" s="38"/>
      <c r="AL23" s="38"/>
      <c r="AM23" s="38"/>
      <c r="AN23" s="38"/>
      <c r="AP23" s="580" t="s">
        <v>130</v>
      </c>
      <c r="AQ23" s="176"/>
      <c r="AR23" s="177"/>
      <c r="AS23" s="581"/>
      <c r="AT23" s="581">
        <f>SUM(valuesByColor("#9bbb59", "", B4:AF32))</f>
        <v>0</v>
      </c>
      <c r="AU23" s="582">
        <f t="shared" si="8"/>
        <v>0</v>
      </c>
      <c r="AV23" s="583">
        <f t="shared" si="9"/>
        <v>0</v>
      </c>
      <c r="AW23" s="584"/>
      <c r="AX23" s="583">
        <f t="shared" si="10"/>
        <v>0</v>
      </c>
      <c r="AY23" s="583">
        <f t="shared" si="11"/>
        <v>0</v>
      </c>
      <c r="AZ23" s="585"/>
    </row>
    <row r="24" ht="30.0" customHeight="1">
      <c r="A24" s="758" t="s">
        <v>138</v>
      </c>
      <c r="B24" s="868">
        <v>0.7</v>
      </c>
      <c r="C24" s="868">
        <v>0.0</v>
      </c>
      <c r="D24" s="868">
        <v>0.0</v>
      </c>
      <c r="E24" s="868">
        <v>1.5</v>
      </c>
      <c r="F24" s="868">
        <v>4.5</v>
      </c>
      <c r="G24" s="854">
        <v>0.0</v>
      </c>
      <c r="H24" s="868">
        <v>0.0</v>
      </c>
      <c r="I24" s="868">
        <v>0.0</v>
      </c>
      <c r="J24" s="868">
        <v>0.0</v>
      </c>
      <c r="K24" s="868">
        <v>0.0</v>
      </c>
      <c r="L24" s="868">
        <v>0.0</v>
      </c>
      <c r="M24" s="868">
        <v>0.0</v>
      </c>
      <c r="N24" s="868">
        <v>0.0</v>
      </c>
      <c r="O24" s="868">
        <v>0.0</v>
      </c>
      <c r="P24" s="868">
        <v>0.0</v>
      </c>
      <c r="Q24" s="868">
        <v>0.0</v>
      </c>
      <c r="R24" s="868">
        <v>0.0</v>
      </c>
      <c r="S24" s="868">
        <v>0.0</v>
      </c>
      <c r="T24" s="868">
        <v>0.0</v>
      </c>
      <c r="U24" s="819">
        <v>0.0</v>
      </c>
      <c r="V24" s="819">
        <v>0.0</v>
      </c>
      <c r="W24" s="819">
        <v>0.0</v>
      </c>
      <c r="X24" s="819">
        <v>0.0</v>
      </c>
      <c r="Y24" s="819">
        <v>0.0</v>
      </c>
      <c r="Z24" s="819">
        <v>0.0</v>
      </c>
      <c r="AA24" s="819">
        <v>0.0</v>
      </c>
      <c r="AB24" s="819">
        <v>0.0</v>
      </c>
      <c r="AC24" s="819">
        <v>0.0</v>
      </c>
      <c r="AD24" s="819">
        <v>0.0</v>
      </c>
      <c r="AE24" s="777"/>
      <c r="AF24" s="777"/>
      <c r="AG24" s="473">
        <f t="shared" si="1"/>
        <v>6.7</v>
      </c>
      <c r="AH24" s="455"/>
      <c r="AI24" s="38"/>
      <c r="AJ24" s="38"/>
      <c r="AK24" s="38"/>
      <c r="AL24" s="38"/>
      <c r="AM24" s="38"/>
      <c r="AN24" s="38"/>
      <c r="AP24" s="588"/>
      <c r="AQ24" s="176"/>
      <c r="AR24" s="177"/>
      <c r="AS24" s="589"/>
      <c r="AT24" s="589"/>
      <c r="AU24" s="590">
        <f t="shared" si="8"/>
        <v>0</v>
      </c>
      <c r="AV24" s="591">
        <f t="shared" si="9"/>
        <v>0</v>
      </c>
      <c r="AW24" s="592"/>
      <c r="AX24" s="591">
        <f t="shared" si="10"/>
        <v>0</v>
      </c>
      <c r="AY24" s="591">
        <f t="shared" si="11"/>
        <v>0</v>
      </c>
      <c r="AZ24" s="268"/>
    </row>
    <row r="25" ht="30.0" customHeight="1">
      <c r="A25" s="758" t="s">
        <v>139</v>
      </c>
      <c r="B25" s="771">
        <v>0.0</v>
      </c>
      <c r="C25" s="771">
        <v>0.0</v>
      </c>
      <c r="D25" s="771">
        <v>0.0</v>
      </c>
      <c r="E25" s="771">
        <v>0.0</v>
      </c>
      <c r="F25" s="771">
        <v>0.0</v>
      </c>
      <c r="G25" s="849">
        <v>0.0</v>
      </c>
      <c r="H25" s="771">
        <v>0.0</v>
      </c>
      <c r="I25" s="771">
        <v>0.0</v>
      </c>
      <c r="J25" s="771">
        <v>0.0</v>
      </c>
      <c r="K25" s="771">
        <v>4.92</v>
      </c>
      <c r="L25" s="771">
        <v>0.0</v>
      </c>
      <c r="M25" s="771">
        <v>0.0</v>
      </c>
      <c r="N25" s="771">
        <v>9.0</v>
      </c>
      <c r="O25" s="771">
        <v>4.12</v>
      </c>
      <c r="P25" s="771">
        <v>0.0</v>
      </c>
      <c r="Q25" s="771">
        <v>0.0</v>
      </c>
      <c r="R25" s="771">
        <v>0.28</v>
      </c>
      <c r="S25" s="771">
        <v>4.62</v>
      </c>
      <c r="T25" s="771">
        <v>0.0</v>
      </c>
      <c r="U25" s="748">
        <v>0.0</v>
      </c>
      <c r="V25" s="748">
        <v>0.0</v>
      </c>
      <c r="W25" s="748">
        <v>1.5</v>
      </c>
      <c r="X25" s="748">
        <v>4.5</v>
      </c>
      <c r="Y25" s="748">
        <v>0.0</v>
      </c>
      <c r="Z25" s="748">
        <v>0.0</v>
      </c>
      <c r="AA25" s="748">
        <v>0.0</v>
      </c>
      <c r="AB25" s="748">
        <v>0.0</v>
      </c>
      <c r="AC25" s="748">
        <v>0.0</v>
      </c>
      <c r="AD25" s="748">
        <v>0.0</v>
      </c>
      <c r="AE25" s="777"/>
      <c r="AF25" s="777"/>
      <c r="AG25" s="473">
        <f t="shared" si="1"/>
        <v>28.94</v>
      </c>
      <c r="AH25" s="455"/>
      <c r="AI25" s="38"/>
      <c r="AJ25" s="38"/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8"/>
        <v>0</v>
      </c>
      <c r="AV25" s="591">
        <f t="shared" si="9"/>
        <v>0</v>
      </c>
      <c r="AW25" s="592"/>
      <c r="AX25" s="591">
        <f t="shared" si="10"/>
        <v>0</v>
      </c>
      <c r="AY25" s="591">
        <f t="shared" si="11"/>
        <v>0</v>
      </c>
      <c r="AZ25" s="270"/>
    </row>
    <row r="26" ht="30.0" customHeight="1">
      <c r="A26" s="758" t="s">
        <v>146</v>
      </c>
      <c r="B26" s="768">
        <v>0.0</v>
      </c>
      <c r="C26" s="768">
        <v>7.24</v>
      </c>
      <c r="D26" s="768">
        <v>0.0</v>
      </c>
      <c r="E26" s="768">
        <v>0.0</v>
      </c>
      <c r="F26" s="768">
        <v>2.45</v>
      </c>
      <c r="G26" s="855">
        <v>0.0</v>
      </c>
      <c r="H26" s="839">
        <v>0.0</v>
      </c>
      <c r="I26" s="869">
        <v>0.0</v>
      </c>
      <c r="J26" s="869">
        <v>0.0</v>
      </c>
      <c r="K26" s="869">
        <v>0.0</v>
      </c>
      <c r="L26" s="869">
        <v>1.5</v>
      </c>
      <c r="M26" s="869">
        <v>0.0</v>
      </c>
      <c r="N26" s="869">
        <v>0.0</v>
      </c>
      <c r="O26" s="869">
        <v>0.0</v>
      </c>
      <c r="P26" s="869">
        <v>0.0</v>
      </c>
      <c r="Q26" s="869">
        <v>0.0</v>
      </c>
      <c r="R26" s="869">
        <v>0.0</v>
      </c>
      <c r="S26" s="869">
        <v>0.0</v>
      </c>
      <c r="T26" s="869">
        <v>0.0</v>
      </c>
      <c r="U26" s="777">
        <v>0.0</v>
      </c>
      <c r="V26" s="777">
        <v>0.0</v>
      </c>
      <c r="W26" s="777">
        <v>0.0</v>
      </c>
      <c r="X26" s="777">
        <v>0.0</v>
      </c>
      <c r="Y26" s="777">
        <v>0.0</v>
      </c>
      <c r="Z26" s="777">
        <v>0.0</v>
      </c>
      <c r="AA26" s="777">
        <v>0.0</v>
      </c>
      <c r="AB26" s="777">
        <v>0.0</v>
      </c>
      <c r="AC26" s="777">
        <v>0.0</v>
      </c>
      <c r="AD26" s="777">
        <v>0.0</v>
      </c>
      <c r="AE26" s="777"/>
      <c r="AF26" s="777"/>
      <c r="AG26" s="473">
        <f t="shared" si="1"/>
        <v>11.19</v>
      </c>
      <c r="AH26" s="455"/>
      <c r="AI26" s="38"/>
      <c r="AJ26" s="38"/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8"/>
        <v>0</v>
      </c>
      <c r="AV26" s="591">
        <f t="shared" si="9"/>
        <v>0</v>
      </c>
      <c r="AW26" s="600"/>
      <c r="AX26" s="591">
        <f t="shared" si="10"/>
        <v>0</v>
      </c>
      <c r="AY26" s="591">
        <f t="shared" si="11"/>
        <v>0</v>
      </c>
      <c r="AZ26" s="274"/>
    </row>
    <row r="27" ht="30.0" customHeight="1">
      <c r="A27" s="758" t="s">
        <v>147</v>
      </c>
      <c r="B27" s="768">
        <v>0.0</v>
      </c>
      <c r="C27" s="768">
        <v>0.0</v>
      </c>
      <c r="D27" s="768">
        <v>0.0</v>
      </c>
      <c r="E27" s="768">
        <v>0.0</v>
      </c>
      <c r="F27" s="768">
        <v>7.0</v>
      </c>
      <c r="G27" s="850">
        <v>0.0</v>
      </c>
      <c r="H27" s="820">
        <v>0.14</v>
      </c>
      <c r="I27" s="820">
        <v>19.92</v>
      </c>
      <c r="J27" s="820">
        <v>3.0</v>
      </c>
      <c r="K27" s="820">
        <v>0.0</v>
      </c>
      <c r="L27" s="820">
        <v>1.5</v>
      </c>
      <c r="M27" s="820">
        <v>0.0</v>
      </c>
      <c r="N27" s="820">
        <v>0.0</v>
      </c>
      <c r="O27" s="820">
        <v>1.5</v>
      </c>
      <c r="P27" s="820">
        <v>0.0</v>
      </c>
      <c r="Q27" s="820">
        <v>0.0</v>
      </c>
      <c r="R27" s="820">
        <v>0.0</v>
      </c>
      <c r="S27" s="820">
        <v>0.0</v>
      </c>
      <c r="T27" s="820">
        <v>0.0</v>
      </c>
      <c r="U27" s="807">
        <v>0.0</v>
      </c>
      <c r="V27" s="807">
        <v>1.5</v>
      </c>
      <c r="W27" s="807">
        <v>0.0</v>
      </c>
      <c r="X27" s="807">
        <v>0.0</v>
      </c>
      <c r="Y27" s="807">
        <v>0.0</v>
      </c>
      <c r="Z27" s="807">
        <v>0.0</v>
      </c>
      <c r="AA27" s="807">
        <v>0.0</v>
      </c>
      <c r="AB27" s="807">
        <v>0.0</v>
      </c>
      <c r="AC27" s="807">
        <v>0.0</v>
      </c>
      <c r="AD27" s="807">
        <v>0.0</v>
      </c>
      <c r="AE27" s="777"/>
      <c r="AF27" s="777"/>
      <c r="AG27" s="473">
        <f t="shared" si="1"/>
        <v>34.56</v>
      </c>
      <c r="AH27" s="455"/>
      <c r="AI27" s="38"/>
      <c r="AJ27" s="38"/>
      <c r="AK27" s="38"/>
      <c r="AL27" s="38"/>
      <c r="AM27" s="38"/>
      <c r="AN27" s="38"/>
      <c r="AP27" s="588"/>
      <c r="AQ27" s="176"/>
      <c r="AR27" s="177"/>
      <c r="AS27" s="589"/>
      <c r="AT27" s="589"/>
      <c r="AU27" s="590">
        <f t="shared" si="8"/>
        <v>0</v>
      </c>
      <c r="AV27" s="591">
        <f t="shared" si="9"/>
        <v>0</v>
      </c>
      <c r="AW27" s="600"/>
      <c r="AX27" s="591">
        <f t="shared" si="10"/>
        <v>0</v>
      </c>
      <c r="AY27" s="591">
        <f t="shared" si="11"/>
        <v>0</v>
      </c>
      <c r="AZ27" s="280"/>
    </row>
    <row r="28" ht="30.0" customHeight="1">
      <c r="A28" s="758" t="s">
        <v>140</v>
      </c>
      <c r="B28" s="869">
        <v>0.0</v>
      </c>
      <c r="C28" s="869">
        <v>0.0</v>
      </c>
      <c r="D28" s="869">
        <v>1.5</v>
      </c>
      <c r="E28" s="869">
        <v>0.0</v>
      </c>
      <c r="F28" s="869">
        <v>0.0</v>
      </c>
      <c r="G28" s="887">
        <v>0.0</v>
      </c>
      <c r="H28" s="869">
        <v>0.0</v>
      </c>
      <c r="I28" s="869">
        <v>0.0</v>
      </c>
      <c r="J28" s="869">
        <v>1.5</v>
      </c>
      <c r="K28" s="768">
        <v>0.0</v>
      </c>
      <c r="L28" s="768">
        <v>0.0</v>
      </c>
      <c r="M28" s="768">
        <v>0.0</v>
      </c>
      <c r="N28" s="768">
        <v>0.0</v>
      </c>
      <c r="O28" s="768">
        <v>0.0</v>
      </c>
      <c r="P28" s="768">
        <v>0.0</v>
      </c>
      <c r="Q28" s="768">
        <v>0.0</v>
      </c>
      <c r="R28" s="768">
        <v>0.0</v>
      </c>
      <c r="S28" s="768">
        <v>0.0</v>
      </c>
      <c r="T28" s="768">
        <v>0.0</v>
      </c>
      <c r="U28" s="777">
        <v>0.0</v>
      </c>
      <c r="V28" s="777">
        <v>0.0</v>
      </c>
      <c r="W28" s="777">
        <v>0.0</v>
      </c>
      <c r="X28" s="777">
        <v>0.0</v>
      </c>
      <c r="Y28" s="777">
        <v>0.0</v>
      </c>
      <c r="Z28" s="777">
        <v>0.0</v>
      </c>
      <c r="AA28" s="777">
        <v>0.0</v>
      </c>
      <c r="AB28" s="777">
        <v>0.0</v>
      </c>
      <c r="AC28" s="777">
        <v>0.0</v>
      </c>
      <c r="AD28" s="777">
        <v>0.0</v>
      </c>
      <c r="AE28" s="777"/>
      <c r="AF28" s="777"/>
      <c r="AG28" s="473">
        <f t="shared" si="1"/>
        <v>3</v>
      </c>
      <c r="AH28" s="455"/>
      <c r="AI28" s="38"/>
      <c r="AJ28" s="38"/>
      <c r="AK28" s="38"/>
      <c r="AL28" s="38"/>
      <c r="AM28" s="38"/>
      <c r="AN28" s="38"/>
      <c r="AP28" s="588"/>
      <c r="AQ28" s="176"/>
      <c r="AR28" s="177"/>
      <c r="AS28" s="589"/>
      <c r="AT28" s="589"/>
      <c r="AU28" s="590">
        <f t="shared" si="8"/>
        <v>0</v>
      </c>
      <c r="AV28" s="591">
        <f t="shared" si="9"/>
        <v>0</v>
      </c>
      <c r="AW28" s="600"/>
      <c r="AX28" s="591">
        <f t="shared" si="10"/>
        <v>0</v>
      </c>
      <c r="AY28" s="591">
        <f t="shared" si="11"/>
        <v>0</v>
      </c>
      <c r="AZ28" s="387"/>
    </row>
    <row r="29" ht="30.0" customHeight="1">
      <c r="A29" s="758" t="s">
        <v>141</v>
      </c>
      <c r="B29" s="768">
        <v>0.0</v>
      </c>
      <c r="C29" s="768">
        <v>0.0</v>
      </c>
      <c r="D29" s="768">
        <v>0.0</v>
      </c>
      <c r="E29" s="783">
        <v>6.0</v>
      </c>
      <c r="F29" s="783">
        <v>4.5</v>
      </c>
      <c r="G29" s="853">
        <v>1.5</v>
      </c>
      <c r="H29" s="783">
        <v>0.0</v>
      </c>
      <c r="I29" s="783">
        <v>3.12</v>
      </c>
      <c r="J29" s="783">
        <v>0.0</v>
      </c>
      <c r="K29" s="783">
        <v>0.12</v>
      </c>
      <c r="L29" s="783">
        <v>18.0</v>
      </c>
      <c r="M29" s="783">
        <v>13.02</v>
      </c>
      <c r="N29" s="783">
        <v>1.5</v>
      </c>
      <c r="O29" s="783">
        <v>16.5</v>
      </c>
      <c r="P29" s="783">
        <v>21.12</v>
      </c>
      <c r="Q29" s="783">
        <v>13.5</v>
      </c>
      <c r="R29" s="783">
        <v>9.0</v>
      </c>
      <c r="S29" s="783">
        <v>5.06</v>
      </c>
      <c r="T29" s="783">
        <v>28.5</v>
      </c>
      <c r="U29" s="680">
        <v>9.0</v>
      </c>
      <c r="V29" s="680">
        <v>0.0</v>
      </c>
      <c r="W29" s="680">
        <v>10.5</v>
      </c>
      <c r="X29" s="680">
        <v>3.0</v>
      </c>
      <c r="Y29" s="680">
        <v>0.0</v>
      </c>
      <c r="Z29" s="680">
        <v>0.0</v>
      </c>
      <c r="AA29" s="680">
        <v>0.0</v>
      </c>
      <c r="AB29" s="680">
        <v>7.5</v>
      </c>
      <c r="AC29" s="680">
        <v>3.0</v>
      </c>
      <c r="AD29" s="680">
        <v>1.5</v>
      </c>
      <c r="AE29" s="680"/>
      <c r="AF29" s="680"/>
      <c r="AG29" s="473">
        <f t="shared" si="1"/>
        <v>175.94</v>
      </c>
      <c r="AH29" s="455"/>
      <c r="AI29" s="38"/>
      <c r="AJ29" s="38"/>
      <c r="AK29" s="38"/>
      <c r="AL29" s="38"/>
      <c r="AM29" s="38"/>
      <c r="AN29" s="38"/>
      <c r="AS29" s="865"/>
      <c r="AT29" s="220">
        <f>SUM(AT19:AT28)</f>
        <v>1403.35</v>
      </c>
      <c r="AU29" s="38"/>
      <c r="AV29" s="220">
        <f>SUM(AV19:AV28)</f>
        <v>66.659125</v>
      </c>
    </row>
    <row r="30" ht="30.0" customHeight="1">
      <c r="A30" s="758" t="s">
        <v>53</v>
      </c>
      <c r="B30" s="771">
        <v>75.18</v>
      </c>
      <c r="C30" s="771">
        <v>17.28</v>
      </c>
      <c r="D30" s="771">
        <v>36.34</v>
      </c>
      <c r="E30" s="771">
        <v>22.46</v>
      </c>
      <c r="F30" s="771">
        <v>23.27</v>
      </c>
      <c r="G30" s="849">
        <v>23.04</v>
      </c>
      <c r="H30" s="771">
        <v>18.9</v>
      </c>
      <c r="I30" s="771">
        <v>19.08</v>
      </c>
      <c r="J30" s="771">
        <v>12.0</v>
      </c>
      <c r="K30" s="771">
        <v>32.54</v>
      </c>
      <c r="L30" s="771">
        <v>8.48</v>
      </c>
      <c r="M30" s="771">
        <v>7.48</v>
      </c>
      <c r="N30" s="771">
        <v>14.14</v>
      </c>
      <c r="O30" s="771">
        <v>40.47</v>
      </c>
      <c r="P30" s="771">
        <v>24.72</v>
      </c>
      <c r="Q30" s="771">
        <v>16.42</v>
      </c>
      <c r="R30" s="771">
        <v>22.4</v>
      </c>
      <c r="S30" s="771">
        <v>0.0</v>
      </c>
      <c r="T30" s="771">
        <v>3.0</v>
      </c>
      <c r="U30" s="748">
        <v>34.26</v>
      </c>
      <c r="V30" s="748">
        <v>0.0</v>
      </c>
      <c r="W30" s="748">
        <v>0.0</v>
      </c>
      <c r="X30" s="748">
        <v>12.18</v>
      </c>
      <c r="Y30" s="748">
        <v>18.52</v>
      </c>
      <c r="Z30" s="748">
        <v>9.22</v>
      </c>
      <c r="AA30" s="748">
        <v>22.8</v>
      </c>
      <c r="AB30" s="748">
        <v>13.16</v>
      </c>
      <c r="AC30" s="748">
        <v>9.0</v>
      </c>
      <c r="AD30" s="748">
        <v>4.5</v>
      </c>
      <c r="AE30" s="777"/>
      <c r="AF30" s="777"/>
      <c r="AG30" s="473">
        <f t="shared" si="1"/>
        <v>540.84</v>
      </c>
      <c r="AH30" s="455"/>
      <c r="AI30" s="38"/>
      <c r="AJ30" s="38"/>
      <c r="AK30" s="38"/>
      <c r="AL30" s="38"/>
      <c r="AM30" s="38"/>
      <c r="AN30" s="38"/>
    </row>
    <row r="31" ht="30.0" customHeight="1">
      <c r="A31" s="758" t="s">
        <v>112</v>
      </c>
      <c r="B31" s="821">
        <v>12.12</v>
      </c>
      <c r="C31" s="821">
        <v>1.5</v>
      </c>
      <c r="D31" s="821">
        <v>1.5</v>
      </c>
      <c r="E31" s="821">
        <v>3.0</v>
      </c>
      <c r="F31" s="821">
        <v>4.8</v>
      </c>
      <c r="G31" s="798">
        <v>3.52</v>
      </c>
      <c r="H31" s="821">
        <v>8.62</v>
      </c>
      <c r="I31" s="821">
        <v>12.0</v>
      </c>
      <c r="J31" s="821">
        <v>9.0</v>
      </c>
      <c r="K31" s="821">
        <v>3.0</v>
      </c>
      <c r="L31" s="821">
        <v>15.0</v>
      </c>
      <c r="M31" s="821">
        <v>3.0</v>
      </c>
      <c r="N31" s="821">
        <v>1.5</v>
      </c>
      <c r="O31" s="821">
        <v>10.5</v>
      </c>
      <c r="P31" s="821">
        <v>4.96</v>
      </c>
      <c r="Q31" s="821">
        <v>3.28</v>
      </c>
      <c r="R31" s="821">
        <v>0.24</v>
      </c>
      <c r="S31" s="821">
        <v>1.5</v>
      </c>
      <c r="T31" s="821">
        <v>8.68</v>
      </c>
      <c r="U31" s="822">
        <v>1.5</v>
      </c>
      <c r="V31" s="822">
        <v>2.22</v>
      </c>
      <c r="W31" s="822">
        <v>3.0</v>
      </c>
      <c r="X31" s="822">
        <v>0.0</v>
      </c>
      <c r="Y31" s="822">
        <v>1.5</v>
      </c>
      <c r="Z31" s="822">
        <v>0.0</v>
      </c>
      <c r="AA31" s="822">
        <v>0.0</v>
      </c>
      <c r="AB31" s="822">
        <v>0.0</v>
      </c>
      <c r="AC31" s="822">
        <v>0.0</v>
      </c>
      <c r="AD31" s="822">
        <v>0.0</v>
      </c>
      <c r="AE31" s="837"/>
      <c r="AF31" s="837"/>
      <c r="AG31" s="473">
        <f t="shared" si="1"/>
        <v>115.94</v>
      </c>
      <c r="AH31" s="455"/>
      <c r="AI31" s="38"/>
      <c r="AJ31" s="38"/>
      <c r="AK31" s="38"/>
      <c r="AL31" s="38"/>
      <c r="AM31" s="38"/>
      <c r="AN31" s="38"/>
    </row>
    <row r="32" ht="30.0" customHeight="1">
      <c r="A32" s="47" t="s">
        <v>14</v>
      </c>
      <c r="B32" s="167">
        <f t="shared" ref="B32:AF32" si="12">SUM(B3:B31)</f>
        <v>225.1</v>
      </c>
      <c r="C32" s="167">
        <f t="shared" si="12"/>
        <v>204.82</v>
      </c>
      <c r="D32" s="167">
        <f t="shared" si="12"/>
        <v>273.34</v>
      </c>
      <c r="E32" s="167">
        <f t="shared" si="12"/>
        <v>171.48</v>
      </c>
      <c r="F32" s="167">
        <f t="shared" si="12"/>
        <v>209.73</v>
      </c>
      <c r="G32" s="167">
        <f t="shared" si="12"/>
        <v>263.62</v>
      </c>
      <c r="H32" s="167">
        <f t="shared" si="12"/>
        <v>92.96</v>
      </c>
      <c r="I32" s="167">
        <f t="shared" si="12"/>
        <v>184.76</v>
      </c>
      <c r="J32" s="167">
        <f t="shared" si="12"/>
        <v>138.66</v>
      </c>
      <c r="K32" s="167">
        <f t="shared" si="12"/>
        <v>180.8</v>
      </c>
      <c r="L32" s="167">
        <f t="shared" si="12"/>
        <v>145.15</v>
      </c>
      <c r="M32" s="167">
        <f t="shared" si="12"/>
        <v>153.24</v>
      </c>
      <c r="N32" s="167">
        <f t="shared" si="12"/>
        <v>172.58</v>
      </c>
      <c r="O32" s="167">
        <f t="shared" si="12"/>
        <v>332.68</v>
      </c>
      <c r="P32" s="167">
        <f t="shared" si="12"/>
        <v>255.64</v>
      </c>
      <c r="Q32" s="167">
        <f t="shared" si="12"/>
        <v>192.8</v>
      </c>
      <c r="R32" s="167">
        <f t="shared" si="12"/>
        <v>182.56</v>
      </c>
      <c r="S32" s="167">
        <f t="shared" si="12"/>
        <v>310.22</v>
      </c>
      <c r="T32" s="167">
        <f t="shared" si="12"/>
        <v>231.1</v>
      </c>
      <c r="U32" s="167">
        <f t="shared" si="12"/>
        <v>165.26</v>
      </c>
      <c r="V32" s="167">
        <f t="shared" si="12"/>
        <v>163.83</v>
      </c>
      <c r="W32" s="167">
        <f t="shared" si="12"/>
        <v>199.26</v>
      </c>
      <c r="X32" s="167">
        <f t="shared" si="12"/>
        <v>175.56</v>
      </c>
      <c r="Y32" s="167">
        <f t="shared" si="12"/>
        <v>163.54</v>
      </c>
      <c r="Z32" s="167">
        <f t="shared" si="12"/>
        <v>151.14</v>
      </c>
      <c r="AA32" s="167">
        <f t="shared" si="12"/>
        <v>194.3</v>
      </c>
      <c r="AB32" s="167">
        <f t="shared" si="12"/>
        <v>259.33</v>
      </c>
      <c r="AC32" s="167">
        <f t="shared" si="12"/>
        <v>194.86</v>
      </c>
      <c r="AD32" s="167">
        <f t="shared" si="12"/>
        <v>201.84</v>
      </c>
      <c r="AE32" s="167">
        <f t="shared" si="12"/>
        <v>0</v>
      </c>
      <c r="AF32" s="167">
        <f t="shared" si="12"/>
        <v>0</v>
      </c>
      <c r="AG32" s="38"/>
      <c r="AH32" s="58"/>
      <c r="AI32" s="38"/>
      <c r="AJ32" s="38"/>
      <c r="AK32" s="38"/>
      <c r="AL32" s="38"/>
      <c r="AM32" s="38"/>
      <c r="AN32" s="38"/>
    </row>
    <row r="33" ht="30.0" customHeight="1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1"/>
      <c r="O33" s="631"/>
      <c r="P33" s="631"/>
      <c r="Q33" s="631"/>
      <c r="R33" s="631"/>
      <c r="S33" s="631"/>
      <c r="T33" s="631"/>
      <c r="U33" s="631"/>
      <c r="V33" s="631"/>
      <c r="W33" s="631"/>
      <c r="X33" s="631"/>
      <c r="Y33" s="631"/>
      <c r="Z33" s="631"/>
      <c r="AA33" s="631"/>
      <c r="AB33" s="631"/>
      <c r="AC33" s="631"/>
      <c r="AD33" s="631"/>
      <c r="AE33" s="631"/>
      <c r="AF33" s="632"/>
      <c r="AG33" s="38"/>
      <c r="AH33" s="58"/>
      <c r="AI33" s="38"/>
      <c r="AJ33" s="38"/>
      <c r="AK33" s="38"/>
      <c r="AL33" s="38"/>
      <c r="AM33" s="38"/>
      <c r="AN33" s="38"/>
    </row>
    <row r="34" ht="30.75" customHeight="1">
      <c r="A34" s="38"/>
      <c r="B34" s="38"/>
      <c r="C34" s="38"/>
      <c r="D34" s="38"/>
      <c r="E34" s="633"/>
      <c r="F34" s="633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58"/>
      <c r="AI34" s="38"/>
      <c r="AJ34" s="38"/>
      <c r="AK34" s="38"/>
      <c r="AL34" s="38"/>
      <c r="AM34" s="38"/>
      <c r="AN34" s="38"/>
    </row>
    <row r="35" ht="30.75" customHeight="1">
      <c r="A35" s="38"/>
      <c r="B35" s="38"/>
      <c r="C35" s="38"/>
      <c r="D35" s="38"/>
      <c r="E35" s="633"/>
      <c r="F35" s="633"/>
      <c r="AG35" s="49"/>
      <c r="AH35" s="8"/>
      <c r="AO35" s="226"/>
    </row>
    <row r="36" ht="15.75" customHeight="1">
      <c r="A36" s="38"/>
      <c r="B36" s="38"/>
      <c r="C36" s="38"/>
      <c r="D36" s="38"/>
      <c r="E36" s="38"/>
      <c r="F36" s="633"/>
      <c r="G36" s="428"/>
      <c r="AG36" s="49"/>
      <c r="AH36" s="8"/>
      <c r="AO36" s="226"/>
    </row>
    <row r="37" ht="15.75" customHeight="1">
      <c r="A37" s="38"/>
      <c r="B37" s="38"/>
      <c r="C37" s="38"/>
      <c r="D37" s="428"/>
      <c r="E37" s="38"/>
      <c r="AG37" s="49"/>
      <c r="AH37" s="8"/>
    </row>
    <row r="38" ht="15.75" customHeight="1">
      <c r="A38" s="38"/>
      <c r="B38" s="38"/>
      <c r="C38" s="38"/>
      <c r="D38" s="38"/>
      <c r="E38" s="38"/>
      <c r="AG38" s="49"/>
      <c r="AH38" s="8"/>
    </row>
    <row r="39" ht="15.75" customHeight="1">
      <c r="A39" s="38"/>
      <c r="B39" s="38"/>
      <c r="C39" s="38"/>
      <c r="D39" s="38"/>
      <c r="E39" s="38"/>
      <c r="AG39" s="49"/>
      <c r="AH39" s="8"/>
    </row>
    <row r="40" ht="15.75" customHeight="1">
      <c r="A40" s="38"/>
      <c r="B40" s="428"/>
      <c r="C40" s="38"/>
      <c r="D40" s="38"/>
      <c r="E40" s="38"/>
      <c r="AG40" s="49"/>
      <c r="AH40" s="8"/>
    </row>
    <row r="41" ht="15.75" customHeight="1">
      <c r="A41" s="38"/>
      <c r="B41" s="38"/>
      <c r="C41" s="58"/>
      <c r="D41" s="38"/>
      <c r="E41" s="38"/>
      <c r="F41" s="58"/>
      <c r="AG41" s="49"/>
      <c r="AH41" s="8"/>
    </row>
    <row r="42" ht="15.75" customHeight="1">
      <c r="B42" s="428"/>
      <c r="D42" s="428"/>
      <c r="AG42" s="49"/>
      <c r="AH42" s="8"/>
      <c r="AP42" s="38"/>
      <c r="AQ42" s="38"/>
      <c r="AR42" s="38"/>
      <c r="AS42" s="862"/>
      <c r="AT42" s="173">
        <v>1.0</v>
      </c>
      <c r="AU42" s="174" t="s">
        <v>16</v>
      </c>
      <c r="AV42" s="173">
        <v>0.05</v>
      </c>
      <c r="AW42" s="456" t="s">
        <v>71</v>
      </c>
      <c r="AX42" s="456" t="s">
        <v>72</v>
      </c>
      <c r="AY42" s="456" t="s">
        <v>73</v>
      </c>
      <c r="AZ42" s="246" t="s">
        <v>34</v>
      </c>
    </row>
    <row r="43" ht="15.75" customHeight="1">
      <c r="B43" s="428"/>
      <c r="AG43" s="49"/>
      <c r="AH43" s="8"/>
      <c r="AP43" s="871" t="s">
        <v>148</v>
      </c>
      <c r="AQ43" s="176"/>
      <c r="AR43" s="177"/>
      <c r="AS43" s="872"/>
      <c r="AT43" s="872">
        <f>SUM(valuesByColor("#25e8a8", "", B4:AF32))</f>
        <v>4.5</v>
      </c>
      <c r="AU43" s="872">
        <f t="shared" ref="AU43:AU52" si="13">((AT43*(1-0.05))*(1-0.6))+AX43-AZ43</f>
        <v>1.71</v>
      </c>
      <c r="AV43" s="873">
        <f t="shared" ref="AV43:AV52" si="14">(AT43*(1-0.05))*(1-0.95)+AY43</f>
        <v>0.21375</v>
      </c>
      <c r="AW43" s="873"/>
      <c r="AX43" s="873">
        <f t="shared" ref="AX43:AX52" si="15">(AW43*(1-0.05))*(1-0.9)</f>
        <v>0</v>
      </c>
      <c r="AY43" s="873">
        <f t="shared" ref="AY43:AY52" si="16">(AW43*(1-0.05))*(1-0.95)</f>
        <v>0</v>
      </c>
      <c r="AZ43" s="547"/>
    </row>
    <row r="44" ht="15.75" customHeight="1">
      <c r="AG44" s="49"/>
      <c r="AH44" s="8"/>
      <c r="AP44" s="874" t="s">
        <v>149</v>
      </c>
      <c r="AQ44" s="176"/>
      <c r="AR44" s="177"/>
      <c r="AS44" s="875"/>
      <c r="AT44" s="875">
        <f>SUM(valuesByColor("#6089ff", "", B4:AF32))</f>
        <v>17.46</v>
      </c>
      <c r="AU44" s="875">
        <f t="shared" si="13"/>
        <v>6.6348</v>
      </c>
      <c r="AV44" s="876">
        <f t="shared" si="14"/>
        <v>0.82935</v>
      </c>
      <c r="AW44" s="876"/>
      <c r="AX44" s="876">
        <f t="shared" si="15"/>
        <v>0</v>
      </c>
      <c r="AY44" s="876">
        <f t="shared" si="16"/>
        <v>0</v>
      </c>
      <c r="AZ44" s="558"/>
    </row>
    <row r="45" ht="15.75" customHeight="1">
      <c r="AG45" s="49"/>
      <c r="AH45" s="8"/>
      <c r="AP45" s="588"/>
      <c r="AQ45" s="176"/>
      <c r="AR45" s="177"/>
      <c r="AS45" s="590"/>
      <c r="AT45" s="590"/>
      <c r="AU45" s="590">
        <f t="shared" si="13"/>
        <v>0</v>
      </c>
      <c r="AV45" s="591">
        <f t="shared" si="14"/>
        <v>0</v>
      </c>
      <c r="AW45" s="591"/>
      <c r="AX45" s="591">
        <f t="shared" si="15"/>
        <v>0</v>
      </c>
      <c r="AY45" s="591">
        <f t="shared" si="16"/>
        <v>0</v>
      </c>
      <c r="AZ45" s="566"/>
    </row>
    <row r="46" ht="15.75" customHeight="1">
      <c r="A46" s="38"/>
      <c r="R46" s="38"/>
      <c r="AG46" s="49"/>
      <c r="AH46" s="8"/>
      <c r="AP46" s="638"/>
      <c r="AQ46" s="176"/>
      <c r="AR46" s="177"/>
      <c r="AS46" s="877"/>
      <c r="AT46" s="877"/>
      <c r="AU46" s="877">
        <f t="shared" si="13"/>
        <v>0</v>
      </c>
      <c r="AV46" s="878">
        <f t="shared" si="14"/>
        <v>0</v>
      </c>
      <c r="AW46" s="878"/>
      <c r="AX46" s="878">
        <f t="shared" si="15"/>
        <v>0</v>
      </c>
      <c r="AY46" s="878">
        <f t="shared" si="16"/>
        <v>0</v>
      </c>
      <c r="AZ46" s="578"/>
    </row>
    <row r="47" ht="15.75" customHeight="1">
      <c r="A47" s="38"/>
      <c r="R47" s="38"/>
      <c r="AG47" s="49"/>
      <c r="AH47" s="8"/>
      <c r="AP47" s="588"/>
      <c r="AQ47" s="176"/>
      <c r="AR47" s="177"/>
      <c r="AS47" s="589"/>
      <c r="AT47" s="589"/>
      <c r="AU47" s="590">
        <f t="shared" si="13"/>
        <v>0</v>
      </c>
      <c r="AV47" s="591">
        <f t="shared" si="14"/>
        <v>0</v>
      </c>
      <c r="AW47" s="592"/>
      <c r="AX47" s="591">
        <f t="shared" si="15"/>
        <v>0</v>
      </c>
      <c r="AY47" s="591">
        <f t="shared" si="16"/>
        <v>0</v>
      </c>
      <c r="AZ47" s="585"/>
    </row>
    <row r="48" ht="15.75" customHeight="1">
      <c r="A48" s="38"/>
      <c r="B48" s="428"/>
      <c r="R48" s="38"/>
      <c r="AG48" s="49"/>
      <c r="AH48" s="8"/>
      <c r="AP48" s="588"/>
      <c r="AQ48" s="176"/>
      <c r="AR48" s="177"/>
      <c r="AS48" s="589"/>
      <c r="AT48" s="589"/>
      <c r="AU48" s="590">
        <f t="shared" si="13"/>
        <v>0</v>
      </c>
      <c r="AV48" s="591">
        <f t="shared" si="14"/>
        <v>0</v>
      </c>
      <c r="AW48" s="592"/>
      <c r="AX48" s="591">
        <f t="shared" si="15"/>
        <v>0</v>
      </c>
      <c r="AY48" s="591">
        <f t="shared" si="16"/>
        <v>0</v>
      </c>
      <c r="AZ48" s="26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M49" s="38"/>
      <c r="N49" s="38"/>
      <c r="O49" s="38"/>
      <c r="P49" s="38"/>
      <c r="Q49" s="38"/>
      <c r="R49" s="38"/>
      <c r="AG49" s="49"/>
      <c r="AH49" s="8"/>
      <c r="AP49" s="588"/>
      <c r="AQ49" s="176"/>
      <c r="AR49" s="177"/>
      <c r="AS49" s="589"/>
      <c r="AT49" s="589"/>
      <c r="AU49" s="590">
        <f t="shared" si="13"/>
        <v>0</v>
      </c>
      <c r="AV49" s="591">
        <f t="shared" si="14"/>
        <v>0</v>
      </c>
      <c r="AW49" s="592"/>
      <c r="AX49" s="591">
        <f t="shared" si="15"/>
        <v>0</v>
      </c>
      <c r="AY49" s="591">
        <f t="shared" si="16"/>
        <v>0</v>
      </c>
      <c r="AZ49" s="270"/>
    </row>
    <row r="50" ht="15.75" customHeight="1">
      <c r="A50" s="634"/>
      <c r="B50" s="635"/>
      <c r="C50" s="636"/>
      <c r="D50" s="636"/>
      <c r="E50" s="636"/>
      <c r="F50" s="636"/>
      <c r="G50" s="636"/>
      <c r="H50" s="636"/>
      <c r="M50" s="38"/>
      <c r="N50" s="635"/>
      <c r="O50" s="38"/>
      <c r="P50" s="635"/>
      <c r="Q50" s="635"/>
      <c r="R50" s="38"/>
      <c r="AG50" s="49"/>
      <c r="AH50" s="8"/>
      <c r="AP50" s="588"/>
      <c r="AQ50" s="176"/>
      <c r="AR50" s="177"/>
      <c r="AS50" s="589"/>
      <c r="AT50" s="589"/>
      <c r="AU50" s="590">
        <f t="shared" si="13"/>
        <v>0</v>
      </c>
      <c r="AV50" s="591">
        <f t="shared" si="14"/>
        <v>0</v>
      </c>
      <c r="AW50" s="600"/>
      <c r="AX50" s="591">
        <f t="shared" si="15"/>
        <v>0</v>
      </c>
      <c r="AY50" s="591">
        <f t="shared" si="16"/>
        <v>0</v>
      </c>
      <c r="AZ50" s="274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  <c r="AP51" s="588"/>
      <c r="AQ51" s="176"/>
      <c r="AR51" s="177"/>
      <c r="AS51" s="589"/>
      <c r="AT51" s="589"/>
      <c r="AU51" s="590">
        <f t="shared" si="13"/>
        <v>0</v>
      </c>
      <c r="AV51" s="591">
        <f t="shared" si="14"/>
        <v>0</v>
      </c>
      <c r="AW51" s="600"/>
      <c r="AX51" s="591">
        <f t="shared" si="15"/>
        <v>0</v>
      </c>
      <c r="AY51" s="591">
        <f t="shared" si="16"/>
        <v>0</v>
      </c>
      <c r="AZ51" s="280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  <c r="AP52" s="588"/>
      <c r="AQ52" s="176"/>
      <c r="AR52" s="177"/>
      <c r="AS52" s="589"/>
      <c r="AT52" s="589"/>
      <c r="AU52" s="590">
        <f t="shared" si="13"/>
        <v>0</v>
      </c>
      <c r="AV52" s="591">
        <f t="shared" si="14"/>
        <v>0</v>
      </c>
      <c r="AW52" s="600"/>
      <c r="AX52" s="591">
        <f t="shared" si="15"/>
        <v>0</v>
      </c>
      <c r="AY52" s="591">
        <f t="shared" si="16"/>
        <v>0</v>
      </c>
      <c r="AZ52" s="387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  <c r="AS53" s="865"/>
      <c r="AT53" s="220">
        <f>SUM(AT43:AT52)</f>
        <v>21.96</v>
      </c>
      <c r="AU53" s="38"/>
      <c r="AV53" s="220">
        <f>SUM(AV43:AV52)</f>
        <v>1.0431</v>
      </c>
    </row>
    <row r="54" ht="15.75" customHeight="1">
      <c r="A54" s="38"/>
      <c r="B54" s="38"/>
      <c r="C54" s="38"/>
      <c r="D54" s="38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38"/>
      <c r="B55" s="38"/>
      <c r="C55" s="796"/>
      <c r="D55" s="797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A56" s="38"/>
      <c r="B56" s="38"/>
      <c r="C56" s="796"/>
      <c r="D56" s="797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796"/>
      <c r="D57" s="797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796"/>
      <c r="D58" s="797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  <c r="AP102" s="3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>
      <c r="AG238" s="49"/>
      <c r="AH238" s="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48:AR48"/>
    <mergeCell ref="AP49:AR49"/>
    <mergeCell ref="AP50:AR50"/>
    <mergeCell ref="AP51:AR51"/>
    <mergeCell ref="AP47:AR47"/>
    <mergeCell ref="AP52:AR52"/>
    <mergeCell ref="I55:I57"/>
    <mergeCell ref="I58:I60"/>
    <mergeCell ref="AP43:AR43"/>
    <mergeCell ref="AP44:AR44"/>
    <mergeCell ref="AP45:AR45"/>
    <mergeCell ref="I46:I48"/>
    <mergeCell ref="AP46:AR46"/>
    <mergeCell ref="I49:I51"/>
    <mergeCell ref="I52:I54"/>
  </mergeCells>
  <conditionalFormatting sqref="A33:AN34 AO34 BA33:BN34">
    <cfRule type="notContainsBlanks" dxfId="0" priority="1">
      <formula>LEN(TRIM(A33))&gt;0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Z1" s="745"/>
      <c r="BA1" s="226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SUM(AG3:AG35,AW4:AW14,AW21:AW30)</f>
        <v>5453.5</v>
      </c>
      <c r="AH2" s="889" t="s">
        <v>150</v>
      </c>
      <c r="AI2" s="890"/>
    </row>
    <row r="3" ht="31.5" customHeight="1">
      <c r="A3" s="758" t="s">
        <v>5</v>
      </c>
      <c r="B3" s="841">
        <v>3.0</v>
      </c>
      <c r="C3" s="842">
        <v>7.3</v>
      </c>
      <c r="D3" s="843">
        <v>3.0</v>
      </c>
      <c r="E3" s="844">
        <v>9.0</v>
      </c>
      <c r="F3" s="807">
        <v>0.0</v>
      </c>
      <c r="G3" s="820">
        <v>1.92</v>
      </c>
      <c r="H3" s="807">
        <v>0.0</v>
      </c>
      <c r="I3" s="807">
        <v>3.0</v>
      </c>
      <c r="J3" s="807">
        <v>0.0</v>
      </c>
      <c r="K3" s="807">
        <v>4.5</v>
      </c>
      <c r="L3" s="807">
        <v>4.5</v>
      </c>
      <c r="M3" s="807">
        <v>7.3</v>
      </c>
      <c r="N3" s="807">
        <v>3.7</v>
      </c>
      <c r="O3" s="807">
        <v>1.5</v>
      </c>
      <c r="P3" s="807">
        <v>6.84</v>
      </c>
      <c r="Q3" s="807">
        <v>0.0</v>
      </c>
      <c r="R3" s="807">
        <v>1.5</v>
      </c>
      <c r="S3" s="807">
        <v>0.0</v>
      </c>
      <c r="T3" s="807">
        <v>1.5</v>
      </c>
      <c r="U3" s="807">
        <v>0.0</v>
      </c>
      <c r="V3" s="807">
        <v>1.5</v>
      </c>
      <c r="W3" s="807">
        <v>1.5</v>
      </c>
      <c r="X3" s="807">
        <v>0.0</v>
      </c>
      <c r="Y3" s="807">
        <v>6.0</v>
      </c>
      <c r="Z3" s="807">
        <v>3.0</v>
      </c>
      <c r="AA3" s="807">
        <v>1.5</v>
      </c>
      <c r="AB3" s="807">
        <v>0.0</v>
      </c>
      <c r="AC3" s="807">
        <v>10.5</v>
      </c>
      <c r="AD3" s="807">
        <v>0.0</v>
      </c>
      <c r="AE3" s="807">
        <v>1.5</v>
      </c>
      <c r="AF3" s="807">
        <v>3.0</v>
      </c>
      <c r="AG3" s="751">
        <f t="shared" ref="AG3:AG35" si="1">SUM(B3:AF3)</f>
        <v>87.06</v>
      </c>
      <c r="AH3" s="891">
        <v>87.06</v>
      </c>
      <c r="AI3" s="892" t="b">
        <f t="shared" ref="AI3:AI35" si="2">EQ(AG3,AH3)</f>
        <v>1</v>
      </c>
      <c r="AP3" s="38"/>
      <c r="AQ3" s="38"/>
      <c r="AR3" s="38"/>
      <c r="AS3" s="862"/>
      <c r="AT3" s="173">
        <v>1.0</v>
      </c>
      <c r="AU3" s="174" t="s">
        <v>16</v>
      </c>
      <c r="AV3" s="173">
        <v>0.05</v>
      </c>
      <c r="AW3" s="456" t="s">
        <v>71</v>
      </c>
      <c r="AX3" s="456" t="s">
        <v>72</v>
      </c>
      <c r="AY3" s="456" t="s">
        <v>73</v>
      </c>
      <c r="AZ3" s="246" t="s">
        <v>34</v>
      </c>
    </row>
    <row r="4" ht="40.5" customHeight="1">
      <c r="A4" s="764" t="s">
        <v>6</v>
      </c>
      <c r="B4" s="879">
        <v>6.0</v>
      </c>
      <c r="C4" s="879">
        <v>10.74</v>
      </c>
      <c r="D4" s="880">
        <v>10.62</v>
      </c>
      <c r="E4" s="880">
        <v>7.62</v>
      </c>
      <c r="F4" s="880">
        <v>1.5</v>
      </c>
      <c r="G4" s="881">
        <v>0.0</v>
      </c>
      <c r="H4" s="880">
        <v>7.62</v>
      </c>
      <c r="I4" s="880">
        <v>0.0</v>
      </c>
      <c r="J4" s="880">
        <v>0.0</v>
      </c>
      <c r="K4" s="880">
        <v>1.5</v>
      </c>
      <c r="L4" s="882">
        <v>3.0</v>
      </c>
      <c r="M4" s="880">
        <v>6.0</v>
      </c>
      <c r="N4" s="880">
        <v>0.0</v>
      </c>
      <c r="O4" s="880">
        <v>4.5</v>
      </c>
      <c r="P4" s="880">
        <v>0.0</v>
      </c>
      <c r="Q4" s="880">
        <v>3.12</v>
      </c>
      <c r="R4" s="880">
        <v>1.5</v>
      </c>
      <c r="S4" s="880">
        <v>4.5</v>
      </c>
      <c r="T4" s="880">
        <v>0.0</v>
      </c>
      <c r="U4" s="880">
        <v>1.5</v>
      </c>
      <c r="V4" s="880">
        <v>3.0</v>
      </c>
      <c r="W4" s="880">
        <v>3.0</v>
      </c>
      <c r="X4" s="880">
        <v>0.12</v>
      </c>
      <c r="Y4" s="880">
        <v>0.0</v>
      </c>
      <c r="Z4" s="880">
        <v>3.0</v>
      </c>
      <c r="AA4" s="880">
        <v>3.0</v>
      </c>
      <c r="AB4" s="880">
        <v>7.5</v>
      </c>
      <c r="AC4" s="880">
        <v>4.74</v>
      </c>
      <c r="AD4" s="880">
        <v>4.5</v>
      </c>
      <c r="AE4" s="880">
        <v>4.5</v>
      </c>
      <c r="AF4" s="880">
        <v>0.0</v>
      </c>
      <c r="AG4" s="751">
        <f t="shared" si="1"/>
        <v>103.08</v>
      </c>
      <c r="AH4" s="893">
        <v>103.08</v>
      </c>
      <c r="AI4" s="892" t="b">
        <f t="shared" si="2"/>
        <v>1</v>
      </c>
      <c r="AJ4" s="38"/>
      <c r="AP4" s="344" t="s">
        <v>120</v>
      </c>
      <c r="AQ4" s="176"/>
      <c r="AR4" s="177"/>
      <c r="AS4" s="464"/>
      <c r="AT4" s="464">
        <f>SUM(valuesByColor("#980000", "", B3:AF35))</f>
        <v>132.04</v>
      </c>
      <c r="AU4" s="345">
        <f t="shared" ref="AU4:AU14" si="3">((AT4*(1-0.05))*(1-0.6))+AX4-AZ4</f>
        <v>50.1752</v>
      </c>
      <c r="AV4" s="346">
        <f t="shared" ref="AV4:AV14" si="4">(AT4*(1-0.05))*(1-0.95)+AY4</f>
        <v>6.2719</v>
      </c>
      <c r="AW4" s="346"/>
      <c r="AX4" s="346">
        <f t="shared" ref="AX4:AX10" si="5">(AW4*(1-0.05))*(1-0.9)</f>
        <v>0</v>
      </c>
      <c r="AY4" s="346">
        <f t="shared" ref="AY4:AY10" si="6">(AW4*(1-0.05))*(1-0.95)</f>
        <v>0</v>
      </c>
      <c r="AZ4" s="883"/>
    </row>
    <row r="5" ht="27.0" customHeight="1">
      <c r="A5" s="773" t="s">
        <v>134</v>
      </c>
      <c r="B5" s="880">
        <v>0.12</v>
      </c>
      <c r="C5" s="880">
        <v>0.0</v>
      </c>
      <c r="D5" s="880">
        <v>7.5</v>
      </c>
      <c r="E5" s="880">
        <v>0.0</v>
      </c>
      <c r="F5" s="880">
        <v>22.62</v>
      </c>
      <c r="G5" s="881">
        <v>0.0</v>
      </c>
      <c r="H5" s="880">
        <v>0.0</v>
      </c>
      <c r="I5" s="880">
        <v>0.0</v>
      </c>
      <c r="J5" s="880">
        <v>0.0</v>
      </c>
      <c r="K5" s="880">
        <v>0.0</v>
      </c>
      <c r="L5" s="882">
        <v>0.0</v>
      </c>
      <c r="M5" s="880">
        <v>0.0</v>
      </c>
      <c r="N5" s="880">
        <v>6.0</v>
      </c>
      <c r="O5" s="880">
        <v>1.5</v>
      </c>
      <c r="P5" s="880">
        <v>0.0</v>
      </c>
      <c r="Q5" s="880">
        <v>0.12</v>
      </c>
      <c r="R5" s="880">
        <v>0.0</v>
      </c>
      <c r="S5" s="880">
        <v>0.0</v>
      </c>
      <c r="T5" s="880">
        <v>0.0</v>
      </c>
      <c r="U5" s="884">
        <v>0.0</v>
      </c>
      <c r="V5" s="884">
        <v>0.0</v>
      </c>
      <c r="W5" s="894">
        <v>6.86</v>
      </c>
      <c r="X5" s="894">
        <v>54.92</v>
      </c>
      <c r="Y5" s="894">
        <v>35.6</v>
      </c>
      <c r="Z5" s="894">
        <v>40.62</v>
      </c>
      <c r="AA5" s="894">
        <v>19.74</v>
      </c>
      <c r="AB5" s="894">
        <v>19.62</v>
      </c>
      <c r="AC5" s="894">
        <v>15.12</v>
      </c>
      <c r="AD5" s="894">
        <v>16.5</v>
      </c>
      <c r="AE5" s="894">
        <v>9.36</v>
      </c>
      <c r="AF5" s="894">
        <v>22.74</v>
      </c>
      <c r="AG5" s="751">
        <f t="shared" si="1"/>
        <v>278.94</v>
      </c>
      <c r="AH5" s="893">
        <v>278.94</v>
      </c>
      <c r="AI5" s="892" t="b">
        <f t="shared" si="2"/>
        <v>1</v>
      </c>
      <c r="AJ5" s="38"/>
      <c r="AP5" s="175" t="s">
        <v>102</v>
      </c>
      <c r="AQ5" s="176"/>
      <c r="AR5" s="177"/>
      <c r="AS5" s="467"/>
      <c r="AT5" s="467">
        <f>SUM(valuesByColor("yellow", "", B3:AF35))</f>
        <v>2007.78</v>
      </c>
      <c r="AU5" s="178">
        <f t="shared" si="3"/>
        <v>762.9564</v>
      </c>
      <c r="AV5" s="248">
        <f t="shared" si="4"/>
        <v>95.36955</v>
      </c>
      <c r="AW5" s="248"/>
      <c r="AX5" s="248">
        <f t="shared" si="5"/>
        <v>0</v>
      </c>
      <c r="AY5" s="248">
        <f t="shared" si="6"/>
        <v>0</v>
      </c>
      <c r="AZ5" s="249"/>
    </row>
    <row r="6" ht="27.0" customHeight="1">
      <c r="A6" s="773" t="s">
        <v>3</v>
      </c>
      <c r="B6" s="771">
        <v>0.0</v>
      </c>
      <c r="C6" s="771">
        <v>0.0</v>
      </c>
      <c r="D6" s="771">
        <v>16.85</v>
      </c>
      <c r="E6" s="771">
        <v>11.18</v>
      </c>
      <c r="F6" s="771">
        <v>0.0</v>
      </c>
      <c r="G6" s="849">
        <v>5.14</v>
      </c>
      <c r="H6" s="771">
        <v>0.0</v>
      </c>
      <c r="I6" s="771">
        <v>5.6</v>
      </c>
      <c r="J6" s="771">
        <v>4.4</v>
      </c>
      <c r="K6" s="771">
        <v>1.26</v>
      </c>
      <c r="L6" s="771">
        <v>16.44</v>
      </c>
      <c r="M6" s="771">
        <v>0.0</v>
      </c>
      <c r="N6" s="771">
        <v>4.12</v>
      </c>
      <c r="O6" s="771">
        <v>4.68</v>
      </c>
      <c r="P6" s="771">
        <v>3.0</v>
      </c>
      <c r="Q6" s="771">
        <v>28.71</v>
      </c>
      <c r="R6" s="771">
        <v>5.1</v>
      </c>
      <c r="S6" s="771">
        <v>0.0</v>
      </c>
      <c r="T6" s="771">
        <v>8.04</v>
      </c>
      <c r="U6" s="748">
        <v>4.12</v>
      </c>
      <c r="V6" s="748">
        <v>10.98</v>
      </c>
      <c r="W6" s="748">
        <v>29.5</v>
      </c>
      <c r="X6" s="748">
        <v>1.82</v>
      </c>
      <c r="Y6" s="748">
        <v>6.0</v>
      </c>
      <c r="Z6" s="748">
        <v>8.36</v>
      </c>
      <c r="AA6" s="748">
        <v>26.76</v>
      </c>
      <c r="AB6" s="748">
        <v>4.5</v>
      </c>
      <c r="AC6" s="748">
        <v>0.0</v>
      </c>
      <c r="AD6" s="748">
        <v>0.0</v>
      </c>
      <c r="AE6" s="748">
        <v>0.0</v>
      </c>
      <c r="AF6" s="748">
        <v>0.0</v>
      </c>
      <c r="AG6" s="751">
        <f t="shared" si="1"/>
        <v>206.56</v>
      </c>
      <c r="AH6" s="893">
        <v>206.56</v>
      </c>
      <c r="AI6" s="892" t="b">
        <f t="shared" si="2"/>
        <v>1</v>
      </c>
      <c r="AJ6" s="38"/>
      <c r="AP6" s="252"/>
      <c r="AQ6" s="176"/>
      <c r="AR6" s="177"/>
      <c r="AS6" s="474"/>
      <c r="AT6" s="474">
        <f>SUM(valuesByColor("cyan", "", B3:AF35))</f>
        <v>0</v>
      </c>
      <c r="AU6" s="253">
        <f t="shared" si="3"/>
        <v>0</v>
      </c>
      <c r="AV6" s="254">
        <f t="shared" si="4"/>
        <v>0</v>
      </c>
      <c r="AW6" s="254"/>
      <c r="AX6" s="254">
        <f t="shared" si="5"/>
        <v>0</v>
      </c>
      <c r="AY6" s="254">
        <f t="shared" si="6"/>
        <v>0</v>
      </c>
      <c r="AZ6" s="255"/>
    </row>
    <row r="7" ht="28.5" customHeight="1">
      <c r="A7" s="747" t="s">
        <v>32</v>
      </c>
      <c r="B7" s="820">
        <v>0.0</v>
      </c>
      <c r="C7" s="777">
        <v>0.0</v>
      </c>
      <c r="D7" s="777">
        <v>0.0</v>
      </c>
      <c r="E7" s="777">
        <v>0.0</v>
      </c>
      <c r="F7" s="768">
        <v>0.0</v>
      </c>
      <c r="G7" s="823">
        <v>0.0</v>
      </c>
      <c r="H7" s="768">
        <v>0.0</v>
      </c>
      <c r="I7" s="768">
        <v>0.0</v>
      </c>
      <c r="J7" s="768">
        <v>0.0</v>
      </c>
      <c r="K7" s="768">
        <v>0.0</v>
      </c>
      <c r="L7" s="777">
        <v>0.0</v>
      </c>
      <c r="M7" s="777">
        <v>0.0</v>
      </c>
      <c r="N7" s="777">
        <v>0.0</v>
      </c>
      <c r="O7" s="777">
        <v>0.0</v>
      </c>
      <c r="P7" s="777">
        <v>0.0</v>
      </c>
      <c r="Q7" s="777">
        <v>0.0</v>
      </c>
      <c r="R7" s="777">
        <v>0.0</v>
      </c>
      <c r="S7" s="777">
        <v>0.0</v>
      </c>
      <c r="T7" s="777">
        <v>0.0</v>
      </c>
      <c r="U7" s="777">
        <v>0.0</v>
      </c>
      <c r="V7" s="777">
        <v>0.0</v>
      </c>
      <c r="W7" s="777">
        <v>0.0</v>
      </c>
      <c r="X7" s="777">
        <v>0.0</v>
      </c>
      <c r="Y7" s="777">
        <v>0.0</v>
      </c>
      <c r="Z7" s="777">
        <v>0.0</v>
      </c>
      <c r="AA7" s="777">
        <v>0.0</v>
      </c>
      <c r="AB7" s="777">
        <v>0.0</v>
      </c>
      <c r="AC7" s="777">
        <v>0.0</v>
      </c>
      <c r="AD7" s="777">
        <v>0.0</v>
      </c>
      <c r="AE7" s="777">
        <v>0.0</v>
      </c>
      <c r="AF7" s="777">
        <v>0.0</v>
      </c>
      <c r="AG7" s="751">
        <f t="shared" si="1"/>
        <v>0</v>
      </c>
      <c r="AH7" s="891">
        <v>0.0</v>
      </c>
      <c r="AI7" s="892" t="b">
        <f t="shared" si="2"/>
        <v>1</v>
      </c>
      <c r="AJ7" s="38"/>
      <c r="AK7" s="38"/>
      <c r="AL7" s="38"/>
      <c r="AP7" s="188" t="s">
        <v>151</v>
      </c>
      <c r="AQ7" s="176"/>
      <c r="AR7" s="177"/>
      <c r="AS7" s="481"/>
      <c r="AT7" s="481">
        <f>SUM(valuesByColor("#f09090", "", B3:AF35))</f>
        <v>1379.23</v>
      </c>
      <c r="AU7" s="189">
        <f t="shared" si="3"/>
        <v>474.1074</v>
      </c>
      <c r="AV7" s="256">
        <f t="shared" si="4"/>
        <v>65.513425</v>
      </c>
      <c r="AW7" s="256"/>
      <c r="AX7" s="482">
        <f t="shared" si="5"/>
        <v>0</v>
      </c>
      <c r="AY7" s="482">
        <f t="shared" si="6"/>
        <v>0</v>
      </c>
      <c r="AZ7" s="257">
        <v>50.0</v>
      </c>
    </row>
    <row r="8" ht="29.25" customHeight="1">
      <c r="A8" s="747" t="s">
        <v>83</v>
      </c>
      <c r="B8" s="885">
        <v>3.0</v>
      </c>
      <c r="C8" s="885">
        <v>0.0</v>
      </c>
      <c r="D8" s="885">
        <v>14.06</v>
      </c>
      <c r="E8" s="885">
        <v>4.5</v>
      </c>
      <c r="F8" s="885">
        <v>1.0</v>
      </c>
      <c r="G8" s="881">
        <v>1.5</v>
      </c>
      <c r="H8" s="885">
        <v>3.0</v>
      </c>
      <c r="I8" s="885">
        <v>12.5</v>
      </c>
      <c r="J8" s="885">
        <v>3.0</v>
      </c>
      <c r="K8" s="885">
        <v>10.0</v>
      </c>
      <c r="L8" s="885">
        <v>0.0</v>
      </c>
      <c r="M8" s="885">
        <v>4.5</v>
      </c>
      <c r="N8" s="885">
        <v>1.5</v>
      </c>
      <c r="O8" s="885">
        <v>9.0</v>
      </c>
      <c r="P8" s="885">
        <v>7.5</v>
      </c>
      <c r="Q8" s="885">
        <v>7.5</v>
      </c>
      <c r="R8" s="885">
        <v>1.5</v>
      </c>
      <c r="S8" s="885">
        <v>1.5</v>
      </c>
      <c r="T8" s="885">
        <v>3.0</v>
      </c>
      <c r="U8" s="885">
        <v>10.5</v>
      </c>
      <c r="V8" s="885">
        <v>7.5</v>
      </c>
      <c r="W8" s="885">
        <v>3.12</v>
      </c>
      <c r="X8" s="885">
        <v>9.0</v>
      </c>
      <c r="Y8" s="885">
        <v>3.0</v>
      </c>
      <c r="Z8" s="885">
        <v>3.0</v>
      </c>
      <c r="AA8" s="885">
        <v>3.0</v>
      </c>
      <c r="AB8" s="885">
        <v>0.12</v>
      </c>
      <c r="AC8" s="885">
        <v>1.5</v>
      </c>
      <c r="AD8" s="885">
        <v>0.0</v>
      </c>
      <c r="AE8" s="885">
        <v>3.0</v>
      </c>
      <c r="AF8" s="885">
        <v>0.0</v>
      </c>
      <c r="AG8" s="751">
        <f t="shared" si="1"/>
        <v>132.3</v>
      </c>
      <c r="AH8" s="891">
        <v>132.3</v>
      </c>
      <c r="AI8" s="892" t="b">
        <f t="shared" si="2"/>
        <v>1</v>
      </c>
      <c r="AJ8" s="38"/>
      <c r="AK8" s="38"/>
      <c r="AL8" s="38"/>
      <c r="AM8" s="38"/>
      <c r="AN8" s="38"/>
      <c r="AP8" s="263" t="s">
        <v>114</v>
      </c>
      <c r="AQ8" s="176"/>
      <c r="AR8" s="177"/>
      <c r="AS8" s="808"/>
      <c r="AT8" s="808">
        <f>SUM(valuesByColor("magenta", "", B3:AF35))</f>
        <v>0</v>
      </c>
      <c r="AU8" s="264">
        <f t="shared" si="3"/>
        <v>0</v>
      </c>
      <c r="AV8" s="265">
        <f t="shared" si="4"/>
        <v>0</v>
      </c>
      <c r="AW8" s="265"/>
      <c r="AX8" s="489">
        <f t="shared" si="5"/>
        <v>0</v>
      </c>
      <c r="AY8" s="489">
        <f t="shared" si="6"/>
        <v>0</v>
      </c>
      <c r="AZ8" s="266"/>
    </row>
    <row r="9" ht="29.25" customHeight="1">
      <c r="A9" s="747" t="s">
        <v>84</v>
      </c>
      <c r="B9" s="822">
        <v>16.45</v>
      </c>
      <c r="C9" s="822">
        <v>6.0</v>
      </c>
      <c r="D9" s="822">
        <v>0.0</v>
      </c>
      <c r="E9" s="822">
        <v>7.62</v>
      </c>
      <c r="F9" s="822">
        <v>19.56</v>
      </c>
      <c r="G9" s="798">
        <v>13.5</v>
      </c>
      <c r="H9" s="822">
        <v>6.88</v>
      </c>
      <c r="I9" s="822">
        <v>6.0</v>
      </c>
      <c r="J9" s="822">
        <v>13.5</v>
      </c>
      <c r="K9" s="822">
        <v>4.5</v>
      </c>
      <c r="L9" s="822">
        <v>25.74</v>
      </c>
      <c r="M9" s="822">
        <v>7.62</v>
      </c>
      <c r="N9" s="822">
        <v>3.0</v>
      </c>
      <c r="O9" s="822">
        <v>6.0</v>
      </c>
      <c r="P9" s="822">
        <v>6.24</v>
      </c>
      <c r="Q9" s="822">
        <v>7.62</v>
      </c>
      <c r="R9" s="822">
        <v>4.5</v>
      </c>
      <c r="S9" s="822">
        <v>9.12</v>
      </c>
      <c r="T9" s="822">
        <v>6.0</v>
      </c>
      <c r="U9" s="822">
        <v>9.0</v>
      </c>
      <c r="V9" s="822">
        <v>4.74</v>
      </c>
      <c r="W9" s="822">
        <v>4.5</v>
      </c>
      <c r="X9" s="822">
        <v>7.5</v>
      </c>
      <c r="Y9" s="822">
        <v>2.6</v>
      </c>
      <c r="Z9" s="822">
        <v>7.5</v>
      </c>
      <c r="AA9" s="822">
        <v>4.5</v>
      </c>
      <c r="AB9" s="822">
        <v>7.5</v>
      </c>
      <c r="AC9" s="822">
        <v>4.5</v>
      </c>
      <c r="AD9" s="822">
        <v>4.5</v>
      </c>
      <c r="AE9" s="822">
        <v>3.0</v>
      </c>
      <c r="AF9" s="822">
        <v>10.5</v>
      </c>
      <c r="AG9" s="861">
        <f t="shared" si="1"/>
        <v>240.19</v>
      </c>
      <c r="AH9" s="891">
        <v>240.19</v>
      </c>
      <c r="AI9" s="892" t="b">
        <f t="shared" si="2"/>
        <v>1</v>
      </c>
      <c r="AJ9" s="38"/>
      <c r="AK9" s="38"/>
      <c r="AL9" s="38"/>
      <c r="AM9" s="38"/>
      <c r="AN9" s="38"/>
      <c r="AP9" s="195"/>
      <c r="AQ9" s="176"/>
      <c r="AR9" s="177"/>
      <c r="AS9" s="493"/>
      <c r="AT9" s="493">
        <f>SUM(valuesByColor("#0070c0", "", B3:AF35))</f>
        <v>0</v>
      </c>
      <c r="AU9" s="196">
        <f t="shared" si="3"/>
        <v>0</v>
      </c>
      <c r="AV9" s="267">
        <f t="shared" si="4"/>
        <v>0</v>
      </c>
      <c r="AW9" s="267"/>
      <c r="AX9" s="494">
        <f t="shared" si="5"/>
        <v>0</v>
      </c>
      <c r="AY9" s="494">
        <f t="shared" si="6"/>
        <v>0</v>
      </c>
      <c r="AZ9" s="268"/>
    </row>
    <row r="10" ht="29.25" customHeight="1">
      <c r="A10" s="747" t="s">
        <v>85</v>
      </c>
      <c r="B10" s="777">
        <v>0.0</v>
      </c>
      <c r="C10" s="777">
        <v>0.0</v>
      </c>
      <c r="D10" s="777">
        <v>0.0</v>
      </c>
      <c r="E10" s="777">
        <v>0.0</v>
      </c>
      <c r="F10" s="777">
        <v>0.0</v>
      </c>
      <c r="G10" s="823">
        <v>0.0</v>
      </c>
      <c r="H10" s="777">
        <v>0.0</v>
      </c>
      <c r="I10" s="777">
        <v>0.0</v>
      </c>
      <c r="J10" s="777">
        <v>0.0</v>
      </c>
      <c r="K10" s="777">
        <v>0.0</v>
      </c>
      <c r="L10" s="777">
        <v>0.0</v>
      </c>
      <c r="M10" s="777">
        <v>0.0</v>
      </c>
      <c r="N10" s="777">
        <v>0.0</v>
      </c>
      <c r="O10" s="777">
        <v>0.0</v>
      </c>
      <c r="P10" s="777">
        <v>0.0</v>
      </c>
      <c r="Q10" s="777">
        <v>0.0</v>
      </c>
      <c r="R10" s="777">
        <v>0.0</v>
      </c>
      <c r="S10" s="777">
        <v>0.0</v>
      </c>
      <c r="T10" s="777">
        <v>0.0</v>
      </c>
      <c r="U10" s="777">
        <v>0.0</v>
      </c>
      <c r="V10" s="777">
        <v>0.0</v>
      </c>
      <c r="W10" s="777">
        <v>0.0</v>
      </c>
      <c r="X10" s="777">
        <v>0.0</v>
      </c>
      <c r="Y10" s="777">
        <v>0.0</v>
      </c>
      <c r="Z10" s="777">
        <v>0.0</v>
      </c>
      <c r="AA10" s="777">
        <v>0.0</v>
      </c>
      <c r="AB10" s="777">
        <v>0.0</v>
      </c>
      <c r="AC10" s="777">
        <v>0.0</v>
      </c>
      <c r="AD10" s="777">
        <v>0.0</v>
      </c>
      <c r="AE10" s="777">
        <v>0.0</v>
      </c>
      <c r="AF10" s="777">
        <v>0.0</v>
      </c>
      <c r="AG10" s="751">
        <f t="shared" si="1"/>
        <v>0</v>
      </c>
      <c r="AH10" s="891">
        <v>0.0</v>
      </c>
      <c r="AI10" s="892" t="b">
        <f t="shared" si="2"/>
        <v>1</v>
      </c>
      <c r="AJ10" s="38"/>
      <c r="AK10" s="38"/>
      <c r="AL10" s="38"/>
      <c r="AM10" s="38"/>
      <c r="AN10" s="38"/>
      <c r="AP10" s="201" t="s">
        <v>75</v>
      </c>
      <c r="AQ10" s="176"/>
      <c r="AR10" s="177"/>
      <c r="AS10" s="503"/>
      <c r="AT10" s="503">
        <f>SUM(valuesByColor("#ec7c31", "", B3:AF35))</f>
        <v>371.71</v>
      </c>
      <c r="AU10" s="202">
        <f t="shared" si="3"/>
        <v>141.2498</v>
      </c>
      <c r="AV10" s="269">
        <f t="shared" si="4"/>
        <v>17.656225</v>
      </c>
      <c r="AW10" s="269"/>
      <c r="AX10" s="504">
        <f t="shared" si="5"/>
        <v>0</v>
      </c>
      <c r="AY10" s="504">
        <f t="shared" si="6"/>
        <v>0</v>
      </c>
      <c r="AZ10" s="270"/>
    </row>
    <row r="11" ht="29.25" customHeight="1">
      <c r="A11" s="747" t="s">
        <v>111</v>
      </c>
      <c r="B11" s="793">
        <v>3.0</v>
      </c>
      <c r="C11" s="793">
        <v>0.0</v>
      </c>
      <c r="D11" s="793">
        <v>0.0</v>
      </c>
      <c r="E11" s="793">
        <v>28.78</v>
      </c>
      <c r="F11" s="793">
        <v>27.0</v>
      </c>
      <c r="G11" s="855">
        <v>28.78</v>
      </c>
      <c r="H11" s="793">
        <v>59.52</v>
      </c>
      <c r="I11" s="793">
        <v>35.52</v>
      </c>
      <c r="J11" s="793">
        <v>10.14</v>
      </c>
      <c r="K11" s="793">
        <v>6.0</v>
      </c>
      <c r="L11" s="793">
        <v>27.14</v>
      </c>
      <c r="M11" s="793">
        <v>9.0</v>
      </c>
      <c r="N11" s="793">
        <v>0.0</v>
      </c>
      <c r="O11" s="793">
        <v>0.0</v>
      </c>
      <c r="P11" s="793">
        <v>3.0</v>
      </c>
      <c r="Q11" s="793">
        <v>0.0</v>
      </c>
      <c r="R11" s="793">
        <v>0.0</v>
      </c>
      <c r="S11" s="793">
        <v>23.06</v>
      </c>
      <c r="T11" s="793">
        <v>23.4</v>
      </c>
      <c r="U11" s="793">
        <v>5.2</v>
      </c>
      <c r="V11" s="793">
        <v>7.5</v>
      </c>
      <c r="W11" s="793">
        <v>20.98</v>
      </c>
      <c r="X11" s="793">
        <v>2.38</v>
      </c>
      <c r="Y11" s="793">
        <v>22.29</v>
      </c>
      <c r="Z11" s="793">
        <v>21.0</v>
      </c>
      <c r="AA11" s="793">
        <v>34.98</v>
      </c>
      <c r="AB11" s="793">
        <v>44.45</v>
      </c>
      <c r="AC11" s="793">
        <v>30.52</v>
      </c>
      <c r="AD11" s="793">
        <v>39.0</v>
      </c>
      <c r="AE11" s="793">
        <v>28.64</v>
      </c>
      <c r="AF11" s="793">
        <v>89.14</v>
      </c>
      <c r="AG11" s="751">
        <f t="shared" si="1"/>
        <v>630.42</v>
      </c>
      <c r="AH11" s="891">
        <v>630.42</v>
      </c>
      <c r="AI11" s="892" t="b">
        <f t="shared" si="2"/>
        <v>1</v>
      </c>
      <c r="AJ11" s="38"/>
      <c r="AK11" s="38"/>
      <c r="AL11" s="38"/>
      <c r="AM11" s="38"/>
      <c r="AN11" s="38"/>
      <c r="AP11" s="810"/>
      <c r="AQ11" s="176"/>
      <c r="AR11" s="177"/>
      <c r="AS11" s="827"/>
      <c r="AT11" s="827">
        <f>SUM(valuesByColor("#911553", "", B3:AF35))</f>
        <v>0</v>
      </c>
      <c r="AU11" s="828">
        <f t="shared" si="3"/>
        <v>0</v>
      </c>
      <c r="AV11" s="829">
        <f t="shared" si="4"/>
        <v>0</v>
      </c>
      <c r="AW11" s="814"/>
      <c r="AX11" s="815">
        <v>0.0</v>
      </c>
      <c r="AY11" s="815">
        <v>0.0</v>
      </c>
      <c r="AZ11" s="274"/>
    </row>
    <row r="12" ht="29.25" customHeight="1">
      <c r="A12" s="758" t="s">
        <v>97</v>
      </c>
      <c r="B12" s="680">
        <v>48.0</v>
      </c>
      <c r="C12" s="680">
        <v>27.0</v>
      </c>
      <c r="D12" s="680">
        <v>67.62</v>
      </c>
      <c r="E12" s="680">
        <v>52.5</v>
      </c>
      <c r="F12" s="680">
        <v>34.5</v>
      </c>
      <c r="G12" s="853">
        <v>45.0</v>
      </c>
      <c r="H12" s="680">
        <v>43.62</v>
      </c>
      <c r="I12" s="680">
        <v>37.5</v>
      </c>
      <c r="J12" s="680">
        <v>32.36</v>
      </c>
      <c r="K12" s="680">
        <v>94.5</v>
      </c>
      <c r="L12" s="680">
        <v>135.74</v>
      </c>
      <c r="M12" s="680">
        <v>108.12</v>
      </c>
      <c r="N12" s="680">
        <v>67.5</v>
      </c>
      <c r="O12" s="680">
        <v>109.5</v>
      </c>
      <c r="P12" s="680">
        <v>75.0</v>
      </c>
      <c r="Q12" s="680">
        <v>25.5</v>
      </c>
      <c r="R12" s="680">
        <v>123.12</v>
      </c>
      <c r="S12" s="680">
        <v>49.5</v>
      </c>
      <c r="T12" s="680">
        <v>72.0</v>
      </c>
      <c r="U12" s="680">
        <v>42.0</v>
      </c>
      <c r="V12" s="680">
        <v>49.5</v>
      </c>
      <c r="W12" s="680">
        <v>34.5</v>
      </c>
      <c r="X12" s="680">
        <v>94.96</v>
      </c>
      <c r="Y12" s="680">
        <v>45.0</v>
      </c>
      <c r="Z12" s="680">
        <v>66.0</v>
      </c>
      <c r="AA12" s="680">
        <v>12.0</v>
      </c>
      <c r="AB12" s="680">
        <v>97.5</v>
      </c>
      <c r="AC12" s="680">
        <v>58.5</v>
      </c>
      <c r="AD12" s="680">
        <v>52.24</v>
      </c>
      <c r="AE12" s="680">
        <v>135.0</v>
      </c>
      <c r="AF12" s="680">
        <v>72.0</v>
      </c>
      <c r="AG12" s="473">
        <f t="shared" si="1"/>
        <v>2007.78</v>
      </c>
      <c r="AH12" s="891">
        <v>2007.78</v>
      </c>
      <c r="AI12" s="892" t="b">
        <f t="shared" si="2"/>
        <v>1</v>
      </c>
      <c r="AJ12" s="38"/>
      <c r="AK12" s="38"/>
      <c r="AL12" s="38"/>
      <c r="AM12" s="38"/>
      <c r="AN12" s="38"/>
      <c r="AP12" s="277"/>
      <c r="AQ12" s="176"/>
      <c r="AR12" s="177"/>
      <c r="AS12" s="518"/>
      <c r="AT12" s="518">
        <f>SUM(valuesByColor("lime", "", B3:AF35))</f>
        <v>0</v>
      </c>
      <c r="AU12" s="278">
        <f t="shared" si="3"/>
        <v>0</v>
      </c>
      <c r="AV12" s="279">
        <f t="shared" si="4"/>
        <v>0</v>
      </c>
      <c r="AW12" s="279"/>
      <c r="AX12" s="519">
        <f t="shared" ref="AX12:AX14" si="7">(AW12*(1-0.05))*(1-0.9)</f>
        <v>0</v>
      </c>
      <c r="AY12" s="519">
        <f t="shared" ref="AY12:AY14" si="8">(AW12*(1-0.05))*(1-0.95)</f>
        <v>0</v>
      </c>
      <c r="AZ12" s="280"/>
    </row>
    <row r="13" ht="29.25" customHeight="1">
      <c r="A13" s="758" t="s">
        <v>99</v>
      </c>
      <c r="B13" s="777">
        <v>0.0</v>
      </c>
      <c r="C13" s="777">
        <v>0.0</v>
      </c>
      <c r="D13" s="777">
        <v>0.0</v>
      </c>
      <c r="E13" s="777">
        <v>0.0</v>
      </c>
      <c r="F13" s="777">
        <v>0.0</v>
      </c>
      <c r="G13" s="823">
        <v>0.0</v>
      </c>
      <c r="H13" s="777">
        <v>0.0</v>
      </c>
      <c r="I13" s="777">
        <v>0.0</v>
      </c>
      <c r="J13" s="777">
        <v>0.0</v>
      </c>
      <c r="K13" s="777">
        <v>0.0</v>
      </c>
      <c r="L13" s="777">
        <v>0.0</v>
      </c>
      <c r="M13" s="777">
        <v>0.0</v>
      </c>
      <c r="N13" s="777">
        <v>0.0</v>
      </c>
      <c r="O13" s="777">
        <v>0.0</v>
      </c>
      <c r="P13" s="777">
        <v>0.0</v>
      </c>
      <c r="Q13" s="777">
        <v>0.0</v>
      </c>
      <c r="R13" s="777">
        <v>0.0</v>
      </c>
      <c r="S13" s="777">
        <v>0.0</v>
      </c>
      <c r="T13" s="777">
        <v>0.0</v>
      </c>
      <c r="U13" s="777">
        <v>0.0</v>
      </c>
      <c r="V13" s="777">
        <v>0.0</v>
      </c>
      <c r="W13" s="777">
        <v>0.0</v>
      </c>
      <c r="X13" s="777">
        <v>0.0</v>
      </c>
      <c r="Y13" s="777">
        <v>0.0</v>
      </c>
      <c r="Z13" s="777">
        <v>0.0</v>
      </c>
      <c r="AA13" s="777">
        <v>0.0</v>
      </c>
      <c r="AB13" s="777">
        <v>0.0</v>
      </c>
      <c r="AC13" s="777">
        <v>0.0</v>
      </c>
      <c r="AD13" s="777">
        <v>0.0</v>
      </c>
      <c r="AE13" s="777">
        <v>0.0</v>
      </c>
      <c r="AF13" s="777">
        <v>0.0</v>
      </c>
      <c r="AG13" s="473">
        <f t="shared" si="1"/>
        <v>0</v>
      </c>
      <c r="AH13" s="891">
        <v>0.0</v>
      </c>
      <c r="AI13" s="892" t="b">
        <f t="shared" si="2"/>
        <v>1</v>
      </c>
      <c r="AJ13" s="38"/>
      <c r="AK13" s="38"/>
      <c r="AL13" s="38"/>
      <c r="AM13" s="38"/>
      <c r="AN13" s="38"/>
      <c r="AP13" s="668"/>
      <c r="AQ13" s="176"/>
      <c r="AR13" s="177"/>
      <c r="AS13" s="669"/>
      <c r="AT13" s="669">
        <f>SUM(valuesByColor("#7a00ff", "", B3:AF35))</f>
        <v>0</v>
      </c>
      <c r="AU13" s="670">
        <f t="shared" si="3"/>
        <v>0</v>
      </c>
      <c r="AV13" s="671">
        <f t="shared" si="4"/>
        <v>0</v>
      </c>
      <c r="AW13" s="671"/>
      <c r="AX13" s="672">
        <f t="shared" si="7"/>
        <v>0</v>
      </c>
      <c r="AY13" s="672">
        <f t="shared" si="8"/>
        <v>0</v>
      </c>
      <c r="AZ13" s="673"/>
    </row>
    <row r="14" ht="29.25" customHeight="1">
      <c r="A14" s="758" t="s">
        <v>100</v>
      </c>
      <c r="B14" s="793">
        <v>0.0</v>
      </c>
      <c r="C14" s="793">
        <v>0.0</v>
      </c>
      <c r="D14" s="793">
        <v>0.0</v>
      </c>
      <c r="E14" s="793">
        <v>0.0</v>
      </c>
      <c r="F14" s="793">
        <v>0.0</v>
      </c>
      <c r="G14" s="855">
        <v>0.0</v>
      </c>
      <c r="H14" s="864">
        <v>0.0</v>
      </c>
      <c r="I14" s="864">
        <v>0.0</v>
      </c>
      <c r="J14" s="864">
        <v>0.0</v>
      </c>
      <c r="K14" s="864">
        <v>0.0</v>
      </c>
      <c r="L14" s="864">
        <v>0.0</v>
      </c>
      <c r="M14" s="864">
        <v>0.0</v>
      </c>
      <c r="N14" s="793">
        <v>0.0</v>
      </c>
      <c r="O14" s="793">
        <v>0.0</v>
      </c>
      <c r="P14" s="793">
        <v>0.0</v>
      </c>
      <c r="Q14" s="793">
        <v>0.0</v>
      </c>
      <c r="R14" s="793">
        <v>0.0</v>
      </c>
      <c r="S14" s="793">
        <v>0.0</v>
      </c>
      <c r="T14" s="793">
        <v>0.0</v>
      </c>
      <c r="U14" s="777">
        <v>0.0</v>
      </c>
      <c r="V14" s="777">
        <v>0.0</v>
      </c>
      <c r="W14" s="777">
        <v>0.0</v>
      </c>
      <c r="X14" s="777">
        <v>0.0</v>
      </c>
      <c r="Y14" s="777">
        <v>0.0</v>
      </c>
      <c r="Z14" s="777">
        <v>0.0</v>
      </c>
      <c r="AA14" s="777">
        <v>0.0</v>
      </c>
      <c r="AB14" s="777">
        <v>0.0</v>
      </c>
      <c r="AC14" s="777">
        <v>0.0</v>
      </c>
      <c r="AD14" s="777">
        <v>0.0</v>
      </c>
      <c r="AE14" s="777">
        <v>0.0</v>
      </c>
      <c r="AF14" s="777">
        <v>0.0</v>
      </c>
      <c r="AG14" s="473">
        <f t="shared" si="1"/>
        <v>0</v>
      </c>
      <c r="AH14" s="891">
        <v>0.0</v>
      </c>
      <c r="AI14" s="892" t="b">
        <f t="shared" si="2"/>
        <v>1</v>
      </c>
      <c r="AJ14" s="38"/>
      <c r="AK14" s="38"/>
      <c r="AL14" s="38"/>
      <c r="AM14" s="38"/>
      <c r="AN14" s="38"/>
      <c r="AP14" s="874" t="s">
        <v>152</v>
      </c>
      <c r="AQ14" s="176"/>
      <c r="AR14" s="177"/>
      <c r="AS14" s="895"/>
      <c r="AT14" s="895">
        <f>SUM(valuesByColor("#6089ff", "", B4:AF36))</f>
        <v>41.66</v>
      </c>
      <c r="AU14" s="896">
        <f t="shared" si="3"/>
        <v>15.8308</v>
      </c>
      <c r="AV14" s="897">
        <f t="shared" si="4"/>
        <v>1.97885</v>
      </c>
      <c r="AW14" s="897"/>
      <c r="AX14" s="876">
        <f t="shared" si="7"/>
        <v>0</v>
      </c>
      <c r="AY14" s="876">
        <f t="shared" si="8"/>
        <v>0</v>
      </c>
      <c r="AZ14" s="387"/>
    </row>
    <row r="15" ht="29.25" customHeight="1">
      <c r="A15" s="838" t="s">
        <v>124</v>
      </c>
      <c r="B15" s="820">
        <v>0.0</v>
      </c>
      <c r="C15" s="820">
        <v>0.0</v>
      </c>
      <c r="D15" s="820">
        <v>1.5</v>
      </c>
      <c r="E15" s="820">
        <v>0.0</v>
      </c>
      <c r="F15" s="820">
        <v>2.62</v>
      </c>
      <c r="G15" s="850">
        <v>1.5</v>
      </c>
      <c r="H15" s="820">
        <v>0.0</v>
      </c>
      <c r="I15" s="820">
        <v>1.5</v>
      </c>
      <c r="J15" s="820">
        <v>0.0</v>
      </c>
      <c r="K15" s="820">
        <v>0.0</v>
      </c>
      <c r="L15" s="820">
        <v>0.0</v>
      </c>
      <c r="M15" s="820">
        <v>6.0</v>
      </c>
      <c r="N15" s="820">
        <v>1.5</v>
      </c>
      <c r="O15" s="820">
        <v>4.92</v>
      </c>
      <c r="P15" s="820">
        <v>6.74</v>
      </c>
      <c r="Q15" s="820">
        <v>0.0</v>
      </c>
      <c r="R15" s="820">
        <v>0.0</v>
      </c>
      <c r="S15" s="820">
        <v>0.0</v>
      </c>
      <c r="T15" s="820">
        <v>1.5</v>
      </c>
      <c r="U15" s="807">
        <v>1.5</v>
      </c>
      <c r="V15" s="807">
        <v>0.0</v>
      </c>
      <c r="W15" s="807">
        <v>0.0</v>
      </c>
      <c r="X15" s="807">
        <v>0.0</v>
      </c>
      <c r="Y15" s="807">
        <v>1.5</v>
      </c>
      <c r="Z15" s="807">
        <v>3.0</v>
      </c>
      <c r="AA15" s="807">
        <v>0.0</v>
      </c>
      <c r="AB15" s="807">
        <v>0.0</v>
      </c>
      <c r="AC15" s="807">
        <v>1.5</v>
      </c>
      <c r="AD15" s="807">
        <v>0.0</v>
      </c>
      <c r="AE15" s="807">
        <v>0.0</v>
      </c>
      <c r="AF15" s="807">
        <v>1.5</v>
      </c>
      <c r="AG15" s="473">
        <f t="shared" si="1"/>
        <v>36.78</v>
      </c>
      <c r="AH15" s="891">
        <v>36.78</v>
      </c>
      <c r="AI15" s="892" t="b">
        <f t="shared" si="2"/>
        <v>1</v>
      </c>
      <c r="AJ15" s="38"/>
      <c r="AK15" s="38"/>
      <c r="AL15" s="38"/>
      <c r="AM15" s="38"/>
      <c r="AN15" s="38"/>
      <c r="AS15" s="865"/>
      <c r="AT15" s="527">
        <f>SUM(AT4:AT14)</f>
        <v>3932.42</v>
      </c>
      <c r="AU15" s="38"/>
      <c r="AV15" s="220">
        <f>SUM(AV4:AV14)</f>
        <v>186.78995</v>
      </c>
    </row>
    <row r="16" ht="29.25" customHeight="1">
      <c r="A16" s="758" t="s">
        <v>125</v>
      </c>
      <c r="B16" s="771">
        <v>0.0</v>
      </c>
      <c r="C16" s="771">
        <v>0.0</v>
      </c>
      <c r="D16" s="771">
        <v>3.25</v>
      </c>
      <c r="E16" s="771">
        <v>0.0</v>
      </c>
      <c r="F16" s="771">
        <v>0.0</v>
      </c>
      <c r="G16" s="849">
        <v>0.0</v>
      </c>
      <c r="H16" s="771">
        <v>0.0</v>
      </c>
      <c r="I16" s="771">
        <v>0.0</v>
      </c>
      <c r="J16" s="771">
        <v>0.0</v>
      </c>
      <c r="K16" s="771">
        <v>0.0</v>
      </c>
      <c r="L16" s="771">
        <v>1.26</v>
      </c>
      <c r="M16" s="771">
        <v>0.0</v>
      </c>
      <c r="N16" s="771">
        <v>0.0</v>
      </c>
      <c r="O16" s="771">
        <v>0.0</v>
      </c>
      <c r="P16" s="771">
        <v>0.0</v>
      </c>
      <c r="Q16" s="771">
        <v>0.0</v>
      </c>
      <c r="R16" s="771">
        <v>0.0</v>
      </c>
      <c r="S16" s="771">
        <v>0.0</v>
      </c>
      <c r="T16" s="771">
        <v>0.0</v>
      </c>
      <c r="U16" s="748">
        <v>0.0</v>
      </c>
      <c r="V16" s="748">
        <v>0.0</v>
      </c>
      <c r="W16" s="748">
        <v>0.0</v>
      </c>
      <c r="X16" s="748">
        <v>0.0</v>
      </c>
      <c r="Y16" s="748">
        <v>0.0</v>
      </c>
      <c r="Z16" s="748">
        <v>0.0</v>
      </c>
      <c r="AA16" s="748">
        <v>0.0</v>
      </c>
      <c r="AB16" s="748">
        <v>0.0</v>
      </c>
      <c r="AC16" s="748">
        <v>0.0</v>
      </c>
      <c r="AD16" s="748">
        <v>0.0</v>
      </c>
      <c r="AE16" s="777">
        <v>0.0</v>
      </c>
      <c r="AF16" s="777">
        <v>0.0</v>
      </c>
      <c r="AG16" s="473">
        <f t="shared" si="1"/>
        <v>4.51</v>
      </c>
      <c r="AH16" s="891">
        <v>4.51</v>
      </c>
      <c r="AI16" s="892" t="b">
        <f t="shared" si="2"/>
        <v>1</v>
      </c>
      <c r="AJ16" s="38"/>
      <c r="AK16" s="38"/>
      <c r="AL16" s="38"/>
      <c r="AM16" s="38"/>
      <c r="AN16" s="38"/>
    </row>
    <row r="17" ht="30.0" customHeight="1">
      <c r="A17" s="758" t="s">
        <v>153</v>
      </c>
      <c r="B17" s="768">
        <v>0.0</v>
      </c>
      <c r="C17" s="768">
        <v>0.0</v>
      </c>
      <c r="D17" s="768">
        <v>0.0</v>
      </c>
      <c r="E17" s="768">
        <v>0.0</v>
      </c>
      <c r="F17" s="768">
        <v>0.0</v>
      </c>
      <c r="G17" s="823">
        <v>0.0</v>
      </c>
      <c r="H17" s="768">
        <v>0.0</v>
      </c>
      <c r="I17" s="768">
        <v>0.0</v>
      </c>
      <c r="J17" s="768">
        <v>0.0</v>
      </c>
      <c r="K17" s="768">
        <v>0.0</v>
      </c>
      <c r="L17" s="780">
        <v>10.36</v>
      </c>
      <c r="M17" s="780">
        <v>3.36</v>
      </c>
      <c r="N17" s="780">
        <v>6.0</v>
      </c>
      <c r="O17" s="780">
        <v>1.5</v>
      </c>
      <c r="P17" s="780">
        <v>10.74</v>
      </c>
      <c r="Q17" s="780">
        <v>0.24</v>
      </c>
      <c r="R17" s="780">
        <v>9.48</v>
      </c>
      <c r="S17" s="780">
        <v>3.12</v>
      </c>
      <c r="T17" s="780">
        <v>0.0</v>
      </c>
      <c r="U17" s="749">
        <v>6.0</v>
      </c>
      <c r="V17" s="749">
        <v>7.5</v>
      </c>
      <c r="W17" s="749">
        <v>0.0</v>
      </c>
      <c r="X17" s="749">
        <v>0.0</v>
      </c>
      <c r="Y17" s="749">
        <v>0.0</v>
      </c>
      <c r="Z17" s="749">
        <v>3.4</v>
      </c>
      <c r="AA17" s="749">
        <v>0.0</v>
      </c>
      <c r="AB17" s="749">
        <v>0.0</v>
      </c>
      <c r="AC17" s="749">
        <v>4.52</v>
      </c>
      <c r="AD17" s="749">
        <v>0.0</v>
      </c>
      <c r="AE17" s="749">
        <v>1.62</v>
      </c>
      <c r="AF17" s="749">
        <v>0.12</v>
      </c>
      <c r="AG17" s="473">
        <f t="shared" si="1"/>
        <v>67.96</v>
      </c>
      <c r="AH17" s="891">
        <v>67.96</v>
      </c>
      <c r="AI17" s="892" t="b">
        <f t="shared" si="2"/>
        <v>1</v>
      </c>
      <c r="AJ17" s="38"/>
      <c r="AK17" s="38"/>
      <c r="AL17" s="38"/>
      <c r="AM17" s="38"/>
      <c r="AN17" s="38"/>
    </row>
    <row r="18" ht="30.0" customHeight="1">
      <c r="A18" s="758" t="s">
        <v>154</v>
      </c>
      <c r="B18" s="768">
        <v>0.0</v>
      </c>
      <c r="C18" s="768">
        <v>0.0</v>
      </c>
      <c r="D18" s="768">
        <v>0.0</v>
      </c>
      <c r="E18" s="780">
        <v>2.06</v>
      </c>
      <c r="F18" s="780">
        <v>0.12</v>
      </c>
      <c r="G18" s="752">
        <v>0.0</v>
      </c>
      <c r="H18" s="780">
        <v>0.0</v>
      </c>
      <c r="I18" s="780">
        <v>0.0</v>
      </c>
      <c r="J18" s="780">
        <v>0.0</v>
      </c>
      <c r="K18" s="780">
        <v>1.5</v>
      </c>
      <c r="L18" s="780">
        <v>1.5</v>
      </c>
      <c r="M18" s="768">
        <v>0.0</v>
      </c>
      <c r="N18" s="768">
        <v>0.0</v>
      </c>
      <c r="O18" s="768">
        <v>0.0</v>
      </c>
      <c r="P18" s="768">
        <v>0.0</v>
      </c>
      <c r="Q18" s="768">
        <v>0.0</v>
      </c>
      <c r="R18" s="768">
        <v>0.0</v>
      </c>
      <c r="S18" s="768">
        <v>0.0</v>
      </c>
      <c r="T18" s="768">
        <v>0.0</v>
      </c>
      <c r="U18" s="777">
        <v>0.0</v>
      </c>
      <c r="V18" s="777">
        <v>0.0</v>
      </c>
      <c r="W18" s="777">
        <v>0.0</v>
      </c>
      <c r="X18" s="777">
        <v>0.0</v>
      </c>
      <c r="Y18" s="777">
        <v>0.0</v>
      </c>
      <c r="Z18" s="777">
        <v>0.0</v>
      </c>
      <c r="AA18" s="777">
        <v>0.0</v>
      </c>
      <c r="AB18" s="777">
        <v>0.0</v>
      </c>
      <c r="AC18" s="777">
        <v>0.0</v>
      </c>
      <c r="AD18" s="777">
        <v>0.0</v>
      </c>
      <c r="AE18" s="777">
        <v>0.0</v>
      </c>
      <c r="AF18" s="777">
        <v>0.0</v>
      </c>
      <c r="AG18" s="473">
        <f t="shared" si="1"/>
        <v>5.18</v>
      </c>
      <c r="AH18" s="891">
        <v>5.18</v>
      </c>
      <c r="AI18" s="892" t="b">
        <f t="shared" si="2"/>
        <v>1</v>
      </c>
      <c r="AJ18" s="38"/>
      <c r="AK18" s="38"/>
      <c r="AL18" s="38"/>
      <c r="AM18" s="38"/>
      <c r="AN18" s="38"/>
    </row>
    <row r="19" ht="30.0" customHeight="1">
      <c r="A19" s="758" t="s">
        <v>126</v>
      </c>
      <c r="B19" s="768">
        <v>0.0</v>
      </c>
      <c r="C19" s="768">
        <v>0.0</v>
      </c>
      <c r="D19" s="768">
        <v>0.0</v>
      </c>
      <c r="E19" s="768">
        <v>0.0</v>
      </c>
      <c r="F19" s="768">
        <v>0.0</v>
      </c>
      <c r="G19" s="823">
        <v>0.0</v>
      </c>
      <c r="H19" s="768">
        <v>0.0</v>
      </c>
      <c r="I19" s="768">
        <v>0.0</v>
      </c>
      <c r="J19" s="768">
        <v>0.0</v>
      </c>
      <c r="K19" s="768">
        <v>0.0</v>
      </c>
      <c r="L19" s="768">
        <v>0.0</v>
      </c>
      <c r="M19" s="768">
        <v>0.0</v>
      </c>
      <c r="N19" s="768">
        <v>0.0</v>
      </c>
      <c r="O19" s="768">
        <v>0.0</v>
      </c>
      <c r="P19" s="768">
        <v>0.0</v>
      </c>
      <c r="Q19" s="768">
        <v>0.0</v>
      </c>
      <c r="R19" s="768">
        <v>0.0</v>
      </c>
      <c r="S19" s="768">
        <v>0.0</v>
      </c>
      <c r="T19" s="768">
        <v>0.0</v>
      </c>
      <c r="U19" s="777">
        <v>0.0</v>
      </c>
      <c r="V19" s="777">
        <v>0.0</v>
      </c>
      <c r="W19" s="777">
        <v>0.0</v>
      </c>
      <c r="X19" s="777">
        <v>0.0</v>
      </c>
      <c r="Y19" s="777">
        <v>6.0</v>
      </c>
      <c r="Z19" s="777">
        <v>0.0</v>
      </c>
      <c r="AA19" s="864">
        <v>7.06</v>
      </c>
      <c r="AB19" s="864">
        <v>4.62</v>
      </c>
      <c r="AC19" s="864">
        <v>0.0</v>
      </c>
      <c r="AD19" s="864">
        <v>0.0</v>
      </c>
      <c r="AE19" s="864">
        <v>0.0</v>
      </c>
      <c r="AF19" s="864">
        <v>6.12</v>
      </c>
      <c r="AG19" s="473">
        <f t="shared" si="1"/>
        <v>23.8</v>
      </c>
      <c r="AH19" s="891">
        <v>23.8</v>
      </c>
      <c r="AI19" s="892" t="b">
        <f t="shared" si="2"/>
        <v>1</v>
      </c>
      <c r="AJ19" s="38"/>
      <c r="AK19" s="38"/>
      <c r="AL19" s="38"/>
      <c r="AM19" s="38"/>
      <c r="AN19" s="38"/>
    </row>
    <row r="20" ht="30.0" customHeight="1">
      <c r="A20" s="758" t="s">
        <v>129</v>
      </c>
      <c r="B20" s="839">
        <v>12.0</v>
      </c>
      <c r="C20" s="839">
        <v>0.0</v>
      </c>
      <c r="D20" s="839">
        <v>0.0</v>
      </c>
      <c r="E20" s="839">
        <v>55.96</v>
      </c>
      <c r="F20" s="839">
        <v>34.98</v>
      </c>
      <c r="G20" s="855">
        <v>62.72</v>
      </c>
      <c r="H20" s="839">
        <v>88.16</v>
      </c>
      <c r="I20" s="839">
        <v>103.62</v>
      </c>
      <c r="J20" s="839">
        <v>23.9</v>
      </c>
      <c r="K20" s="839">
        <v>95.12</v>
      </c>
      <c r="L20" s="839">
        <v>36.6</v>
      </c>
      <c r="M20" s="839">
        <v>40.5</v>
      </c>
      <c r="N20" s="839">
        <v>18.0</v>
      </c>
      <c r="O20" s="839">
        <v>21.0</v>
      </c>
      <c r="P20" s="839">
        <v>6.0</v>
      </c>
      <c r="Q20" s="839">
        <v>0.0</v>
      </c>
      <c r="R20" s="839">
        <v>19.5</v>
      </c>
      <c r="S20" s="839">
        <v>61.21</v>
      </c>
      <c r="T20" s="839">
        <v>69.54</v>
      </c>
      <c r="U20" s="793">
        <v>0.0</v>
      </c>
      <c r="V20" s="793">
        <v>0.0</v>
      </c>
      <c r="W20" s="793">
        <v>0.0</v>
      </c>
      <c r="X20" s="793">
        <v>0.0</v>
      </c>
      <c r="Y20" s="793">
        <v>0.0</v>
      </c>
      <c r="Z20" s="793">
        <v>0.0</v>
      </c>
      <c r="AA20" s="793">
        <v>0.0</v>
      </c>
      <c r="AB20" s="793">
        <v>0.0</v>
      </c>
      <c r="AC20" s="793">
        <v>0.0</v>
      </c>
      <c r="AD20" s="793">
        <v>0.0</v>
      </c>
      <c r="AE20" s="777">
        <v>0.0</v>
      </c>
      <c r="AF20" s="777">
        <v>0.0</v>
      </c>
      <c r="AG20" s="473">
        <f t="shared" si="1"/>
        <v>748.81</v>
      </c>
      <c r="AH20" s="891">
        <v>748.81</v>
      </c>
      <c r="AI20" s="892" t="b">
        <f t="shared" si="2"/>
        <v>1</v>
      </c>
      <c r="AJ20" s="38"/>
      <c r="AK20" s="38"/>
      <c r="AL20" s="38"/>
      <c r="AM20" s="38"/>
      <c r="AN20" s="38"/>
      <c r="AP20" s="38"/>
      <c r="AQ20" s="38"/>
      <c r="AR20" s="38"/>
      <c r="AS20" s="862"/>
      <c r="AT20" s="173">
        <v>1.0</v>
      </c>
      <c r="AU20" s="174" t="s">
        <v>16</v>
      </c>
      <c r="AV20" s="173">
        <v>0.05</v>
      </c>
      <c r="AW20" s="456" t="s">
        <v>71</v>
      </c>
      <c r="AX20" s="456" t="s">
        <v>72</v>
      </c>
      <c r="AY20" s="456" t="s">
        <v>73</v>
      </c>
      <c r="AZ20" s="246" t="s">
        <v>34</v>
      </c>
    </row>
    <row r="21" ht="30.0" customHeight="1">
      <c r="A21" s="758" t="s">
        <v>131</v>
      </c>
      <c r="B21" s="780">
        <v>15.18</v>
      </c>
      <c r="C21" s="780">
        <v>14.62</v>
      </c>
      <c r="D21" s="780">
        <v>26.58</v>
      </c>
      <c r="E21" s="780">
        <v>26.32</v>
      </c>
      <c r="F21" s="780">
        <v>21.0</v>
      </c>
      <c r="G21" s="752">
        <v>16.98</v>
      </c>
      <c r="H21" s="780">
        <v>25.62</v>
      </c>
      <c r="I21" s="780">
        <v>4.5</v>
      </c>
      <c r="J21" s="780">
        <v>21.0</v>
      </c>
      <c r="K21" s="780">
        <v>9.0</v>
      </c>
      <c r="L21" s="821">
        <v>30.42</v>
      </c>
      <c r="M21" s="821">
        <v>37.61</v>
      </c>
      <c r="N21" s="821">
        <v>21.12</v>
      </c>
      <c r="O21" s="821">
        <v>24.7</v>
      </c>
      <c r="P21" s="821">
        <v>8.72</v>
      </c>
      <c r="Q21" s="821">
        <v>6.28</v>
      </c>
      <c r="R21" s="821">
        <v>24.12</v>
      </c>
      <c r="S21" s="821">
        <v>15.42</v>
      </c>
      <c r="T21" s="821">
        <v>6.0</v>
      </c>
      <c r="U21" s="822">
        <v>7.26</v>
      </c>
      <c r="V21" s="822">
        <v>13.62</v>
      </c>
      <c r="W21" s="822">
        <v>12.0</v>
      </c>
      <c r="X21" s="822">
        <v>13.5</v>
      </c>
      <c r="Y21" s="822">
        <v>19.5</v>
      </c>
      <c r="Z21" s="822">
        <v>4.5</v>
      </c>
      <c r="AA21" s="822">
        <v>12.12</v>
      </c>
      <c r="AB21" s="822">
        <v>7.78</v>
      </c>
      <c r="AC21" s="822">
        <v>13.74</v>
      </c>
      <c r="AD21" s="822">
        <v>3.0</v>
      </c>
      <c r="AE21" s="822">
        <v>7.5</v>
      </c>
      <c r="AF21" s="822">
        <v>15.0</v>
      </c>
      <c r="AG21" s="473">
        <f t="shared" si="1"/>
        <v>484.71</v>
      </c>
      <c r="AH21" s="891">
        <v>484.71</v>
      </c>
      <c r="AI21" s="892" t="b">
        <f t="shared" si="2"/>
        <v>1</v>
      </c>
      <c r="AJ21" s="38"/>
      <c r="AK21" s="38"/>
      <c r="AL21" s="38"/>
      <c r="AM21" s="38"/>
      <c r="AN21" s="38"/>
      <c r="AP21" s="544" t="s">
        <v>108</v>
      </c>
      <c r="AQ21" s="176"/>
      <c r="AR21" s="177"/>
      <c r="AS21" s="545"/>
      <c r="AT21" s="545">
        <f>SUM(valuesByColor("#ffc4d5", "", B3:AF35))</f>
        <v>279.44</v>
      </c>
      <c r="AU21" s="545">
        <f t="shared" ref="AU21:AU30" si="9">((AT21*(1-0.05))*(1-0.6))+AX21-AZ21</f>
        <v>106.1872</v>
      </c>
      <c r="AV21" s="546">
        <f t="shared" ref="AV21:AV30" si="10">(AT21*(1-0.05))*(1-0.95)+AY21</f>
        <v>13.2734</v>
      </c>
      <c r="AW21" s="546"/>
      <c r="AX21" s="546">
        <f t="shared" ref="AX21:AX30" si="11">(AW21*(1-0.05))*(1-0.9)</f>
        <v>0</v>
      </c>
      <c r="AY21" s="546">
        <f t="shared" ref="AY21:AY30" si="12">(AW21*(1-0.05))*(1-0.95)</f>
        <v>0</v>
      </c>
      <c r="AZ21" s="547"/>
    </row>
    <row r="22" ht="30.0" customHeight="1">
      <c r="A22" s="758" t="s">
        <v>136</v>
      </c>
      <c r="B22" s="768">
        <v>0.0</v>
      </c>
      <c r="C22" s="768">
        <v>0.0</v>
      </c>
      <c r="D22" s="768">
        <v>0.0</v>
      </c>
      <c r="E22" s="768">
        <v>0.0</v>
      </c>
      <c r="F22" s="768">
        <v>0.0</v>
      </c>
      <c r="G22" s="823">
        <v>0.0</v>
      </c>
      <c r="H22" s="768">
        <v>0.0</v>
      </c>
      <c r="I22" s="768">
        <v>0.0</v>
      </c>
      <c r="J22" s="768">
        <v>0.0</v>
      </c>
      <c r="K22" s="768">
        <v>0.0</v>
      </c>
      <c r="L22" s="768">
        <v>0.0</v>
      </c>
      <c r="M22" s="768">
        <v>0.0</v>
      </c>
      <c r="N22" s="768">
        <v>0.0</v>
      </c>
      <c r="O22" s="768">
        <v>0.0</v>
      </c>
      <c r="P22" s="768">
        <v>0.0</v>
      </c>
      <c r="Q22" s="768">
        <v>0.0</v>
      </c>
      <c r="R22" s="768">
        <v>0.0</v>
      </c>
      <c r="S22" s="768">
        <v>0.0</v>
      </c>
      <c r="T22" s="768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>
        <v>0.0</v>
      </c>
      <c r="AF22" s="777">
        <v>0.0</v>
      </c>
      <c r="AG22" s="473">
        <f t="shared" si="1"/>
        <v>0</v>
      </c>
      <c r="AH22" s="891">
        <v>0.0</v>
      </c>
      <c r="AI22" s="892" t="b">
        <f t="shared" si="2"/>
        <v>1</v>
      </c>
      <c r="AJ22" s="38"/>
      <c r="AK22" s="38"/>
      <c r="AL22" s="38"/>
      <c r="AM22" s="38"/>
      <c r="AN22" s="38"/>
      <c r="AP22" s="555"/>
      <c r="AQ22" s="176"/>
      <c r="AR22" s="177"/>
      <c r="AS22" s="556"/>
      <c r="AT22" s="556"/>
      <c r="AU22" s="556">
        <f t="shared" si="9"/>
        <v>0</v>
      </c>
      <c r="AV22" s="557">
        <f t="shared" si="10"/>
        <v>0</v>
      </c>
      <c r="AW22" s="557"/>
      <c r="AX22" s="557">
        <f t="shared" si="11"/>
        <v>0</v>
      </c>
      <c r="AY22" s="557">
        <f t="shared" si="12"/>
        <v>0</v>
      </c>
      <c r="AZ22" s="558"/>
    </row>
    <row r="23" ht="30.0" customHeight="1">
      <c r="A23" s="758" t="s">
        <v>132</v>
      </c>
      <c r="B23" s="768">
        <v>0.0</v>
      </c>
      <c r="C23" s="768">
        <v>0.0</v>
      </c>
      <c r="D23" s="768">
        <v>0.0</v>
      </c>
      <c r="E23" s="768">
        <v>0.0</v>
      </c>
      <c r="F23" s="768">
        <v>0.0</v>
      </c>
      <c r="G23" s="823">
        <v>0.0</v>
      </c>
      <c r="H23" s="768">
        <v>0.0</v>
      </c>
      <c r="I23" s="768">
        <v>0.0</v>
      </c>
      <c r="J23" s="768">
        <v>0.0</v>
      </c>
      <c r="K23" s="768">
        <v>0.0</v>
      </c>
      <c r="L23" s="768">
        <v>0.0</v>
      </c>
      <c r="M23" s="768">
        <v>0.0</v>
      </c>
      <c r="N23" s="768">
        <v>0.0</v>
      </c>
      <c r="O23" s="768">
        <v>0.0</v>
      </c>
      <c r="P23" s="768">
        <v>0.0</v>
      </c>
      <c r="Q23" s="768">
        <v>0.0</v>
      </c>
      <c r="R23" s="768">
        <v>0.0</v>
      </c>
      <c r="S23" s="768">
        <v>0.0</v>
      </c>
      <c r="T23" s="768">
        <v>0.0</v>
      </c>
      <c r="U23" s="777">
        <v>0.0</v>
      </c>
      <c r="V23" s="777">
        <v>0.0</v>
      </c>
      <c r="W23" s="777">
        <v>0.0</v>
      </c>
      <c r="X23" s="777">
        <v>0.0</v>
      </c>
      <c r="Y23" s="777">
        <v>0.0</v>
      </c>
      <c r="Z23" s="777">
        <v>0.0</v>
      </c>
      <c r="AA23" s="777">
        <v>0.0</v>
      </c>
      <c r="AB23" s="777">
        <v>0.0</v>
      </c>
      <c r="AC23" s="777">
        <v>0.0</v>
      </c>
      <c r="AD23" s="777">
        <v>0.0</v>
      </c>
      <c r="AE23" s="777">
        <v>0.0</v>
      </c>
      <c r="AF23" s="777">
        <v>0.0</v>
      </c>
      <c r="AG23" s="473">
        <f t="shared" si="1"/>
        <v>0</v>
      </c>
      <c r="AH23" s="891">
        <v>0.0</v>
      </c>
      <c r="AI23" s="892" t="b">
        <f t="shared" si="2"/>
        <v>1</v>
      </c>
      <c r="AJ23" s="38"/>
      <c r="AK23" s="38"/>
      <c r="AL23" s="38"/>
      <c r="AM23" s="38"/>
      <c r="AN23" s="38"/>
      <c r="AP23" s="563" t="s">
        <v>135</v>
      </c>
      <c r="AQ23" s="176"/>
      <c r="AR23" s="177"/>
      <c r="AS23" s="564"/>
      <c r="AT23" s="564">
        <f>SUM(valuesByColor("#00b572", "", B3:AF35))</f>
        <v>796.68</v>
      </c>
      <c r="AU23" s="564">
        <f t="shared" si="9"/>
        <v>302.7384</v>
      </c>
      <c r="AV23" s="565">
        <f t="shared" si="10"/>
        <v>37.8423</v>
      </c>
      <c r="AW23" s="565"/>
      <c r="AX23" s="565">
        <f t="shared" si="11"/>
        <v>0</v>
      </c>
      <c r="AY23" s="565">
        <f t="shared" si="12"/>
        <v>0</v>
      </c>
      <c r="AZ23" s="566"/>
    </row>
    <row r="24" ht="30.0" customHeight="1">
      <c r="A24" s="758" t="s">
        <v>137</v>
      </c>
      <c r="B24" s="768">
        <v>0.0</v>
      </c>
      <c r="C24" s="768">
        <v>0.0</v>
      </c>
      <c r="D24" s="768">
        <v>0.0</v>
      </c>
      <c r="E24" s="768">
        <v>0.0</v>
      </c>
      <c r="F24" s="768">
        <v>0.0</v>
      </c>
      <c r="G24" s="823">
        <v>0.0</v>
      </c>
      <c r="H24" s="768">
        <v>0.0</v>
      </c>
      <c r="I24" s="768">
        <v>0.0</v>
      </c>
      <c r="J24" s="768">
        <v>0.0</v>
      </c>
      <c r="K24" s="768">
        <v>0.0</v>
      </c>
      <c r="L24" s="768">
        <v>0.0</v>
      </c>
      <c r="M24" s="768">
        <v>0.0</v>
      </c>
      <c r="N24" s="768">
        <v>0.0</v>
      </c>
      <c r="O24" s="768">
        <v>0.0</v>
      </c>
      <c r="P24" s="768">
        <v>0.0</v>
      </c>
      <c r="Q24" s="768">
        <v>0.0</v>
      </c>
      <c r="R24" s="768">
        <v>0.0</v>
      </c>
      <c r="S24" s="768">
        <v>0.0</v>
      </c>
      <c r="T24" s="768">
        <v>0.0</v>
      </c>
      <c r="U24" s="777">
        <v>0.0</v>
      </c>
      <c r="V24" s="777">
        <v>0.0</v>
      </c>
      <c r="W24" s="777">
        <v>0.0</v>
      </c>
      <c r="X24" s="777">
        <v>0.0</v>
      </c>
      <c r="Y24" s="777">
        <v>0.0</v>
      </c>
      <c r="Z24" s="777">
        <v>0.0</v>
      </c>
      <c r="AA24" s="777">
        <v>0.0</v>
      </c>
      <c r="AB24" s="777">
        <v>0.0</v>
      </c>
      <c r="AC24" s="777">
        <v>0.0</v>
      </c>
      <c r="AD24" s="777">
        <v>0.0</v>
      </c>
      <c r="AE24" s="777">
        <v>0.0</v>
      </c>
      <c r="AF24" s="777">
        <v>0.0</v>
      </c>
      <c r="AG24" s="473">
        <f t="shared" si="1"/>
        <v>0</v>
      </c>
      <c r="AH24" s="891">
        <v>0.0</v>
      </c>
      <c r="AI24" s="892" t="b">
        <f t="shared" si="2"/>
        <v>1</v>
      </c>
      <c r="AJ24" s="38"/>
      <c r="AK24" s="38"/>
      <c r="AL24" s="38"/>
      <c r="AM24" s="38"/>
      <c r="AN24" s="38"/>
      <c r="AP24" s="575" t="s">
        <v>155</v>
      </c>
      <c r="AQ24" s="176"/>
      <c r="AR24" s="177"/>
      <c r="AS24" s="576"/>
      <c r="AT24" s="576">
        <f>SUM(valuesByColor("#7030a0", "", B3:AF35))</f>
        <v>164.22</v>
      </c>
      <c r="AU24" s="576">
        <f t="shared" si="9"/>
        <v>62.4036</v>
      </c>
      <c r="AV24" s="577">
        <f t="shared" si="10"/>
        <v>7.80045</v>
      </c>
      <c r="AW24" s="577"/>
      <c r="AX24" s="577">
        <f t="shared" si="11"/>
        <v>0</v>
      </c>
      <c r="AY24" s="577">
        <f t="shared" si="12"/>
        <v>0</v>
      </c>
      <c r="AZ24" s="578"/>
    </row>
    <row r="25" ht="30.0" customHeight="1">
      <c r="A25" s="758" t="s">
        <v>133</v>
      </c>
      <c r="B25" s="768">
        <v>0.0</v>
      </c>
      <c r="C25" s="886">
        <v>0.24</v>
      </c>
      <c r="D25" s="886">
        <v>0.0</v>
      </c>
      <c r="E25" s="886">
        <v>1.5</v>
      </c>
      <c r="F25" s="886">
        <v>3.0</v>
      </c>
      <c r="G25" s="898">
        <v>0.0</v>
      </c>
      <c r="H25" s="886">
        <v>3.0</v>
      </c>
      <c r="I25" s="886">
        <v>3.0</v>
      </c>
      <c r="J25" s="886">
        <v>4.5</v>
      </c>
      <c r="K25" s="886">
        <v>0.0</v>
      </c>
      <c r="L25" s="886">
        <v>0.0</v>
      </c>
      <c r="M25" s="886">
        <v>0.0</v>
      </c>
      <c r="N25" s="886">
        <v>1.5</v>
      </c>
      <c r="O25" s="886">
        <v>0.0</v>
      </c>
      <c r="P25" s="886">
        <v>0.0</v>
      </c>
      <c r="Q25" s="886">
        <v>0.0</v>
      </c>
      <c r="R25" s="886">
        <v>0.0</v>
      </c>
      <c r="S25" s="886">
        <v>0.0</v>
      </c>
      <c r="T25" s="886">
        <v>0.0</v>
      </c>
      <c r="U25" s="864">
        <v>0.0</v>
      </c>
      <c r="V25" s="864">
        <v>0.0</v>
      </c>
      <c r="W25" s="864">
        <v>0.0</v>
      </c>
      <c r="X25" s="864">
        <v>0.0</v>
      </c>
      <c r="Y25" s="864">
        <v>0.0</v>
      </c>
      <c r="Z25" s="864">
        <v>0.0</v>
      </c>
      <c r="AA25" s="864">
        <v>0.0</v>
      </c>
      <c r="AB25" s="864">
        <v>0.0</v>
      </c>
      <c r="AC25" s="864">
        <v>0.0</v>
      </c>
      <c r="AD25" s="864">
        <v>0.0</v>
      </c>
      <c r="AE25" s="777">
        <v>0.0</v>
      </c>
      <c r="AF25" s="777">
        <v>0.0</v>
      </c>
      <c r="AG25" s="473">
        <f t="shared" si="1"/>
        <v>16.74</v>
      </c>
      <c r="AH25" s="891">
        <v>16.74</v>
      </c>
      <c r="AI25" s="892" t="b">
        <f t="shared" si="2"/>
        <v>1</v>
      </c>
      <c r="AJ25" s="38"/>
      <c r="AK25" s="38"/>
      <c r="AL25" s="38"/>
      <c r="AM25" s="38"/>
      <c r="AN25" s="38"/>
      <c r="AP25" s="580" t="s">
        <v>130</v>
      </c>
      <c r="AQ25" s="176"/>
      <c r="AR25" s="177"/>
      <c r="AS25" s="581"/>
      <c r="AT25" s="581">
        <f>SUM(valuesByColor("#9bbb59", "", B4:AF36))</f>
        <v>0</v>
      </c>
      <c r="AU25" s="582">
        <f t="shared" si="9"/>
        <v>0</v>
      </c>
      <c r="AV25" s="583">
        <f t="shared" si="10"/>
        <v>0</v>
      </c>
      <c r="AW25" s="584"/>
      <c r="AX25" s="583">
        <f t="shared" si="11"/>
        <v>0</v>
      </c>
      <c r="AY25" s="583">
        <f t="shared" si="12"/>
        <v>0</v>
      </c>
      <c r="AZ25" s="585"/>
    </row>
    <row r="26" ht="30.0" customHeight="1">
      <c r="A26" s="758" t="s">
        <v>138</v>
      </c>
      <c r="B26" s="768">
        <v>0.0</v>
      </c>
      <c r="C26" s="768">
        <v>0.0</v>
      </c>
      <c r="D26" s="768">
        <v>0.0</v>
      </c>
      <c r="E26" s="768">
        <v>0.0</v>
      </c>
      <c r="F26" s="768">
        <v>0.0</v>
      </c>
      <c r="G26" s="823">
        <v>0.0</v>
      </c>
      <c r="H26" s="768">
        <v>0.0</v>
      </c>
      <c r="I26" s="768">
        <v>0.0</v>
      </c>
      <c r="J26" s="768">
        <v>0.0</v>
      </c>
      <c r="K26" s="768">
        <v>0.0</v>
      </c>
      <c r="L26" s="768">
        <v>0.0</v>
      </c>
      <c r="M26" s="768">
        <v>0.0</v>
      </c>
      <c r="N26" s="768">
        <v>0.0</v>
      </c>
      <c r="O26" s="768">
        <v>0.0</v>
      </c>
      <c r="P26" s="768">
        <v>0.0</v>
      </c>
      <c r="Q26" s="768">
        <v>0.0</v>
      </c>
      <c r="R26" s="768">
        <v>0.0</v>
      </c>
      <c r="S26" s="768">
        <v>0.0</v>
      </c>
      <c r="T26" s="768">
        <v>0.0</v>
      </c>
      <c r="U26" s="777">
        <v>0.0</v>
      </c>
      <c r="V26" s="777">
        <v>0.0</v>
      </c>
      <c r="W26" s="777">
        <v>0.0</v>
      </c>
      <c r="X26" s="777">
        <v>0.0</v>
      </c>
      <c r="Y26" s="777">
        <v>0.0</v>
      </c>
      <c r="Z26" s="777">
        <v>0.0</v>
      </c>
      <c r="AA26" s="777">
        <v>0.0</v>
      </c>
      <c r="AB26" s="777">
        <v>0.0</v>
      </c>
      <c r="AC26" s="777">
        <v>0.0</v>
      </c>
      <c r="AD26" s="748">
        <v>1.5</v>
      </c>
      <c r="AE26" s="777">
        <v>0.0</v>
      </c>
      <c r="AF26" s="777">
        <v>0.0</v>
      </c>
      <c r="AG26" s="473">
        <f t="shared" si="1"/>
        <v>1.5</v>
      </c>
      <c r="AH26" s="891">
        <v>1.5</v>
      </c>
      <c r="AI26" s="892" t="b">
        <f t="shared" si="2"/>
        <v>1</v>
      </c>
      <c r="AJ26" s="38"/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9"/>
        <v>0</v>
      </c>
      <c r="AV26" s="591">
        <f t="shared" si="10"/>
        <v>0</v>
      </c>
      <c r="AW26" s="592"/>
      <c r="AX26" s="591">
        <f t="shared" si="11"/>
        <v>0</v>
      </c>
      <c r="AY26" s="591">
        <f t="shared" si="12"/>
        <v>0</v>
      </c>
      <c r="AZ26" s="268"/>
    </row>
    <row r="27" ht="30.0" customHeight="1">
      <c r="A27" s="758" t="s">
        <v>139</v>
      </c>
      <c r="B27" s="771">
        <v>0.0</v>
      </c>
      <c r="C27" s="771">
        <v>0.0</v>
      </c>
      <c r="D27" s="771">
        <v>0.0</v>
      </c>
      <c r="E27" s="771">
        <v>0.0</v>
      </c>
      <c r="F27" s="771">
        <v>0.0</v>
      </c>
      <c r="G27" s="849">
        <v>0.0</v>
      </c>
      <c r="H27" s="771">
        <v>0.0</v>
      </c>
      <c r="I27" s="771">
        <v>0.0</v>
      </c>
      <c r="J27" s="771">
        <v>0.0</v>
      </c>
      <c r="K27" s="771">
        <v>0.0</v>
      </c>
      <c r="L27" s="771">
        <v>0.0</v>
      </c>
      <c r="M27" s="771">
        <v>0.0</v>
      </c>
      <c r="N27" s="771">
        <v>0.0</v>
      </c>
      <c r="O27" s="771">
        <v>0.0</v>
      </c>
      <c r="P27" s="771">
        <v>0.0</v>
      </c>
      <c r="Q27" s="771">
        <v>0.0</v>
      </c>
      <c r="R27" s="771">
        <v>0.0</v>
      </c>
      <c r="S27" s="771">
        <v>0.0</v>
      </c>
      <c r="T27" s="771">
        <v>0.0</v>
      </c>
      <c r="U27" s="748">
        <v>0.0</v>
      </c>
      <c r="V27" s="748">
        <v>1.5</v>
      </c>
      <c r="W27" s="748">
        <v>0.0</v>
      </c>
      <c r="X27" s="748">
        <v>0.0</v>
      </c>
      <c r="Y27" s="748">
        <v>0.0</v>
      </c>
      <c r="Z27" s="748">
        <v>0.0</v>
      </c>
      <c r="AA27" s="748">
        <v>1.5</v>
      </c>
      <c r="AB27" s="748">
        <v>0.0</v>
      </c>
      <c r="AC27" s="748">
        <v>0.0</v>
      </c>
      <c r="AD27" s="748">
        <v>0.0</v>
      </c>
      <c r="AE27" s="777">
        <v>0.0</v>
      </c>
      <c r="AF27" s="777">
        <v>0.0</v>
      </c>
      <c r="AG27" s="473">
        <f t="shared" si="1"/>
        <v>3</v>
      </c>
      <c r="AH27" s="891">
        <v>3.0</v>
      </c>
      <c r="AI27" s="892" t="b">
        <f t="shared" si="2"/>
        <v>1</v>
      </c>
      <c r="AJ27" s="38"/>
      <c r="AK27" s="38"/>
      <c r="AL27" s="38"/>
      <c r="AM27" s="38"/>
      <c r="AN27" s="38"/>
      <c r="AP27" s="588"/>
      <c r="AQ27" s="176"/>
      <c r="AR27" s="177"/>
      <c r="AS27" s="589"/>
      <c r="AT27" s="589"/>
      <c r="AU27" s="590">
        <f t="shared" si="9"/>
        <v>0</v>
      </c>
      <c r="AV27" s="591">
        <f t="shared" si="10"/>
        <v>0</v>
      </c>
      <c r="AW27" s="592"/>
      <c r="AX27" s="591">
        <f t="shared" si="11"/>
        <v>0</v>
      </c>
      <c r="AY27" s="591">
        <f t="shared" si="12"/>
        <v>0</v>
      </c>
      <c r="AZ27" s="270"/>
    </row>
    <row r="28" ht="30.0" customHeight="1">
      <c r="A28" s="758" t="s">
        <v>146</v>
      </c>
      <c r="B28" s="768">
        <v>0.0</v>
      </c>
      <c r="C28" s="768">
        <v>0.0</v>
      </c>
      <c r="D28" s="768">
        <v>0.0</v>
      </c>
      <c r="E28" s="768">
        <v>0.0</v>
      </c>
      <c r="F28" s="768">
        <v>0.0</v>
      </c>
      <c r="G28" s="855">
        <v>0.0</v>
      </c>
      <c r="H28" s="839">
        <v>0.0</v>
      </c>
      <c r="I28" s="869">
        <v>0.0</v>
      </c>
      <c r="J28" s="869">
        <v>0.0</v>
      </c>
      <c r="K28" s="869">
        <v>0.0</v>
      </c>
      <c r="L28" s="869">
        <v>0.0</v>
      </c>
      <c r="M28" s="869">
        <v>0.0</v>
      </c>
      <c r="N28" s="869">
        <v>0.0</v>
      </c>
      <c r="O28" s="869">
        <v>0.0</v>
      </c>
      <c r="P28" s="869">
        <v>0.0</v>
      </c>
      <c r="Q28" s="869">
        <v>0.0</v>
      </c>
      <c r="R28" s="869">
        <v>0.0</v>
      </c>
      <c r="S28" s="869">
        <v>0.0</v>
      </c>
      <c r="T28" s="869">
        <v>0.0</v>
      </c>
      <c r="U28" s="777">
        <v>0.0</v>
      </c>
      <c r="V28" s="777">
        <v>0.0</v>
      </c>
      <c r="W28" s="777">
        <v>0.0</v>
      </c>
      <c r="X28" s="777">
        <v>0.0</v>
      </c>
      <c r="Y28" s="777">
        <v>0.0</v>
      </c>
      <c r="Z28" s="777">
        <v>0.0</v>
      </c>
      <c r="AA28" s="777">
        <v>0.0</v>
      </c>
      <c r="AB28" s="777">
        <v>0.0</v>
      </c>
      <c r="AC28" s="777">
        <v>0.0</v>
      </c>
      <c r="AD28" s="777">
        <v>0.0</v>
      </c>
      <c r="AE28" s="777">
        <v>0.0</v>
      </c>
      <c r="AF28" s="777">
        <v>0.0</v>
      </c>
      <c r="AG28" s="473">
        <f t="shared" si="1"/>
        <v>0</v>
      </c>
      <c r="AH28" s="891">
        <v>0.0</v>
      </c>
      <c r="AI28" s="892" t="b">
        <f t="shared" si="2"/>
        <v>1</v>
      </c>
      <c r="AJ28" s="38"/>
      <c r="AK28" s="38"/>
      <c r="AL28" s="38"/>
      <c r="AM28" s="38"/>
      <c r="AN28" s="38"/>
      <c r="AP28" s="588"/>
      <c r="AQ28" s="176"/>
      <c r="AR28" s="177"/>
      <c r="AS28" s="589"/>
      <c r="AT28" s="589"/>
      <c r="AU28" s="590">
        <f t="shared" si="9"/>
        <v>0</v>
      </c>
      <c r="AV28" s="591">
        <f t="shared" si="10"/>
        <v>0</v>
      </c>
      <c r="AW28" s="600"/>
      <c r="AX28" s="591">
        <f t="shared" si="11"/>
        <v>0</v>
      </c>
      <c r="AY28" s="591">
        <f t="shared" si="12"/>
        <v>0</v>
      </c>
      <c r="AZ28" s="274"/>
    </row>
    <row r="29" ht="30.0" customHeight="1">
      <c r="A29" s="758" t="s">
        <v>147</v>
      </c>
      <c r="B29" s="768">
        <v>0.0</v>
      </c>
      <c r="C29" s="768">
        <v>0.0</v>
      </c>
      <c r="D29" s="768">
        <v>0.0</v>
      </c>
      <c r="E29" s="768">
        <v>0.0</v>
      </c>
      <c r="F29" s="820">
        <v>1.5</v>
      </c>
      <c r="G29" s="850">
        <v>0.0</v>
      </c>
      <c r="H29" s="820">
        <v>0.0</v>
      </c>
      <c r="I29" s="820">
        <v>0.7</v>
      </c>
      <c r="J29" s="820">
        <v>0.0</v>
      </c>
      <c r="K29" s="820">
        <v>1.5</v>
      </c>
      <c r="L29" s="820">
        <v>3.0</v>
      </c>
      <c r="M29" s="820">
        <v>0.0</v>
      </c>
      <c r="N29" s="820">
        <v>0.0</v>
      </c>
      <c r="O29" s="820">
        <v>0.0</v>
      </c>
      <c r="P29" s="820">
        <v>0.0</v>
      </c>
      <c r="Q29" s="820">
        <v>0.0</v>
      </c>
      <c r="R29" s="820">
        <v>0.0</v>
      </c>
      <c r="S29" s="820">
        <v>0.0</v>
      </c>
      <c r="T29" s="820">
        <v>0.0</v>
      </c>
      <c r="U29" s="807">
        <v>0.0</v>
      </c>
      <c r="V29" s="807">
        <v>0.0</v>
      </c>
      <c r="W29" s="807">
        <v>0.0</v>
      </c>
      <c r="X29" s="807">
        <v>0.0</v>
      </c>
      <c r="Y29" s="807">
        <v>0.0</v>
      </c>
      <c r="Z29" s="807">
        <v>0.0</v>
      </c>
      <c r="AA29" s="807">
        <v>0.0</v>
      </c>
      <c r="AB29" s="807">
        <v>0.0</v>
      </c>
      <c r="AC29" s="807">
        <v>0.0</v>
      </c>
      <c r="AD29" s="807">
        <v>0.0</v>
      </c>
      <c r="AE29" s="777">
        <v>0.0</v>
      </c>
      <c r="AF29" s="777">
        <v>0.0</v>
      </c>
      <c r="AG29" s="473">
        <f t="shared" si="1"/>
        <v>6.7</v>
      </c>
      <c r="AH29" s="891">
        <v>6.7</v>
      </c>
      <c r="AI29" s="892" t="b">
        <f t="shared" si="2"/>
        <v>1</v>
      </c>
      <c r="AJ29" s="38"/>
      <c r="AK29" s="38"/>
      <c r="AL29" s="38"/>
      <c r="AM29" s="38"/>
      <c r="AN29" s="38"/>
      <c r="AP29" s="588"/>
      <c r="AQ29" s="176"/>
      <c r="AR29" s="177"/>
      <c r="AS29" s="589"/>
      <c r="AT29" s="589"/>
      <c r="AU29" s="590">
        <f t="shared" si="9"/>
        <v>0</v>
      </c>
      <c r="AV29" s="591">
        <f t="shared" si="10"/>
        <v>0</v>
      </c>
      <c r="AW29" s="600"/>
      <c r="AX29" s="591">
        <f t="shared" si="11"/>
        <v>0</v>
      </c>
      <c r="AY29" s="591">
        <f t="shared" si="12"/>
        <v>0</v>
      </c>
      <c r="AZ29" s="280"/>
    </row>
    <row r="30" ht="30.0" customHeight="1">
      <c r="A30" s="758" t="s">
        <v>140</v>
      </c>
      <c r="B30" s="869">
        <v>0.0</v>
      </c>
      <c r="C30" s="869">
        <v>0.0</v>
      </c>
      <c r="D30" s="869">
        <v>0.0</v>
      </c>
      <c r="E30" s="869">
        <v>0.0</v>
      </c>
      <c r="F30" s="869">
        <v>0.0</v>
      </c>
      <c r="G30" s="887">
        <v>0.0</v>
      </c>
      <c r="H30" s="869">
        <v>0.0</v>
      </c>
      <c r="I30" s="869">
        <v>0.0</v>
      </c>
      <c r="J30" s="869">
        <v>0.0</v>
      </c>
      <c r="K30" s="768">
        <v>0.0</v>
      </c>
      <c r="L30" s="768">
        <v>0.0</v>
      </c>
      <c r="M30" s="768">
        <v>0.0</v>
      </c>
      <c r="N30" s="768">
        <v>0.0</v>
      </c>
      <c r="O30" s="768">
        <v>0.0</v>
      </c>
      <c r="P30" s="768">
        <v>0.0</v>
      </c>
      <c r="Q30" s="768">
        <v>0.0</v>
      </c>
      <c r="R30" s="768">
        <v>0.0</v>
      </c>
      <c r="S30" s="768">
        <v>0.0</v>
      </c>
      <c r="T30" s="768">
        <v>0.0</v>
      </c>
      <c r="U30" s="777">
        <v>0.0</v>
      </c>
      <c r="V30" s="777">
        <v>0.0</v>
      </c>
      <c r="W30" s="777">
        <v>0.0</v>
      </c>
      <c r="X30" s="777">
        <v>0.0</v>
      </c>
      <c r="Y30" s="777">
        <v>0.0</v>
      </c>
      <c r="Z30" s="777">
        <v>0.0</v>
      </c>
      <c r="AA30" s="777">
        <v>0.0</v>
      </c>
      <c r="AB30" s="777">
        <v>0.0</v>
      </c>
      <c r="AC30" s="777">
        <v>0.0</v>
      </c>
      <c r="AD30" s="777">
        <v>0.0</v>
      </c>
      <c r="AE30" s="777">
        <v>0.0</v>
      </c>
      <c r="AF30" s="777">
        <v>0.0</v>
      </c>
      <c r="AG30" s="473">
        <f t="shared" si="1"/>
        <v>0</v>
      </c>
      <c r="AH30" s="891">
        <v>0.0</v>
      </c>
      <c r="AI30" s="892" t="b">
        <f t="shared" si="2"/>
        <v>1</v>
      </c>
      <c r="AJ30" s="38"/>
      <c r="AK30" s="38"/>
      <c r="AL30" s="38"/>
      <c r="AM30" s="38"/>
      <c r="AN30" s="38"/>
      <c r="AP30" s="588"/>
      <c r="AQ30" s="176"/>
      <c r="AR30" s="177"/>
      <c r="AS30" s="589"/>
      <c r="AT30" s="589"/>
      <c r="AU30" s="590">
        <f t="shared" si="9"/>
        <v>0</v>
      </c>
      <c r="AV30" s="591">
        <f t="shared" si="10"/>
        <v>0</v>
      </c>
      <c r="AW30" s="600"/>
      <c r="AX30" s="591">
        <f t="shared" si="11"/>
        <v>0</v>
      </c>
      <c r="AY30" s="591">
        <f t="shared" si="12"/>
        <v>0</v>
      </c>
      <c r="AZ30" s="387"/>
    </row>
    <row r="31" ht="30.0" customHeight="1">
      <c r="A31" s="758" t="s">
        <v>141</v>
      </c>
      <c r="B31" s="787">
        <v>7.5</v>
      </c>
      <c r="C31" s="787">
        <v>16.5</v>
      </c>
      <c r="D31" s="787">
        <v>7.5</v>
      </c>
      <c r="E31" s="787">
        <v>10.5</v>
      </c>
      <c r="F31" s="787">
        <v>4.86</v>
      </c>
      <c r="G31" s="899">
        <v>12.0</v>
      </c>
      <c r="H31" s="787">
        <v>7.5</v>
      </c>
      <c r="I31" s="900">
        <v>9.0</v>
      </c>
      <c r="J31" s="787">
        <v>4.5</v>
      </c>
      <c r="K31" s="840">
        <v>24.0</v>
      </c>
      <c r="L31" s="840">
        <v>4.5</v>
      </c>
      <c r="M31" s="840">
        <v>12.12</v>
      </c>
      <c r="N31" s="840">
        <v>7.5</v>
      </c>
      <c r="O31" s="840">
        <v>10.5</v>
      </c>
      <c r="P31" s="840">
        <v>24.0</v>
      </c>
      <c r="Q31" s="840">
        <v>1.74</v>
      </c>
      <c r="R31" s="840">
        <v>0.0</v>
      </c>
      <c r="S31" s="780">
        <v>6.0</v>
      </c>
      <c r="T31" s="780">
        <v>1.5</v>
      </c>
      <c r="U31" s="749">
        <v>4.5</v>
      </c>
      <c r="V31" s="749">
        <v>1.5</v>
      </c>
      <c r="W31" s="749">
        <v>0.0</v>
      </c>
      <c r="X31" s="749">
        <v>1.5</v>
      </c>
      <c r="Y31" s="749">
        <v>0.0</v>
      </c>
      <c r="Z31" s="749">
        <v>4.5</v>
      </c>
      <c r="AA31" s="749">
        <v>0.0</v>
      </c>
      <c r="AB31" s="749">
        <v>0.0</v>
      </c>
      <c r="AC31" s="749">
        <v>6.0</v>
      </c>
      <c r="AD31" s="749">
        <v>0.0</v>
      </c>
      <c r="AE31" s="749">
        <v>0.0</v>
      </c>
      <c r="AF31" s="749">
        <v>0.0</v>
      </c>
      <c r="AG31" s="473">
        <f t="shared" si="1"/>
        <v>189.72</v>
      </c>
      <c r="AH31" s="891">
        <v>189.72</v>
      </c>
      <c r="AI31" s="892" t="b">
        <f t="shared" si="2"/>
        <v>1</v>
      </c>
      <c r="AJ31" s="38"/>
      <c r="AK31" s="38"/>
      <c r="AL31" s="38"/>
      <c r="AM31" s="38"/>
      <c r="AN31" s="38"/>
      <c r="AS31" s="865"/>
      <c r="AT31" s="220">
        <f>SUM(AT21:AT30)</f>
        <v>1240.34</v>
      </c>
      <c r="AU31" s="38"/>
      <c r="AV31" s="220">
        <f>SUM(AV21:AV30)</f>
        <v>58.91615</v>
      </c>
    </row>
    <row r="32" ht="30.0" customHeight="1">
      <c r="A32" s="758" t="s">
        <v>53</v>
      </c>
      <c r="B32" s="771">
        <v>0.0</v>
      </c>
      <c r="C32" s="771">
        <v>10.68</v>
      </c>
      <c r="D32" s="771">
        <v>12.0</v>
      </c>
      <c r="E32" s="771">
        <v>3.0</v>
      </c>
      <c r="F32" s="771">
        <v>0.0</v>
      </c>
      <c r="G32" s="849">
        <v>12.0</v>
      </c>
      <c r="H32" s="771">
        <v>4.0</v>
      </c>
      <c r="I32" s="771">
        <v>0.0</v>
      </c>
      <c r="J32" s="771">
        <v>8.6</v>
      </c>
      <c r="K32" s="771">
        <v>9.0</v>
      </c>
      <c r="L32" s="771">
        <v>9.32</v>
      </c>
      <c r="M32" s="771">
        <v>0.0</v>
      </c>
      <c r="N32" s="771">
        <v>12.56</v>
      </c>
      <c r="O32" s="771">
        <v>9.0</v>
      </c>
      <c r="P32" s="771">
        <v>1.5</v>
      </c>
      <c r="Q32" s="771">
        <v>1.5</v>
      </c>
      <c r="R32" s="771">
        <v>6.0</v>
      </c>
      <c r="S32" s="771">
        <v>3.0</v>
      </c>
      <c r="T32" s="771">
        <v>10.86</v>
      </c>
      <c r="U32" s="748">
        <v>3.56</v>
      </c>
      <c r="V32" s="748">
        <v>25.5</v>
      </c>
      <c r="W32" s="748">
        <v>0.0</v>
      </c>
      <c r="X32" s="748">
        <v>3.0</v>
      </c>
      <c r="Y32" s="748">
        <v>0.0</v>
      </c>
      <c r="Z32" s="748">
        <v>0.56</v>
      </c>
      <c r="AA32" s="748">
        <v>0.0</v>
      </c>
      <c r="AB32" s="748">
        <v>3.0</v>
      </c>
      <c r="AC32" s="748">
        <v>0.0</v>
      </c>
      <c r="AD32" s="748">
        <v>3.0</v>
      </c>
      <c r="AE32" s="777">
        <v>0.0</v>
      </c>
      <c r="AF32" s="777">
        <v>0.0</v>
      </c>
      <c r="AG32" s="473">
        <f t="shared" si="1"/>
        <v>151.64</v>
      </c>
      <c r="AH32" s="891">
        <v>151.64</v>
      </c>
      <c r="AI32" s="892" t="b">
        <f t="shared" si="2"/>
        <v>1</v>
      </c>
      <c r="AJ32" s="38"/>
      <c r="AK32" s="38"/>
      <c r="AL32" s="38"/>
      <c r="AM32" s="38"/>
      <c r="AN32" s="38"/>
    </row>
    <row r="33" ht="30.0" customHeight="1">
      <c r="A33" s="758" t="s">
        <v>156</v>
      </c>
      <c r="B33" s="866"/>
      <c r="C33" s="866"/>
      <c r="D33" s="866"/>
      <c r="E33" s="866"/>
      <c r="F33" s="866"/>
      <c r="G33" s="867"/>
      <c r="H33" s="866"/>
      <c r="I33" s="866"/>
      <c r="J33" s="866"/>
      <c r="K33" s="866"/>
      <c r="L33" s="821"/>
      <c r="M33" s="821"/>
      <c r="N33" s="821"/>
      <c r="O33" s="821">
        <v>0.0</v>
      </c>
      <c r="P33" s="866">
        <v>0.0</v>
      </c>
      <c r="Q33" s="866">
        <v>0.0</v>
      </c>
      <c r="R33" s="866">
        <v>0.0</v>
      </c>
      <c r="S33" s="886">
        <v>0.12</v>
      </c>
      <c r="T33" s="886">
        <v>0.0</v>
      </c>
      <c r="U33" s="864">
        <v>7.0</v>
      </c>
      <c r="V33" s="837">
        <v>0.0</v>
      </c>
      <c r="W33" s="837">
        <v>0.0</v>
      </c>
      <c r="X33" s="837">
        <v>0.0</v>
      </c>
      <c r="Y33" s="837">
        <v>0.0</v>
      </c>
      <c r="Z33" s="837">
        <v>0.0</v>
      </c>
      <c r="AA33" s="837">
        <v>0.0</v>
      </c>
      <c r="AB33" s="748">
        <v>4.5</v>
      </c>
      <c r="AC33" s="748">
        <v>0.0</v>
      </c>
      <c r="AD33" s="748">
        <v>0.0</v>
      </c>
      <c r="AE33" s="748">
        <v>0.0</v>
      </c>
      <c r="AF33" s="748">
        <v>0.0</v>
      </c>
      <c r="AG33" s="473">
        <f t="shared" si="1"/>
        <v>11.62</v>
      </c>
      <c r="AH33" s="891">
        <v>11.62</v>
      </c>
      <c r="AI33" s="892" t="b">
        <f t="shared" si="2"/>
        <v>1</v>
      </c>
      <c r="AJ33" s="38"/>
      <c r="AK33" s="38"/>
      <c r="AL33" s="38"/>
      <c r="AM33" s="38"/>
      <c r="AN33" s="38"/>
    </row>
    <row r="34" ht="30.0" customHeight="1">
      <c r="A34" s="758" t="s">
        <v>157</v>
      </c>
      <c r="B34" s="866"/>
      <c r="C34" s="866"/>
      <c r="D34" s="866"/>
      <c r="E34" s="866"/>
      <c r="F34" s="866"/>
      <c r="G34" s="867"/>
      <c r="H34" s="866"/>
      <c r="I34" s="866"/>
      <c r="J34" s="866"/>
      <c r="K34" s="866"/>
      <c r="L34" s="821"/>
      <c r="M34" s="821"/>
      <c r="N34" s="821"/>
      <c r="O34" s="821">
        <v>7.0</v>
      </c>
      <c r="P34" s="866">
        <v>1.5</v>
      </c>
      <c r="Q34" s="866">
        <v>0.0</v>
      </c>
      <c r="R34" s="866">
        <v>0.0</v>
      </c>
      <c r="S34" s="866">
        <v>0.0</v>
      </c>
      <c r="T34" s="866">
        <v>0.0</v>
      </c>
      <c r="U34" s="837">
        <v>0.0</v>
      </c>
      <c r="V34" s="837">
        <v>0.0</v>
      </c>
      <c r="W34" s="837">
        <v>0.0</v>
      </c>
      <c r="X34" s="837">
        <v>0.0</v>
      </c>
      <c r="Y34" s="837">
        <v>0.0</v>
      </c>
      <c r="Z34" s="837">
        <v>0.0</v>
      </c>
      <c r="AA34" s="837">
        <v>0.0</v>
      </c>
      <c r="AB34" s="837">
        <v>0.0</v>
      </c>
      <c r="AC34" s="837">
        <v>0.0</v>
      </c>
      <c r="AD34" s="807">
        <v>1.5</v>
      </c>
      <c r="AE34" s="807">
        <v>0.0</v>
      </c>
      <c r="AF34" s="807">
        <v>0.0</v>
      </c>
      <c r="AG34" s="473">
        <f t="shared" si="1"/>
        <v>10</v>
      </c>
      <c r="AH34" s="891">
        <v>10.0</v>
      </c>
      <c r="AI34" s="892" t="b">
        <f t="shared" si="2"/>
        <v>1</v>
      </c>
      <c r="AJ34" s="38"/>
      <c r="AK34" s="38"/>
      <c r="AL34" s="38"/>
      <c r="AM34" s="38"/>
      <c r="AN34" s="38"/>
    </row>
    <row r="35" ht="30.0" customHeight="1">
      <c r="A35" s="758" t="s">
        <v>112</v>
      </c>
      <c r="B35" s="866">
        <v>0.0</v>
      </c>
      <c r="C35" s="866">
        <v>0.0</v>
      </c>
      <c r="D35" s="866">
        <v>0.0</v>
      </c>
      <c r="E35" s="866">
        <v>0.0</v>
      </c>
      <c r="F35" s="866">
        <v>0.0</v>
      </c>
      <c r="G35" s="867">
        <v>0.0</v>
      </c>
      <c r="H35" s="866">
        <v>0.0</v>
      </c>
      <c r="I35" s="866">
        <v>0.0</v>
      </c>
      <c r="J35" s="866">
        <v>0.0</v>
      </c>
      <c r="K35" s="866">
        <v>0.0</v>
      </c>
      <c r="L35" s="821">
        <v>1.5</v>
      </c>
      <c r="M35" s="821">
        <v>0.0</v>
      </c>
      <c r="N35" s="821">
        <v>0.0</v>
      </c>
      <c r="O35" s="821">
        <v>1.5</v>
      </c>
      <c r="P35" s="866">
        <v>0.0</v>
      </c>
      <c r="Q35" s="866">
        <v>0.0</v>
      </c>
      <c r="R35" s="866">
        <v>0.0</v>
      </c>
      <c r="S35" s="866">
        <v>0.0</v>
      </c>
      <c r="T35" s="866">
        <v>0.0</v>
      </c>
      <c r="U35" s="837">
        <v>0.0</v>
      </c>
      <c r="V35" s="837">
        <v>0.0</v>
      </c>
      <c r="W35" s="837">
        <v>0.0</v>
      </c>
      <c r="X35" s="837">
        <v>0.0</v>
      </c>
      <c r="Y35" s="837">
        <v>0.0</v>
      </c>
      <c r="Z35" s="837">
        <v>0.0</v>
      </c>
      <c r="AA35" s="837">
        <v>0.0</v>
      </c>
      <c r="AB35" s="837">
        <v>0.0</v>
      </c>
      <c r="AC35" s="837">
        <v>0.0</v>
      </c>
      <c r="AD35" s="837">
        <v>0.0</v>
      </c>
      <c r="AE35" s="837">
        <v>0.0</v>
      </c>
      <c r="AF35" s="822">
        <v>1.5</v>
      </c>
      <c r="AG35" s="473">
        <f t="shared" si="1"/>
        <v>4.5</v>
      </c>
      <c r="AH35" s="891">
        <v>4.5</v>
      </c>
      <c r="AI35" s="892" t="b">
        <f t="shared" si="2"/>
        <v>1</v>
      </c>
      <c r="AJ35" s="38"/>
      <c r="AK35" s="38"/>
      <c r="AL35" s="38"/>
      <c r="AM35" s="38"/>
      <c r="AN35" s="38"/>
    </row>
    <row r="36" ht="30.0" customHeight="1">
      <c r="A36" s="47" t="s">
        <v>14</v>
      </c>
      <c r="B36" s="167">
        <f t="shared" ref="B36:AF36" si="13">SUM(B3:B35)</f>
        <v>114.25</v>
      </c>
      <c r="C36" s="167">
        <f t="shared" si="13"/>
        <v>93.08</v>
      </c>
      <c r="D36" s="167">
        <f t="shared" si="13"/>
        <v>170.48</v>
      </c>
      <c r="E36" s="167">
        <f t="shared" si="13"/>
        <v>220.54</v>
      </c>
      <c r="F36" s="167">
        <f t="shared" si="13"/>
        <v>174.26</v>
      </c>
      <c r="G36" s="167">
        <f t="shared" si="13"/>
        <v>201.04</v>
      </c>
      <c r="H36" s="167">
        <f t="shared" si="13"/>
        <v>248.92</v>
      </c>
      <c r="I36" s="167">
        <f t="shared" si="13"/>
        <v>222.44</v>
      </c>
      <c r="J36" s="167">
        <f t="shared" si="13"/>
        <v>125.9</v>
      </c>
      <c r="K36" s="167">
        <f t="shared" si="13"/>
        <v>262.38</v>
      </c>
      <c r="L36" s="167">
        <f t="shared" si="13"/>
        <v>311.02</v>
      </c>
      <c r="M36" s="167">
        <f t="shared" si="13"/>
        <v>242.13</v>
      </c>
      <c r="N36" s="167">
        <f t="shared" si="13"/>
        <v>154</v>
      </c>
      <c r="O36" s="167">
        <f t="shared" si="13"/>
        <v>216.8</v>
      </c>
      <c r="P36" s="167">
        <f t="shared" si="13"/>
        <v>160.78</v>
      </c>
      <c r="Q36" s="167">
        <f t="shared" si="13"/>
        <v>82.33</v>
      </c>
      <c r="R36" s="167">
        <f t="shared" si="13"/>
        <v>196.32</v>
      </c>
      <c r="S36" s="167">
        <f t="shared" si="13"/>
        <v>176.55</v>
      </c>
      <c r="T36" s="167">
        <f t="shared" si="13"/>
        <v>203.34</v>
      </c>
      <c r="U36" s="167">
        <f t="shared" si="13"/>
        <v>102.14</v>
      </c>
      <c r="V36" s="167">
        <f t="shared" si="13"/>
        <v>134.34</v>
      </c>
      <c r="W36" s="167">
        <f t="shared" si="13"/>
        <v>115.96</v>
      </c>
      <c r="X36" s="167">
        <f t="shared" si="13"/>
        <v>188.7</v>
      </c>
      <c r="Y36" s="167">
        <f t="shared" si="13"/>
        <v>147.49</v>
      </c>
      <c r="Z36" s="167">
        <f t="shared" si="13"/>
        <v>168.44</v>
      </c>
      <c r="AA36" s="167">
        <f t="shared" si="13"/>
        <v>126.16</v>
      </c>
      <c r="AB36" s="167">
        <f t="shared" si="13"/>
        <v>201.09</v>
      </c>
      <c r="AC36" s="167">
        <f t="shared" si="13"/>
        <v>151.14</v>
      </c>
      <c r="AD36" s="167">
        <f t="shared" si="13"/>
        <v>125.74</v>
      </c>
      <c r="AE36" s="167">
        <f t="shared" si="13"/>
        <v>194.12</v>
      </c>
      <c r="AF36" s="167">
        <f t="shared" si="13"/>
        <v>221.62</v>
      </c>
      <c r="AG36" s="38"/>
      <c r="AH36" s="58"/>
      <c r="AI36" s="38"/>
      <c r="AJ36" s="38"/>
      <c r="AK36" s="38"/>
      <c r="AL36" s="38"/>
      <c r="AM36" s="38"/>
      <c r="AN36" s="38"/>
    </row>
    <row r="37" ht="30.0" customHeight="1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1"/>
      <c r="O37" s="631"/>
      <c r="P37" s="631"/>
      <c r="Q37" s="631"/>
      <c r="R37" s="631"/>
      <c r="S37" s="631"/>
      <c r="T37" s="631"/>
      <c r="U37" s="631"/>
      <c r="V37" s="631"/>
      <c r="W37" s="631"/>
      <c r="X37" s="631"/>
      <c r="Y37" s="631"/>
      <c r="Z37" s="631"/>
      <c r="AA37" s="631"/>
      <c r="AB37" s="631"/>
      <c r="AC37" s="631"/>
      <c r="AD37" s="631"/>
      <c r="AE37" s="631"/>
      <c r="AF37" s="632"/>
      <c r="AG37" s="38"/>
      <c r="AH37" s="58"/>
      <c r="AI37" s="38"/>
      <c r="AJ37" s="38"/>
      <c r="AK37" s="38"/>
      <c r="AL37" s="38"/>
      <c r="AM37" s="38"/>
      <c r="AN37" s="38"/>
    </row>
    <row r="38" ht="30.75" customHeight="1">
      <c r="A38" s="38"/>
      <c r="B38" s="38"/>
      <c r="C38" s="38"/>
      <c r="D38" s="38"/>
      <c r="E38" s="633"/>
      <c r="F38" s="633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58"/>
      <c r="AI38" s="38"/>
      <c r="AJ38" s="38"/>
      <c r="AK38" s="38"/>
      <c r="AL38" s="38"/>
      <c r="AM38" s="38"/>
      <c r="AN38" s="38"/>
    </row>
    <row r="39" ht="30.75" customHeight="1">
      <c r="A39" s="38"/>
      <c r="B39" s="38"/>
      <c r="C39" s="38"/>
      <c r="D39" s="38"/>
      <c r="E39" s="633"/>
      <c r="F39" s="633"/>
      <c r="AG39" s="49"/>
      <c r="AH39" s="8"/>
      <c r="AO39" s="226"/>
    </row>
    <row r="40" ht="15.75" customHeight="1">
      <c r="A40" s="38"/>
      <c r="B40" s="38"/>
      <c r="C40" s="38"/>
      <c r="D40" s="38"/>
      <c r="E40" s="38"/>
      <c r="F40" s="633"/>
      <c r="G40" s="428"/>
      <c r="AG40" s="49"/>
      <c r="AH40" s="8"/>
      <c r="AO40" s="226"/>
    </row>
    <row r="41" ht="15.75" customHeight="1">
      <c r="A41" s="38"/>
      <c r="B41" s="38"/>
      <c r="C41" s="38"/>
      <c r="D41" s="428"/>
      <c r="E41" s="38"/>
      <c r="AG41" s="49"/>
      <c r="AH41" s="8"/>
    </row>
    <row r="42" ht="15.75" customHeight="1">
      <c r="A42" s="38"/>
      <c r="B42" s="38"/>
      <c r="C42" s="38"/>
      <c r="D42" s="38"/>
      <c r="E42" s="38"/>
      <c r="AG42" s="49"/>
      <c r="AH42" s="8"/>
    </row>
    <row r="43" ht="15.75" customHeight="1">
      <c r="A43" s="38"/>
      <c r="B43" s="38"/>
      <c r="C43" s="38"/>
      <c r="D43" s="38"/>
      <c r="E43" s="38"/>
      <c r="AG43" s="49"/>
      <c r="AH43" s="8"/>
    </row>
    <row r="44" ht="15.75" customHeight="1">
      <c r="A44" s="38"/>
      <c r="B44" s="428"/>
      <c r="C44" s="38"/>
      <c r="D44" s="38"/>
      <c r="E44" s="38"/>
      <c r="AG44" s="49"/>
      <c r="AH44" s="8"/>
    </row>
    <row r="45" ht="15.75" customHeight="1">
      <c r="A45" s="38"/>
      <c r="B45" s="38"/>
      <c r="C45" s="58"/>
      <c r="D45" s="38"/>
      <c r="E45" s="38"/>
      <c r="F45" s="58"/>
      <c r="AG45" s="49"/>
      <c r="AH45" s="8"/>
    </row>
    <row r="46" ht="15.75" customHeight="1">
      <c r="B46" s="428"/>
      <c r="D46" s="428"/>
      <c r="AG46" s="49"/>
      <c r="AH46" s="8"/>
      <c r="AP46" s="38"/>
      <c r="AQ46" s="38"/>
      <c r="AR46" s="38"/>
      <c r="AS46" s="862"/>
      <c r="AT46" s="173">
        <v>1.0</v>
      </c>
      <c r="AU46" s="174" t="s">
        <v>16</v>
      </c>
      <c r="AV46" s="173">
        <v>0.05</v>
      </c>
      <c r="AW46" s="456" t="s">
        <v>71</v>
      </c>
      <c r="AX46" s="456" t="s">
        <v>72</v>
      </c>
      <c r="AY46" s="456" t="s">
        <v>73</v>
      </c>
      <c r="AZ46" s="246" t="s">
        <v>34</v>
      </c>
    </row>
    <row r="47" ht="15.75" customHeight="1">
      <c r="B47" s="428"/>
      <c r="AG47" s="49"/>
      <c r="AH47" s="8"/>
      <c r="AP47" s="871" t="s">
        <v>148</v>
      </c>
      <c r="AQ47" s="176"/>
      <c r="AR47" s="177"/>
      <c r="AS47" s="872"/>
      <c r="AT47" s="872">
        <f>SUM(valuesByColor("#25e8a8", "", B4:AF36))</f>
        <v>0</v>
      </c>
      <c r="AU47" s="872">
        <f>((AT47*(1-0.05))*(1-0.6))+AX47-AZ47</f>
        <v>0</v>
      </c>
      <c r="AV47" s="873">
        <f>(AT47*(1-0.05))*(1-0.95)+AY47</f>
        <v>0</v>
      </c>
      <c r="AW47" s="873"/>
      <c r="AX47" s="873">
        <f>(AW47*(1-0.05))*(1-0.9)</f>
        <v>0</v>
      </c>
      <c r="AY47" s="873">
        <f>(AW47*(1-0.05))*(1-0.95)</f>
        <v>0</v>
      </c>
      <c r="AZ47" s="547"/>
    </row>
    <row r="48" ht="15.75" customHeight="1">
      <c r="AG48" s="49"/>
      <c r="AH48" s="8"/>
      <c r="AP48" s="874"/>
      <c r="AQ48" s="176"/>
      <c r="AR48" s="177"/>
      <c r="AS48" s="875"/>
      <c r="AT48" s="875"/>
      <c r="AU48" s="875"/>
      <c r="AV48" s="876"/>
      <c r="AW48" s="876"/>
      <c r="AX48" s="876"/>
      <c r="AY48" s="876"/>
      <c r="AZ48" s="558"/>
    </row>
    <row r="49" ht="15.75" customHeight="1">
      <c r="AG49" s="49"/>
      <c r="AH49" s="8"/>
      <c r="AP49" s="588"/>
      <c r="AQ49" s="176"/>
      <c r="AR49" s="177"/>
      <c r="AS49" s="590"/>
      <c r="AT49" s="590"/>
      <c r="AU49" s="590">
        <f t="shared" ref="AU49:AU56" si="14">((AT49*(1-0.05))*(1-0.6))+AX49-AZ49</f>
        <v>0</v>
      </c>
      <c r="AV49" s="591">
        <f t="shared" ref="AV49:AV56" si="15">(AT49*(1-0.05))*(1-0.95)+AY49</f>
        <v>0</v>
      </c>
      <c r="AW49" s="591"/>
      <c r="AX49" s="591">
        <f t="shared" ref="AX49:AX56" si="16">(AW49*(1-0.05))*(1-0.9)</f>
        <v>0</v>
      </c>
      <c r="AY49" s="591">
        <f t="shared" ref="AY49:AY56" si="17">(AW49*(1-0.05))*(1-0.95)</f>
        <v>0</v>
      </c>
      <c r="AZ49" s="566"/>
    </row>
    <row r="50" ht="15.75" customHeight="1">
      <c r="A50" s="38"/>
      <c r="R50" s="38"/>
      <c r="AG50" s="49"/>
      <c r="AH50" s="8"/>
      <c r="AP50" s="638"/>
      <c r="AQ50" s="176"/>
      <c r="AR50" s="177"/>
      <c r="AS50" s="877"/>
      <c r="AT50" s="877"/>
      <c r="AU50" s="877">
        <f t="shared" si="14"/>
        <v>0</v>
      </c>
      <c r="AV50" s="878">
        <f t="shared" si="15"/>
        <v>0</v>
      </c>
      <c r="AW50" s="878"/>
      <c r="AX50" s="878">
        <f t="shared" si="16"/>
        <v>0</v>
      </c>
      <c r="AY50" s="878">
        <f t="shared" si="17"/>
        <v>0</v>
      </c>
      <c r="AZ50" s="578"/>
    </row>
    <row r="51" ht="15.75" customHeight="1">
      <c r="A51" s="38"/>
      <c r="R51" s="38"/>
      <c r="AG51" s="49"/>
      <c r="AH51" s="8"/>
      <c r="AP51" s="588"/>
      <c r="AQ51" s="176"/>
      <c r="AR51" s="177"/>
      <c r="AS51" s="589"/>
      <c r="AT51" s="589"/>
      <c r="AU51" s="590">
        <f t="shared" si="14"/>
        <v>0</v>
      </c>
      <c r="AV51" s="591">
        <f t="shared" si="15"/>
        <v>0</v>
      </c>
      <c r="AW51" s="592"/>
      <c r="AX51" s="591">
        <f t="shared" si="16"/>
        <v>0</v>
      </c>
      <c r="AY51" s="591">
        <f t="shared" si="17"/>
        <v>0</v>
      </c>
      <c r="AZ51" s="585"/>
    </row>
    <row r="52" ht="15.75" customHeight="1">
      <c r="A52" s="38"/>
      <c r="B52" s="428"/>
      <c r="R52" s="38"/>
      <c r="AG52" s="49"/>
      <c r="AH52" s="8"/>
      <c r="AP52" s="588"/>
      <c r="AQ52" s="176"/>
      <c r="AR52" s="177"/>
      <c r="AS52" s="589"/>
      <c r="AT52" s="589"/>
      <c r="AU52" s="590">
        <f t="shared" si="14"/>
        <v>0</v>
      </c>
      <c r="AV52" s="591">
        <f t="shared" si="15"/>
        <v>0</v>
      </c>
      <c r="AW52" s="592"/>
      <c r="AX52" s="591">
        <f t="shared" si="16"/>
        <v>0</v>
      </c>
      <c r="AY52" s="591">
        <f t="shared" si="17"/>
        <v>0</v>
      </c>
      <c r="AZ52" s="26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  <c r="AP53" s="588"/>
      <c r="AQ53" s="176"/>
      <c r="AR53" s="177"/>
      <c r="AS53" s="589"/>
      <c r="AT53" s="589"/>
      <c r="AU53" s="590">
        <f t="shared" si="14"/>
        <v>0</v>
      </c>
      <c r="AV53" s="591">
        <f t="shared" si="15"/>
        <v>0</v>
      </c>
      <c r="AW53" s="592"/>
      <c r="AX53" s="591">
        <f t="shared" si="16"/>
        <v>0</v>
      </c>
      <c r="AY53" s="591">
        <f t="shared" si="17"/>
        <v>0</v>
      </c>
      <c r="AZ53" s="270"/>
    </row>
    <row r="54" ht="15.75" customHeight="1">
      <c r="A54" s="634"/>
      <c r="B54" s="635"/>
      <c r="C54" s="636"/>
      <c r="D54" s="636"/>
      <c r="E54" s="636"/>
      <c r="F54" s="636"/>
      <c r="G54" s="636"/>
      <c r="H54" s="636"/>
      <c r="M54" s="38"/>
      <c r="N54" s="635"/>
      <c r="O54" s="38"/>
      <c r="P54" s="635"/>
      <c r="Q54" s="635"/>
      <c r="R54" s="38"/>
      <c r="AG54" s="49"/>
      <c r="AH54" s="8"/>
      <c r="AP54" s="588"/>
      <c r="AQ54" s="176"/>
      <c r="AR54" s="177"/>
      <c r="AS54" s="589"/>
      <c r="AT54" s="589"/>
      <c r="AU54" s="590">
        <f t="shared" si="14"/>
        <v>0</v>
      </c>
      <c r="AV54" s="591">
        <f t="shared" si="15"/>
        <v>0</v>
      </c>
      <c r="AW54" s="600"/>
      <c r="AX54" s="591">
        <f t="shared" si="16"/>
        <v>0</v>
      </c>
      <c r="AY54" s="591">
        <f t="shared" si="17"/>
        <v>0</v>
      </c>
      <c r="AZ54" s="274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  <c r="AP55" s="588"/>
      <c r="AQ55" s="176"/>
      <c r="AR55" s="177"/>
      <c r="AS55" s="589"/>
      <c r="AT55" s="589"/>
      <c r="AU55" s="590">
        <f t="shared" si="14"/>
        <v>0</v>
      </c>
      <c r="AV55" s="591">
        <f t="shared" si="15"/>
        <v>0</v>
      </c>
      <c r="AW55" s="600"/>
      <c r="AX55" s="591">
        <f t="shared" si="16"/>
        <v>0</v>
      </c>
      <c r="AY55" s="591">
        <f t="shared" si="17"/>
        <v>0</v>
      </c>
      <c r="AZ55" s="280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  <c r="AP56" s="588"/>
      <c r="AQ56" s="176"/>
      <c r="AR56" s="177"/>
      <c r="AS56" s="589"/>
      <c r="AT56" s="589"/>
      <c r="AU56" s="590">
        <f t="shared" si="14"/>
        <v>0</v>
      </c>
      <c r="AV56" s="591">
        <f t="shared" si="15"/>
        <v>0</v>
      </c>
      <c r="AW56" s="600"/>
      <c r="AX56" s="591">
        <f t="shared" si="16"/>
        <v>0</v>
      </c>
      <c r="AY56" s="591">
        <f t="shared" si="17"/>
        <v>0</v>
      </c>
      <c r="AZ56" s="387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  <c r="AS57" s="865"/>
      <c r="AT57" s="220">
        <f>SUM(AT47:AT56)</f>
        <v>0</v>
      </c>
      <c r="AU57" s="38"/>
      <c r="AV57" s="220">
        <f>SUM(AV47:AV56)</f>
        <v>0</v>
      </c>
    </row>
    <row r="58" ht="15.75" customHeight="1">
      <c r="A58" s="38"/>
      <c r="B58" s="38"/>
      <c r="C58" s="38"/>
      <c r="D58" s="38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A61" s="38"/>
      <c r="B61" s="38"/>
      <c r="C61" s="796"/>
      <c r="D61" s="797"/>
      <c r="E61" s="38"/>
      <c r="F61" s="38"/>
      <c r="G61" s="38"/>
      <c r="H61" s="38"/>
      <c r="M61" s="38"/>
      <c r="N61" s="38"/>
      <c r="O61" s="38"/>
      <c r="P61" s="38"/>
      <c r="Q61" s="38"/>
      <c r="R61" s="38"/>
      <c r="AG61" s="49"/>
      <c r="AH61" s="8"/>
    </row>
    <row r="62" ht="15.75" customHeight="1">
      <c r="A62" s="38"/>
      <c r="B62" s="38"/>
      <c r="C62" s="796"/>
      <c r="D62" s="797"/>
      <c r="E62" s="38"/>
      <c r="F62" s="38"/>
      <c r="G62" s="38"/>
      <c r="H62" s="38"/>
      <c r="M62" s="38"/>
      <c r="N62" s="38"/>
      <c r="O62" s="38"/>
      <c r="P62" s="38"/>
      <c r="Q62" s="38"/>
      <c r="R62" s="38"/>
      <c r="AG62" s="49"/>
      <c r="AH62" s="8"/>
    </row>
    <row r="63" ht="15.75" customHeight="1">
      <c r="A63" s="38"/>
      <c r="B63" s="38"/>
      <c r="C63" s="796"/>
      <c r="D63" s="797"/>
      <c r="E63" s="38"/>
      <c r="F63" s="38"/>
      <c r="G63" s="38"/>
      <c r="H63" s="38"/>
      <c r="M63" s="38"/>
      <c r="N63" s="38"/>
      <c r="O63" s="38"/>
      <c r="P63" s="38"/>
      <c r="Q63" s="38"/>
      <c r="R63" s="38"/>
      <c r="AG63" s="49"/>
      <c r="AH63" s="8"/>
    </row>
    <row r="64" ht="15.75" customHeight="1">
      <c r="A64" s="38"/>
      <c r="B64" s="38"/>
      <c r="C64" s="796"/>
      <c r="D64" s="797"/>
      <c r="E64" s="38"/>
      <c r="F64" s="38"/>
      <c r="G64" s="38"/>
      <c r="H64" s="38"/>
      <c r="M64" s="38"/>
      <c r="N64" s="38"/>
      <c r="O64" s="38"/>
      <c r="P64" s="38"/>
      <c r="Q64" s="38"/>
      <c r="R64" s="38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C77" s="796"/>
      <c r="D77" s="797"/>
      <c r="AG77" s="49"/>
      <c r="AH77" s="8"/>
    </row>
    <row r="78" ht="15.75" customHeight="1">
      <c r="C78" s="796"/>
      <c r="D78" s="797"/>
      <c r="AG78" s="49"/>
      <c r="AH78" s="8"/>
    </row>
    <row r="79" ht="15.75" customHeight="1">
      <c r="C79" s="796"/>
      <c r="D79" s="797"/>
      <c r="AG79" s="49"/>
      <c r="AH79" s="8"/>
    </row>
    <row r="80" ht="15.75" customHeight="1">
      <c r="C80" s="796"/>
      <c r="D80" s="797"/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  <c r="AP106" s="3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>
      <c r="AG238" s="49"/>
      <c r="AH238" s="8"/>
    </row>
    <row r="239" ht="15.75" customHeight="1">
      <c r="AG239" s="49"/>
      <c r="AH239" s="8"/>
    </row>
    <row r="240" ht="15.75" customHeight="1">
      <c r="AG240" s="49"/>
      <c r="AH240" s="8"/>
    </row>
    <row r="241" ht="15.75" customHeight="1">
      <c r="AG241" s="49"/>
      <c r="AH241" s="8"/>
    </row>
    <row r="242" ht="15.75" customHeight="1">
      <c r="AG242" s="49"/>
      <c r="AH242" s="8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H2:AI2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I50:I52"/>
    <mergeCell ref="I53:I55"/>
    <mergeCell ref="I56:I58"/>
    <mergeCell ref="I59:I61"/>
    <mergeCell ref="I62:I64"/>
    <mergeCell ref="AP53:AR53"/>
    <mergeCell ref="AP54:AR54"/>
    <mergeCell ref="AP55:AR55"/>
    <mergeCell ref="AP56:AR56"/>
    <mergeCell ref="AP30:AR30"/>
    <mergeCell ref="AP47:AR47"/>
    <mergeCell ref="AP48:AR48"/>
    <mergeCell ref="AP49:AR49"/>
    <mergeCell ref="AP50:AR50"/>
    <mergeCell ref="AP51:AR51"/>
    <mergeCell ref="AP52:AR52"/>
  </mergeCells>
  <conditionalFormatting sqref="A37:AN38 AO38 BA37:BN38">
    <cfRule type="notContainsBlanks" dxfId="0" priority="1">
      <formula>LEN(TRIM(A37))&gt;0</formula>
    </cfRule>
  </conditionalFormatting>
  <conditionalFormatting sqref="AI3:AI35">
    <cfRule type="cellIs" dxfId="1" priority="2" operator="equal">
      <formula>"TRUE"</formula>
    </cfRule>
  </conditionalFormatting>
  <conditionalFormatting sqref="AI3:AI35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Z1" s="745"/>
      <c r="BA1" s="226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SUM(AG3:AG24,AW4:AW14,AW18:AW27)</f>
        <v>4853.17</v>
      </c>
      <c r="AH2" s="889" t="s">
        <v>150</v>
      </c>
      <c r="AI2" s="890"/>
    </row>
    <row r="3" ht="31.5" customHeight="1">
      <c r="A3" s="758" t="s">
        <v>5</v>
      </c>
      <c r="B3" s="820">
        <v>1.5</v>
      </c>
      <c r="C3" s="901">
        <v>0.0</v>
      </c>
      <c r="D3" s="901">
        <v>0.0</v>
      </c>
      <c r="E3" s="901">
        <v>1.5</v>
      </c>
      <c r="F3" s="901">
        <v>1.5</v>
      </c>
      <c r="G3" s="901">
        <v>6.0</v>
      </c>
      <c r="H3" s="901">
        <v>4.5</v>
      </c>
      <c r="I3" s="807">
        <v>0.0</v>
      </c>
      <c r="J3" s="807">
        <v>0.0</v>
      </c>
      <c r="K3" s="807">
        <v>0.0</v>
      </c>
      <c r="L3" s="807">
        <v>0.0</v>
      </c>
      <c r="M3" s="807">
        <v>0.0</v>
      </c>
      <c r="N3" s="807">
        <v>0.0</v>
      </c>
      <c r="O3" s="807">
        <v>0.0</v>
      </c>
      <c r="P3" s="807">
        <v>1.5</v>
      </c>
      <c r="Q3" s="807">
        <v>9.0</v>
      </c>
      <c r="R3" s="807">
        <v>3.0</v>
      </c>
      <c r="S3" s="807">
        <v>3.0</v>
      </c>
      <c r="T3" s="807">
        <v>1.5</v>
      </c>
      <c r="U3" s="807">
        <v>3.56</v>
      </c>
      <c r="V3" s="807">
        <v>3.0</v>
      </c>
      <c r="W3" s="807">
        <v>6.0</v>
      </c>
      <c r="X3" s="807">
        <v>1.5</v>
      </c>
      <c r="Y3" s="807">
        <v>14.3</v>
      </c>
      <c r="Z3" s="807">
        <v>1.5</v>
      </c>
      <c r="AA3" s="807">
        <v>0.0</v>
      </c>
      <c r="AB3" s="807">
        <v>4.5</v>
      </c>
      <c r="AC3" s="807">
        <v>6.0</v>
      </c>
      <c r="AD3" s="807">
        <v>1.5</v>
      </c>
      <c r="AE3" s="807">
        <v>2.9</v>
      </c>
      <c r="AF3" s="837"/>
      <c r="AG3" s="751">
        <f t="shared" ref="AG3:AG24" si="1">SUM(B3:AF3)</f>
        <v>77.76</v>
      </c>
      <c r="AH3" s="891">
        <v>77.76</v>
      </c>
      <c r="AI3" s="892" t="b">
        <f t="shared" ref="AI3:AI24" si="2">EQ(AG3,AH3)</f>
        <v>1</v>
      </c>
      <c r="AP3" s="38"/>
      <c r="AQ3" s="38"/>
      <c r="AR3" s="38"/>
      <c r="AS3" s="862"/>
      <c r="AT3" s="173">
        <v>1.0</v>
      </c>
      <c r="AU3" s="174" t="s">
        <v>16</v>
      </c>
      <c r="AV3" s="173">
        <v>0.05</v>
      </c>
      <c r="AW3" s="456" t="s">
        <v>71</v>
      </c>
      <c r="AX3" s="456" t="s">
        <v>72</v>
      </c>
      <c r="AY3" s="456" t="s">
        <v>73</v>
      </c>
      <c r="AZ3" s="246" t="s">
        <v>34</v>
      </c>
    </row>
    <row r="4" ht="40.5" customHeight="1">
      <c r="A4" s="764" t="s">
        <v>6</v>
      </c>
      <c r="B4" s="902">
        <v>16.5</v>
      </c>
      <c r="C4" s="903">
        <v>1.5</v>
      </c>
      <c r="D4" s="903">
        <v>0.0</v>
      </c>
      <c r="E4" s="903">
        <v>1.5</v>
      </c>
      <c r="F4" s="903">
        <v>1.5</v>
      </c>
      <c r="G4" s="903">
        <v>0.0</v>
      </c>
      <c r="H4" s="903">
        <v>4.5</v>
      </c>
      <c r="I4" s="903">
        <v>1.62</v>
      </c>
      <c r="J4" s="903">
        <v>7.62</v>
      </c>
      <c r="K4" s="903">
        <v>31.62</v>
      </c>
      <c r="L4" s="904">
        <v>6.0</v>
      </c>
      <c r="M4" s="903">
        <v>6.0</v>
      </c>
      <c r="N4" s="903">
        <v>3.12</v>
      </c>
      <c r="O4" s="903">
        <v>0.0</v>
      </c>
      <c r="P4" s="903">
        <v>4.5</v>
      </c>
      <c r="Q4" s="903">
        <v>9.0</v>
      </c>
      <c r="R4" s="903">
        <v>3.0</v>
      </c>
      <c r="S4" s="903">
        <v>0.0</v>
      </c>
      <c r="T4" s="903">
        <v>0.0</v>
      </c>
      <c r="U4" s="903">
        <v>0.0</v>
      </c>
      <c r="V4" s="903">
        <v>10.62</v>
      </c>
      <c r="W4" s="903">
        <v>0.0</v>
      </c>
      <c r="X4" s="903">
        <v>15.0</v>
      </c>
      <c r="Y4" s="903">
        <v>4.5</v>
      </c>
      <c r="Z4" s="903">
        <v>15.24</v>
      </c>
      <c r="AA4" s="903">
        <v>12.12</v>
      </c>
      <c r="AB4" s="903">
        <v>0.0</v>
      </c>
      <c r="AC4" s="903">
        <v>0.0</v>
      </c>
      <c r="AD4" s="903">
        <v>0.0</v>
      </c>
      <c r="AE4" s="903">
        <v>25.5</v>
      </c>
      <c r="AF4" s="905"/>
      <c r="AG4" s="751">
        <f t="shared" si="1"/>
        <v>180.96</v>
      </c>
      <c r="AH4" s="893">
        <v>180.96</v>
      </c>
      <c r="AI4" s="892" t="b">
        <f t="shared" si="2"/>
        <v>1</v>
      </c>
      <c r="AJ4" s="38"/>
      <c r="AP4" s="344" t="s">
        <v>120</v>
      </c>
      <c r="AQ4" s="176"/>
      <c r="AR4" s="177"/>
      <c r="AS4" s="464"/>
      <c r="AT4" s="464">
        <f>SUM(valuesByColor("#980000", "", B3:AF24))</f>
        <v>91.26</v>
      </c>
      <c r="AU4" s="345">
        <f t="shared" ref="AU4:AU14" si="3">((AT4*(1-0.05))*(1-0.6))+AX4-AZ4</f>
        <v>34.6788</v>
      </c>
      <c r="AV4" s="346">
        <f t="shared" ref="AV4:AV14" si="4">(AT4*(1-0.05))*(1-0.95)+AY4</f>
        <v>4.33485</v>
      </c>
      <c r="AW4" s="346"/>
      <c r="AX4" s="346">
        <f t="shared" ref="AX4:AX10" si="5">(AW4*(1-0.05))*(1-0.9)</f>
        <v>0</v>
      </c>
      <c r="AY4" s="346">
        <f t="shared" ref="AY4:AY10" si="6">(AW4*(1-0.05))*(1-0.95)</f>
        <v>0</v>
      </c>
      <c r="AZ4" s="883"/>
    </row>
    <row r="5" ht="27.0" customHeight="1">
      <c r="A5" s="773" t="s">
        <v>134</v>
      </c>
      <c r="B5" s="798">
        <v>18.84</v>
      </c>
      <c r="C5" s="757">
        <v>15.0</v>
      </c>
      <c r="D5" s="757">
        <v>6.0</v>
      </c>
      <c r="E5" s="757">
        <v>13.0</v>
      </c>
      <c r="F5" s="757">
        <v>15.24</v>
      </c>
      <c r="G5" s="757">
        <v>24.06</v>
      </c>
      <c r="H5" s="757">
        <v>18.12</v>
      </c>
      <c r="I5" s="757">
        <v>26.6</v>
      </c>
      <c r="J5" s="757">
        <v>16.74</v>
      </c>
      <c r="K5" s="757">
        <v>10.26</v>
      </c>
      <c r="L5" s="821">
        <v>9.0</v>
      </c>
      <c r="M5" s="757">
        <v>37.62</v>
      </c>
      <c r="N5" s="757">
        <v>19.52</v>
      </c>
      <c r="O5" s="757">
        <v>32.6</v>
      </c>
      <c r="P5" s="757">
        <v>13.85</v>
      </c>
      <c r="Q5" s="757">
        <v>22.62</v>
      </c>
      <c r="R5" s="757">
        <v>13.76</v>
      </c>
      <c r="S5" s="757">
        <v>18.24</v>
      </c>
      <c r="T5" s="757">
        <v>21.0</v>
      </c>
      <c r="U5" s="894">
        <v>21.0</v>
      </c>
      <c r="V5" s="894">
        <v>14.64</v>
      </c>
      <c r="W5" s="894">
        <v>27.0</v>
      </c>
      <c r="X5" s="894">
        <v>22.5</v>
      </c>
      <c r="Y5" s="894">
        <v>19.86</v>
      </c>
      <c r="Z5" s="894">
        <v>18.76</v>
      </c>
      <c r="AA5" s="894">
        <v>15.0</v>
      </c>
      <c r="AB5" s="894">
        <v>25.5</v>
      </c>
      <c r="AC5" s="894">
        <v>15.0</v>
      </c>
      <c r="AD5" s="894">
        <v>9.0</v>
      </c>
      <c r="AE5" s="894">
        <v>13.5</v>
      </c>
      <c r="AF5" s="894"/>
      <c r="AG5" s="751">
        <f t="shared" si="1"/>
        <v>553.83</v>
      </c>
      <c r="AH5" s="893">
        <v>553.83</v>
      </c>
      <c r="AI5" s="892" t="b">
        <f t="shared" si="2"/>
        <v>1</v>
      </c>
      <c r="AJ5" s="38"/>
      <c r="AM5" s="428"/>
      <c r="AP5" s="175" t="s">
        <v>102</v>
      </c>
      <c r="AQ5" s="176"/>
      <c r="AR5" s="177"/>
      <c r="AS5" s="467"/>
      <c r="AT5" s="467">
        <f>SUM(valuesByColor("yellow", "", B3:AF24))</f>
        <v>1536.84</v>
      </c>
      <c r="AU5" s="178">
        <f t="shared" si="3"/>
        <v>583.9992</v>
      </c>
      <c r="AV5" s="248">
        <f t="shared" si="4"/>
        <v>72.9999</v>
      </c>
      <c r="AW5" s="248"/>
      <c r="AX5" s="248">
        <f t="shared" si="5"/>
        <v>0</v>
      </c>
      <c r="AY5" s="248">
        <f t="shared" si="6"/>
        <v>0</v>
      </c>
      <c r="AZ5" s="249"/>
    </row>
    <row r="6" ht="27.0" customHeight="1">
      <c r="A6" s="773" t="s">
        <v>3</v>
      </c>
      <c r="B6" s="849">
        <v>0.0</v>
      </c>
      <c r="C6" s="906">
        <v>0.0</v>
      </c>
      <c r="D6" s="906">
        <v>0.0</v>
      </c>
      <c r="E6" s="906">
        <v>3.0</v>
      </c>
      <c r="F6" s="906">
        <v>11.94</v>
      </c>
      <c r="G6" s="906">
        <v>2.34</v>
      </c>
      <c r="H6" s="906">
        <v>9.84</v>
      </c>
      <c r="I6" s="771">
        <v>0.0</v>
      </c>
      <c r="J6" s="771">
        <v>0.0</v>
      </c>
      <c r="K6" s="771">
        <v>0.0</v>
      </c>
      <c r="L6" s="771">
        <v>0.0</v>
      </c>
      <c r="M6" s="771">
        <v>0.0</v>
      </c>
      <c r="N6" s="771">
        <v>0.0</v>
      </c>
      <c r="O6" s="771">
        <v>0.0</v>
      </c>
      <c r="P6" s="771">
        <v>6.0</v>
      </c>
      <c r="Q6" s="771">
        <v>4.5</v>
      </c>
      <c r="R6" s="771">
        <v>1.5</v>
      </c>
      <c r="S6" s="771">
        <v>17.14</v>
      </c>
      <c r="T6" s="771">
        <v>4.5</v>
      </c>
      <c r="U6" s="748">
        <v>15.36</v>
      </c>
      <c r="V6" s="748">
        <v>12.04</v>
      </c>
      <c r="W6" s="748">
        <v>6.32</v>
      </c>
      <c r="X6" s="748">
        <v>0.0</v>
      </c>
      <c r="Y6" s="748">
        <v>7.5</v>
      </c>
      <c r="Z6" s="748">
        <v>0.0</v>
      </c>
      <c r="AA6" s="748">
        <v>1.5</v>
      </c>
      <c r="AB6" s="748">
        <v>17.04</v>
      </c>
      <c r="AC6" s="748">
        <v>0.0</v>
      </c>
      <c r="AD6" s="748">
        <v>0.0</v>
      </c>
      <c r="AE6" s="748">
        <v>0.0</v>
      </c>
      <c r="AF6" s="837"/>
      <c r="AG6" s="751">
        <f t="shared" si="1"/>
        <v>120.52</v>
      </c>
      <c r="AH6" s="893">
        <v>120.52</v>
      </c>
      <c r="AI6" s="892" t="b">
        <f t="shared" si="2"/>
        <v>1</v>
      </c>
      <c r="AJ6" s="38"/>
      <c r="AP6" s="252" t="s">
        <v>158</v>
      </c>
      <c r="AQ6" s="176"/>
      <c r="AR6" s="177"/>
      <c r="AS6" s="474"/>
      <c r="AT6" s="474">
        <f>SUM(valuesByColor("cyan", "", B3:AF24))</f>
        <v>89.9</v>
      </c>
      <c r="AU6" s="253">
        <f t="shared" si="3"/>
        <v>34.162</v>
      </c>
      <c r="AV6" s="254">
        <f t="shared" si="4"/>
        <v>4.27025</v>
      </c>
      <c r="AW6" s="254"/>
      <c r="AX6" s="254">
        <f t="shared" si="5"/>
        <v>0</v>
      </c>
      <c r="AY6" s="254">
        <f t="shared" si="6"/>
        <v>0</v>
      </c>
      <c r="AZ6" s="255"/>
    </row>
    <row r="7" ht="29.25" customHeight="1">
      <c r="A7" s="747" t="s">
        <v>83</v>
      </c>
      <c r="B7" s="902">
        <v>0.0</v>
      </c>
      <c r="C7" s="903">
        <v>1.5</v>
      </c>
      <c r="D7" s="903">
        <v>0.0</v>
      </c>
      <c r="E7" s="903">
        <v>0.0</v>
      </c>
      <c r="F7" s="903">
        <v>0.0</v>
      </c>
      <c r="G7" s="903">
        <v>0.0</v>
      </c>
      <c r="H7" s="903">
        <v>0.0</v>
      </c>
      <c r="I7" s="907">
        <v>0.0</v>
      </c>
      <c r="J7" s="907">
        <v>0.0</v>
      </c>
      <c r="K7" s="907">
        <v>0.0</v>
      </c>
      <c r="L7" s="907">
        <v>0.0</v>
      </c>
      <c r="M7" s="907">
        <v>0.0</v>
      </c>
      <c r="N7" s="907">
        <v>6.0</v>
      </c>
      <c r="O7" s="907">
        <v>1.5</v>
      </c>
      <c r="P7" s="907">
        <v>0.0</v>
      </c>
      <c r="Q7" s="907">
        <v>0.0</v>
      </c>
      <c r="R7" s="907">
        <v>0.0</v>
      </c>
      <c r="S7" s="907">
        <v>0.0</v>
      </c>
      <c r="T7" s="907">
        <v>0.0</v>
      </c>
      <c r="U7" s="907">
        <v>0.0</v>
      </c>
      <c r="V7" s="907">
        <v>3.0</v>
      </c>
      <c r="W7" s="907">
        <v>0.42</v>
      </c>
      <c r="X7" s="907">
        <v>0.0</v>
      </c>
      <c r="Y7" s="907">
        <v>0.0</v>
      </c>
      <c r="Z7" s="907">
        <v>1.5</v>
      </c>
      <c r="AA7" s="907">
        <v>0.0</v>
      </c>
      <c r="AB7" s="907">
        <v>0.0</v>
      </c>
      <c r="AC7" s="907">
        <v>0.0</v>
      </c>
      <c r="AD7" s="907">
        <v>0.0</v>
      </c>
      <c r="AE7" s="907">
        <v>0.0</v>
      </c>
      <c r="AF7" s="837"/>
      <c r="AG7" s="751">
        <f t="shared" si="1"/>
        <v>13.92</v>
      </c>
      <c r="AH7" s="891">
        <v>13.92</v>
      </c>
      <c r="AI7" s="892" t="b">
        <f t="shared" si="2"/>
        <v>1</v>
      </c>
      <c r="AJ7" s="38"/>
      <c r="AK7" s="38"/>
      <c r="AL7" s="38"/>
      <c r="AM7" s="38"/>
      <c r="AN7" s="38"/>
      <c r="AP7" s="188" t="s">
        <v>151</v>
      </c>
      <c r="AQ7" s="176"/>
      <c r="AR7" s="177"/>
      <c r="AS7" s="481"/>
      <c r="AT7" s="481">
        <f>SUM(valuesByColor("#f09090", "", B3:AF24))</f>
        <v>1232.33</v>
      </c>
      <c r="AU7" s="189">
        <f t="shared" si="3"/>
        <v>468.2854</v>
      </c>
      <c r="AV7" s="256">
        <f t="shared" si="4"/>
        <v>58.535675</v>
      </c>
      <c r="AW7" s="256"/>
      <c r="AX7" s="482">
        <f t="shared" si="5"/>
        <v>0</v>
      </c>
      <c r="AY7" s="482">
        <f t="shared" si="6"/>
        <v>0</v>
      </c>
      <c r="AZ7" s="257"/>
    </row>
    <row r="8" ht="29.25" customHeight="1">
      <c r="A8" s="747" t="s">
        <v>84</v>
      </c>
      <c r="B8" s="798">
        <v>0.0</v>
      </c>
      <c r="C8" s="757">
        <v>1.5</v>
      </c>
      <c r="D8" s="757">
        <v>3.0</v>
      </c>
      <c r="E8" s="757">
        <v>0.0</v>
      </c>
      <c r="F8" s="757">
        <v>3.0</v>
      </c>
      <c r="G8" s="757">
        <v>1.5</v>
      </c>
      <c r="H8" s="757">
        <v>1.5</v>
      </c>
      <c r="I8" s="822">
        <v>0.0</v>
      </c>
      <c r="J8" s="822">
        <v>1.5</v>
      </c>
      <c r="K8" s="822">
        <v>6.0</v>
      </c>
      <c r="L8" s="822">
        <v>1.5</v>
      </c>
      <c r="M8" s="822">
        <v>0.0</v>
      </c>
      <c r="N8" s="822">
        <v>1.5</v>
      </c>
      <c r="O8" s="822">
        <v>1.5</v>
      </c>
      <c r="P8" s="822">
        <v>0.0</v>
      </c>
      <c r="Q8" s="822">
        <v>1.5</v>
      </c>
      <c r="R8" s="822">
        <v>1.5</v>
      </c>
      <c r="S8" s="837">
        <v>0.0</v>
      </c>
      <c r="T8" s="837">
        <v>0.0</v>
      </c>
      <c r="U8" s="837">
        <v>0.0</v>
      </c>
      <c r="V8" s="837">
        <v>0.0</v>
      </c>
      <c r="W8" s="837">
        <v>0.0</v>
      </c>
      <c r="X8" s="837">
        <v>0.0</v>
      </c>
      <c r="Y8" s="837">
        <v>0.0</v>
      </c>
      <c r="Z8" s="837">
        <v>0.0</v>
      </c>
      <c r="AA8" s="837">
        <v>0.0</v>
      </c>
      <c r="AB8" s="837">
        <v>0.0</v>
      </c>
      <c r="AC8" s="837">
        <v>0.0</v>
      </c>
      <c r="AD8" s="837">
        <v>0.0</v>
      </c>
      <c r="AE8" s="679">
        <v>4.92</v>
      </c>
      <c r="AF8" s="837"/>
      <c r="AG8" s="861">
        <f t="shared" si="1"/>
        <v>30.42</v>
      </c>
      <c r="AH8" s="891">
        <v>30.42</v>
      </c>
      <c r="AI8" s="892" t="b">
        <f t="shared" si="2"/>
        <v>1</v>
      </c>
      <c r="AJ8" s="38"/>
      <c r="AK8" s="38"/>
      <c r="AL8" s="38"/>
      <c r="AM8" s="38"/>
      <c r="AN8" s="38"/>
      <c r="AP8" s="263" t="s">
        <v>114</v>
      </c>
      <c r="AQ8" s="176"/>
      <c r="AR8" s="177"/>
      <c r="AS8" s="808"/>
      <c r="AT8" s="808">
        <f>SUM(valuesByColor("magenta", "", B3:AF24))</f>
        <v>0</v>
      </c>
      <c r="AU8" s="264">
        <f t="shared" si="3"/>
        <v>0</v>
      </c>
      <c r="AV8" s="265">
        <f t="shared" si="4"/>
        <v>0</v>
      </c>
      <c r="AW8" s="265"/>
      <c r="AX8" s="489">
        <f t="shared" si="5"/>
        <v>0</v>
      </c>
      <c r="AY8" s="489">
        <f t="shared" si="6"/>
        <v>0</v>
      </c>
      <c r="AZ8" s="266"/>
    </row>
    <row r="9" ht="29.25" customHeight="1">
      <c r="A9" s="747" t="s">
        <v>111</v>
      </c>
      <c r="B9" s="855">
        <v>57.5</v>
      </c>
      <c r="C9" s="908">
        <v>32.1</v>
      </c>
      <c r="D9" s="908">
        <v>36.0</v>
      </c>
      <c r="E9" s="908">
        <v>35.74</v>
      </c>
      <c r="F9" s="908">
        <v>55.65</v>
      </c>
      <c r="G9" s="908">
        <v>24.46</v>
      </c>
      <c r="H9" s="908">
        <v>4.5</v>
      </c>
      <c r="I9" s="793">
        <v>3.0</v>
      </c>
      <c r="J9" s="793">
        <v>18.12</v>
      </c>
      <c r="K9" s="793">
        <v>13.5</v>
      </c>
      <c r="L9" s="793">
        <v>16.12</v>
      </c>
      <c r="M9" s="793">
        <v>28.5</v>
      </c>
      <c r="N9" s="793">
        <v>0.0</v>
      </c>
      <c r="O9" s="793">
        <v>37.5</v>
      </c>
      <c r="P9" s="793">
        <v>18.14</v>
      </c>
      <c r="Q9" s="793">
        <v>32.66</v>
      </c>
      <c r="R9" s="793">
        <v>36.0</v>
      </c>
      <c r="S9" s="793">
        <v>49.06</v>
      </c>
      <c r="T9" s="793">
        <v>25.5</v>
      </c>
      <c r="U9" s="793">
        <v>24.7</v>
      </c>
      <c r="V9" s="793">
        <v>15.0</v>
      </c>
      <c r="W9" s="793">
        <v>0.0</v>
      </c>
      <c r="X9" s="793">
        <v>0.0</v>
      </c>
      <c r="Y9" s="793">
        <v>13.5</v>
      </c>
      <c r="Z9" s="793">
        <v>21.0</v>
      </c>
      <c r="AA9" s="793">
        <v>39.92</v>
      </c>
      <c r="AB9" s="793">
        <v>49.68</v>
      </c>
      <c r="AC9" s="793">
        <v>49.5</v>
      </c>
      <c r="AD9" s="793">
        <v>49.5</v>
      </c>
      <c r="AE9" s="793">
        <v>51.96</v>
      </c>
      <c r="AF9" s="837"/>
      <c r="AG9" s="751">
        <f t="shared" si="1"/>
        <v>838.81</v>
      </c>
      <c r="AH9" s="891">
        <v>838.81</v>
      </c>
      <c r="AI9" s="892" t="b">
        <f t="shared" si="2"/>
        <v>1</v>
      </c>
      <c r="AJ9" s="38"/>
      <c r="AK9" s="38"/>
      <c r="AL9" s="38"/>
      <c r="AM9" s="38"/>
      <c r="AN9" s="38"/>
      <c r="AP9" s="195" t="s">
        <v>159</v>
      </c>
      <c r="AQ9" s="176"/>
      <c r="AR9" s="177"/>
      <c r="AS9" s="493"/>
      <c r="AT9" s="493">
        <f>SUM(valuesByColor("#0070c0", "", B3:AF24))</f>
        <v>6.46</v>
      </c>
      <c r="AU9" s="196">
        <f t="shared" si="3"/>
        <v>2.4548</v>
      </c>
      <c r="AV9" s="267">
        <f t="shared" si="4"/>
        <v>0.30685</v>
      </c>
      <c r="AW9" s="267"/>
      <c r="AX9" s="494">
        <f t="shared" si="5"/>
        <v>0</v>
      </c>
      <c r="AY9" s="494">
        <f t="shared" si="6"/>
        <v>0</v>
      </c>
      <c r="AZ9" s="268"/>
    </row>
    <row r="10" ht="29.25" customHeight="1">
      <c r="A10" s="758" t="s">
        <v>160</v>
      </c>
      <c r="B10" s="855">
        <v>0.0</v>
      </c>
      <c r="C10" s="908">
        <v>0.0</v>
      </c>
      <c r="D10" s="908">
        <v>7.0</v>
      </c>
      <c r="E10" s="908">
        <v>0.0</v>
      </c>
      <c r="F10" s="908">
        <v>0.0</v>
      </c>
      <c r="G10" s="908">
        <v>0.0</v>
      </c>
      <c r="H10" s="908">
        <v>1.5</v>
      </c>
      <c r="I10" s="793">
        <v>9.0</v>
      </c>
      <c r="J10" s="793">
        <v>42.0</v>
      </c>
      <c r="K10" s="793">
        <v>12.46</v>
      </c>
      <c r="L10" s="793">
        <v>12.0</v>
      </c>
      <c r="M10" s="793">
        <v>24.0</v>
      </c>
      <c r="N10" s="793">
        <v>0.0</v>
      </c>
      <c r="O10" s="793">
        <v>21.0</v>
      </c>
      <c r="P10" s="793">
        <v>15.0</v>
      </c>
      <c r="Q10" s="793">
        <v>25.5</v>
      </c>
      <c r="R10" s="793">
        <v>148.5</v>
      </c>
      <c r="S10" s="793">
        <v>7.5</v>
      </c>
      <c r="T10" s="793">
        <v>0.0</v>
      </c>
      <c r="U10" s="793">
        <v>16.5</v>
      </c>
      <c r="V10" s="793">
        <v>12.0</v>
      </c>
      <c r="W10" s="793">
        <v>0.56</v>
      </c>
      <c r="X10" s="793">
        <v>0.0</v>
      </c>
      <c r="Y10" s="793">
        <v>6.0</v>
      </c>
      <c r="Z10" s="793">
        <v>6.0</v>
      </c>
      <c r="AA10" s="793">
        <v>10.5</v>
      </c>
      <c r="AB10" s="793">
        <v>7.5</v>
      </c>
      <c r="AC10" s="793">
        <v>4.5</v>
      </c>
      <c r="AD10" s="793">
        <v>0.0</v>
      </c>
      <c r="AE10" s="793">
        <v>4.5</v>
      </c>
      <c r="AF10" s="777"/>
      <c r="AG10" s="751">
        <f t="shared" si="1"/>
        <v>393.52</v>
      </c>
      <c r="AH10" s="891">
        <v>393.52</v>
      </c>
      <c r="AI10" s="892" t="b">
        <f t="shared" si="2"/>
        <v>1</v>
      </c>
      <c r="AJ10" s="38"/>
      <c r="AK10" s="38"/>
      <c r="AL10" s="38"/>
      <c r="AM10" s="38"/>
      <c r="AN10" s="38"/>
      <c r="AP10" s="201" t="s">
        <v>75</v>
      </c>
      <c r="AQ10" s="176"/>
      <c r="AR10" s="177"/>
      <c r="AS10" s="503"/>
      <c r="AT10" s="503">
        <f>SUM(valuesByColor("#ec7c31", "", B3:AF24))</f>
        <v>298.43</v>
      </c>
      <c r="AU10" s="202">
        <f t="shared" si="3"/>
        <v>113.4034</v>
      </c>
      <c r="AV10" s="269">
        <f t="shared" si="4"/>
        <v>14.175425</v>
      </c>
      <c r="AW10" s="269"/>
      <c r="AX10" s="504">
        <f t="shared" si="5"/>
        <v>0</v>
      </c>
      <c r="AY10" s="504">
        <f t="shared" si="6"/>
        <v>0</v>
      </c>
      <c r="AZ10" s="270"/>
    </row>
    <row r="11" ht="29.25" customHeight="1">
      <c r="A11" s="758" t="s">
        <v>97</v>
      </c>
      <c r="B11" s="853">
        <v>75.5</v>
      </c>
      <c r="C11" s="824">
        <v>42.0</v>
      </c>
      <c r="D11" s="824">
        <v>43.5</v>
      </c>
      <c r="E11" s="824">
        <v>82.0</v>
      </c>
      <c r="F11" s="824">
        <v>24.0</v>
      </c>
      <c r="G11" s="824">
        <v>75.12</v>
      </c>
      <c r="H11" s="824">
        <v>21.0</v>
      </c>
      <c r="I11" s="680">
        <v>57.0</v>
      </c>
      <c r="J11" s="680">
        <v>43.5</v>
      </c>
      <c r="K11" s="680">
        <v>72.12</v>
      </c>
      <c r="L11" s="680">
        <v>16.5</v>
      </c>
      <c r="M11" s="680">
        <v>69.0</v>
      </c>
      <c r="N11" s="680">
        <v>70.62</v>
      </c>
      <c r="O11" s="680">
        <v>45.12</v>
      </c>
      <c r="P11" s="680">
        <v>70.5</v>
      </c>
      <c r="Q11" s="680">
        <v>63.12</v>
      </c>
      <c r="R11" s="680">
        <v>45.0</v>
      </c>
      <c r="S11" s="680">
        <v>49.5</v>
      </c>
      <c r="T11" s="680">
        <v>42.0</v>
      </c>
      <c r="U11" s="680">
        <v>15.12</v>
      </c>
      <c r="V11" s="680">
        <v>58.62</v>
      </c>
      <c r="W11" s="680">
        <v>40.5</v>
      </c>
      <c r="X11" s="680">
        <v>45.0</v>
      </c>
      <c r="Y11" s="680">
        <v>66.0</v>
      </c>
      <c r="Z11" s="680">
        <v>48.0</v>
      </c>
      <c r="AA11" s="680">
        <v>48.0</v>
      </c>
      <c r="AB11" s="680">
        <v>69.0</v>
      </c>
      <c r="AC11" s="680">
        <v>63.0</v>
      </c>
      <c r="AD11" s="680">
        <v>40.5</v>
      </c>
      <c r="AE11" s="680">
        <v>36.0</v>
      </c>
      <c r="AF11" s="680"/>
      <c r="AG11" s="751">
        <f t="shared" si="1"/>
        <v>1536.84</v>
      </c>
      <c r="AH11" s="891">
        <v>1536.84</v>
      </c>
      <c r="AI11" s="892" t="b">
        <f t="shared" si="2"/>
        <v>1</v>
      </c>
      <c r="AJ11" s="38"/>
      <c r="AK11" s="38"/>
      <c r="AL11" s="38"/>
      <c r="AM11" s="38"/>
      <c r="AN11" s="38"/>
      <c r="AP11" s="810"/>
      <c r="AQ11" s="176"/>
      <c r="AR11" s="177"/>
      <c r="AS11" s="827"/>
      <c r="AT11" s="827">
        <f>SUM(valuesByColor("#911553", "", B3:AF24))</f>
        <v>0</v>
      </c>
      <c r="AU11" s="828">
        <f t="shared" si="3"/>
        <v>0</v>
      </c>
      <c r="AV11" s="829">
        <f t="shared" si="4"/>
        <v>0</v>
      </c>
      <c r="AW11" s="814"/>
      <c r="AX11" s="815">
        <v>0.0</v>
      </c>
      <c r="AY11" s="815">
        <v>0.0</v>
      </c>
      <c r="AZ11" s="274"/>
    </row>
    <row r="12" ht="29.25" customHeight="1">
      <c r="A12" s="758" t="s">
        <v>99</v>
      </c>
      <c r="B12" s="867">
        <v>0.0</v>
      </c>
      <c r="C12" s="905">
        <v>0.0</v>
      </c>
      <c r="D12" s="905">
        <v>0.0</v>
      </c>
      <c r="E12" s="905">
        <v>0.0</v>
      </c>
      <c r="F12" s="905">
        <v>0.0</v>
      </c>
      <c r="G12" s="905">
        <v>0.0</v>
      </c>
      <c r="H12" s="905">
        <v>0.0</v>
      </c>
      <c r="I12" s="837">
        <v>0.0</v>
      </c>
      <c r="J12" s="837">
        <v>0.0</v>
      </c>
      <c r="K12" s="837">
        <v>0.0</v>
      </c>
      <c r="L12" s="837">
        <v>0.0</v>
      </c>
      <c r="M12" s="837">
        <v>0.0</v>
      </c>
      <c r="N12" s="837">
        <v>0.0</v>
      </c>
      <c r="O12" s="837">
        <v>0.0</v>
      </c>
      <c r="P12" s="837">
        <v>0.0</v>
      </c>
      <c r="Q12" s="837">
        <v>0.0</v>
      </c>
      <c r="R12" s="837">
        <v>0.0</v>
      </c>
      <c r="S12" s="837">
        <v>0.0</v>
      </c>
      <c r="T12" s="837">
        <v>0.0</v>
      </c>
      <c r="U12" s="837">
        <v>0.0</v>
      </c>
      <c r="V12" s="837">
        <v>0.0</v>
      </c>
      <c r="W12" s="837">
        <v>0.0</v>
      </c>
      <c r="X12" s="837">
        <v>0.0</v>
      </c>
      <c r="Y12" s="837">
        <v>0.0</v>
      </c>
      <c r="Z12" s="532">
        <v>0.84</v>
      </c>
      <c r="AA12" s="532">
        <v>0.0</v>
      </c>
      <c r="AB12" s="532">
        <v>4.12</v>
      </c>
      <c r="AC12" s="532">
        <v>1.5</v>
      </c>
      <c r="AD12" s="532">
        <v>0.0</v>
      </c>
      <c r="AE12" s="532">
        <v>0.0</v>
      </c>
      <c r="AF12" s="837"/>
      <c r="AG12" s="751">
        <f t="shared" si="1"/>
        <v>6.46</v>
      </c>
      <c r="AH12" s="891">
        <v>6.46</v>
      </c>
      <c r="AI12" s="892" t="b">
        <f t="shared" si="2"/>
        <v>1</v>
      </c>
      <c r="AJ12" s="38"/>
      <c r="AK12" s="38"/>
      <c r="AL12" s="38"/>
      <c r="AM12" s="38"/>
      <c r="AN12" s="38"/>
      <c r="AP12" s="277"/>
      <c r="AQ12" s="176"/>
      <c r="AR12" s="177"/>
      <c r="AS12" s="518"/>
      <c r="AT12" s="518">
        <f>SUM(valuesByColor("lime", "", B3:AF24))</f>
        <v>0</v>
      </c>
      <c r="AU12" s="278">
        <f t="shared" si="3"/>
        <v>0</v>
      </c>
      <c r="AV12" s="279">
        <f t="shared" si="4"/>
        <v>0</v>
      </c>
      <c r="AW12" s="279"/>
      <c r="AX12" s="519">
        <f t="shared" ref="AX12:AX14" si="7">(AW12*(1-0.05))*(1-0.9)</f>
        <v>0</v>
      </c>
      <c r="AY12" s="519">
        <f t="shared" ref="AY12:AY14" si="8">(AW12*(1-0.05))*(1-0.95)</f>
        <v>0</v>
      </c>
      <c r="AZ12" s="280"/>
    </row>
    <row r="13" ht="29.25" customHeight="1">
      <c r="A13" s="758" t="s">
        <v>161</v>
      </c>
      <c r="B13" s="867">
        <v>0.0</v>
      </c>
      <c r="C13" s="905">
        <v>0.0</v>
      </c>
      <c r="D13" s="905">
        <v>0.0</v>
      </c>
      <c r="E13" s="905">
        <v>0.0</v>
      </c>
      <c r="F13" s="905">
        <v>0.0</v>
      </c>
      <c r="G13" s="905">
        <v>0.0</v>
      </c>
      <c r="H13" s="753">
        <v>7.0</v>
      </c>
      <c r="I13" s="749">
        <v>0.12</v>
      </c>
      <c r="J13" s="749">
        <v>23.04</v>
      </c>
      <c r="K13" s="749">
        <v>6.24</v>
      </c>
      <c r="L13" s="749">
        <v>0.0</v>
      </c>
      <c r="M13" s="749">
        <v>10.74</v>
      </c>
      <c r="N13" s="749">
        <v>34.84</v>
      </c>
      <c r="O13" s="749">
        <v>15.12</v>
      </c>
      <c r="P13" s="749">
        <v>4.5</v>
      </c>
      <c r="Q13" s="749">
        <v>3.0</v>
      </c>
      <c r="R13" s="749">
        <v>10.66</v>
      </c>
      <c r="S13" s="749">
        <v>40.86</v>
      </c>
      <c r="T13" s="749">
        <v>16.74</v>
      </c>
      <c r="U13" s="749">
        <v>30.26</v>
      </c>
      <c r="V13" s="749">
        <v>34.86</v>
      </c>
      <c r="W13" s="749">
        <v>37.26</v>
      </c>
      <c r="X13" s="749">
        <v>18.6</v>
      </c>
      <c r="Y13" s="749">
        <v>5.6</v>
      </c>
      <c r="Z13" s="749">
        <v>13.72</v>
      </c>
      <c r="AA13" s="749">
        <v>34.54</v>
      </c>
      <c r="AB13" s="749">
        <v>38.23</v>
      </c>
      <c r="AC13" s="749">
        <v>12.0</v>
      </c>
      <c r="AD13" s="749">
        <v>10.5</v>
      </c>
      <c r="AE13" s="749">
        <v>6.0</v>
      </c>
      <c r="AF13" s="749"/>
      <c r="AG13" s="751">
        <f t="shared" si="1"/>
        <v>414.43</v>
      </c>
      <c r="AH13" s="891">
        <v>414.43</v>
      </c>
      <c r="AI13" s="892" t="b">
        <f t="shared" si="2"/>
        <v>1</v>
      </c>
      <c r="AJ13" s="38"/>
      <c r="AK13" s="38"/>
      <c r="AL13" s="38"/>
      <c r="AM13" s="38"/>
      <c r="AN13" s="38"/>
      <c r="AP13" s="668"/>
      <c r="AQ13" s="176"/>
      <c r="AR13" s="177"/>
      <c r="AS13" s="669"/>
      <c r="AT13" s="669">
        <f>SUM(valuesByColor("#7a00ff", "", B3:AF24))</f>
        <v>0</v>
      </c>
      <c r="AU13" s="670">
        <f t="shared" si="3"/>
        <v>0</v>
      </c>
      <c r="AV13" s="671">
        <f t="shared" si="4"/>
        <v>0</v>
      </c>
      <c r="AW13" s="671"/>
      <c r="AX13" s="672">
        <f t="shared" si="7"/>
        <v>0</v>
      </c>
      <c r="AY13" s="672">
        <f t="shared" si="8"/>
        <v>0</v>
      </c>
      <c r="AZ13" s="673"/>
    </row>
    <row r="14" ht="29.25" customHeight="1">
      <c r="A14" s="838" t="s">
        <v>124</v>
      </c>
      <c r="B14" s="867">
        <v>0.0</v>
      </c>
      <c r="C14" s="905">
        <v>0.0</v>
      </c>
      <c r="D14" s="905">
        <v>0.0</v>
      </c>
      <c r="E14" s="905">
        <v>0.0</v>
      </c>
      <c r="F14" s="905">
        <v>0.0</v>
      </c>
      <c r="G14" s="905">
        <v>0.0</v>
      </c>
      <c r="H14" s="905">
        <v>0.0</v>
      </c>
      <c r="I14" s="866">
        <v>0.0</v>
      </c>
      <c r="J14" s="866">
        <v>0.0</v>
      </c>
      <c r="K14" s="866">
        <v>0.0</v>
      </c>
      <c r="L14" s="866">
        <v>0.0</v>
      </c>
      <c r="M14" s="866">
        <v>0.0</v>
      </c>
      <c r="N14" s="866">
        <v>0.0</v>
      </c>
      <c r="O14" s="866">
        <v>0.0</v>
      </c>
      <c r="P14" s="866">
        <v>0.0</v>
      </c>
      <c r="Q14" s="866">
        <v>0.0</v>
      </c>
      <c r="R14" s="866">
        <v>0.0</v>
      </c>
      <c r="S14" s="866">
        <v>0.0</v>
      </c>
      <c r="T14" s="866">
        <v>0.0</v>
      </c>
      <c r="U14" s="837">
        <v>0.0</v>
      </c>
      <c r="V14" s="837">
        <v>0.0</v>
      </c>
      <c r="W14" s="837">
        <v>0.0</v>
      </c>
      <c r="X14" s="837">
        <v>0.0</v>
      </c>
      <c r="Y14" s="837">
        <v>0.0</v>
      </c>
      <c r="Z14" s="837">
        <v>0.0</v>
      </c>
      <c r="AA14" s="837">
        <v>0.0</v>
      </c>
      <c r="AB14" s="837">
        <v>0.0</v>
      </c>
      <c r="AC14" s="837">
        <v>0.0</v>
      </c>
      <c r="AD14" s="837">
        <v>0.0</v>
      </c>
      <c r="AE14" s="532">
        <v>0.0</v>
      </c>
      <c r="AF14" s="837"/>
      <c r="AG14" s="751">
        <f t="shared" si="1"/>
        <v>0</v>
      </c>
      <c r="AH14" s="891">
        <v>0.0</v>
      </c>
      <c r="AI14" s="892" t="b">
        <f t="shared" si="2"/>
        <v>1</v>
      </c>
      <c r="AJ14" s="38"/>
      <c r="AK14" s="38"/>
      <c r="AL14" s="38"/>
      <c r="AM14" s="38"/>
      <c r="AN14" s="38"/>
      <c r="AP14" s="874" t="s">
        <v>152</v>
      </c>
      <c r="AQ14" s="176"/>
      <c r="AR14" s="177"/>
      <c r="AS14" s="895"/>
      <c r="AT14" s="895">
        <f>SUM(valuesByColor("#6089ff", "", B4:AF25))</f>
        <v>97.86</v>
      </c>
      <c r="AU14" s="896">
        <f t="shared" si="3"/>
        <v>37.1868</v>
      </c>
      <c r="AV14" s="897">
        <f t="shared" si="4"/>
        <v>4.64835</v>
      </c>
      <c r="AW14" s="897"/>
      <c r="AX14" s="876">
        <f t="shared" si="7"/>
        <v>0</v>
      </c>
      <c r="AY14" s="876">
        <f t="shared" si="8"/>
        <v>0</v>
      </c>
      <c r="AZ14" s="387"/>
    </row>
    <row r="15" ht="29.25" customHeight="1">
      <c r="A15" s="758" t="s">
        <v>125</v>
      </c>
      <c r="B15" s="867">
        <v>0.0</v>
      </c>
      <c r="C15" s="905">
        <v>0.0</v>
      </c>
      <c r="D15" s="905">
        <v>0.0</v>
      </c>
      <c r="E15" s="905">
        <v>0.0</v>
      </c>
      <c r="F15" s="905">
        <v>0.0</v>
      </c>
      <c r="G15" s="905">
        <v>0.0</v>
      </c>
      <c r="H15" s="905">
        <v>0.0</v>
      </c>
      <c r="I15" s="866">
        <v>0.0</v>
      </c>
      <c r="J15" s="866">
        <v>0.0</v>
      </c>
      <c r="K15" s="866">
        <v>0.0</v>
      </c>
      <c r="L15" s="866">
        <v>0.0</v>
      </c>
      <c r="M15" s="866">
        <v>0.0</v>
      </c>
      <c r="N15" s="866">
        <v>0.0</v>
      </c>
      <c r="O15" s="866">
        <v>0.0</v>
      </c>
      <c r="P15" s="866">
        <v>0.0</v>
      </c>
      <c r="Q15" s="866">
        <v>0.0</v>
      </c>
      <c r="R15" s="866">
        <v>0.0</v>
      </c>
      <c r="S15" s="866">
        <v>0.0</v>
      </c>
      <c r="T15" s="866">
        <v>0.0</v>
      </c>
      <c r="U15" s="837">
        <v>0.0</v>
      </c>
      <c r="V15" s="837">
        <v>0.0</v>
      </c>
      <c r="W15" s="837">
        <v>0.0</v>
      </c>
      <c r="X15" s="837">
        <v>0.0</v>
      </c>
      <c r="Y15" s="837">
        <v>0.0</v>
      </c>
      <c r="Z15" s="837">
        <v>0.0</v>
      </c>
      <c r="AA15" s="837">
        <v>0.0</v>
      </c>
      <c r="AB15" s="837">
        <v>0.0</v>
      </c>
      <c r="AC15" s="837">
        <v>0.0</v>
      </c>
      <c r="AD15" s="837">
        <v>0.0</v>
      </c>
      <c r="AE15" s="837">
        <v>0.0</v>
      </c>
      <c r="AF15" s="837"/>
      <c r="AG15" s="751">
        <f t="shared" si="1"/>
        <v>0</v>
      </c>
      <c r="AH15" s="891">
        <v>0.0</v>
      </c>
      <c r="AI15" s="892" t="b">
        <f t="shared" si="2"/>
        <v>1</v>
      </c>
      <c r="AJ15" s="38"/>
      <c r="AK15" s="38"/>
      <c r="AL15" s="38"/>
      <c r="AM15" s="38"/>
      <c r="AN15" s="38"/>
      <c r="AS15" s="865"/>
      <c r="AT15" s="527">
        <f>SUM(AT4:AT14)</f>
        <v>3353.08</v>
      </c>
      <c r="AU15" s="38"/>
      <c r="AV15" s="220">
        <f>SUM(AV4:AV14)</f>
        <v>159.2713</v>
      </c>
    </row>
    <row r="16" ht="30.0" customHeight="1">
      <c r="A16" s="758" t="s">
        <v>153</v>
      </c>
      <c r="B16" s="752">
        <v>1.74</v>
      </c>
      <c r="C16" s="753">
        <v>7.46</v>
      </c>
      <c r="D16" s="753">
        <v>0.0</v>
      </c>
      <c r="E16" s="753">
        <v>0.0</v>
      </c>
      <c r="F16" s="753">
        <v>0.0</v>
      </c>
      <c r="G16" s="753">
        <v>0.0</v>
      </c>
      <c r="H16" s="753">
        <v>0.0</v>
      </c>
      <c r="I16" s="780">
        <v>1.74</v>
      </c>
      <c r="J16" s="780">
        <v>3.0</v>
      </c>
      <c r="K16" s="780">
        <v>6.0</v>
      </c>
      <c r="L16" s="780">
        <v>0.0</v>
      </c>
      <c r="M16" s="780">
        <v>1.5</v>
      </c>
      <c r="N16" s="780">
        <v>7.5</v>
      </c>
      <c r="O16" s="780">
        <v>4.5</v>
      </c>
      <c r="P16" s="780">
        <v>1.5</v>
      </c>
      <c r="Q16" s="780">
        <v>7.5</v>
      </c>
      <c r="R16" s="780">
        <v>0.0</v>
      </c>
      <c r="S16" s="780">
        <v>9.0</v>
      </c>
      <c r="T16" s="780">
        <v>0.0</v>
      </c>
      <c r="U16" s="749">
        <v>0.0</v>
      </c>
      <c r="V16" s="749">
        <v>0.0</v>
      </c>
      <c r="W16" s="749">
        <v>0.12</v>
      </c>
      <c r="X16" s="837">
        <v>0.0</v>
      </c>
      <c r="Y16" s="837">
        <v>0.0</v>
      </c>
      <c r="Z16" s="837">
        <v>0.0</v>
      </c>
      <c r="AA16" s="837">
        <v>0.0</v>
      </c>
      <c r="AB16" s="837">
        <v>0.0</v>
      </c>
      <c r="AC16" s="837">
        <v>0.0</v>
      </c>
      <c r="AD16" s="837">
        <v>0.0</v>
      </c>
      <c r="AE16" s="837">
        <v>0.0</v>
      </c>
      <c r="AF16" s="837"/>
      <c r="AG16" s="751">
        <f t="shared" si="1"/>
        <v>51.56</v>
      </c>
      <c r="AH16" s="891">
        <v>51.56</v>
      </c>
      <c r="AI16" s="892" t="b">
        <f t="shared" si="2"/>
        <v>1</v>
      </c>
      <c r="AJ16" s="38"/>
      <c r="AK16" s="38"/>
      <c r="AL16" s="38"/>
      <c r="AM16" s="38"/>
      <c r="AN16" s="38"/>
    </row>
    <row r="17" ht="30.0" customHeight="1">
      <c r="A17" s="758" t="s">
        <v>126</v>
      </c>
      <c r="B17" s="898">
        <v>3.0</v>
      </c>
      <c r="C17" s="909">
        <v>9.0</v>
      </c>
      <c r="D17" s="909">
        <v>1.5</v>
      </c>
      <c r="E17" s="909">
        <v>1.5</v>
      </c>
      <c r="F17" s="909">
        <v>0.0</v>
      </c>
      <c r="G17" s="909">
        <v>3.0</v>
      </c>
      <c r="H17" s="909">
        <v>1.62</v>
      </c>
      <c r="I17" s="886">
        <v>3.0</v>
      </c>
      <c r="J17" s="886">
        <v>6.12</v>
      </c>
      <c r="K17" s="886">
        <v>0.12</v>
      </c>
      <c r="L17" s="886">
        <v>1.5</v>
      </c>
      <c r="M17" s="886">
        <v>6.0</v>
      </c>
      <c r="N17" s="886">
        <v>4.5</v>
      </c>
      <c r="O17" s="886">
        <v>0.0</v>
      </c>
      <c r="P17" s="886">
        <v>9.0</v>
      </c>
      <c r="Q17" s="886">
        <v>3.0</v>
      </c>
      <c r="R17" s="886">
        <v>3.0</v>
      </c>
      <c r="S17" s="886">
        <v>0.0</v>
      </c>
      <c r="T17" s="886">
        <v>3.0</v>
      </c>
      <c r="U17" s="864">
        <v>3.0</v>
      </c>
      <c r="V17" s="864">
        <v>0.0</v>
      </c>
      <c r="W17" s="864">
        <v>0.0</v>
      </c>
      <c r="X17" s="864">
        <v>19.5</v>
      </c>
      <c r="Y17" s="864">
        <v>1.5</v>
      </c>
      <c r="Z17" s="864">
        <v>3.0</v>
      </c>
      <c r="AA17" s="864">
        <v>3.0</v>
      </c>
      <c r="AB17" s="864">
        <v>4.5</v>
      </c>
      <c r="AC17" s="864">
        <v>4.5</v>
      </c>
      <c r="AD17" s="864">
        <v>0.0</v>
      </c>
      <c r="AE17" s="864">
        <v>0.0</v>
      </c>
      <c r="AF17" s="837"/>
      <c r="AG17" s="751">
        <f t="shared" si="1"/>
        <v>97.86</v>
      </c>
      <c r="AH17" s="891">
        <v>97.86</v>
      </c>
      <c r="AI17" s="892" t="b">
        <f t="shared" si="2"/>
        <v>1</v>
      </c>
      <c r="AJ17" s="38"/>
      <c r="AK17" s="38"/>
      <c r="AL17" s="38"/>
      <c r="AM17" s="38"/>
      <c r="AN17" s="38"/>
      <c r="AP17" s="38"/>
      <c r="AQ17" s="38"/>
      <c r="AR17" s="38"/>
      <c r="AS17" s="862"/>
      <c r="AT17" s="173">
        <v>1.0</v>
      </c>
      <c r="AU17" s="174" t="s">
        <v>16</v>
      </c>
      <c r="AV17" s="173">
        <v>0.05</v>
      </c>
      <c r="AW17" s="456" t="s">
        <v>71</v>
      </c>
      <c r="AX17" s="456" t="s">
        <v>72</v>
      </c>
      <c r="AY17" s="456" t="s">
        <v>73</v>
      </c>
      <c r="AZ17" s="246" t="s">
        <v>34</v>
      </c>
    </row>
    <row r="18" ht="30.0" customHeight="1">
      <c r="A18" s="758" t="s">
        <v>131</v>
      </c>
      <c r="B18" s="798">
        <v>12.12</v>
      </c>
      <c r="C18" s="757">
        <v>18.0</v>
      </c>
      <c r="D18" s="757">
        <v>11.37</v>
      </c>
      <c r="E18" s="757">
        <v>4.5</v>
      </c>
      <c r="F18" s="757">
        <v>16.5</v>
      </c>
      <c r="G18" s="757">
        <v>12.0</v>
      </c>
      <c r="H18" s="757">
        <v>15.12</v>
      </c>
      <c r="I18" s="910">
        <v>10.5</v>
      </c>
      <c r="J18" s="821">
        <v>9.0</v>
      </c>
      <c r="K18" s="821">
        <v>4.5</v>
      </c>
      <c r="L18" s="821">
        <v>10.5</v>
      </c>
      <c r="M18" s="821">
        <v>6.0</v>
      </c>
      <c r="N18" s="821">
        <v>9.0</v>
      </c>
      <c r="O18" s="821">
        <v>9.0</v>
      </c>
      <c r="P18" s="821">
        <v>1.62</v>
      </c>
      <c r="Q18" s="821">
        <v>4.62</v>
      </c>
      <c r="R18" s="821">
        <v>8.2</v>
      </c>
      <c r="S18" s="821">
        <v>10.5</v>
      </c>
      <c r="T18" s="821">
        <v>4.5</v>
      </c>
      <c r="U18" s="822">
        <v>39.24</v>
      </c>
      <c r="V18" s="822">
        <v>4.5</v>
      </c>
      <c r="W18" s="822">
        <v>2.48</v>
      </c>
      <c r="X18" s="822">
        <v>4.62</v>
      </c>
      <c r="Y18" s="822">
        <v>1.5</v>
      </c>
      <c r="Z18" s="822">
        <v>3.0</v>
      </c>
      <c r="AA18" s="822">
        <v>1.5</v>
      </c>
      <c r="AB18" s="822">
        <v>0.0</v>
      </c>
      <c r="AC18" s="822">
        <v>1.5</v>
      </c>
      <c r="AD18" s="822">
        <v>1.5</v>
      </c>
      <c r="AE18" s="822">
        <v>3.0</v>
      </c>
      <c r="AF18" s="822"/>
      <c r="AG18" s="751">
        <f t="shared" si="1"/>
        <v>240.39</v>
      </c>
      <c r="AH18" s="891">
        <v>240.39</v>
      </c>
      <c r="AI18" s="892" t="b">
        <f t="shared" si="2"/>
        <v>1</v>
      </c>
      <c r="AJ18" s="38"/>
      <c r="AK18" s="38"/>
      <c r="AL18" s="38"/>
      <c r="AM18" s="38"/>
      <c r="AN18" s="38"/>
      <c r="AP18" s="544" t="s">
        <v>108</v>
      </c>
      <c r="AQ18" s="176"/>
      <c r="AR18" s="177"/>
      <c r="AS18" s="545"/>
      <c r="AT18" s="545">
        <f>SUM(valuesByColor("#ffc4d5", "", B3:AF24))</f>
        <v>485.49</v>
      </c>
      <c r="AU18" s="545">
        <f t="shared" ref="AU18:AU27" si="9">((AT18*(1-0.05))*(1-0.6))+AX18-AZ18</f>
        <v>184.4862</v>
      </c>
      <c r="AV18" s="546">
        <f t="shared" ref="AV18:AV27" si="10">(AT18*(1-0.05))*(1-0.95)+AY18</f>
        <v>23.060775</v>
      </c>
      <c r="AW18" s="546"/>
      <c r="AX18" s="546">
        <f t="shared" ref="AX18:AX27" si="11">(AW18*(1-0.05))*(1-0.9)</f>
        <v>0</v>
      </c>
      <c r="AY18" s="546">
        <f t="shared" ref="AY18:AY27" si="12">(AW18*(1-0.05))*(1-0.95)</f>
        <v>0</v>
      </c>
      <c r="AZ18" s="547"/>
    </row>
    <row r="19" ht="30.0" customHeight="1">
      <c r="A19" s="758" t="s">
        <v>138</v>
      </c>
      <c r="B19" s="849">
        <v>0.0</v>
      </c>
      <c r="C19" s="906">
        <v>0.0</v>
      </c>
      <c r="D19" s="906">
        <v>0.0</v>
      </c>
      <c r="E19" s="906">
        <v>0.28</v>
      </c>
      <c r="F19" s="906">
        <v>0.0</v>
      </c>
      <c r="G19" s="906">
        <v>0.0</v>
      </c>
      <c r="H19" s="906">
        <v>0.0</v>
      </c>
      <c r="I19" s="771">
        <v>0.0</v>
      </c>
      <c r="J19" s="771">
        <v>0.0</v>
      </c>
      <c r="K19" s="771">
        <v>0.0</v>
      </c>
      <c r="L19" s="771">
        <v>0.0</v>
      </c>
      <c r="M19" s="771">
        <v>0.0</v>
      </c>
      <c r="N19" s="771">
        <v>0.0</v>
      </c>
      <c r="O19" s="771">
        <v>0.0</v>
      </c>
      <c r="P19" s="771">
        <v>1.5</v>
      </c>
      <c r="Q19" s="771">
        <v>3.0</v>
      </c>
      <c r="R19" s="771">
        <v>0.7</v>
      </c>
      <c r="S19" s="771">
        <v>1.5</v>
      </c>
      <c r="T19" s="771">
        <v>0.0</v>
      </c>
      <c r="U19" s="748">
        <v>6.0</v>
      </c>
      <c r="V19" s="748">
        <v>6.0</v>
      </c>
      <c r="W19" s="748">
        <v>0.0</v>
      </c>
      <c r="X19" s="748">
        <v>0.0</v>
      </c>
      <c r="Y19" s="748">
        <v>3.0</v>
      </c>
      <c r="Z19" s="748">
        <v>0.0</v>
      </c>
      <c r="AA19" s="748">
        <v>1.5</v>
      </c>
      <c r="AB19" s="748">
        <v>0.0</v>
      </c>
      <c r="AC19" s="748">
        <v>0.0</v>
      </c>
      <c r="AD19" s="748">
        <v>0.0</v>
      </c>
      <c r="AE19" s="748">
        <v>0.0</v>
      </c>
      <c r="AF19" s="837"/>
      <c r="AG19" s="751">
        <f t="shared" si="1"/>
        <v>23.48</v>
      </c>
      <c r="AH19" s="891">
        <v>23.48</v>
      </c>
      <c r="AI19" s="892" t="b">
        <f t="shared" si="2"/>
        <v>1</v>
      </c>
      <c r="AJ19" s="38"/>
      <c r="AK19" s="38"/>
      <c r="AL19" s="38"/>
      <c r="AM19" s="38"/>
      <c r="AN19" s="38"/>
      <c r="AP19" s="555"/>
      <c r="AQ19" s="176"/>
      <c r="AR19" s="177"/>
      <c r="AS19" s="556"/>
      <c r="AT19" s="556"/>
      <c r="AU19" s="556">
        <f t="shared" si="9"/>
        <v>0</v>
      </c>
      <c r="AV19" s="557">
        <f t="shared" si="10"/>
        <v>0</v>
      </c>
      <c r="AW19" s="557"/>
      <c r="AX19" s="557">
        <f t="shared" si="11"/>
        <v>0</v>
      </c>
      <c r="AY19" s="557">
        <f t="shared" si="12"/>
        <v>0</v>
      </c>
      <c r="AZ19" s="558"/>
    </row>
    <row r="20" ht="30.0" customHeight="1">
      <c r="A20" s="758" t="s">
        <v>139</v>
      </c>
      <c r="B20" s="911">
        <v>0.0</v>
      </c>
      <c r="C20" s="912">
        <v>0.0</v>
      </c>
      <c r="D20" s="912">
        <v>0.0</v>
      </c>
      <c r="E20" s="912">
        <v>0.0</v>
      </c>
      <c r="F20" s="912">
        <v>0.0</v>
      </c>
      <c r="G20" s="912">
        <v>0.0</v>
      </c>
      <c r="H20" s="912">
        <v>0.0</v>
      </c>
      <c r="I20" s="805">
        <v>0.0</v>
      </c>
      <c r="J20" s="805">
        <v>0.0</v>
      </c>
      <c r="K20" s="805">
        <v>0.0</v>
      </c>
      <c r="L20" s="805">
        <v>0.0</v>
      </c>
      <c r="M20" s="805">
        <v>0.0</v>
      </c>
      <c r="N20" s="805">
        <v>0.0</v>
      </c>
      <c r="O20" s="805">
        <v>0.0</v>
      </c>
      <c r="P20" s="805">
        <v>0.0</v>
      </c>
      <c r="Q20" s="805">
        <v>0.0</v>
      </c>
      <c r="R20" s="805">
        <v>0.0</v>
      </c>
      <c r="S20" s="805">
        <v>0.0</v>
      </c>
      <c r="T20" s="805">
        <v>3.0</v>
      </c>
      <c r="U20" s="679">
        <v>1.26</v>
      </c>
      <c r="V20" s="679">
        <v>13.06</v>
      </c>
      <c r="W20" s="679">
        <v>4.5</v>
      </c>
      <c r="X20" s="679">
        <v>1.96</v>
      </c>
      <c r="Y20" s="679">
        <v>6.0</v>
      </c>
      <c r="Z20" s="679">
        <v>1.5</v>
      </c>
      <c r="AA20" s="679">
        <v>9.0</v>
      </c>
      <c r="AB20" s="679">
        <v>6.7</v>
      </c>
      <c r="AC20" s="679">
        <v>7.5</v>
      </c>
      <c r="AD20" s="679">
        <v>16.0</v>
      </c>
      <c r="AE20" s="679">
        <v>14.5</v>
      </c>
      <c r="AF20" s="837"/>
      <c r="AG20" s="751">
        <f t="shared" si="1"/>
        <v>84.98</v>
      </c>
      <c r="AH20" s="891">
        <v>84.98</v>
      </c>
      <c r="AI20" s="892" t="b">
        <f t="shared" si="2"/>
        <v>1</v>
      </c>
      <c r="AJ20" s="38"/>
      <c r="AK20" s="38"/>
      <c r="AL20" s="38"/>
      <c r="AM20" s="38"/>
      <c r="AN20" s="38"/>
      <c r="AP20" s="563" t="s">
        <v>135</v>
      </c>
      <c r="AQ20" s="176"/>
      <c r="AR20" s="177"/>
      <c r="AS20" s="564"/>
      <c r="AT20" s="564">
        <f>SUM(valuesByColor("#00b572", "", B3:AF24))</f>
        <v>819.72</v>
      </c>
      <c r="AU20" s="564">
        <f t="shared" si="9"/>
        <v>311.4936</v>
      </c>
      <c r="AV20" s="565">
        <f t="shared" si="10"/>
        <v>38.9367</v>
      </c>
      <c r="AW20" s="565"/>
      <c r="AX20" s="565">
        <f t="shared" si="11"/>
        <v>0</v>
      </c>
      <c r="AY20" s="565">
        <f t="shared" si="12"/>
        <v>0</v>
      </c>
      <c r="AZ20" s="566"/>
    </row>
    <row r="21" ht="30.0" customHeight="1">
      <c r="A21" s="758" t="s">
        <v>141</v>
      </c>
      <c r="B21" s="752">
        <v>0.0</v>
      </c>
      <c r="C21" s="753">
        <v>0.0</v>
      </c>
      <c r="D21" s="753">
        <v>0.0</v>
      </c>
      <c r="E21" s="753">
        <v>0.0</v>
      </c>
      <c r="F21" s="753">
        <v>0.0</v>
      </c>
      <c r="G21" s="753">
        <v>0.0</v>
      </c>
      <c r="H21" s="753">
        <v>0.0</v>
      </c>
      <c r="I21" s="913">
        <v>3.0</v>
      </c>
      <c r="J21" s="749">
        <v>1.5</v>
      </c>
      <c r="K21" s="780">
        <v>0.0</v>
      </c>
      <c r="L21" s="780">
        <v>0.0</v>
      </c>
      <c r="M21" s="780">
        <v>0.0</v>
      </c>
      <c r="N21" s="780">
        <v>0.0</v>
      </c>
      <c r="O21" s="780">
        <v>0.0</v>
      </c>
      <c r="P21" s="780">
        <v>0.0</v>
      </c>
      <c r="Q21" s="780">
        <v>0.0</v>
      </c>
      <c r="R21" s="780">
        <v>0.0</v>
      </c>
      <c r="S21" s="780">
        <v>0.0</v>
      </c>
      <c r="T21" s="780">
        <v>0.0</v>
      </c>
      <c r="U21" s="749">
        <v>0.0</v>
      </c>
      <c r="V21" s="749">
        <v>1.5</v>
      </c>
      <c r="W21" s="749">
        <v>0.0</v>
      </c>
      <c r="X21" s="749">
        <v>3.0</v>
      </c>
      <c r="Y21" s="749">
        <v>1.5</v>
      </c>
      <c r="Z21" s="749">
        <v>3.0</v>
      </c>
      <c r="AA21" s="749">
        <v>0.0</v>
      </c>
      <c r="AB21" s="749">
        <v>1.5</v>
      </c>
      <c r="AC21" s="749">
        <v>0.0</v>
      </c>
      <c r="AD21" s="749">
        <v>0.0</v>
      </c>
      <c r="AE21" s="749">
        <v>4.5</v>
      </c>
      <c r="AF21" s="837"/>
      <c r="AG21" s="751">
        <f t="shared" si="1"/>
        <v>19.5</v>
      </c>
      <c r="AH21" s="891">
        <v>19.5</v>
      </c>
      <c r="AI21" s="892" t="b">
        <f t="shared" si="2"/>
        <v>1</v>
      </c>
      <c r="AJ21" s="38"/>
      <c r="AK21" s="38"/>
      <c r="AL21" s="38"/>
      <c r="AM21" s="38"/>
      <c r="AN21" s="38"/>
      <c r="AP21" s="575" t="s">
        <v>162</v>
      </c>
      <c r="AQ21" s="176"/>
      <c r="AR21" s="177"/>
      <c r="AS21" s="576"/>
      <c r="AT21" s="576">
        <f>SUM(valuesByColor("#7030a0", "", B3:AF24))</f>
        <v>0</v>
      </c>
      <c r="AU21" s="576">
        <f t="shared" si="9"/>
        <v>0</v>
      </c>
      <c r="AV21" s="577">
        <f t="shared" si="10"/>
        <v>0</v>
      </c>
      <c r="AW21" s="577"/>
      <c r="AX21" s="577">
        <f t="shared" si="11"/>
        <v>0</v>
      </c>
      <c r="AY21" s="577">
        <f t="shared" si="12"/>
        <v>0</v>
      </c>
      <c r="AZ21" s="578"/>
    </row>
    <row r="22" ht="30.0" customHeight="1">
      <c r="A22" s="758" t="s">
        <v>53</v>
      </c>
      <c r="B22" s="849">
        <v>0.0</v>
      </c>
      <c r="C22" s="906">
        <v>0.0</v>
      </c>
      <c r="D22" s="906">
        <v>0.0</v>
      </c>
      <c r="E22" s="906">
        <v>10.5</v>
      </c>
      <c r="F22" s="906">
        <v>6.0</v>
      </c>
      <c r="G22" s="906">
        <v>12.0</v>
      </c>
      <c r="H22" s="906">
        <v>13.5</v>
      </c>
      <c r="I22" s="771">
        <v>10.5</v>
      </c>
      <c r="J22" s="771">
        <v>13.5</v>
      </c>
      <c r="K22" s="771">
        <v>0.0</v>
      </c>
      <c r="L22" s="771">
        <v>0.0</v>
      </c>
      <c r="M22" s="771">
        <v>0.0</v>
      </c>
      <c r="N22" s="771">
        <v>0.0</v>
      </c>
      <c r="O22" s="771">
        <v>0.0</v>
      </c>
      <c r="P22" s="771">
        <v>3.0</v>
      </c>
      <c r="Q22" s="771">
        <v>4.45</v>
      </c>
      <c r="R22" s="771">
        <v>13.5</v>
      </c>
      <c r="S22" s="771">
        <v>12.12</v>
      </c>
      <c r="T22" s="771">
        <v>6.0</v>
      </c>
      <c r="U22" s="748">
        <v>6.0</v>
      </c>
      <c r="V22" s="748">
        <v>13.3</v>
      </c>
      <c r="W22" s="748">
        <v>1.62</v>
      </c>
      <c r="X22" s="748">
        <v>0.0</v>
      </c>
      <c r="Y22" s="748">
        <v>16.5</v>
      </c>
      <c r="Z22" s="748">
        <v>1.5</v>
      </c>
      <c r="AA22" s="748">
        <v>4.12</v>
      </c>
      <c r="AB22" s="748">
        <v>0.0</v>
      </c>
      <c r="AC22" s="748">
        <v>0.0</v>
      </c>
      <c r="AD22" s="748">
        <v>0.0</v>
      </c>
      <c r="AE22" s="748">
        <v>0.0</v>
      </c>
      <c r="AF22" s="837"/>
      <c r="AG22" s="751">
        <f t="shared" si="1"/>
        <v>148.11</v>
      </c>
      <c r="AH22" s="891">
        <v>148.11</v>
      </c>
      <c r="AI22" s="892" t="b">
        <f t="shared" si="2"/>
        <v>1</v>
      </c>
      <c r="AJ22" s="38"/>
      <c r="AK22" s="38"/>
      <c r="AL22" s="38"/>
      <c r="AM22" s="38"/>
      <c r="AN22" s="38"/>
      <c r="AP22" s="580" t="s">
        <v>163</v>
      </c>
      <c r="AQ22" s="176"/>
      <c r="AR22" s="177"/>
      <c r="AS22" s="581"/>
      <c r="AT22" s="581">
        <f>SUM(valuesByColor("#9bbb59", "", B4:AF25))</f>
        <v>0</v>
      </c>
      <c r="AU22" s="582">
        <f t="shared" si="9"/>
        <v>0</v>
      </c>
      <c r="AV22" s="583">
        <f t="shared" si="10"/>
        <v>0</v>
      </c>
      <c r="AW22" s="584"/>
      <c r="AX22" s="583">
        <f t="shared" si="11"/>
        <v>0</v>
      </c>
      <c r="AY22" s="583">
        <f t="shared" si="12"/>
        <v>0</v>
      </c>
      <c r="AZ22" s="585"/>
    </row>
    <row r="23" ht="30.0" customHeight="1">
      <c r="A23" s="758" t="s">
        <v>156</v>
      </c>
      <c r="B23" s="849">
        <v>0.0</v>
      </c>
      <c r="C23" s="906">
        <v>0.0</v>
      </c>
      <c r="D23" s="906">
        <v>0.0</v>
      </c>
      <c r="E23" s="906">
        <v>0.0</v>
      </c>
      <c r="F23" s="906">
        <v>0.0</v>
      </c>
      <c r="G23" s="906">
        <v>0.28</v>
      </c>
      <c r="H23" s="906">
        <v>0.98</v>
      </c>
      <c r="I23" s="771">
        <v>0.0</v>
      </c>
      <c r="J23" s="771">
        <v>0.0</v>
      </c>
      <c r="K23" s="771">
        <v>0.0</v>
      </c>
      <c r="L23" s="771">
        <v>0.0</v>
      </c>
      <c r="M23" s="771">
        <v>0.0</v>
      </c>
      <c r="N23" s="771">
        <v>0.0</v>
      </c>
      <c r="O23" s="771">
        <v>0.0</v>
      </c>
      <c r="P23" s="771">
        <v>0.0</v>
      </c>
      <c r="Q23" s="771">
        <v>1.68</v>
      </c>
      <c r="R23" s="771">
        <v>3.38</v>
      </c>
      <c r="S23" s="771">
        <v>0.0</v>
      </c>
      <c r="T23" s="771">
        <v>0.0</v>
      </c>
      <c r="U23" s="748">
        <v>0.0</v>
      </c>
      <c r="V23" s="748">
        <v>0.0</v>
      </c>
      <c r="W23" s="748">
        <v>0.0</v>
      </c>
      <c r="X23" s="748">
        <v>0.0</v>
      </c>
      <c r="Y23" s="748">
        <v>0.0</v>
      </c>
      <c r="Z23" s="748">
        <v>0.0</v>
      </c>
      <c r="AA23" s="748">
        <v>0.0</v>
      </c>
      <c r="AB23" s="748">
        <v>0.0</v>
      </c>
      <c r="AC23" s="748">
        <v>0.0</v>
      </c>
      <c r="AD23" s="748">
        <v>0.0</v>
      </c>
      <c r="AE23" s="748">
        <v>0.0</v>
      </c>
      <c r="AF23" s="837"/>
      <c r="AG23" s="751">
        <f t="shared" si="1"/>
        <v>6.32</v>
      </c>
      <c r="AH23" s="891">
        <v>6.32</v>
      </c>
      <c r="AI23" s="892" t="b">
        <f t="shared" si="2"/>
        <v>1</v>
      </c>
      <c r="AJ23" s="38"/>
      <c r="AK23" s="38"/>
      <c r="AL23" s="38"/>
      <c r="AM23" s="38"/>
      <c r="AN23" s="38"/>
      <c r="AP23" s="588"/>
      <c r="AQ23" s="176"/>
      <c r="AR23" s="177"/>
      <c r="AS23" s="589"/>
      <c r="AT23" s="589"/>
      <c r="AU23" s="590">
        <f t="shared" si="9"/>
        <v>0</v>
      </c>
      <c r="AV23" s="591">
        <f t="shared" si="10"/>
        <v>0</v>
      </c>
      <c r="AW23" s="592"/>
      <c r="AX23" s="591">
        <f t="shared" si="11"/>
        <v>0</v>
      </c>
      <c r="AY23" s="591">
        <f t="shared" si="12"/>
        <v>0</v>
      </c>
      <c r="AZ23" s="268"/>
    </row>
    <row r="24" ht="30.0" customHeight="1">
      <c r="A24" s="758" t="s">
        <v>157</v>
      </c>
      <c r="B24" s="850">
        <v>0.0</v>
      </c>
      <c r="C24" s="844">
        <v>0.0</v>
      </c>
      <c r="D24" s="844">
        <v>0.0</v>
      </c>
      <c r="E24" s="844">
        <v>0.0</v>
      </c>
      <c r="F24" s="844">
        <v>0.0</v>
      </c>
      <c r="G24" s="844">
        <v>0.0</v>
      </c>
      <c r="H24" s="844">
        <v>0.0</v>
      </c>
      <c r="I24" s="820">
        <v>0.0</v>
      </c>
      <c r="J24" s="820">
        <v>0.0</v>
      </c>
      <c r="K24" s="820">
        <v>0.0</v>
      </c>
      <c r="L24" s="820">
        <v>0.0</v>
      </c>
      <c r="M24" s="820">
        <v>0.0</v>
      </c>
      <c r="N24" s="820">
        <v>0.0</v>
      </c>
      <c r="O24" s="820">
        <v>0.0</v>
      </c>
      <c r="P24" s="820">
        <v>0.0</v>
      </c>
      <c r="Q24" s="820">
        <v>0.0</v>
      </c>
      <c r="R24" s="820">
        <v>0.0</v>
      </c>
      <c r="S24" s="820">
        <v>0.0</v>
      </c>
      <c r="T24" s="820">
        <v>0.0</v>
      </c>
      <c r="U24" s="807">
        <v>1.5</v>
      </c>
      <c r="V24" s="807">
        <v>1.5</v>
      </c>
      <c r="W24" s="807">
        <v>1.5</v>
      </c>
      <c r="X24" s="807">
        <v>1.5</v>
      </c>
      <c r="Y24" s="807">
        <v>0.0</v>
      </c>
      <c r="Z24" s="807">
        <v>1.5</v>
      </c>
      <c r="AA24" s="807">
        <v>0.0</v>
      </c>
      <c r="AB24" s="807">
        <v>0.0</v>
      </c>
      <c r="AC24" s="807">
        <v>0.0</v>
      </c>
      <c r="AD24" s="807">
        <v>4.5</v>
      </c>
      <c r="AE24" s="807">
        <v>1.5</v>
      </c>
      <c r="AF24" s="837"/>
      <c r="AG24" s="751">
        <f t="shared" si="1"/>
        <v>13.5</v>
      </c>
      <c r="AH24" s="891">
        <v>13.5</v>
      </c>
      <c r="AI24" s="892" t="b">
        <f t="shared" si="2"/>
        <v>1</v>
      </c>
      <c r="AJ24" s="38"/>
      <c r="AK24" s="38"/>
      <c r="AL24" s="38"/>
      <c r="AM24" s="38"/>
      <c r="AN24" s="38"/>
      <c r="AP24" s="588"/>
      <c r="AQ24" s="176"/>
      <c r="AR24" s="177"/>
      <c r="AS24" s="589"/>
      <c r="AT24" s="589"/>
      <c r="AU24" s="590">
        <f t="shared" si="9"/>
        <v>0</v>
      </c>
      <c r="AV24" s="591">
        <f t="shared" si="10"/>
        <v>0</v>
      </c>
      <c r="AW24" s="592"/>
      <c r="AX24" s="591">
        <f t="shared" si="11"/>
        <v>0</v>
      </c>
      <c r="AY24" s="591">
        <f t="shared" si="12"/>
        <v>0</v>
      </c>
      <c r="AZ24" s="270"/>
    </row>
    <row r="25" ht="30.0" customHeight="1">
      <c r="A25" s="47" t="s">
        <v>14</v>
      </c>
      <c r="B25" s="914">
        <f t="shared" ref="B25:AF25" si="13">SUM(B3:B24)</f>
        <v>186.7</v>
      </c>
      <c r="C25" s="914">
        <f t="shared" si="13"/>
        <v>128.06</v>
      </c>
      <c r="D25" s="914">
        <f t="shared" si="13"/>
        <v>108.37</v>
      </c>
      <c r="E25" s="914">
        <f t="shared" si="13"/>
        <v>153.52</v>
      </c>
      <c r="F25" s="914">
        <f t="shared" si="13"/>
        <v>135.33</v>
      </c>
      <c r="G25" s="914">
        <f t="shared" si="13"/>
        <v>160.76</v>
      </c>
      <c r="H25" s="914">
        <f t="shared" si="13"/>
        <v>103.68</v>
      </c>
      <c r="I25" s="914">
        <f t="shared" si="13"/>
        <v>126.08</v>
      </c>
      <c r="J25" s="914">
        <f t="shared" si="13"/>
        <v>185.64</v>
      </c>
      <c r="K25" s="914">
        <f t="shared" si="13"/>
        <v>162.82</v>
      </c>
      <c r="L25" s="914">
        <f t="shared" si="13"/>
        <v>73.12</v>
      </c>
      <c r="M25" s="914">
        <f t="shared" si="13"/>
        <v>189.36</v>
      </c>
      <c r="N25" s="914">
        <f t="shared" si="13"/>
        <v>156.6</v>
      </c>
      <c r="O25" s="914">
        <f t="shared" si="13"/>
        <v>167.84</v>
      </c>
      <c r="P25" s="914">
        <f t="shared" si="13"/>
        <v>150.61</v>
      </c>
      <c r="Q25" s="914">
        <f t="shared" si="13"/>
        <v>195.15</v>
      </c>
      <c r="R25" s="914">
        <f t="shared" si="13"/>
        <v>291.7</v>
      </c>
      <c r="S25" s="914">
        <f t="shared" si="13"/>
        <v>218.42</v>
      </c>
      <c r="T25" s="914">
        <f t="shared" si="13"/>
        <v>127.74</v>
      </c>
      <c r="U25" s="914">
        <f t="shared" si="13"/>
        <v>183.5</v>
      </c>
      <c r="V25" s="914">
        <f t="shared" si="13"/>
        <v>203.64</v>
      </c>
      <c r="W25" s="914">
        <f t="shared" si="13"/>
        <v>128.28</v>
      </c>
      <c r="X25" s="914">
        <f t="shared" si="13"/>
        <v>133.18</v>
      </c>
      <c r="Y25" s="914">
        <f t="shared" si="13"/>
        <v>167.26</v>
      </c>
      <c r="Z25" s="914">
        <f t="shared" si="13"/>
        <v>140.06</v>
      </c>
      <c r="AA25" s="914">
        <f t="shared" si="13"/>
        <v>180.7</v>
      </c>
      <c r="AB25" s="914">
        <f t="shared" si="13"/>
        <v>228.27</v>
      </c>
      <c r="AC25" s="914">
        <f t="shared" si="13"/>
        <v>165</v>
      </c>
      <c r="AD25" s="914">
        <f t="shared" si="13"/>
        <v>133</v>
      </c>
      <c r="AE25" s="914">
        <f t="shared" si="13"/>
        <v>168.78</v>
      </c>
      <c r="AF25" s="914">
        <f t="shared" si="13"/>
        <v>0</v>
      </c>
      <c r="AG25" s="915"/>
      <c r="AH25" s="58"/>
      <c r="AI25" s="38"/>
      <c r="AJ25" s="38"/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9"/>
        <v>0</v>
      </c>
      <c r="AV25" s="591">
        <f t="shared" si="10"/>
        <v>0</v>
      </c>
      <c r="AW25" s="600"/>
      <c r="AX25" s="591">
        <f t="shared" si="11"/>
        <v>0</v>
      </c>
      <c r="AY25" s="591">
        <f t="shared" si="12"/>
        <v>0</v>
      </c>
      <c r="AZ25" s="274"/>
    </row>
    <row r="26" ht="30.0" customHeight="1">
      <c r="A26" s="630"/>
      <c r="B26" s="630"/>
      <c r="C26" s="630"/>
      <c r="D26" s="630"/>
      <c r="E26" s="630"/>
      <c r="F26" s="630"/>
      <c r="G26" s="630"/>
      <c r="H26" s="630"/>
      <c r="I26" s="630"/>
      <c r="J26" s="630"/>
      <c r="K26" s="630"/>
      <c r="L26" s="630"/>
      <c r="M26" s="630"/>
      <c r="N26" s="631"/>
      <c r="O26" s="631"/>
      <c r="P26" s="631"/>
      <c r="Q26" s="631"/>
      <c r="R26" s="631"/>
      <c r="S26" s="631"/>
      <c r="T26" s="631"/>
      <c r="U26" s="631"/>
      <c r="V26" s="631"/>
      <c r="W26" s="631"/>
      <c r="X26" s="631"/>
      <c r="Y26" s="631"/>
      <c r="Z26" s="631"/>
      <c r="AA26" s="631"/>
      <c r="AB26" s="631"/>
      <c r="AC26" s="631"/>
      <c r="AD26" s="631"/>
      <c r="AE26" s="631"/>
      <c r="AF26" s="632"/>
      <c r="AG26" s="38"/>
      <c r="AH26" s="58"/>
      <c r="AI26" s="38"/>
      <c r="AJ26" s="38"/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9"/>
        <v>0</v>
      </c>
      <c r="AV26" s="591">
        <f t="shared" si="10"/>
        <v>0</v>
      </c>
      <c r="AW26" s="600"/>
      <c r="AX26" s="591">
        <f t="shared" si="11"/>
        <v>0</v>
      </c>
      <c r="AY26" s="591">
        <f t="shared" si="12"/>
        <v>0</v>
      </c>
      <c r="AZ26" s="280"/>
    </row>
    <row r="27" ht="30.75" customHeight="1">
      <c r="A27" s="38"/>
      <c r="B27" s="38"/>
      <c r="C27" s="38"/>
      <c r="D27" s="38"/>
      <c r="E27" s="633"/>
      <c r="F27" s="63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58"/>
      <c r="AI27" s="38"/>
      <c r="AJ27" s="38"/>
      <c r="AK27" s="38"/>
      <c r="AL27" s="38"/>
      <c r="AM27" s="38"/>
      <c r="AN27" s="38"/>
      <c r="AP27" s="588"/>
      <c r="AQ27" s="176"/>
      <c r="AR27" s="177"/>
      <c r="AS27" s="589"/>
      <c r="AT27" s="589"/>
      <c r="AU27" s="590">
        <f t="shared" si="9"/>
        <v>0</v>
      </c>
      <c r="AV27" s="591">
        <f t="shared" si="10"/>
        <v>0</v>
      </c>
      <c r="AW27" s="600"/>
      <c r="AX27" s="591">
        <f t="shared" si="11"/>
        <v>0</v>
      </c>
      <c r="AY27" s="591">
        <f t="shared" si="12"/>
        <v>0</v>
      </c>
      <c r="AZ27" s="387"/>
    </row>
    <row r="28" ht="30.75" customHeight="1">
      <c r="A28" s="38"/>
      <c r="B28" s="38"/>
      <c r="C28" s="38"/>
      <c r="D28" s="38"/>
      <c r="E28" s="633"/>
      <c r="F28" s="633"/>
      <c r="AG28" s="49"/>
      <c r="AH28" s="8"/>
      <c r="AO28" s="226"/>
      <c r="AS28" s="865"/>
      <c r="AT28" s="220">
        <f>SUM(AT18:AT27)</f>
        <v>1305.21</v>
      </c>
      <c r="AU28" s="38"/>
      <c r="AV28" s="220">
        <f>SUM(AV18:AV27)</f>
        <v>61.997475</v>
      </c>
    </row>
    <row r="29" ht="15.75" customHeight="1">
      <c r="A29" s="38"/>
      <c r="B29" s="38"/>
      <c r="C29" s="38"/>
      <c r="D29" s="38"/>
      <c r="E29" s="38"/>
      <c r="F29" s="633"/>
      <c r="G29" s="428"/>
      <c r="AG29" s="49"/>
      <c r="AH29" s="8"/>
      <c r="AO29" s="226"/>
    </row>
    <row r="30" ht="15.75" customHeight="1">
      <c r="A30" s="38"/>
      <c r="B30" s="38"/>
      <c r="C30" s="38"/>
      <c r="D30" s="428"/>
      <c r="E30" s="38"/>
      <c r="AG30" s="49"/>
      <c r="AH30" s="8"/>
    </row>
    <row r="31" ht="15.75" customHeight="1">
      <c r="A31" s="38"/>
      <c r="B31" s="38"/>
      <c r="C31" s="38"/>
      <c r="D31" s="38"/>
      <c r="E31" s="38"/>
      <c r="AG31" s="49"/>
      <c r="AH31" s="8"/>
    </row>
    <row r="32" ht="15.75" customHeight="1">
      <c r="A32" s="38"/>
      <c r="B32" s="38"/>
      <c r="C32" s="38"/>
      <c r="D32" s="38"/>
      <c r="E32" s="38"/>
      <c r="AG32" s="49"/>
      <c r="AH32" s="8"/>
    </row>
    <row r="33" ht="15.75" customHeight="1">
      <c r="A33" s="38"/>
      <c r="B33" s="428"/>
      <c r="C33" s="38"/>
      <c r="D33" s="38"/>
      <c r="E33" s="38"/>
      <c r="AG33" s="49"/>
      <c r="AH33" s="8"/>
    </row>
    <row r="34" ht="15.75" customHeight="1">
      <c r="A34" s="38"/>
      <c r="B34" s="38"/>
      <c r="C34" s="58"/>
      <c r="D34" s="38"/>
      <c r="E34" s="38"/>
      <c r="F34" s="58"/>
      <c r="AG34" s="49"/>
      <c r="AH34" s="8"/>
    </row>
    <row r="35" ht="15.75" customHeight="1">
      <c r="B35" s="428"/>
      <c r="D35" s="428"/>
      <c r="AG35" s="49"/>
      <c r="AH35" s="8"/>
      <c r="AP35" s="38"/>
      <c r="AQ35" s="38"/>
      <c r="AR35" s="38"/>
      <c r="AS35" s="425"/>
      <c r="AT35" s="425"/>
      <c r="AU35" s="916"/>
      <c r="AV35" s="425"/>
      <c r="AW35" s="745"/>
      <c r="AX35" s="745"/>
      <c r="AY35" s="745"/>
      <c r="AZ35" s="917"/>
    </row>
    <row r="36" ht="15.75" customHeight="1">
      <c r="B36" s="428"/>
      <c r="AG36" s="49"/>
      <c r="AH36" s="8"/>
      <c r="AP36" s="745"/>
      <c r="AS36" s="918"/>
      <c r="AT36" s="918"/>
      <c r="AU36" s="918"/>
      <c r="AV36" s="918"/>
      <c r="AW36" s="918"/>
      <c r="AX36" s="918"/>
      <c r="AY36" s="918"/>
    </row>
    <row r="37" ht="15.75" customHeight="1">
      <c r="AG37" s="49"/>
      <c r="AH37" s="8"/>
      <c r="AP37" s="226"/>
      <c r="AS37" s="918"/>
      <c r="AT37" s="918"/>
      <c r="AU37" s="918"/>
      <c r="AV37" s="918"/>
      <c r="AW37" s="918"/>
      <c r="AX37" s="918"/>
      <c r="AY37" s="918"/>
      <c r="AZ37" s="919"/>
    </row>
    <row r="38" ht="15.75" customHeight="1">
      <c r="AG38" s="49"/>
      <c r="AH38" s="8"/>
      <c r="AP38" s="226"/>
      <c r="AS38" s="918"/>
      <c r="AT38" s="918"/>
      <c r="AU38" s="918"/>
      <c r="AV38" s="918"/>
      <c r="AW38" s="918"/>
      <c r="AX38" s="918"/>
      <c r="AY38" s="918"/>
      <c r="AZ38" s="919"/>
    </row>
    <row r="39" ht="15.75" customHeight="1">
      <c r="A39" s="38"/>
      <c r="R39" s="38"/>
      <c r="AG39" s="49"/>
      <c r="AH39" s="8"/>
      <c r="AP39" s="746"/>
      <c r="AS39" s="920"/>
      <c r="AT39" s="920"/>
      <c r="AU39" s="920"/>
      <c r="AV39" s="920"/>
      <c r="AW39" s="920"/>
      <c r="AX39" s="920"/>
      <c r="AY39" s="920"/>
      <c r="AZ39" s="919"/>
    </row>
    <row r="40" ht="15.75" customHeight="1">
      <c r="A40" s="38"/>
      <c r="R40" s="38"/>
      <c r="AG40" s="49"/>
      <c r="AH40" s="8"/>
      <c r="AP40" s="226"/>
      <c r="AS40" s="921"/>
      <c r="AT40" s="921"/>
      <c r="AU40" s="918"/>
      <c r="AV40" s="918"/>
      <c r="AW40" s="922"/>
      <c r="AX40" s="918"/>
      <c r="AY40" s="918"/>
      <c r="AZ40" s="919"/>
    </row>
    <row r="41" ht="15.75" customHeight="1">
      <c r="A41" s="38"/>
      <c r="B41" s="428"/>
      <c r="R41" s="38"/>
      <c r="AG41" s="49"/>
      <c r="AH41" s="8"/>
      <c r="AP41" s="226"/>
      <c r="AS41" s="921"/>
      <c r="AT41" s="921"/>
      <c r="AU41" s="918"/>
      <c r="AV41" s="918"/>
      <c r="AW41" s="922"/>
      <c r="AX41" s="918"/>
      <c r="AY41" s="918"/>
      <c r="AZ41" s="919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M42" s="38"/>
      <c r="N42" s="38"/>
      <c r="O42" s="38"/>
      <c r="P42" s="38"/>
      <c r="Q42" s="38"/>
      <c r="R42" s="38"/>
      <c r="AG42" s="49"/>
      <c r="AH42" s="8"/>
      <c r="AP42" s="226"/>
      <c r="AS42" s="921"/>
      <c r="AT42" s="921"/>
      <c r="AU42" s="918"/>
      <c r="AV42" s="918"/>
      <c r="AW42" s="922"/>
      <c r="AX42" s="918"/>
      <c r="AY42" s="918"/>
      <c r="AZ42" s="919"/>
    </row>
    <row r="43" ht="15.75" customHeight="1">
      <c r="A43" s="634"/>
      <c r="B43" s="635"/>
      <c r="C43" s="636"/>
      <c r="D43" s="636"/>
      <c r="E43" s="636"/>
      <c r="F43" s="636"/>
      <c r="G43" s="636"/>
      <c r="H43" s="636"/>
      <c r="M43" s="38"/>
      <c r="N43" s="635"/>
      <c r="O43" s="38"/>
      <c r="P43" s="635"/>
      <c r="Q43" s="635"/>
      <c r="R43" s="38"/>
      <c r="AG43" s="49"/>
      <c r="AH43" s="8"/>
      <c r="AP43" s="226"/>
      <c r="AS43" s="921"/>
      <c r="AT43" s="921"/>
      <c r="AU43" s="918"/>
      <c r="AV43" s="918"/>
      <c r="AW43" s="921"/>
      <c r="AX43" s="918"/>
      <c r="AY43" s="918"/>
      <c r="AZ43" s="919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M44" s="38"/>
      <c r="N44" s="38"/>
      <c r="O44" s="38"/>
      <c r="P44" s="38"/>
      <c r="Q44" s="38"/>
      <c r="R44" s="38"/>
      <c r="AG44" s="49"/>
      <c r="AH44" s="8"/>
      <c r="AP44" s="226"/>
      <c r="AS44" s="921"/>
      <c r="AT44" s="921"/>
      <c r="AU44" s="918"/>
      <c r="AV44" s="918"/>
      <c r="AW44" s="921"/>
      <c r="AX44" s="918"/>
      <c r="AY44" s="918"/>
      <c r="AZ44" s="919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M45" s="38"/>
      <c r="N45" s="38"/>
      <c r="O45" s="38"/>
      <c r="P45" s="38"/>
      <c r="Q45" s="38"/>
      <c r="R45" s="38"/>
      <c r="AG45" s="49"/>
      <c r="AH45" s="8"/>
      <c r="AP45" s="226"/>
      <c r="AS45" s="921"/>
      <c r="AT45" s="921"/>
      <c r="AU45" s="918"/>
      <c r="AV45" s="918"/>
      <c r="AW45" s="921"/>
      <c r="AX45" s="918"/>
      <c r="AY45" s="918"/>
      <c r="AZ45" s="919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M46" s="38"/>
      <c r="N46" s="38"/>
      <c r="O46" s="38"/>
      <c r="P46" s="38"/>
      <c r="Q46" s="38"/>
      <c r="R46" s="38"/>
      <c r="AG46" s="49"/>
      <c r="AH46" s="8"/>
      <c r="AS46" s="865"/>
      <c r="AT46" s="865"/>
      <c r="AU46" s="38"/>
      <c r="AV46" s="865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M47" s="38"/>
      <c r="N47" s="38"/>
      <c r="O47" s="38"/>
      <c r="P47" s="38"/>
      <c r="Q47" s="38"/>
      <c r="R47" s="38"/>
      <c r="AG47" s="49"/>
      <c r="AH47" s="8"/>
    </row>
    <row r="48" ht="15.75" customHeight="1">
      <c r="A48" s="38"/>
      <c r="B48" s="38"/>
      <c r="C48" s="796"/>
      <c r="D48" s="797"/>
      <c r="E48" s="38"/>
      <c r="F48" s="38"/>
      <c r="G48" s="38"/>
      <c r="H48" s="38"/>
      <c r="M48" s="38"/>
      <c r="N48" s="38"/>
      <c r="O48" s="38"/>
      <c r="P48" s="38"/>
      <c r="Q48" s="38"/>
      <c r="R48" s="38"/>
      <c r="AG48" s="49"/>
      <c r="AH48" s="8"/>
    </row>
    <row r="49" ht="15.75" customHeight="1">
      <c r="A49" s="38"/>
      <c r="B49" s="38"/>
      <c r="C49" s="796"/>
      <c r="D49" s="797"/>
      <c r="E49" s="38"/>
      <c r="F49" s="38"/>
      <c r="G49" s="38"/>
      <c r="H49" s="38"/>
      <c r="M49" s="38"/>
      <c r="N49" s="38"/>
      <c r="O49" s="38"/>
      <c r="P49" s="38"/>
      <c r="Q49" s="38"/>
      <c r="R49" s="38"/>
      <c r="AG49" s="49"/>
      <c r="AH49" s="8"/>
    </row>
    <row r="50" ht="15.75" customHeight="1">
      <c r="A50" s="38"/>
      <c r="B50" s="38"/>
      <c r="C50" s="796"/>
      <c r="D50" s="797"/>
      <c r="E50" s="38"/>
      <c r="F50" s="38"/>
      <c r="G50" s="38"/>
      <c r="H50" s="38"/>
      <c r="M50" s="38"/>
      <c r="N50" s="38"/>
      <c r="O50" s="38"/>
      <c r="P50" s="38"/>
      <c r="Q50" s="38"/>
      <c r="R50" s="38"/>
      <c r="AG50" s="49"/>
      <c r="AH50" s="8"/>
    </row>
    <row r="51" ht="15.75" customHeight="1">
      <c r="A51" s="38"/>
      <c r="B51" s="38"/>
      <c r="C51" s="796"/>
      <c r="D51" s="797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</row>
    <row r="52" ht="15.75" customHeight="1">
      <c r="A52" s="38"/>
      <c r="B52" s="38"/>
      <c r="C52" s="796"/>
      <c r="D52" s="797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</row>
    <row r="53" ht="15.75" customHeight="1">
      <c r="A53" s="38"/>
      <c r="B53" s="38"/>
      <c r="C53" s="796"/>
      <c r="D53" s="797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</row>
    <row r="54" ht="15.75" customHeight="1">
      <c r="C54" s="796"/>
      <c r="D54" s="797"/>
      <c r="AG54" s="49"/>
      <c r="AH54" s="8"/>
    </row>
    <row r="55" ht="15.75" customHeight="1">
      <c r="C55" s="796"/>
      <c r="D55" s="797"/>
      <c r="AG55" s="49"/>
      <c r="AH55" s="8"/>
    </row>
    <row r="56" ht="15.75" customHeight="1">
      <c r="C56" s="796"/>
      <c r="D56" s="797"/>
      <c r="AG56" s="49"/>
      <c r="AH56" s="8"/>
    </row>
    <row r="57" ht="15.75" customHeight="1">
      <c r="C57" s="796"/>
      <c r="D57" s="797"/>
      <c r="AG57" s="49"/>
      <c r="AH57" s="8"/>
    </row>
    <row r="58" ht="15.75" customHeight="1">
      <c r="C58" s="796"/>
      <c r="D58" s="797"/>
      <c r="AG58" s="49"/>
      <c r="AH58" s="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AG70" s="49"/>
      <c r="AH70" s="8"/>
    </row>
    <row r="71" ht="15.75" customHeight="1"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H2:AI2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I39:I41"/>
    <mergeCell ref="I42:I44"/>
    <mergeCell ref="I45:I47"/>
    <mergeCell ref="I48:I50"/>
    <mergeCell ref="I51:I53"/>
    <mergeCell ref="AP42:AR42"/>
    <mergeCell ref="AP43:AR43"/>
    <mergeCell ref="AP44:AR44"/>
    <mergeCell ref="AP45:AR45"/>
    <mergeCell ref="AP27:AR27"/>
    <mergeCell ref="AP36:AR36"/>
    <mergeCell ref="AP37:AR37"/>
    <mergeCell ref="AP38:AR38"/>
    <mergeCell ref="AP39:AR39"/>
    <mergeCell ref="AP40:AR40"/>
    <mergeCell ref="AP41:AR41"/>
  </mergeCells>
  <conditionalFormatting sqref="A26:AN27 AO27 BA26:BN27">
    <cfRule type="notContainsBlanks" dxfId="0" priority="1">
      <formula>LEN(TRIM(A26))&gt;0</formula>
    </cfRule>
  </conditionalFormatting>
  <conditionalFormatting sqref="AI3:AI24">
    <cfRule type="cellIs" dxfId="1" priority="2" operator="equal">
      <formula>"TRUE"</formula>
    </cfRule>
  </conditionalFormatting>
  <conditionalFormatting sqref="AI3:AI24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3.0" customHeight="1">
      <c r="A2" s="641" t="s">
        <v>86</v>
      </c>
      <c r="B2" s="642"/>
      <c r="C2" s="642">
        <v>7.5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SUM(AG3:AG29,AW4:AW14,AW20:AW29)</f>
        <v>5053.66</v>
      </c>
      <c r="AH2" s="889" t="s">
        <v>150</v>
      </c>
      <c r="AI2" s="890"/>
    </row>
    <row r="3" ht="31.5" customHeight="1">
      <c r="A3" s="758" t="s">
        <v>5</v>
      </c>
      <c r="B3" s="820">
        <v>4.64</v>
      </c>
      <c r="C3" s="901">
        <v>1.5</v>
      </c>
      <c r="D3" s="901">
        <v>1.5</v>
      </c>
      <c r="E3" s="901">
        <v>3.7</v>
      </c>
      <c r="F3" s="901"/>
      <c r="G3" s="901">
        <v>1.5</v>
      </c>
      <c r="H3" s="901"/>
      <c r="I3" s="807"/>
      <c r="J3" s="807">
        <v>1.5</v>
      </c>
      <c r="K3" s="807"/>
      <c r="L3" s="807"/>
      <c r="M3" s="807">
        <v>7.2</v>
      </c>
      <c r="N3" s="807">
        <v>1.5</v>
      </c>
      <c r="O3" s="807"/>
      <c r="P3" s="807">
        <v>1.5</v>
      </c>
      <c r="Q3" s="807"/>
      <c r="R3" s="807"/>
      <c r="S3" s="807"/>
      <c r="T3" s="807">
        <v>4.5</v>
      </c>
      <c r="U3" s="807">
        <v>3.0</v>
      </c>
      <c r="V3" s="807"/>
      <c r="W3" s="807"/>
      <c r="X3" s="807"/>
      <c r="Y3" s="807"/>
      <c r="Z3" s="807"/>
      <c r="AA3" s="807">
        <v>0.56</v>
      </c>
      <c r="AB3" s="807">
        <v>1.5</v>
      </c>
      <c r="AC3" s="807">
        <v>3.0</v>
      </c>
      <c r="AD3" s="807">
        <v>1.5</v>
      </c>
      <c r="AE3" s="807">
        <v>1.5</v>
      </c>
      <c r="AF3" s="807">
        <v>3.0</v>
      </c>
      <c r="AG3" s="751">
        <f t="shared" ref="AG3:AG16" si="1">SUM(B3:AF3)</f>
        <v>43.1</v>
      </c>
      <c r="AH3" s="923">
        <v>43.1</v>
      </c>
      <c r="AI3" s="924" t="b">
        <f t="shared" ref="AI3:AI16" si="2">EQ(AG3,AH3)</f>
        <v>1</v>
      </c>
      <c r="AK3" s="923"/>
      <c r="AP3" s="38"/>
      <c r="AQ3" s="38"/>
      <c r="AR3" s="38"/>
      <c r="AS3" s="862"/>
      <c r="AT3" s="173">
        <v>1.0</v>
      </c>
      <c r="AU3" s="174" t="s">
        <v>16</v>
      </c>
      <c r="AV3" s="173">
        <v>0.05</v>
      </c>
      <c r="AW3" s="456" t="s">
        <v>71</v>
      </c>
      <c r="AX3" s="456" t="s">
        <v>72</v>
      </c>
      <c r="AY3" s="456" t="s">
        <v>73</v>
      </c>
      <c r="AZ3" s="246" t="s">
        <v>34</v>
      </c>
    </row>
    <row r="4" ht="40.5" customHeight="1">
      <c r="A4" s="758" t="s">
        <v>138</v>
      </c>
      <c r="B4" s="867">
        <v>0.0</v>
      </c>
      <c r="C4" s="905">
        <v>0.0</v>
      </c>
      <c r="D4" s="905">
        <v>0.0</v>
      </c>
      <c r="E4" s="905">
        <v>0.0</v>
      </c>
      <c r="F4" s="905">
        <v>0.0</v>
      </c>
      <c r="G4" s="905">
        <v>0.0</v>
      </c>
      <c r="H4" s="905">
        <v>0.0</v>
      </c>
      <c r="I4" s="866">
        <v>0.0</v>
      </c>
      <c r="J4" s="866">
        <v>0.0</v>
      </c>
      <c r="K4" s="866">
        <v>0.0</v>
      </c>
      <c r="L4" s="866">
        <v>0.0</v>
      </c>
      <c r="M4" s="866">
        <v>0.0</v>
      </c>
      <c r="N4" s="866">
        <v>0.0</v>
      </c>
      <c r="O4" s="866">
        <v>0.0</v>
      </c>
      <c r="P4" s="866">
        <v>0.0</v>
      </c>
      <c r="Q4" s="866">
        <v>0.0</v>
      </c>
      <c r="R4" s="866">
        <v>0.0</v>
      </c>
      <c r="S4" s="866">
        <v>0.0</v>
      </c>
      <c r="T4" s="866">
        <v>0.0</v>
      </c>
      <c r="U4" s="837">
        <v>0.0</v>
      </c>
      <c r="V4" s="837">
        <v>0.0</v>
      </c>
      <c r="W4" s="837">
        <v>0.0</v>
      </c>
      <c r="X4" s="837">
        <v>0.0</v>
      </c>
      <c r="Y4" s="837">
        <v>0.0</v>
      </c>
      <c r="Z4" s="837">
        <v>0.0</v>
      </c>
      <c r="AA4" s="837">
        <v>0.0</v>
      </c>
      <c r="AB4" s="837">
        <v>0.0</v>
      </c>
      <c r="AC4" s="837">
        <v>0.0</v>
      </c>
      <c r="AD4" s="837">
        <v>0.0</v>
      </c>
      <c r="AE4" s="837">
        <v>0.0</v>
      </c>
      <c r="AF4" s="837">
        <v>0.0</v>
      </c>
      <c r="AG4" s="751">
        <f t="shared" si="1"/>
        <v>0</v>
      </c>
      <c r="AH4" s="923">
        <v>0.0</v>
      </c>
      <c r="AI4" s="924" t="b">
        <f t="shared" si="2"/>
        <v>1</v>
      </c>
      <c r="AJ4" s="38"/>
      <c r="AK4" s="923"/>
      <c r="AP4" s="344" t="s">
        <v>120</v>
      </c>
      <c r="AQ4" s="176"/>
      <c r="AR4" s="177"/>
      <c r="AS4" s="464"/>
      <c r="AT4" s="464">
        <f>SUM(valuesByColor("#980000", "", B3:AF16))</f>
        <v>118.22</v>
      </c>
      <c r="AU4" s="345">
        <f t="shared" ref="AU4:AU14" si="3">((AT4*(1-0.05))*(1-0.6))+AX4-AZ4</f>
        <v>44.9236</v>
      </c>
      <c r="AV4" s="346">
        <f t="shared" ref="AV4:AV14" si="4">(AT4*(1-0.05))*(1-0.95)+AY4</f>
        <v>5.61545</v>
      </c>
      <c r="AW4" s="346"/>
      <c r="AX4" s="346">
        <f t="shared" ref="AX4:AX10" si="5">(AW4*(1-0.05))*(1-0.9)</f>
        <v>0</v>
      </c>
      <c r="AY4" s="346">
        <f t="shared" ref="AY4:AY10" si="6">(AW4*(1-0.05))*(1-0.95)</f>
        <v>0</v>
      </c>
      <c r="AZ4" s="883"/>
    </row>
    <row r="5" ht="27.0" customHeight="1">
      <c r="A5" s="758" t="s">
        <v>139</v>
      </c>
      <c r="B5" s="911">
        <v>58.42</v>
      </c>
      <c r="C5" s="912">
        <v>9.56</v>
      </c>
      <c r="D5" s="912">
        <v>6.0</v>
      </c>
      <c r="E5" s="912">
        <v>11.04</v>
      </c>
      <c r="F5" s="912">
        <v>10.5</v>
      </c>
      <c r="G5" s="912">
        <v>9.0</v>
      </c>
      <c r="H5" s="912">
        <v>1.5</v>
      </c>
      <c r="I5" s="805">
        <v>3.0</v>
      </c>
      <c r="J5" s="805">
        <v>7.5</v>
      </c>
      <c r="K5" s="805">
        <v>1.5</v>
      </c>
      <c r="L5" s="805">
        <v>9.0</v>
      </c>
      <c r="M5" s="805">
        <v>0.0</v>
      </c>
      <c r="N5" s="805">
        <v>7.5</v>
      </c>
      <c r="O5" s="805">
        <v>0.0</v>
      </c>
      <c r="P5" s="805">
        <v>1.5</v>
      </c>
      <c r="Q5" s="805">
        <v>0.0</v>
      </c>
      <c r="R5" s="805">
        <v>3.0</v>
      </c>
      <c r="S5" s="805">
        <v>3.0</v>
      </c>
      <c r="T5" s="805">
        <v>1.5</v>
      </c>
      <c r="U5" s="679">
        <v>4.5</v>
      </c>
      <c r="V5" s="679">
        <v>0.12</v>
      </c>
      <c r="W5" s="679">
        <v>1.5</v>
      </c>
      <c r="X5" s="679">
        <v>5.0</v>
      </c>
      <c r="Y5" s="679">
        <v>0.0</v>
      </c>
      <c r="Z5" s="679">
        <v>1.5</v>
      </c>
      <c r="AA5" s="679">
        <v>3.0</v>
      </c>
      <c r="AB5" s="679">
        <v>1.5</v>
      </c>
      <c r="AC5" s="679">
        <v>3.0</v>
      </c>
      <c r="AD5" s="679">
        <v>0.0</v>
      </c>
      <c r="AE5" s="679">
        <v>10.0</v>
      </c>
      <c r="AF5" s="679">
        <v>7.5</v>
      </c>
      <c r="AG5" s="751">
        <f t="shared" si="1"/>
        <v>181.14</v>
      </c>
      <c r="AH5" s="923">
        <v>181.14</v>
      </c>
      <c r="AI5" s="924" t="b">
        <f t="shared" si="2"/>
        <v>1</v>
      </c>
      <c r="AJ5" s="38"/>
      <c r="AK5" s="923"/>
      <c r="AM5" s="428"/>
      <c r="AP5" s="175" t="s">
        <v>102</v>
      </c>
      <c r="AQ5" s="176"/>
      <c r="AR5" s="177"/>
      <c r="AS5" s="467"/>
      <c r="AT5" s="467">
        <f>SUM(valuesByColor("yellow", "", B3:AF16))</f>
        <v>1081.86</v>
      </c>
      <c r="AU5" s="178">
        <f t="shared" si="3"/>
        <v>411.1068</v>
      </c>
      <c r="AV5" s="248">
        <f t="shared" si="4"/>
        <v>51.38835</v>
      </c>
      <c r="AW5" s="248"/>
      <c r="AX5" s="248">
        <f t="shared" si="5"/>
        <v>0</v>
      </c>
      <c r="AY5" s="248">
        <f t="shared" si="6"/>
        <v>0</v>
      </c>
      <c r="AZ5" s="249"/>
    </row>
    <row r="6" ht="27.0" customHeight="1">
      <c r="A6" s="773" t="s">
        <v>3</v>
      </c>
      <c r="B6" s="849"/>
      <c r="C6" s="906">
        <v>1.5</v>
      </c>
      <c r="D6" s="906"/>
      <c r="E6" s="906">
        <v>5.76</v>
      </c>
      <c r="F6" s="906">
        <v>18.97</v>
      </c>
      <c r="G6" s="906"/>
      <c r="H6" s="906"/>
      <c r="I6" s="771"/>
      <c r="J6" s="771">
        <v>4.78</v>
      </c>
      <c r="K6" s="771">
        <v>20.96</v>
      </c>
      <c r="L6" s="771">
        <v>15.32</v>
      </c>
      <c r="M6" s="771"/>
      <c r="N6" s="771"/>
      <c r="O6" s="771">
        <v>15.76</v>
      </c>
      <c r="P6" s="771"/>
      <c r="Q6" s="771">
        <v>15.26</v>
      </c>
      <c r="R6" s="771">
        <v>1.64</v>
      </c>
      <c r="S6" s="771"/>
      <c r="T6" s="771">
        <v>10.82</v>
      </c>
      <c r="U6" s="748">
        <v>15.58</v>
      </c>
      <c r="V6" s="748">
        <v>0.42</v>
      </c>
      <c r="W6" s="748"/>
      <c r="X6" s="748"/>
      <c r="Y6" s="748"/>
      <c r="Z6" s="748">
        <v>57.58</v>
      </c>
      <c r="AA6" s="748">
        <v>1.5</v>
      </c>
      <c r="AB6" s="748">
        <v>68.86</v>
      </c>
      <c r="AC6" s="748">
        <v>8.26</v>
      </c>
      <c r="AD6" s="748"/>
      <c r="AE6" s="748">
        <v>10.86</v>
      </c>
      <c r="AF6" s="748">
        <v>26.68</v>
      </c>
      <c r="AG6" s="751">
        <f t="shared" si="1"/>
        <v>300.51</v>
      </c>
      <c r="AH6" s="925">
        <v>300.51</v>
      </c>
      <c r="AI6" s="924" t="b">
        <f t="shared" si="2"/>
        <v>1</v>
      </c>
      <c r="AJ6" s="38"/>
      <c r="AK6" s="925"/>
      <c r="AP6" s="252" t="s">
        <v>158</v>
      </c>
      <c r="AQ6" s="176"/>
      <c r="AR6" s="177"/>
      <c r="AS6" s="474"/>
      <c r="AT6" s="474">
        <f>SUM(valuesByColor("cyan", "", B3:AF16))</f>
        <v>344.49</v>
      </c>
      <c r="AU6" s="253">
        <f t="shared" si="3"/>
        <v>30.9062</v>
      </c>
      <c r="AV6" s="254">
        <f t="shared" si="4"/>
        <v>16.363275</v>
      </c>
      <c r="AW6" s="254"/>
      <c r="AX6" s="254">
        <f t="shared" si="5"/>
        <v>0</v>
      </c>
      <c r="AY6" s="254">
        <f t="shared" si="6"/>
        <v>0</v>
      </c>
      <c r="AZ6" s="255">
        <v>100.0</v>
      </c>
    </row>
    <row r="7" ht="29.25" customHeight="1">
      <c r="A7" s="758" t="s">
        <v>126</v>
      </c>
      <c r="B7" s="898">
        <v>4.5</v>
      </c>
      <c r="C7" s="909">
        <v>0.0</v>
      </c>
      <c r="D7" s="909">
        <v>1.5</v>
      </c>
      <c r="E7" s="909">
        <v>3.0</v>
      </c>
      <c r="F7" s="909">
        <v>0.0</v>
      </c>
      <c r="G7" s="909">
        <v>6.0</v>
      </c>
      <c r="H7" s="909">
        <v>1.5</v>
      </c>
      <c r="I7" s="886">
        <v>0.0</v>
      </c>
      <c r="J7" s="886">
        <v>1.5</v>
      </c>
      <c r="K7" s="886">
        <v>3.0</v>
      </c>
      <c r="L7" s="886">
        <v>0.0</v>
      </c>
      <c r="M7" s="886">
        <v>0.0</v>
      </c>
      <c r="N7" s="886">
        <v>1.5</v>
      </c>
      <c r="O7" s="886">
        <v>0.0</v>
      </c>
      <c r="P7" s="886">
        <v>1.5</v>
      </c>
      <c r="Q7" s="886">
        <v>0.0</v>
      </c>
      <c r="R7" s="886">
        <v>0.0</v>
      </c>
      <c r="S7" s="886">
        <v>0.0</v>
      </c>
      <c r="T7" s="886">
        <v>0.0</v>
      </c>
      <c r="U7" s="864">
        <v>1.5</v>
      </c>
      <c r="V7" s="864">
        <v>3.0</v>
      </c>
      <c r="W7" s="864">
        <v>1.5</v>
      </c>
      <c r="X7" s="864">
        <v>0.0</v>
      </c>
      <c r="Y7" s="864">
        <v>3.0</v>
      </c>
      <c r="Z7" s="864">
        <v>6.0</v>
      </c>
      <c r="AA7" s="864">
        <v>1.5</v>
      </c>
      <c r="AB7" s="864">
        <v>4.5</v>
      </c>
      <c r="AC7" s="864">
        <v>0.0</v>
      </c>
      <c r="AD7" s="864">
        <v>3.0</v>
      </c>
      <c r="AE7" s="864">
        <v>0.0</v>
      </c>
      <c r="AF7" s="864">
        <v>0.0</v>
      </c>
      <c r="AG7" s="751">
        <f t="shared" si="1"/>
        <v>48</v>
      </c>
      <c r="AH7" s="923">
        <v>48.0</v>
      </c>
      <c r="AI7" s="924" t="b">
        <f t="shared" si="2"/>
        <v>1</v>
      </c>
      <c r="AJ7" s="38"/>
      <c r="AK7" s="923"/>
      <c r="AL7" s="38"/>
      <c r="AM7" s="38"/>
      <c r="AN7" s="38"/>
      <c r="AP7" s="188" t="s">
        <v>151</v>
      </c>
      <c r="AQ7" s="176"/>
      <c r="AR7" s="177"/>
      <c r="AS7" s="481"/>
      <c r="AT7" s="481">
        <f>SUM(valuesByColor("#f09090", "", B3:AF16))</f>
        <v>979.65</v>
      </c>
      <c r="AU7" s="189">
        <f t="shared" si="3"/>
        <v>372.267</v>
      </c>
      <c r="AV7" s="256">
        <f t="shared" si="4"/>
        <v>46.533375</v>
      </c>
      <c r="AW7" s="256"/>
      <c r="AX7" s="482">
        <f t="shared" si="5"/>
        <v>0</v>
      </c>
      <c r="AY7" s="482">
        <f t="shared" si="6"/>
        <v>0</v>
      </c>
      <c r="AZ7" s="257"/>
    </row>
    <row r="8" ht="29.25" customHeight="1">
      <c r="A8" s="747" t="s">
        <v>84</v>
      </c>
      <c r="B8" s="911">
        <v>21.0</v>
      </c>
      <c r="C8" s="912">
        <v>9.42</v>
      </c>
      <c r="D8" s="912">
        <v>12.0</v>
      </c>
      <c r="E8" s="912">
        <v>4.5</v>
      </c>
      <c r="F8" s="912">
        <v>16.5</v>
      </c>
      <c r="G8" s="912">
        <v>4.5</v>
      </c>
      <c r="H8" s="912">
        <v>7.5</v>
      </c>
      <c r="I8" s="679">
        <v>6.0</v>
      </c>
      <c r="J8" s="679">
        <v>0.0</v>
      </c>
      <c r="K8" s="679">
        <v>12.3</v>
      </c>
      <c r="L8" s="679">
        <v>6.0</v>
      </c>
      <c r="M8" s="679">
        <v>0.0</v>
      </c>
      <c r="N8" s="679">
        <v>3.0</v>
      </c>
      <c r="O8" s="679">
        <v>3.0</v>
      </c>
      <c r="P8" s="679">
        <v>3.0</v>
      </c>
      <c r="Q8" s="679">
        <v>0.0</v>
      </c>
      <c r="R8" s="679">
        <v>0.0</v>
      </c>
      <c r="S8" s="679">
        <v>4.94</v>
      </c>
      <c r="T8" s="679">
        <v>0.0</v>
      </c>
      <c r="U8" s="679">
        <v>12.19</v>
      </c>
      <c r="V8" s="679">
        <v>1.5</v>
      </c>
      <c r="W8" s="679">
        <v>3.0</v>
      </c>
      <c r="X8" s="679">
        <v>1.5</v>
      </c>
      <c r="Y8" s="679">
        <v>1.5</v>
      </c>
      <c r="Z8" s="679">
        <v>6.0</v>
      </c>
      <c r="AA8" s="679">
        <v>6.0</v>
      </c>
      <c r="AB8" s="679">
        <v>0.0</v>
      </c>
      <c r="AC8" s="679">
        <v>6.0</v>
      </c>
      <c r="AD8" s="679">
        <v>4.5</v>
      </c>
      <c r="AE8" s="679">
        <v>6.0</v>
      </c>
      <c r="AF8" s="679">
        <v>1.5</v>
      </c>
      <c r="AG8" s="861">
        <f t="shared" si="1"/>
        <v>163.35</v>
      </c>
      <c r="AH8" s="923">
        <v>163.35</v>
      </c>
      <c r="AI8" s="924" t="b">
        <f t="shared" si="2"/>
        <v>1</v>
      </c>
      <c r="AJ8" s="38"/>
      <c r="AK8" s="923"/>
      <c r="AL8" s="38"/>
      <c r="AM8" s="38"/>
      <c r="AN8" s="38"/>
      <c r="AP8" s="263"/>
      <c r="AQ8" s="176"/>
      <c r="AR8" s="177"/>
      <c r="AS8" s="808"/>
      <c r="AT8" s="808">
        <f>SUM(valuesByColor("magenta", "", B3:AF16))</f>
        <v>0</v>
      </c>
      <c r="AU8" s="264">
        <f t="shared" si="3"/>
        <v>0</v>
      </c>
      <c r="AV8" s="265">
        <f t="shared" si="4"/>
        <v>0</v>
      </c>
      <c r="AW8" s="265"/>
      <c r="AX8" s="489">
        <f t="shared" si="5"/>
        <v>0</v>
      </c>
      <c r="AY8" s="489">
        <f t="shared" si="6"/>
        <v>0</v>
      </c>
      <c r="AZ8" s="266"/>
    </row>
    <row r="9" ht="29.25" customHeight="1">
      <c r="A9" s="747" t="s">
        <v>111</v>
      </c>
      <c r="B9" s="855">
        <v>16.0</v>
      </c>
      <c r="C9" s="908">
        <v>13.5</v>
      </c>
      <c r="D9" s="908">
        <v>18.18</v>
      </c>
      <c r="E9" s="908">
        <v>22.12</v>
      </c>
      <c r="F9" s="908">
        <v>15.28</v>
      </c>
      <c r="G9" s="908">
        <v>12.0</v>
      </c>
      <c r="H9" s="908">
        <v>25.82</v>
      </c>
      <c r="I9" s="793">
        <v>23.5</v>
      </c>
      <c r="J9" s="793">
        <v>63.56</v>
      </c>
      <c r="K9" s="793">
        <v>57.2</v>
      </c>
      <c r="L9" s="793">
        <v>29.66</v>
      </c>
      <c r="M9" s="793">
        <v>35.22</v>
      </c>
      <c r="N9" s="793">
        <v>27.62</v>
      </c>
      <c r="O9" s="793">
        <v>23.32</v>
      </c>
      <c r="P9" s="793">
        <v>1.5</v>
      </c>
      <c r="Q9" s="793">
        <v>8.06</v>
      </c>
      <c r="R9" s="793">
        <v>3.0</v>
      </c>
      <c r="S9" s="793">
        <v>6.0</v>
      </c>
      <c r="T9" s="793">
        <v>33.42</v>
      </c>
      <c r="U9" s="793">
        <v>20.5</v>
      </c>
      <c r="V9" s="793">
        <v>26.48</v>
      </c>
      <c r="W9" s="793">
        <v>57.86</v>
      </c>
      <c r="X9" s="793">
        <v>24.0</v>
      </c>
      <c r="Y9" s="793">
        <v>16.5</v>
      </c>
      <c r="Z9" s="793">
        <v>23.76</v>
      </c>
      <c r="AA9" s="793">
        <v>40.4</v>
      </c>
      <c r="AB9" s="793">
        <v>45.0</v>
      </c>
      <c r="AC9" s="793">
        <v>48.74</v>
      </c>
      <c r="AD9" s="793">
        <v>45.86</v>
      </c>
      <c r="AE9" s="793">
        <v>44.11</v>
      </c>
      <c r="AF9" s="793">
        <v>26.1</v>
      </c>
      <c r="AG9" s="751">
        <f t="shared" si="1"/>
        <v>854.27</v>
      </c>
      <c r="AH9" s="923">
        <v>854.27</v>
      </c>
      <c r="AI9" s="924" t="b">
        <f t="shared" si="2"/>
        <v>1</v>
      </c>
      <c r="AJ9" s="38"/>
      <c r="AK9" s="923"/>
      <c r="AL9" s="38"/>
      <c r="AM9" s="38"/>
      <c r="AN9" s="38"/>
      <c r="AP9" s="195" t="s">
        <v>159</v>
      </c>
      <c r="AQ9" s="176"/>
      <c r="AR9" s="177"/>
      <c r="AS9" s="493"/>
      <c r="AT9" s="493">
        <f>SUM(valuesByColor("#0070c0", "", B3:AF16))</f>
        <v>64.62</v>
      </c>
      <c r="AU9" s="196">
        <f t="shared" si="3"/>
        <v>24.5556</v>
      </c>
      <c r="AV9" s="267">
        <f t="shared" si="4"/>
        <v>3.06945</v>
      </c>
      <c r="AW9" s="267"/>
      <c r="AX9" s="494">
        <f t="shared" si="5"/>
        <v>0</v>
      </c>
      <c r="AY9" s="494">
        <f t="shared" si="6"/>
        <v>0</v>
      </c>
      <c r="AZ9" s="268"/>
    </row>
    <row r="10" ht="29.25" customHeight="1">
      <c r="A10" s="758" t="s">
        <v>156</v>
      </c>
      <c r="B10" s="867">
        <v>0.0</v>
      </c>
      <c r="C10" s="905">
        <v>0.0</v>
      </c>
      <c r="D10" s="905">
        <v>0.0</v>
      </c>
      <c r="E10" s="905">
        <v>0.0</v>
      </c>
      <c r="F10" s="905">
        <v>0.0</v>
      </c>
      <c r="G10" s="905">
        <v>0.0</v>
      </c>
      <c r="H10" s="905">
        <v>0.0</v>
      </c>
      <c r="I10" s="866">
        <v>0.0</v>
      </c>
      <c r="J10" s="866">
        <v>0.0</v>
      </c>
      <c r="K10" s="866">
        <v>0.0</v>
      </c>
      <c r="L10" s="866">
        <v>0.0</v>
      </c>
      <c r="M10" s="866">
        <v>0.0</v>
      </c>
      <c r="N10" s="866">
        <v>0.0</v>
      </c>
      <c r="O10" s="866">
        <v>0.0</v>
      </c>
      <c r="P10" s="866">
        <v>0.0</v>
      </c>
      <c r="Q10" s="866">
        <v>0.0</v>
      </c>
      <c r="R10" s="866">
        <v>0.0</v>
      </c>
      <c r="S10" s="866">
        <v>0.0</v>
      </c>
      <c r="T10" s="866">
        <v>0.0</v>
      </c>
      <c r="U10" s="837">
        <v>0.0</v>
      </c>
      <c r="V10" s="837">
        <v>0.0</v>
      </c>
      <c r="W10" s="837">
        <v>0.0</v>
      </c>
      <c r="X10" s="837">
        <v>0.0</v>
      </c>
      <c r="Y10" s="837">
        <v>0.0</v>
      </c>
      <c r="Z10" s="837">
        <v>0.0</v>
      </c>
      <c r="AA10" s="837">
        <v>0.0</v>
      </c>
      <c r="AB10" s="837">
        <v>0.0</v>
      </c>
      <c r="AC10" s="837">
        <v>0.0</v>
      </c>
      <c r="AD10" s="837">
        <v>0.0</v>
      </c>
      <c r="AE10" s="837">
        <v>0.0</v>
      </c>
      <c r="AF10" s="837">
        <v>0.0</v>
      </c>
      <c r="AG10" s="751">
        <f t="shared" si="1"/>
        <v>0</v>
      </c>
      <c r="AH10" s="923">
        <v>0.0</v>
      </c>
      <c r="AI10" s="924" t="b">
        <f t="shared" si="2"/>
        <v>1</v>
      </c>
      <c r="AJ10" s="38"/>
      <c r="AK10" s="923"/>
      <c r="AL10" s="38"/>
      <c r="AM10" s="38"/>
      <c r="AN10" s="38"/>
      <c r="AP10" s="201" t="s">
        <v>75</v>
      </c>
      <c r="AQ10" s="176"/>
      <c r="AR10" s="177"/>
      <c r="AS10" s="503"/>
      <c r="AT10" s="503">
        <f>SUM(valuesByColor("#ec7c31", "", B3:AF16))</f>
        <v>349.95</v>
      </c>
      <c r="AU10" s="202">
        <f t="shared" si="3"/>
        <v>132.981</v>
      </c>
      <c r="AV10" s="269">
        <f t="shared" si="4"/>
        <v>16.622625</v>
      </c>
      <c r="AW10" s="269"/>
      <c r="AX10" s="504">
        <f t="shared" si="5"/>
        <v>0</v>
      </c>
      <c r="AY10" s="504">
        <f t="shared" si="6"/>
        <v>0</v>
      </c>
      <c r="AZ10" s="270"/>
    </row>
    <row r="11" ht="29.25" customHeight="1">
      <c r="A11" s="758" t="s">
        <v>99</v>
      </c>
      <c r="B11" s="867">
        <v>0.0</v>
      </c>
      <c r="C11" s="905">
        <v>0.0</v>
      </c>
      <c r="D11" s="926">
        <v>3.0</v>
      </c>
      <c r="E11" s="905">
        <v>0.0</v>
      </c>
      <c r="F11" s="905">
        <v>0.0</v>
      </c>
      <c r="G11" s="905">
        <v>0.0</v>
      </c>
      <c r="H11" s="905">
        <v>0.0</v>
      </c>
      <c r="I11" s="837">
        <v>0.0</v>
      </c>
      <c r="J11" s="837">
        <v>0.0</v>
      </c>
      <c r="K11" s="837">
        <v>0.0</v>
      </c>
      <c r="L11" s="837">
        <v>0.0</v>
      </c>
      <c r="M11" s="837">
        <v>0.0</v>
      </c>
      <c r="N11" s="837">
        <v>0.0</v>
      </c>
      <c r="O11" s="837">
        <v>0.0</v>
      </c>
      <c r="P11" s="837">
        <v>0.0</v>
      </c>
      <c r="Q11" s="837">
        <v>0.0</v>
      </c>
      <c r="R11" s="837">
        <v>0.0</v>
      </c>
      <c r="S11" s="837">
        <v>0.0</v>
      </c>
      <c r="T11" s="837">
        <v>0.0</v>
      </c>
      <c r="U11" s="837">
        <v>0.0</v>
      </c>
      <c r="V11" s="837">
        <v>0.0</v>
      </c>
      <c r="W11" s="837">
        <v>0.0</v>
      </c>
      <c r="X11" s="837">
        <v>0.0</v>
      </c>
      <c r="Y11" s="837">
        <v>0.0</v>
      </c>
      <c r="Z11" s="837">
        <v>0.0</v>
      </c>
      <c r="AA11" s="837">
        <v>0.0</v>
      </c>
      <c r="AB11" s="837">
        <v>0.0</v>
      </c>
      <c r="AC11" s="837">
        <v>0.0</v>
      </c>
      <c r="AD11" s="837">
        <v>0.0</v>
      </c>
      <c r="AE11" s="837">
        <v>0.0</v>
      </c>
      <c r="AF11" s="837">
        <v>0.0</v>
      </c>
      <c r="AG11" s="751">
        <f t="shared" si="1"/>
        <v>3</v>
      </c>
      <c r="AH11" s="923">
        <v>3.0</v>
      </c>
      <c r="AI11" s="924" t="b">
        <f t="shared" si="2"/>
        <v>1</v>
      </c>
      <c r="AJ11" s="38"/>
      <c r="AK11" s="923"/>
      <c r="AL11" s="38"/>
      <c r="AM11" s="38"/>
      <c r="AN11" s="38"/>
      <c r="AP11" s="810"/>
      <c r="AQ11" s="176"/>
      <c r="AR11" s="177"/>
      <c r="AS11" s="827"/>
      <c r="AT11" s="827">
        <f>SUM(valuesByColor("#911553", "", B3:AF16))</f>
        <v>0</v>
      </c>
      <c r="AU11" s="828">
        <f t="shared" si="3"/>
        <v>0</v>
      </c>
      <c r="AV11" s="829">
        <f t="shared" si="4"/>
        <v>0</v>
      </c>
      <c r="AW11" s="814"/>
      <c r="AX11" s="815">
        <v>0.0</v>
      </c>
      <c r="AY11" s="815">
        <v>0.0</v>
      </c>
      <c r="AZ11" s="274"/>
    </row>
    <row r="12" ht="29.25" customHeight="1">
      <c r="A12" s="758" t="s">
        <v>157</v>
      </c>
      <c r="B12" s="867">
        <v>0.0</v>
      </c>
      <c r="C12" s="905">
        <v>0.0</v>
      </c>
      <c r="D12" s="905">
        <v>0.0</v>
      </c>
      <c r="E12" s="905">
        <v>0.0</v>
      </c>
      <c r="F12" s="905">
        <v>0.0</v>
      </c>
      <c r="G12" s="905">
        <v>0.0</v>
      </c>
      <c r="H12" s="905">
        <v>0.0</v>
      </c>
      <c r="I12" s="866">
        <v>0.0</v>
      </c>
      <c r="J12" s="866">
        <v>0.0</v>
      </c>
      <c r="K12" s="820">
        <v>1.5</v>
      </c>
      <c r="L12" s="820">
        <v>3.0</v>
      </c>
      <c r="M12" s="866">
        <v>0.0</v>
      </c>
      <c r="N12" s="866">
        <v>0.0</v>
      </c>
      <c r="O12" s="866">
        <v>0.0</v>
      </c>
      <c r="P12" s="866">
        <v>0.0</v>
      </c>
      <c r="Q12" s="866">
        <v>0.0</v>
      </c>
      <c r="R12" s="866">
        <v>0.0</v>
      </c>
      <c r="S12" s="866">
        <v>0.0</v>
      </c>
      <c r="T12" s="866">
        <v>0.0</v>
      </c>
      <c r="U12" s="837">
        <v>0.0</v>
      </c>
      <c r="V12" s="837">
        <v>0.0</v>
      </c>
      <c r="W12" s="837">
        <v>0.0</v>
      </c>
      <c r="X12" s="837">
        <v>0.0</v>
      </c>
      <c r="Y12" s="837">
        <v>0.0</v>
      </c>
      <c r="Z12" s="837">
        <v>0.0</v>
      </c>
      <c r="AA12" s="837">
        <v>0.0</v>
      </c>
      <c r="AB12" s="837">
        <v>0.0</v>
      </c>
      <c r="AC12" s="837">
        <v>0.0</v>
      </c>
      <c r="AD12" s="837">
        <v>0.0</v>
      </c>
      <c r="AE12" s="837">
        <v>0.0</v>
      </c>
      <c r="AF12" s="837">
        <v>0.0</v>
      </c>
      <c r="AG12" s="751">
        <f t="shared" si="1"/>
        <v>4.5</v>
      </c>
      <c r="AH12" s="923">
        <v>4.5</v>
      </c>
      <c r="AI12" s="924" t="b">
        <f t="shared" si="2"/>
        <v>1</v>
      </c>
      <c r="AJ12" s="38"/>
      <c r="AK12" s="923"/>
      <c r="AL12" s="38"/>
      <c r="AM12" s="38"/>
      <c r="AN12" s="38"/>
      <c r="AP12" s="277"/>
      <c r="AQ12" s="176"/>
      <c r="AR12" s="177"/>
      <c r="AS12" s="518"/>
      <c r="AT12" s="518">
        <f>SUM(valuesByColor("lime", "", B3:AF16))</f>
        <v>0</v>
      </c>
      <c r="AU12" s="278">
        <f t="shared" si="3"/>
        <v>0</v>
      </c>
      <c r="AV12" s="279">
        <f t="shared" si="4"/>
        <v>0</v>
      </c>
      <c r="AW12" s="279"/>
      <c r="AX12" s="519">
        <f t="shared" ref="AX12:AX14" si="7">(AW12*(1-0.05))*(1-0.9)</f>
        <v>0</v>
      </c>
      <c r="AY12" s="519">
        <f t="shared" ref="AY12:AY14" si="8">(AW12*(1-0.05))*(1-0.95)</f>
        <v>0</v>
      </c>
      <c r="AZ12" s="280"/>
    </row>
    <row r="13" ht="29.25" customHeight="1">
      <c r="A13" s="838" t="s">
        <v>124</v>
      </c>
      <c r="B13" s="867">
        <v>0.0</v>
      </c>
      <c r="C13" s="905">
        <v>0.0</v>
      </c>
      <c r="D13" s="905">
        <v>0.0</v>
      </c>
      <c r="E13" s="926">
        <v>1.5</v>
      </c>
      <c r="F13" s="926">
        <v>3.0</v>
      </c>
      <c r="G13" s="926">
        <v>0.0</v>
      </c>
      <c r="H13" s="926">
        <v>0.0</v>
      </c>
      <c r="I13" s="806">
        <v>0.0</v>
      </c>
      <c r="J13" s="806">
        <v>10.5</v>
      </c>
      <c r="K13" s="806">
        <v>9.0</v>
      </c>
      <c r="L13" s="806">
        <v>12.0</v>
      </c>
      <c r="M13" s="806">
        <v>10.5</v>
      </c>
      <c r="N13" s="806">
        <v>3.0</v>
      </c>
      <c r="O13" s="806">
        <v>0.0</v>
      </c>
      <c r="P13" s="806">
        <v>6.0</v>
      </c>
      <c r="Q13" s="806">
        <v>0.0</v>
      </c>
      <c r="R13" s="806">
        <v>0.0</v>
      </c>
      <c r="S13" s="806">
        <v>0.0</v>
      </c>
      <c r="T13" s="806">
        <v>0.0</v>
      </c>
      <c r="U13" s="532">
        <v>0.0</v>
      </c>
      <c r="V13" s="532">
        <v>0.0</v>
      </c>
      <c r="W13" s="532">
        <v>1.5</v>
      </c>
      <c r="X13" s="532">
        <v>1.5</v>
      </c>
      <c r="Y13" s="532">
        <v>1.5</v>
      </c>
      <c r="Z13" s="532">
        <v>0.0</v>
      </c>
      <c r="AA13" s="532">
        <v>1.62</v>
      </c>
      <c r="AB13" s="837">
        <v>0.0</v>
      </c>
      <c r="AC13" s="837">
        <v>0.0</v>
      </c>
      <c r="AD13" s="837">
        <v>0.0</v>
      </c>
      <c r="AE13" s="837">
        <v>0.0</v>
      </c>
      <c r="AF13" s="837">
        <v>0.0</v>
      </c>
      <c r="AG13" s="751">
        <f t="shared" si="1"/>
        <v>61.62</v>
      </c>
      <c r="AH13" s="891">
        <v>61.62</v>
      </c>
      <c r="AI13" s="924" t="b">
        <f t="shared" si="2"/>
        <v>1</v>
      </c>
      <c r="AJ13" s="38"/>
      <c r="AK13" s="923"/>
      <c r="AL13" s="38"/>
      <c r="AM13" s="38"/>
      <c r="AN13" s="38"/>
      <c r="AP13" s="668"/>
      <c r="AQ13" s="176"/>
      <c r="AR13" s="177"/>
      <c r="AS13" s="669"/>
      <c r="AT13" s="669">
        <f>SUM(valuesByColor("#7a00ff", "", B3:AF16))</f>
        <v>0</v>
      </c>
      <c r="AU13" s="670">
        <f t="shared" si="3"/>
        <v>0</v>
      </c>
      <c r="AV13" s="671">
        <f t="shared" si="4"/>
        <v>0</v>
      </c>
      <c r="AW13" s="671"/>
      <c r="AX13" s="672">
        <f t="shared" si="7"/>
        <v>0</v>
      </c>
      <c r="AY13" s="672">
        <f t="shared" si="8"/>
        <v>0</v>
      </c>
      <c r="AZ13" s="673"/>
    </row>
    <row r="14" ht="29.25" customHeight="1">
      <c r="A14" s="758" t="s">
        <v>53</v>
      </c>
      <c r="B14" s="867">
        <v>0.0</v>
      </c>
      <c r="C14" s="905">
        <v>0.0</v>
      </c>
      <c r="D14" s="905">
        <v>0.0</v>
      </c>
      <c r="E14" s="906">
        <v>1.92</v>
      </c>
      <c r="F14" s="906">
        <v>25.62</v>
      </c>
      <c r="G14" s="906">
        <v>1.5</v>
      </c>
      <c r="H14" s="844">
        <v>9.0</v>
      </c>
      <c r="I14" s="820">
        <v>10.2</v>
      </c>
      <c r="J14" s="820">
        <v>1.5</v>
      </c>
      <c r="K14" s="820">
        <v>1.5</v>
      </c>
      <c r="L14" s="820">
        <v>0.0</v>
      </c>
      <c r="M14" s="820">
        <v>9.0</v>
      </c>
      <c r="N14" s="820">
        <v>1.5</v>
      </c>
      <c r="O14" s="820">
        <v>0.0</v>
      </c>
      <c r="P14" s="820">
        <v>1.5</v>
      </c>
      <c r="Q14" s="820">
        <v>0.0</v>
      </c>
      <c r="R14" s="820">
        <v>0.0</v>
      </c>
      <c r="S14" s="820">
        <v>1.5</v>
      </c>
      <c r="T14" s="820">
        <v>0.0</v>
      </c>
      <c r="U14" s="807">
        <v>7.5</v>
      </c>
      <c r="V14" s="807">
        <v>0.0</v>
      </c>
      <c r="W14" s="807">
        <v>0.0</v>
      </c>
      <c r="X14" s="807">
        <v>1.5</v>
      </c>
      <c r="Y14" s="807">
        <v>4.5</v>
      </c>
      <c r="Z14" s="807">
        <v>0.0</v>
      </c>
      <c r="AA14" s="807">
        <v>3.0</v>
      </c>
      <c r="AB14" s="807">
        <v>6.42</v>
      </c>
      <c r="AC14" s="807">
        <v>6.0</v>
      </c>
      <c r="AD14" s="807">
        <v>1.5</v>
      </c>
      <c r="AE14" s="807">
        <v>3.0</v>
      </c>
      <c r="AF14" s="807">
        <v>1.5</v>
      </c>
      <c r="AG14" s="751">
        <f t="shared" si="1"/>
        <v>99.66</v>
      </c>
      <c r="AH14" s="923">
        <v>99.66</v>
      </c>
      <c r="AI14" s="924" t="b">
        <f t="shared" si="2"/>
        <v>1</v>
      </c>
      <c r="AJ14" s="38"/>
      <c r="AK14" s="923"/>
      <c r="AL14" s="38"/>
      <c r="AM14" s="38"/>
      <c r="AN14" s="38"/>
      <c r="AP14" s="874" t="s">
        <v>152</v>
      </c>
      <c r="AQ14" s="176"/>
      <c r="AR14" s="177"/>
      <c r="AS14" s="895"/>
      <c r="AT14" s="895">
        <f>SUM(valuesByColor("#6089ff", "", B3:AF16))</f>
        <v>48</v>
      </c>
      <c r="AU14" s="896">
        <f t="shared" si="3"/>
        <v>18.24</v>
      </c>
      <c r="AV14" s="897">
        <f t="shared" si="4"/>
        <v>2.28</v>
      </c>
      <c r="AW14" s="897"/>
      <c r="AX14" s="876">
        <f t="shared" si="7"/>
        <v>0</v>
      </c>
      <c r="AY14" s="876">
        <f t="shared" si="8"/>
        <v>0</v>
      </c>
      <c r="AZ14" s="387"/>
    </row>
    <row r="15" ht="29.25" customHeight="1">
      <c r="A15" s="758" t="s">
        <v>127</v>
      </c>
      <c r="B15" s="823"/>
      <c r="C15" s="755"/>
      <c r="D15" s="755"/>
      <c r="E15" s="755"/>
      <c r="F15" s="755"/>
      <c r="G15" s="755"/>
      <c r="H15" s="755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93">
        <v>16.9</v>
      </c>
      <c r="X15" s="793">
        <v>1.5</v>
      </c>
      <c r="Y15" s="793">
        <v>0.0</v>
      </c>
      <c r="Z15" s="793">
        <v>4.5</v>
      </c>
      <c r="AA15" s="793">
        <v>6.0</v>
      </c>
      <c r="AB15" s="748">
        <v>20.4</v>
      </c>
      <c r="AC15" s="793">
        <v>44.08</v>
      </c>
      <c r="AD15" s="793">
        <v>9.88</v>
      </c>
      <c r="AE15" s="793">
        <v>12.2</v>
      </c>
      <c r="AF15" s="793">
        <v>30.32</v>
      </c>
      <c r="AG15" s="751">
        <f t="shared" si="1"/>
        <v>145.78</v>
      </c>
      <c r="AH15" s="923">
        <v>145.78</v>
      </c>
      <c r="AI15" s="924" t="b">
        <f t="shared" si="2"/>
        <v>1</v>
      </c>
      <c r="AJ15" s="38"/>
      <c r="AK15" s="923"/>
      <c r="AL15" s="38"/>
      <c r="AM15" s="38"/>
      <c r="AN15" s="38"/>
      <c r="AS15" s="865"/>
      <c r="AT15" s="527">
        <f>SUM(AT4:AT14)</f>
        <v>2986.79</v>
      </c>
      <c r="AU15" s="38"/>
      <c r="AV15" s="220">
        <f>SUM(AV4:AV14)</f>
        <v>141.872525</v>
      </c>
    </row>
    <row r="16" ht="29.25" customHeight="1">
      <c r="A16" s="758" t="s">
        <v>97</v>
      </c>
      <c r="B16" s="853">
        <v>45.0</v>
      </c>
      <c r="C16" s="824">
        <v>13.5</v>
      </c>
      <c r="D16" s="824">
        <v>18.0</v>
      </c>
      <c r="E16" s="824">
        <v>33.0</v>
      </c>
      <c r="F16" s="824">
        <v>30.0</v>
      </c>
      <c r="G16" s="824">
        <v>16.5</v>
      </c>
      <c r="H16" s="824">
        <v>9.0</v>
      </c>
      <c r="I16" s="680">
        <v>36.0</v>
      </c>
      <c r="J16" s="680">
        <v>33.0</v>
      </c>
      <c r="K16" s="680">
        <v>15.0</v>
      </c>
      <c r="L16" s="680">
        <v>78.0</v>
      </c>
      <c r="M16" s="680">
        <v>12.0</v>
      </c>
      <c r="N16" s="680">
        <v>48.0</v>
      </c>
      <c r="O16" s="680">
        <v>36.0</v>
      </c>
      <c r="P16" s="680">
        <v>28.5</v>
      </c>
      <c r="Q16" s="680">
        <v>30.0</v>
      </c>
      <c r="R16" s="680">
        <v>40.5</v>
      </c>
      <c r="S16" s="680">
        <v>88.5</v>
      </c>
      <c r="T16" s="680">
        <v>93.12</v>
      </c>
      <c r="U16" s="680">
        <v>24.0</v>
      </c>
      <c r="V16" s="680">
        <v>31.5</v>
      </c>
      <c r="W16" s="680">
        <v>46.5</v>
      </c>
      <c r="X16" s="680">
        <v>19.74</v>
      </c>
      <c r="Y16" s="680">
        <v>21.0</v>
      </c>
      <c r="Z16" s="680">
        <v>43.5</v>
      </c>
      <c r="AA16" s="680">
        <v>40.5</v>
      </c>
      <c r="AB16" s="680">
        <v>22.5</v>
      </c>
      <c r="AC16" s="680">
        <v>18.0</v>
      </c>
      <c r="AD16" s="680">
        <v>39.0</v>
      </c>
      <c r="AE16" s="680">
        <v>48.0</v>
      </c>
      <c r="AF16" s="680">
        <v>24.0</v>
      </c>
      <c r="AG16" s="751">
        <f t="shared" si="1"/>
        <v>1081.86</v>
      </c>
      <c r="AH16" s="891"/>
      <c r="AI16" s="924" t="b">
        <f t="shared" si="2"/>
        <v>0</v>
      </c>
      <c r="AJ16" s="38"/>
      <c r="AK16" s="38"/>
      <c r="AL16" s="38"/>
      <c r="AM16" s="38"/>
      <c r="AN16" s="38"/>
    </row>
    <row r="17" ht="30.0" customHeight="1">
      <c r="A17" s="47" t="s">
        <v>14</v>
      </c>
      <c r="B17" s="914">
        <f t="shared" ref="B17:AF17" si="9">SUM(B3:B16)</f>
        <v>149.56</v>
      </c>
      <c r="C17" s="914">
        <f t="shared" si="9"/>
        <v>48.98</v>
      </c>
      <c r="D17" s="914">
        <f t="shared" si="9"/>
        <v>60.18</v>
      </c>
      <c r="E17" s="914">
        <f t="shared" si="9"/>
        <v>86.54</v>
      </c>
      <c r="F17" s="914">
        <f t="shared" si="9"/>
        <v>119.87</v>
      </c>
      <c r="G17" s="914">
        <f t="shared" si="9"/>
        <v>51</v>
      </c>
      <c r="H17" s="914">
        <f t="shared" si="9"/>
        <v>54.32</v>
      </c>
      <c r="I17" s="914">
        <f t="shared" si="9"/>
        <v>78.7</v>
      </c>
      <c r="J17" s="914">
        <f t="shared" si="9"/>
        <v>123.84</v>
      </c>
      <c r="K17" s="914">
        <f t="shared" si="9"/>
        <v>121.96</v>
      </c>
      <c r="L17" s="914">
        <f t="shared" si="9"/>
        <v>152.98</v>
      </c>
      <c r="M17" s="914">
        <f t="shared" si="9"/>
        <v>73.92</v>
      </c>
      <c r="N17" s="914">
        <f t="shared" si="9"/>
        <v>93.62</v>
      </c>
      <c r="O17" s="914">
        <f t="shared" si="9"/>
        <v>78.08</v>
      </c>
      <c r="P17" s="914">
        <f t="shared" si="9"/>
        <v>45</v>
      </c>
      <c r="Q17" s="914">
        <f t="shared" si="9"/>
        <v>53.32</v>
      </c>
      <c r="R17" s="914">
        <f t="shared" si="9"/>
        <v>48.14</v>
      </c>
      <c r="S17" s="914">
        <f t="shared" si="9"/>
        <v>103.94</v>
      </c>
      <c r="T17" s="914">
        <f t="shared" si="9"/>
        <v>143.36</v>
      </c>
      <c r="U17" s="914">
        <f t="shared" si="9"/>
        <v>88.77</v>
      </c>
      <c r="V17" s="914">
        <f t="shared" si="9"/>
        <v>63.02</v>
      </c>
      <c r="W17" s="914">
        <f t="shared" si="9"/>
        <v>128.76</v>
      </c>
      <c r="X17" s="914">
        <f t="shared" si="9"/>
        <v>54.74</v>
      </c>
      <c r="Y17" s="914">
        <f t="shared" si="9"/>
        <v>48</v>
      </c>
      <c r="Z17" s="914">
        <f t="shared" si="9"/>
        <v>142.84</v>
      </c>
      <c r="AA17" s="914">
        <f t="shared" si="9"/>
        <v>104.08</v>
      </c>
      <c r="AB17" s="914">
        <f t="shared" si="9"/>
        <v>170.68</v>
      </c>
      <c r="AC17" s="914">
        <f t="shared" si="9"/>
        <v>137.08</v>
      </c>
      <c r="AD17" s="914">
        <f t="shared" si="9"/>
        <v>105.24</v>
      </c>
      <c r="AE17" s="914">
        <f t="shared" si="9"/>
        <v>135.67</v>
      </c>
      <c r="AF17" s="914">
        <f t="shared" si="9"/>
        <v>120.6</v>
      </c>
      <c r="AG17" s="915"/>
      <c r="AH17" s="58"/>
      <c r="AI17" s="924"/>
      <c r="AJ17" s="38"/>
      <c r="AK17" s="38"/>
      <c r="AL17" s="38"/>
      <c r="AM17" s="38"/>
      <c r="AN17" s="38"/>
    </row>
    <row r="18" ht="30.0" customHeight="1">
      <c r="AI18" s="38"/>
      <c r="AJ18" s="38"/>
      <c r="AK18" s="38"/>
      <c r="AL18" s="38"/>
      <c r="AM18" s="38"/>
      <c r="AN18" s="38"/>
      <c r="AP18" s="38"/>
      <c r="AQ18" s="38"/>
      <c r="AR18" s="38"/>
      <c r="AS18" s="425"/>
      <c r="AT18" s="425"/>
      <c r="AU18" s="916"/>
      <c r="AV18" s="425"/>
      <c r="AW18" s="745"/>
      <c r="AX18" s="745"/>
      <c r="AY18" s="745"/>
      <c r="AZ18" s="917"/>
    </row>
    <row r="19" ht="30.0" customHeight="1">
      <c r="A19" s="927" t="s">
        <v>2</v>
      </c>
      <c r="B19" s="928">
        <v>1.0</v>
      </c>
      <c r="C19" s="928">
        <v>2.0</v>
      </c>
      <c r="D19" s="928">
        <v>3.0</v>
      </c>
      <c r="E19" s="928">
        <v>4.0</v>
      </c>
      <c r="F19" s="928">
        <v>5.0</v>
      </c>
      <c r="G19" s="928">
        <v>6.0</v>
      </c>
      <c r="H19" s="928">
        <v>7.0</v>
      </c>
      <c r="I19" s="928">
        <v>8.0</v>
      </c>
      <c r="J19" s="928">
        <v>9.0</v>
      </c>
      <c r="K19" s="928">
        <v>10.0</v>
      </c>
      <c r="L19" s="928">
        <v>11.0</v>
      </c>
      <c r="M19" s="928">
        <v>12.0</v>
      </c>
      <c r="N19" s="929">
        <v>13.0</v>
      </c>
      <c r="O19" s="929">
        <v>14.0</v>
      </c>
      <c r="P19" s="929">
        <v>15.0</v>
      </c>
      <c r="Q19" s="929">
        <v>16.0</v>
      </c>
      <c r="R19" s="929">
        <v>17.0</v>
      </c>
      <c r="S19" s="929">
        <v>18.0</v>
      </c>
      <c r="T19" s="929">
        <v>19.0</v>
      </c>
      <c r="U19" s="929">
        <v>20.0</v>
      </c>
      <c r="V19" s="929">
        <v>21.0</v>
      </c>
      <c r="W19" s="929">
        <v>22.0</v>
      </c>
      <c r="X19" s="929">
        <v>23.0</v>
      </c>
      <c r="Y19" s="929">
        <v>24.0</v>
      </c>
      <c r="Z19" s="929">
        <v>25.0</v>
      </c>
      <c r="AA19" s="929">
        <v>26.0</v>
      </c>
      <c r="AB19" s="929">
        <v>27.0</v>
      </c>
      <c r="AC19" s="929">
        <v>28.0</v>
      </c>
      <c r="AD19" s="929">
        <v>29.0</v>
      </c>
      <c r="AE19" s="929">
        <v>30.0</v>
      </c>
      <c r="AF19" s="930">
        <v>31.0</v>
      </c>
      <c r="AG19" s="57"/>
      <c r="AH19" s="58"/>
      <c r="AI19" s="38"/>
      <c r="AK19" s="38"/>
      <c r="AL19" s="38"/>
      <c r="AM19" s="38"/>
      <c r="AN19" s="38"/>
      <c r="AP19" s="38"/>
      <c r="AQ19" s="38"/>
      <c r="AR19" s="38"/>
      <c r="AS19" s="862"/>
      <c r="AT19" s="173">
        <v>1.0</v>
      </c>
      <c r="AU19" s="174" t="s">
        <v>16</v>
      </c>
      <c r="AV19" s="173">
        <v>0.05</v>
      </c>
      <c r="AW19" s="456" t="s">
        <v>71</v>
      </c>
      <c r="AX19" s="456" t="s">
        <v>72</v>
      </c>
      <c r="AY19" s="456" t="s">
        <v>73</v>
      </c>
      <c r="AZ19" s="246" t="s">
        <v>34</v>
      </c>
    </row>
    <row r="20" ht="30.0" customHeight="1">
      <c r="A20" s="641" t="s">
        <v>86</v>
      </c>
      <c r="B20" s="931"/>
      <c r="C20" s="931"/>
      <c r="D20" s="931"/>
      <c r="E20" s="931"/>
      <c r="F20" s="931"/>
      <c r="G20" s="931"/>
      <c r="H20" s="931"/>
      <c r="I20" s="931"/>
      <c r="J20" s="931"/>
      <c r="K20" s="931"/>
      <c r="L20" s="931"/>
      <c r="M20" s="931"/>
      <c r="N20" s="931"/>
      <c r="O20" s="931"/>
      <c r="P20" s="931"/>
      <c r="Q20" s="931"/>
      <c r="R20" s="931"/>
      <c r="S20" s="931"/>
      <c r="T20" s="642"/>
      <c r="U20" s="642"/>
      <c r="V20" s="642"/>
      <c r="W20" s="642"/>
      <c r="X20" s="642"/>
      <c r="Y20" s="642"/>
      <c r="Z20" s="642"/>
      <c r="AA20" s="642"/>
      <c r="AB20" s="642"/>
      <c r="AC20" s="642"/>
      <c r="AD20" s="642"/>
      <c r="AE20" s="642"/>
      <c r="AF20" s="642"/>
      <c r="AG20" s="888"/>
      <c r="AH20" s="889" t="s">
        <v>150</v>
      </c>
      <c r="AI20" s="890"/>
      <c r="AK20" s="38"/>
      <c r="AL20" s="38"/>
      <c r="AM20" s="38"/>
      <c r="AN20" s="38"/>
      <c r="AP20" s="544" t="s">
        <v>108</v>
      </c>
      <c r="AQ20" s="176"/>
      <c r="AR20" s="177"/>
      <c r="AS20" s="545"/>
      <c r="AT20" s="545">
        <f>SUM(valuesByColor("#ffc4d5", "", B21:AF29))</f>
        <v>546.72</v>
      </c>
      <c r="AU20" s="545">
        <f t="shared" ref="AU20:AU29" si="10">((AT20*(1-0.05))*(1-0.6))+AX20-AZ20</f>
        <v>207.7536</v>
      </c>
      <c r="AV20" s="546">
        <f t="shared" ref="AV20:AV29" si="11">(AT20*(1-0.05))*(1-0.95)+AY20</f>
        <v>25.9692</v>
      </c>
      <c r="AW20" s="546"/>
      <c r="AX20" s="546">
        <f t="shared" ref="AX20:AX29" si="12">(AW20*(1-0.05))*(1-0.9)</f>
        <v>0</v>
      </c>
      <c r="AY20" s="546">
        <f t="shared" ref="AY20:AY29" si="13">(AW20*(1-0.05))*(1-0.95)</f>
        <v>0</v>
      </c>
      <c r="AZ20" s="547"/>
    </row>
    <row r="21" ht="30.0" customHeight="1">
      <c r="A21" s="764" t="s">
        <v>6</v>
      </c>
      <c r="B21" s="798">
        <v>79.5</v>
      </c>
      <c r="C21" s="757">
        <v>31.5</v>
      </c>
      <c r="D21" s="757">
        <v>45.0</v>
      </c>
      <c r="E21" s="757"/>
      <c r="F21" s="757">
        <v>15.0</v>
      </c>
      <c r="G21" s="757">
        <v>7.5</v>
      </c>
      <c r="H21" s="757">
        <v>25.5</v>
      </c>
      <c r="I21" s="757">
        <v>3.0</v>
      </c>
      <c r="J21" s="757">
        <v>6.0</v>
      </c>
      <c r="K21" s="757"/>
      <c r="L21" s="821"/>
      <c r="M21" s="757">
        <v>13.5</v>
      </c>
      <c r="N21" s="757">
        <v>9.0</v>
      </c>
      <c r="O21" s="757">
        <v>9.0</v>
      </c>
      <c r="P21" s="757"/>
      <c r="Q21" s="757"/>
      <c r="R21" s="757">
        <v>12.0</v>
      </c>
      <c r="S21" s="757">
        <v>36.12</v>
      </c>
      <c r="T21" s="757">
        <v>0.0</v>
      </c>
      <c r="U21" s="757">
        <v>19.62</v>
      </c>
      <c r="V21" s="757">
        <v>15.12</v>
      </c>
      <c r="W21" s="757">
        <v>49.0</v>
      </c>
      <c r="X21" s="757">
        <v>9.0</v>
      </c>
      <c r="Y21" s="757">
        <v>19.5</v>
      </c>
      <c r="Z21" s="757">
        <v>43.62</v>
      </c>
      <c r="AA21" s="757">
        <v>19.62</v>
      </c>
      <c r="AB21" s="757">
        <v>57.12</v>
      </c>
      <c r="AC21" s="757">
        <v>47.62</v>
      </c>
      <c r="AD21" s="757">
        <v>16.5</v>
      </c>
      <c r="AE21" s="757">
        <v>81.0</v>
      </c>
      <c r="AF21" s="757">
        <v>19.5</v>
      </c>
      <c r="AG21" s="751">
        <f t="shared" ref="AG21:AG29" si="14">SUM(B21:AF21)</f>
        <v>689.84</v>
      </c>
      <c r="AH21" s="893">
        <v>689.84</v>
      </c>
      <c r="AI21" s="924" t="b">
        <f t="shared" ref="AI21:AI29" si="15">EQ(AG21,AH21)</f>
        <v>1</v>
      </c>
      <c r="AK21" s="38"/>
      <c r="AL21" s="38"/>
      <c r="AM21" s="38"/>
      <c r="AN21" s="38"/>
      <c r="AP21" s="555"/>
      <c r="AQ21" s="176"/>
      <c r="AR21" s="177"/>
      <c r="AS21" s="556"/>
      <c r="AT21" s="556">
        <f>SUM(valuesByColor("#636212", "", B21:AF29))</f>
        <v>0</v>
      </c>
      <c r="AU21" s="556">
        <f t="shared" si="10"/>
        <v>0</v>
      </c>
      <c r="AV21" s="557">
        <f t="shared" si="11"/>
        <v>0</v>
      </c>
      <c r="AW21" s="557"/>
      <c r="AX21" s="557">
        <f t="shared" si="12"/>
        <v>0</v>
      </c>
      <c r="AY21" s="557">
        <f t="shared" si="13"/>
        <v>0</v>
      </c>
      <c r="AZ21" s="558"/>
    </row>
    <row r="22" ht="30.0" customHeight="1">
      <c r="A22" s="773" t="s">
        <v>134</v>
      </c>
      <c r="B22" s="752">
        <v>4.5</v>
      </c>
      <c r="C22" s="753">
        <v>3.0</v>
      </c>
      <c r="D22" s="753">
        <v>4.5</v>
      </c>
      <c r="E22" s="753">
        <v>3.0</v>
      </c>
      <c r="F22" s="753">
        <v>4.5</v>
      </c>
      <c r="G22" s="753">
        <v>10.5</v>
      </c>
      <c r="H22" s="753">
        <v>1.5</v>
      </c>
      <c r="I22" s="753">
        <v>9.0</v>
      </c>
      <c r="J22" s="753">
        <v>7.5</v>
      </c>
      <c r="K22" s="753">
        <v>4.5</v>
      </c>
      <c r="L22" s="840">
        <v>7.5</v>
      </c>
      <c r="M22" s="932">
        <v>19.5</v>
      </c>
      <c r="N22" s="932">
        <v>18.0</v>
      </c>
      <c r="O22" s="932">
        <v>33.0</v>
      </c>
      <c r="P22" s="932">
        <v>24.0</v>
      </c>
      <c r="Q22" s="932">
        <v>16.5</v>
      </c>
      <c r="R22" s="932">
        <v>9.0</v>
      </c>
      <c r="S22" s="932">
        <v>7.62</v>
      </c>
      <c r="T22" s="932">
        <v>30.0</v>
      </c>
      <c r="U22" s="933">
        <v>10.62</v>
      </c>
      <c r="V22" s="933">
        <v>7.5</v>
      </c>
      <c r="W22" s="933">
        <v>35.24</v>
      </c>
      <c r="X22" s="933">
        <v>33.0</v>
      </c>
      <c r="Y22" s="933">
        <v>0.0</v>
      </c>
      <c r="Z22" s="933">
        <v>10.5</v>
      </c>
      <c r="AA22" s="933">
        <v>23.5</v>
      </c>
      <c r="AB22" s="933">
        <v>12.0</v>
      </c>
      <c r="AC22" s="933">
        <v>12.0</v>
      </c>
      <c r="AD22" s="933">
        <v>12.0</v>
      </c>
      <c r="AE22" s="933">
        <v>9.0</v>
      </c>
      <c r="AF22" s="933">
        <v>13.5</v>
      </c>
      <c r="AG22" s="751">
        <f t="shared" si="14"/>
        <v>396.48</v>
      </c>
      <c r="AH22" s="893">
        <v>396.48</v>
      </c>
      <c r="AI22" s="924" t="b">
        <f t="shared" si="15"/>
        <v>1</v>
      </c>
      <c r="AK22" s="38"/>
      <c r="AL22" s="38"/>
      <c r="AM22" s="38"/>
      <c r="AN22" s="38"/>
      <c r="AP22" s="563" t="s">
        <v>164</v>
      </c>
      <c r="AQ22" s="176"/>
      <c r="AR22" s="177"/>
      <c r="AS22" s="564"/>
      <c r="AT22" s="564">
        <f>SUM(valuesByColor("#00b572", "", B21:AF29))</f>
        <v>695.84</v>
      </c>
      <c r="AU22" s="564">
        <f t="shared" si="10"/>
        <v>264.4192</v>
      </c>
      <c r="AV22" s="565">
        <f t="shared" si="11"/>
        <v>33.0524</v>
      </c>
      <c r="AW22" s="565"/>
      <c r="AX22" s="565">
        <f t="shared" si="12"/>
        <v>0</v>
      </c>
      <c r="AY22" s="565">
        <f t="shared" si="13"/>
        <v>0</v>
      </c>
      <c r="AZ22" s="566"/>
    </row>
    <row r="23" ht="30.0" customHeight="1">
      <c r="A23" s="747" t="s">
        <v>160</v>
      </c>
      <c r="B23" s="752">
        <v>6.0</v>
      </c>
      <c r="C23" s="753"/>
      <c r="D23" s="753"/>
      <c r="E23" s="753">
        <v>1.5</v>
      </c>
      <c r="F23" s="753">
        <v>6.0</v>
      </c>
      <c r="G23" s="753"/>
      <c r="H23" s="753">
        <v>1.5</v>
      </c>
      <c r="I23" s="749"/>
      <c r="J23" s="749">
        <v>3.0</v>
      </c>
      <c r="K23" s="749"/>
      <c r="L23" s="749"/>
      <c r="M23" s="749">
        <v>1.5</v>
      </c>
      <c r="N23" s="749"/>
      <c r="O23" s="749"/>
      <c r="P23" s="749">
        <v>3.0</v>
      </c>
      <c r="Q23" s="749"/>
      <c r="R23" s="749"/>
      <c r="S23" s="749"/>
      <c r="T23" s="749"/>
      <c r="U23" s="749"/>
      <c r="V23" s="749"/>
      <c r="W23" s="749">
        <v>3.0</v>
      </c>
      <c r="X23" s="749"/>
      <c r="Y23" s="749"/>
      <c r="Z23" s="749"/>
      <c r="AA23" s="749"/>
      <c r="AB23" s="749"/>
      <c r="AC23" s="749"/>
      <c r="AD23" s="787">
        <v>1.5</v>
      </c>
      <c r="AE23" s="787">
        <v>1.5</v>
      </c>
      <c r="AF23" s="787">
        <v>7.5</v>
      </c>
      <c r="AG23" s="751">
        <f t="shared" si="14"/>
        <v>36</v>
      </c>
      <c r="AH23" s="891">
        <v>36.0</v>
      </c>
      <c r="AI23" s="924" t="b">
        <f t="shared" si="15"/>
        <v>1</v>
      </c>
      <c r="AK23" s="38"/>
      <c r="AL23" s="38"/>
      <c r="AM23" s="38"/>
      <c r="AN23" s="38"/>
      <c r="AP23" s="575" t="s">
        <v>165</v>
      </c>
      <c r="AQ23" s="176"/>
      <c r="AR23" s="177"/>
      <c r="AS23" s="576"/>
      <c r="AT23" s="576">
        <f>SUM(valuesByColor("#7030a0", "", B21:AF29))</f>
        <v>541.13</v>
      </c>
      <c r="AU23" s="576">
        <f t="shared" si="10"/>
        <v>205.6294</v>
      </c>
      <c r="AV23" s="577">
        <f t="shared" si="11"/>
        <v>25.703675</v>
      </c>
      <c r="AW23" s="577"/>
      <c r="AX23" s="577">
        <f t="shared" si="12"/>
        <v>0</v>
      </c>
      <c r="AY23" s="577">
        <f t="shared" si="13"/>
        <v>0</v>
      </c>
      <c r="AZ23" s="578"/>
      <c r="BA23" s="38" t="s">
        <v>166</v>
      </c>
    </row>
    <row r="24" ht="30.0" customHeight="1">
      <c r="A24" s="758" t="s">
        <v>161</v>
      </c>
      <c r="B24" s="752">
        <v>45.52</v>
      </c>
      <c r="C24" s="753">
        <v>6.0</v>
      </c>
      <c r="D24" s="753">
        <v>21.0</v>
      </c>
      <c r="E24" s="753">
        <v>4.5</v>
      </c>
      <c r="F24" s="753">
        <v>7.5</v>
      </c>
      <c r="G24" s="753">
        <v>7.5</v>
      </c>
      <c r="H24" s="753">
        <v>1.5</v>
      </c>
      <c r="I24" s="749">
        <v>6.0</v>
      </c>
      <c r="J24" s="749">
        <v>21.0</v>
      </c>
      <c r="K24" s="749">
        <v>3.0</v>
      </c>
      <c r="L24" s="749">
        <v>24.0</v>
      </c>
      <c r="M24" s="749">
        <v>0.0</v>
      </c>
      <c r="N24" s="749">
        <v>6.0</v>
      </c>
      <c r="O24" s="749">
        <v>12.0</v>
      </c>
      <c r="P24" s="749">
        <v>17.8</v>
      </c>
      <c r="Q24" s="749">
        <v>9.04</v>
      </c>
      <c r="R24" s="749">
        <v>13.92</v>
      </c>
      <c r="S24" s="749">
        <v>18.0</v>
      </c>
      <c r="T24" s="749">
        <v>6.0</v>
      </c>
      <c r="U24" s="749"/>
      <c r="V24" s="749">
        <v>6.0</v>
      </c>
      <c r="W24" s="749">
        <v>1.5</v>
      </c>
      <c r="X24" s="749">
        <v>12.12</v>
      </c>
      <c r="Y24" s="749">
        <v>20.62</v>
      </c>
      <c r="Z24" s="749">
        <v>19.5</v>
      </c>
      <c r="AA24" s="749">
        <v>31.62</v>
      </c>
      <c r="AB24" s="749">
        <v>9.12</v>
      </c>
      <c r="AC24" s="749">
        <v>9.12</v>
      </c>
      <c r="AD24" s="749">
        <v>7.48</v>
      </c>
      <c r="AE24" s="749">
        <v>9.0</v>
      </c>
      <c r="AF24" s="749">
        <v>1.5</v>
      </c>
      <c r="AG24" s="751">
        <f t="shared" si="14"/>
        <v>357.86</v>
      </c>
      <c r="AH24" s="891">
        <v>357.86</v>
      </c>
      <c r="AI24" s="924" t="b">
        <f t="shared" si="15"/>
        <v>1</v>
      </c>
      <c r="AK24" s="38"/>
      <c r="AL24" s="38"/>
      <c r="AM24" s="38"/>
      <c r="AN24" s="38"/>
      <c r="AP24" s="580" t="s">
        <v>167</v>
      </c>
      <c r="AQ24" s="176"/>
      <c r="AR24" s="177"/>
      <c r="AS24" s="581"/>
      <c r="AT24" s="581">
        <f>SUM(valuesByColor("#9bbb59", "", B21:AF29))</f>
        <v>283.18</v>
      </c>
      <c r="AU24" s="582">
        <f t="shared" si="10"/>
        <v>107.6084</v>
      </c>
      <c r="AV24" s="583">
        <f t="shared" si="11"/>
        <v>13.45105</v>
      </c>
      <c r="AW24" s="584"/>
      <c r="AX24" s="583">
        <f t="shared" si="12"/>
        <v>0</v>
      </c>
      <c r="AY24" s="583">
        <f t="shared" si="13"/>
        <v>0</v>
      </c>
      <c r="AZ24" s="585"/>
    </row>
    <row r="25" ht="30.0" customHeight="1">
      <c r="A25" s="758" t="s">
        <v>168</v>
      </c>
      <c r="B25" s="867"/>
      <c r="C25" s="905"/>
      <c r="D25" s="905"/>
      <c r="E25" s="905"/>
      <c r="F25" s="905"/>
      <c r="G25" s="905"/>
      <c r="H25" s="905"/>
      <c r="I25" s="866"/>
      <c r="J25" s="866"/>
      <c r="K25" s="866"/>
      <c r="L25" s="866"/>
      <c r="M25" s="866"/>
      <c r="N25" s="866"/>
      <c r="O25" s="866"/>
      <c r="P25" s="780">
        <v>7.0</v>
      </c>
      <c r="Q25" s="780"/>
      <c r="R25" s="780"/>
      <c r="S25" s="780">
        <v>0.12</v>
      </c>
      <c r="T25" s="780"/>
      <c r="U25" s="749"/>
      <c r="V25" s="749"/>
      <c r="W25" s="749"/>
      <c r="X25" s="822"/>
      <c r="Y25" s="822"/>
      <c r="Z25" s="822">
        <v>3.0</v>
      </c>
      <c r="AA25" s="822"/>
      <c r="AB25" s="822"/>
      <c r="AC25" s="822"/>
      <c r="AD25" s="822">
        <v>1.5</v>
      </c>
      <c r="AE25" s="822">
        <v>1.5</v>
      </c>
      <c r="AF25" s="822">
        <v>0.0</v>
      </c>
      <c r="AG25" s="751">
        <f t="shared" si="14"/>
        <v>13.12</v>
      </c>
      <c r="AH25" s="891">
        <v>13.12</v>
      </c>
      <c r="AI25" s="924" t="b">
        <f t="shared" si="15"/>
        <v>1</v>
      </c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10"/>
        <v>0</v>
      </c>
      <c r="AV25" s="591">
        <f t="shared" si="11"/>
        <v>0</v>
      </c>
      <c r="AW25" s="592"/>
      <c r="AX25" s="591">
        <f t="shared" si="12"/>
        <v>0</v>
      </c>
      <c r="AY25" s="591">
        <f t="shared" si="13"/>
        <v>0</v>
      </c>
      <c r="AZ25" s="268"/>
    </row>
    <row r="26" ht="30.0" customHeight="1">
      <c r="A26" s="758" t="s">
        <v>153</v>
      </c>
      <c r="B26" s="860">
        <v>12.27</v>
      </c>
      <c r="C26" s="932">
        <v>11.92</v>
      </c>
      <c r="D26" s="932">
        <v>12.88</v>
      </c>
      <c r="E26" s="932">
        <v>3.0</v>
      </c>
      <c r="F26" s="932">
        <v>7.8</v>
      </c>
      <c r="G26" s="932">
        <v>4.5</v>
      </c>
      <c r="H26" s="932">
        <v>26.58</v>
      </c>
      <c r="I26" s="840"/>
      <c r="J26" s="840">
        <v>6.0</v>
      </c>
      <c r="K26" s="840">
        <v>6.0</v>
      </c>
      <c r="L26" s="840">
        <v>10.58</v>
      </c>
      <c r="M26" s="840">
        <v>9.0</v>
      </c>
      <c r="N26" s="840">
        <v>14.5</v>
      </c>
      <c r="O26" s="840">
        <v>12.0</v>
      </c>
      <c r="P26" s="840">
        <v>15.0</v>
      </c>
      <c r="Q26" s="840">
        <v>4.5</v>
      </c>
      <c r="R26" s="840">
        <v>7.5</v>
      </c>
      <c r="S26" s="840">
        <v>3.0</v>
      </c>
      <c r="T26" s="840">
        <v>1.5</v>
      </c>
      <c r="U26" s="787"/>
      <c r="V26" s="787">
        <v>1.5</v>
      </c>
      <c r="W26" s="787">
        <v>1.62</v>
      </c>
      <c r="X26" s="787">
        <v>6.0</v>
      </c>
      <c r="Y26" s="787">
        <v>0.0</v>
      </c>
      <c r="Z26" s="787"/>
      <c r="AA26" s="787">
        <v>6.0</v>
      </c>
      <c r="AB26" s="787">
        <v>1.5</v>
      </c>
      <c r="AC26" s="787">
        <v>1.5</v>
      </c>
      <c r="AD26" s="749"/>
      <c r="AE26" s="749">
        <v>6.44</v>
      </c>
      <c r="AF26" s="749">
        <v>0.0</v>
      </c>
      <c r="AG26" s="751">
        <f t="shared" si="14"/>
        <v>193.09</v>
      </c>
      <c r="AH26" s="891">
        <v>193.09</v>
      </c>
      <c r="AI26" s="924" t="b">
        <f t="shared" si="15"/>
        <v>1</v>
      </c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10"/>
        <v>0</v>
      </c>
      <c r="AV26" s="591">
        <f t="shared" si="11"/>
        <v>0</v>
      </c>
      <c r="AW26" s="592"/>
      <c r="AX26" s="591">
        <f t="shared" si="12"/>
        <v>0</v>
      </c>
      <c r="AY26" s="591">
        <f t="shared" si="13"/>
        <v>0</v>
      </c>
      <c r="AZ26" s="270"/>
    </row>
    <row r="27" ht="30.0" customHeight="1">
      <c r="A27" s="758" t="s">
        <v>169</v>
      </c>
      <c r="B27" s="867"/>
      <c r="C27" s="905"/>
      <c r="D27" s="905"/>
      <c r="E27" s="905"/>
      <c r="F27" s="905"/>
      <c r="G27" s="905"/>
      <c r="H27" s="905"/>
      <c r="I27" s="866"/>
      <c r="J27" s="866"/>
      <c r="K27" s="866"/>
      <c r="L27" s="866"/>
      <c r="M27" s="866"/>
      <c r="N27" s="866"/>
      <c r="O27" s="866"/>
      <c r="P27" s="866"/>
      <c r="Q27" s="866"/>
      <c r="R27" s="866"/>
      <c r="S27" s="866"/>
      <c r="T27" s="866"/>
      <c r="U27" s="837"/>
      <c r="V27" s="837"/>
      <c r="W27" s="837"/>
      <c r="X27" s="837"/>
      <c r="Y27" s="837"/>
      <c r="Z27" s="749">
        <v>7.0</v>
      </c>
      <c r="AA27" s="749">
        <v>1.8</v>
      </c>
      <c r="AB27" s="749"/>
      <c r="AC27" s="749"/>
      <c r="AD27" s="749">
        <v>0.12</v>
      </c>
      <c r="AE27" s="749"/>
      <c r="AF27" s="749">
        <v>0.0</v>
      </c>
      <c r="AG27" s="751">
        <f t="shared" si="14"/>
        <v>8.92</v>
      </c>
      <c r="AH27" s="891">
        <v>8.92</v>
      </c>
      <c r="AI27" s="924" t="b">
        <f t="shared" si="15"/>
        <v>1</v>
      </c>
      <c r="AK27" s="38"/>
      <c r="AL27" s="38"/>
      <c r="AM27" s="38"/>
      <c r="AN27" s="38"/>
      <c r="AP27" s="588"/>
      <c r="AQ27" s="176"/>
      <c r="AR27" s="177"/>
      <c r="AS27" s="589"/>
      <c r="AT27" s="589"/>
      <c r="AU27" s="590">
        <f t="shared" si="10"/>
        <v>0</v>
      </c>
      <c r="AV27" s="591">
        <f t="shared" si="11"/>
        <v>0</v>
      </c>
      <c r="AW27" s="600"/>
      <c r="AX27" s="591">
        <f t="shared" si="12"/>
        <v>0</v>
      </c>
      <c r="AY27" s="591">
        <f t="shared" si="13"/>
        <v>0</v>
      </c>
      <c r="AZ27" s="274"/>
    </row>
    <row r="28" ht="30.0" customHeight="1">
      <c r="A28" s="758" t="s">
        <v>131</v>
      </c>
      <c r="B28" s="752">
        <v>1.5</v>
      </c>
      <c r="C28" s="753">
        <v>3.0</v>
      </c>
      <c r="D28" s="753">
        <v>3.0</v>
      </c>
      <c r="E28" s="753">
        <v>1.5</v>
      </c>
      <c r="F28" s="753">
        <v>1.5</v>
      </c>
      <c r="G28" s="753">
        <v>1.5</v>
      </c>
      <c r="H28" s="753">
        <v>1.5</v>
      </c>
      <c r="I28" s="934">
        <v>1.5</v>
      </c>
      <c r="J28" s="780">
        <v>6.0</v>
      </c>
      <c r="K28" s="780">
        <v>18.0</v>
      </c>
      <c r="L28" s="780">
        <v>6.0</v>
      </c>
      <c r="M28" s="780">
        <v>7.5</v>
      </c>
      <c r="N28" s="780">
        <v>19.38</v>
      </c>
      <c r="O28" s="780">
        <v>15.0</v>
      </c>
      <c r="P28" s="780">
        <v>1.5</v>
      </c>
      <c r="Q28" s="935">
        <v>4.5</v>
      </c>
      <c r="R28" s="935">
        <v>12.0</v>
      </c>
      <c r="S28" s="935">
        <v>4.5</v>
      </c>
      <c r="T28" s="935">
        <v>4.5</v>
      </c>
      <c r="U28" s="856">
        <v>4.5</v>
      </c>
      <c r="V28" s="856">
        <v>4.62</v>
      </c>
      <c r="W28" s="856">
        <v>10.62</v>
      </c>
      <c r="X28" s="856">
        <v>3.0</v>
      </c>
      <c r="Y28" s="856">
        <v>4.5</v>
      </c>
      <c r="Z28" s="856">
        <v>4.5</v>
      </c>
      <c r="AA28" s="856">
        <v>22.0</v>
      </c>
      <c r="AB28" s="856">
        <v>10.5</v>
      </c>
      <c r="AC28" s="856">
        <v>6.0</v>
      </c>
      <c r="AD28" s="856">
        <v>7.5</v>
      </c>
      <c r="AE28" s="856">
        <v>3.0</v>
      </c>
      <c r="AF28" s="856">
        <v>1.5</v>
      </c>
      <c r="AG28" s="751">
        <f t="shared" si="14"/>
        <v>196.12</v>
      </c>
      <c r="AH28" s="891">
        <v>196.12</v>
      </c>
      <c r="AI28" s="924" t="b">
        <f t="shared" si="15"/>
        <v>1</v>
      </c>
      <c r="AK28" s="38"/>
      <c r="AL28" s="38"/>
      <c r="AM28" s="38"/>
      <c r="AN28" s="38"/>
      <c r="AP28" s="588"/>
      <c r="AQ28" s="176"/>
      <c r="AR28" s="177"/>
      <c r="AS28" s="589"/>
      <c r="AT28" s="589"/>
      <c r="AU28" s="590">
        <f t="shared" si="10"/>
        <v>0</v>
      </c>
      <c r="AV28" s="591">
        <f t="shared" si="11"/>
        <v>0</v>
      </c>
      <c r="AW28" s="600"/>
      <c r="AX28" s="591">
        <f t="shared" si="12"/>
        <v>0</v>
      </c>
      <c r="AY28" s="591">
        <f t="shared" si="13"/>
        <v>0</v>
      </c>
      <c r="AZ28" s="280"/>
    </row>
    <row r="29" ht="31.5" customHeight="1">
      <c r="A29" s="758" t="s">
        <v>141</v>
      </c>
      <c r="B29" s="936">
        <v>1.5</v>
      </c>
      <c r="C29" s="937">
        <v>1.5</v>
      </c>
      <c r="D29" s="937">
        <v>1.5</v>
      </c>
      <c r="E29" s="937">
        <v>1.5</v>
      </c>
      <c r="F29" s="937">
        <v>3.0</v>
      </c>
      <c r="G29" s="937">
        <v>4.5</v>
      </c>
      <c r="H29" s="937"/>
      <c r="I29" s="938"/>
      <c r="J29" s="856"/>
      <c r="K29" s="935">
        <v>3.0</v>
      </c>
      <c r="L29" s="935">
        <v>3.0</v>
      </c>
      <c r="M29" s="935">
        <v>12.0</v>
      </c>
      <c r="N29" s="935">
        <v>9.0</v>
      </c>
      <c r="O29" s="935">
        <v>27.0</v>
      </c>
      <c r="P29" s="935">
        <v>4.5</v>
      </c>
      <c r="Q29" s="935">
        <v>10.5</v>
      </c>
      <c r="R29" s="935">
        <v>16.5</v>
      </c>
      <c r="S29" s="935">
        <v>4.5</v>
      </c>
      <c r="T29" s="935">
        <v>6.86</v>
      </c>
      <c r="U29" s="856">
        <v>15.0</v>
      </c>
      <c r="V29" s="856">
        <v>6.0</v>
      </c>
      <c r="W29" s="856">
        <v>12.0</v>
      </c>
      <c r="X29" s="856">
        <v>1.5</v>
      </c>
      <c r="Y29" s="856">
        <v>6.12</v>
      </c>
      <c r="Z29" s="856"/>
      <c r="AA29" s="856">
        <v>1.5</v>
      </c>
      <c r="AB29" s="856">
        <v>9.34</v>
      </c>
      <c r="AC29" s="856">
        <v>6.0</v>
      </c>
      <c r="AD29" s="856"/>
      <c r="AE29" s="856">
        <v>4.5</v>
      </c>
      <c r="AF29" s="856">
        <v>3.12</v>
      </c>
      <c r="AG29" s="751">
        <f t="shared" si="14"/>
        <v>175.44</v>
      </c>
      <c r="AH29" s="891">
        <v>175.44</v>
      </c>
      <c r="AI29" s="924" t="b">
        <f t="shared" si="15"/>
        <v>1</v>
      </c>
      <c r="AK29" s="38"/>
      <c r="AL29" s="38"/>
      <c r="AM29" s="38"/>
      <c r="AN29" s="38"/>
      <c r="AP29" s="588"/>
      <c r="AQ29" s="176"/>
      <c r="AR29" s="177"/>
      <c r="AS29" s="589"/>
      <c r="AT29" s="589"/>
      <c r="AU29" s="590">
        <f t="shared" si="10"/>
        <v>0</v>
      </c>
      <c r="AV29" s="591">
        <f t="shared" si="11"/>
        <v>0</v>
      </c>
      <c r="AW29" s="600"/>
      <c r="AX29" s="591">
        <f t="shared" si="12"/>
        <v>0</v>
      </c>
      <c r="AY29" s="591">
        <f t="shared" si="13"/>
        <v>0</v>
      </c>
      <c r="AZ29" s="387"/>
    </row>
    <row r="30" ht="31.5" customHeight="1">
      <c r="A30" s="47" t="s">
        <v>14</v>
      </c>
      <c r="B30" s="914">
        <f t="shared" ref="B30:AF30" si="16">SUM(B21:B29)</f>
        <v>150.79</v>
      </c>
      <c r="C30" s="914">
        <f t="shared" si="16"/>
        <v>56.92</v>
      </c>
      <c r="D30" s="914">
        <f t="shared" si="16"/>
        <v>87.88</v>
      </c>
      <c r="E30" s="914">
        <f t="shared" si="16"/>
        <v>15</v>
      </c>
      <c r="F30" s="914">
        <f t="shared" si="16"/>
        <v>45.3</v>
      </c>
      <c r="G30" s="914">
        <f t="shared" si="16"/>
        <v>36</v>
      </c>
      <c r="H30" s="914">
        <f t="shared" si="16"/>
        <v>58.08</v>
      </c>
      <c r="I30" s="914">
        <f t="shared" si="16"/>
        <v>19.5</v>
      </c>
      <c r="J30" s="914">
        <f t="shared" si="16"/>
        <v>49.5</v>
      </c>
      <c r="K30" s="914">
        <f t="shared" si="16"/>
        <v>34.5</v>
      </c>
      <c r="L30" s="914">
        <f t="shared" si="16"/>
        <v>51.08</v>
      </c>
      <c r="M30" s="914">
        <f t="shared" si="16"/>
        <v>63</v>
      </c>
      <c r="N30" s="914">
        <f t="shared" si="16"/>
        <v>75.88</v>
      </c>
      <c r="O30" s="914">
        <f t="shared" si="16"/>
        <v>108</v>
      </c>
      <c r="P30" s="914">
        <f t="shared" si="16"/>
        <v>72.8</v>
      </c>
      <c r="Q30" s="914">
        <f t="shared" si="16"/>
        <v>45.04</v>
      </c>
      <c r="R30" s="914">
        <f t="shared" si="16"/>
        <v>70.92</v>
      </c>
      <c r="S30" s="914">
        <f t="shared" si="16"/>
        <v>73.86</v>
      </c>
      <c r="T30" s="914">
        <f t="shared" si="16"/>
        <v>48.86</v>
      </c>
      <c r="U30" s="914">
        <f t="shared" si="16"/>
        <v>49.74</v>
      </c>
      <c r="V30" s="914">
        <f t="shared" si="16"/>
        <v>40.74</v>
      </c>
      <c r="W30" s="914">
        <f t="shared" si="16"/>
        <v>112.98</v>
      </c>
      <c r="X30" s="914">
        <f t="shared" si="16"/>
        <v>64.62</v>
      </c>
      <c r="Y30" s="914">
        <f t="shared" si="16"/>
        <v>50.74</v>
      </c>
      <c r="Z30" s="914">
        <f t="shared" si="16"/>
        <v>88.12</v>
      </c>
      <c r="AA30" s="914">
        <f t="shared" si="16"/>
        <v>106.04</v>
      </c>
      <c r="AB30" s="914">
        <f t="shared" si="16"/>
        <v>99.58</v>
      </c>
      <c r="AC30" s="914">
        <f t="shared" si="16"/>
        <v>82.24</v>
      </c>
      <c r="AD30" s="914">
        <f t="shared" si="16"/>
        <v>46.6</v>
      </c>
      <c r="AE30" s="914">
        <f t="shared" si="16"/>
        <v>115.94</v>
      </c>
      <c r="AF30" s="914">
        <f t="shared" si="16"/>
        <v>46.62</v>
      </c>
      <c r="AG30" s="915"/>
      <c r="AH30" s="58"/>
      <c r="AI30" s="924"/>
      <c r="AO30" s="226"/>
      <c r="AS30" s="865"/>
      <c r="AT30" s="220">
        <f>SUM(AT20:AT29)</f>
        <v>2066.87</v>
      </c>
      <c r="AU30" s="38"/>
      <c r="AV30" s="220">
        <f>SUM(AV20:AV29)</f>
        <v>98.176325</v>
      </c>
    </row>
    <row r="31" ht="31.5" customHeight="1">
      <c r="AO31" s="226"/>
    </row>
    <row r="32" ht="31.5" customHeight="1"/>
    <row r="33" ht="31.5" customHeight="1"/>
    <row r="34" ht="31.5" customHeight="1"/>
    <row r="35" ht="31.5" customHeight="1"/>
    <row r="36" ht="31.5" customHeight="1"/>
    <row r="37" ht="31.5" customHeight="1">
      <c r="AP37" s="38"/>
      <c r="AQ37" s="38"/>
      <c r="AR37" s="38"/>
      <c r="AS37" s="425"/>
      <c r="AT37" s="425"/>
      <c r="AU37" s="916"/>
      <c r="AV37" s="425"/>
      <c r="AW37" s="745"/>
      <c r="AX37" s="745"/>
      <c r="AY37" s="745"/>
      <c r="AZ37" s="917"/>
    </row>
    <row r="38" ht="31.5" customHeight="1">
      <c r="AP38" s="745"/>
      <c r="AS38" s="918"/>
      <c r="AT38" s="918"/>
      <c r="AU38" s="918"/>
      <c r="AV38" s="918"/>
      <c r="AW38" s="918"/>
      <c r="AX38" s="918"/>
      <c r="AY38" s="918"/>
    </row>
    <row r="39" ht="31.5" customHeight="1">
      <c r="AP39" s="226"/>
      <c r="AS39" s="918"/>
      <c r="AT39" s="918"/>
      <c r="AU39" s="918"/>
      <c r="AV39" s="918"/>
      <c r="AW39" s="918"/>
      <c r="AX39" s="918"/>
      <c r="AY39" s="918"/>
      <c r="AZ39" s="919"/>
    </row>
    <row r="40" ht="31.5" customHeight="1">
      <c r="AP40" s="226"/>
      <c r="AS40" s="918"/>
      <c r="AT40" s="918"/>
      <c r="AU40" s="918"/>
      <c r="AV40" s="918"/>
      <c r="AW40" s="918"/>
      <c r="AX40" s="918"/>
      <c r="AY40" s="918"/>
      <c r="AZ40" s="919"/>
    </row>
    <row r="41" ht="31.5" customHeight="1">
      <c r="AP41" s="746"/>
      <c r="AS41" s="920"/>
      <c r="AT41" s="920"/>
      <c r="AU41" s="920"/>
      <c r="AV41" s="920"/>
      <c r="AW41" s="920"/>
      <c r="AX41" s="920"/>
      <c r="AY41" s="920"/>
      <c r="AZ41" s="919"/>
    </row>
    <row r="42" ht="31.5" customHeight="1">
      <c r="A42" s="193"/>
      <c r="B42" s="939"/>
      <c r="C42" s="939"/>
      <c r="D42" s="939"/>
      <c r="E42" s="939"/>
      <c r="F42" s="939"/>
      <c r="G42" s="939"/>
      <c r="H42" s="939"/>
      <c r="I42" s="833"/>
      <c r="J42" s="833"/>
      <c r="K42" s="833"/>
      <c r="L42" s="833"/>
      <c r="M42" s="833"/>
      <c r="N42" s="833"/>
      <c r="O42" s="833"/>
      <c r="P42" s="833"/>
      <c r="Q42" s="833"/>
      <c r="R42" s="833"/>
      <c r="S42" s="833"/>
      <c r="T42" s="833"/>
      <c r="U42" s="833"/>
      <c r="V42" s="833"/>
      <c r="W42" s="833"/>
      <c r="X42" s="833"/>
      <c r="Y42" s="833"/>
      <c r="Z42" s="833"/>
      <c r="AA42" s="833"/>
      <c r="AB42" s="833"/>
      <c r="AC42" s="833"/>
      <c r="AD42" s="833"/>
      <c r="AE42" s="833"/>
      <c r="AF42" s="833"/>
      <c r="AG42" s="940"/>
      <c r="AH42" s="941"/>
      <c r="AI42" s="942"/>
      <c r="AP42" s="226"/>
      <c r="AS42" s="921"/>
      <c r="AT42" s="921"/>
      <c r="AU42" s="918"/>
      <c r="AV42" s="918"/>
      <c r="AW42" s="922"/>
      <c r="AX42" s="918"/>
      <c r="AY42" s="918"/>
      <c r="AZ42" s="919"/>
    </row>
    <row r="43" ht="31.5" customHeight="1">
      <c r="A43" s="943"/>
      <c r="B43" s="939"/>
      <c r="C43" s="939"/>
      <c r="D43" s="939"/>
      <c r="E43" s="939"/>
      <c r="F43" s="939"/>
      <c r="G43" s="939"/>
      <c r="H43" s="939"/>
      <c r="I43" s="939"/>
      <c r="J43" s="939"/>
      <c r="K43" s="939"/>
      <c r="L43" s="939"/>
      <c r="M43" s="939"/>
      <c r="N43" s="939"/>
      <c r="O43" s="939"/>
      <c r="P43" s="939"/>
      <c r="Q43" s="939"/>
      <c r="R43" s="939"/>
      <c r="S43" s="939"/>
      <c r="T43" s="939"/>
      <c r="U43" s="833"/>
      <c r="V43" s="833"/>
      <c r="W43" s="833"/>
      <c r="X43" s="833"/>
      <c r="Y43" s="833"/>
      <c r="Z43" s="833"/>
      <c r="AA43" s="833"/>
      <c r="AB43" s="833"/>
      <c r="AC43" s="833"/>
      <c r="AD43" s="833"/>
      <c r="AE43" s="833"/>
      <c r="AF43" s="833"/>
      <c r="AG43" s="940"/>
      <c r="AH43" s="941"/>
      <c r="AI43" s="942"/>
      <c r="AP43" s="226"/>
      <c r="AS43" s="921"/>
      <c r="AT43" s="921"/>
      <c r="AU43" s="918"/>
      <c r="AV43" s="918"/>
      <c r="AW43" s="922"/>
      <c r="AX43" s="918"/>
      <c r="AY43" s="918"/>
      <c r="AZ43" s="919"/>
    </row>
    <row r="44" ht="31.5" customHeight="1">
      <c r="A44" s="193"/>
      <c r="B44" s="939"/>
      <c r="C44" s="939"/>
      <c r="D44" s="939"/>
      <c r="E44" s="939"/>
      <c r="F44" s="939"/>
      <c r="G44" s="939"/>
      <c r="H44" s="939"/>
      <c r="I44" s="939"/>
      <c r="J44" s="939"/>
      <c r="K44" s="939"/>
      <c r="L44" s="939"/>
      <c r="M44" s="939"/>
      <c r="N44" s="939"/>
      <c r="O44" s="939"/>
      <c r="P44" s="939"/>
      <c r="Q44" s="939"/>
      <c r="R44" s="939"/>
      <c r="S44" s="939"/>
      <c r="T44" s="939"/>
      <c r="U44" s="833"/>
      <c r="V44" s="833"/>
      <c r="W44" s="833"/>
      <c r="X44" s="833"/>
      <c r="Y44" s="833"/>
      <c r="Z44" s="833"/>
      <c r="AA44" s="833"/>
      <c r="AB44" s="833"/>
      <c r="AC44" s="833"/>
      <c r="AD44" s="833"/>
      <c r="AE44" s="833"/>
      <c r="AF44" s="833"/>
      <c r="AG44" s="940"/>
      <c r="AH44" s="941"/>
      <c r="AI44" s="942"/>
      <c r="AP44" s="226"/>
      <c r="AS44" s="921"/>
      <c r="AT44" s="921"/>
      <c r="AU44" s="918"/>
      <c r="AV44" s="918"/>
      <c r="AW44" s="922"/>
      <c r="AX44" s="918"/>
      <c r="AY44" s="918"/>
      <c r="AZ44" s="919"/>
    </row>
    <row r="45" ht="31.5" customHeight="1">
      <c r="A45" s="193"/>
      <c r="B45" s="939"/>
      <c r="C45" s="939"/>
      <c r="D45" s="939"/>
      <c r="E45" s="939"/>
      <c r="F45" s="939"/>
      <c r="G45" s="939"/>
      <c r="H45" s="939"/>
      <c r="I45" s="939"/>
      <c r="J45" s="939"/>
      <c r="K45" s="939"/>
      <c r="L45" s="939"/>
      <c r="M45" s="939"/>
      <c r="N45" s="939"/>
      <c r="O45" s="939"/>
      <c r="P45" s="939"/>
      <c r="Q45" s="939"/>
      <c r="R45" s="939"/>
      <c r="S45" s="939"/>
      <c r="T45" s="939"/>
      <c r="U45" s="833"/>
      <c r="V45" s="833"/>
      <c r="W45" s="833"/>
      <c r="X45" s="833"/>
      <c r="Y45" s="833"/>
      <c r="Z45" s="833"/>
      <c r="AA45" s="833"/>
      <c r="AB45" s="833"/>
      <c r="AC45" s="833"/>
      <c r="AD45" s="833"/>
      <c r="AE45" s="833"/>
      <c r="AF45" s="833"/>
      <c r="AG45" s="940"/>
      <c r="AH45" s="941"/>
      <c r="AI45" s="942"/>
      <c r="AP45" s="226"/>
      <c r="AS45" s="921"/>
      <c r="AT45" s="921"/>
      <c r="AU45" s="918"/>
      <c r="AV45" s="918"/>
      <c r="AW45" s="921"/>
      <c r="AX45" s="918"/>
      <c r="AY45" s="918"/>
      <c r="AZ45" s="919"/>
    </row>
    <row r="46" ht="31.5" customHeight="1">
      <c r="A46" s="193"/>
      <c r="B46" s="939"/>
      <c r="C46" s="939"/>
      <c r="D46" s="939"/>
      <c r="E46" s="939"/>
      <c r="F46" s="939"/>
      <c r="G46" s="939"/>
      <c r="H46" s="939"/>
      <c r="I46" s="939"/>
      <c r="J46" s="939"/>
      <c r="K46" s="939"/>
      <c r="L46" s="939"/>
      <c r="M46" s="939"/>
      <c r="N46" s="939"/>
      <c r="O46" s="939"/>
      <c r="P46" s="939"/>
      <c r="Q46" s="939"/>
      <c r="R46" s="939"/>
      <c r="S46" s="939"/>
      <c r="T46" s="939"/>
      <c r="U46" s="833"/>
      <c r="V46" s="833"/>
      <c r="W46" s="833"/>
      <c r="X46" s="833"/>
      <c r="Y46" s="833"/>
      <c r="Z46" s="833"/>
      <c r="AA46" s="833"/>
      <c r="AB46" s="833"/>
      <c r="AC46" s="833"/>
      <c r="AD46" s="833"/>
      <c r="AE46" s="833"/>
      <c r="AF46" s="833"/>
      <c r="AG46" s="940"/>
      <c r="AH46" s="941"/>
      <c r="AI46" s="942"/>
      <c r="AP46" s="226"/>
      <c r="AS46" s="921"/>
      <c r="AT46" s="921"/>
      <c r="AU46" s="918"/>
      <c r="AV46" s="918"/>
      <c r="AW46" s="921"/>
      <c r="AX46" s="918"/>
      <c r="AY46" s="918"/>
      <c r="AZ46" s="919"/>
    </row>
    <row r="47" ht="31.5" customHeight="1">
      <c r="A47" s="193"/>
      <c r="B47" s="939"/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  <c r="O47" s="939"/>
      <c r="P47" s="939"/>
      <c r="Q47" s="939"/>
      <c r="R47" s="939"/>
      <c r="S47" s="939"/>
      <c r="T47" s="939"/>
      <c r="U47" s="833"/>
      <c r="V47" s="833"/>
      <c r="W47" s="833"/>
      <c r="X47" s="833"/>
      <c r="Y47" s="833"/>
      <c r="Z47" s="833"/>
      <c r="AA47" s="833"/>
      <c r="AB47" s="833"/>
      <c r="AC47" s="833"/>
      <c r="AD47" s="833"/>
      <c r="AE47" s="833"/>
      <c r="AF47" s="833"/>
      <c r="AG47" s="940"/>
      <c r="AH47" s="941"/>
      <c r="AI47" s="942"/>
      <c r="AP47" s="226"/>
      <c r="AS47" s="921"/>
      <c r="AT47" s="921"/>
      <c r="AU47" s="918"/>
      <c r="AV47" s="918"/>
      <c r="AW47" s="921"/>
      <c r="AX47" s="918"/>
      <c r="AY47" s="918"/>
      <c r="AZ47" s="919"/>
    </row>
    <row r="48" ht="31.5" customHeight="1">
      <c r="A48" s="193"/>
      <c r="B48" s="939"/>
      <c r="C48" s="939"/>
      <c r="D48" s="939"/>
      <c r="E48" s="939"/>
      <c r="F48" s="939"/>
      <c r="G48" s="939"/>
      <c r="H48" s="939"/>
      <c r="I48" s="944"/>
      <c r="J48" s="939"/>
      <c r="K48" s="939"/>
      <c r="L48" s="939"/>
      <c r="M48" s="939"/>
      <c r="N48" s="939"/>
      <c r="O48" s="939"/>
      <c r="P48" s="939"/>
      <c r="Q48" s="939"/>
      <c r="R48" s="939"/>
      <c r="S48" s="939"/>
      <c r="T48" s="939"/>
      <c r="U48" s="833"/>
      <c r="V48" s="833"/>
      <c r="W48" s="833"/>
      <c r="X48" s="833"/>
      <c r="Y48" s="833"/>
      <c r="Z48" s="833"/>
      <c r="AA48" s="833"/>
      <c r="AB48" s="833"/>
      <c r="AC48" s="833"/>
      <c r="AD48" s="833"/>
      <c r="AE48" s="833"/>
      <c r="AF48" s="833"/>
      <c r="AG48" s="940"/>
      <c r="AH48" s="941"/>
      <c r="AI48" s="942"/>
      <c r="AS48" s="865"/>
      <c r="AT48" s="865"/>
      <c r="AU48" s="38"/>
      <c r="AV48" s="865"/>
    </row>
    <row r="49" ht="31.5" customHeight="1">
      <c r="A49" s="193"/>
      <c r="B49" s="939"/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  <c r="O49" s="939"/>
      <c r="P49" s="939"/>
      <c r="Q49" s="939"/>
      <c r="R49" s="939"/>
      <c r="S49" s="939"/>
      <c r="T49" s="939"/>
      <c r="U49" s="833"/>
      <c r="V49" s="833"/>
      <c r="W49" s="833"/>
      <c r="X49" s="833"/>
      <c r="Y49" s="833"/>
      <c r="Z49" s="833"/>
      <c r="AA49" s="833"/>
      <c r="AB49" s="833"/>
      <c r="AC49" s="833"/>
      <c r="AD49" s="833"/>
      <c r="AE49" s="833"/>
      <c r="AF49" s="833"/>
      <c r="AG49" s="940"/>
      <c r="AH49" s="941"/>
      <c r="AI49" s="942"/>
    </row>
    <row r="50" ht="31.5" customHeight="1">
      <c r="A50" s="193"/>
      <c r="B50" s="939"/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  <c r="O50" s="939"/>
      <c r="P50" s="939"/>
      <c r="Q50" s="939"/>
      <c r="R50" s="939"/>
      <c r="S50" s="939"/>
      <c r="T50" s="939"/>
      <c r="U50" s="833"/>
      <c r="V50" s="833"/>
      <c r="W50" s="833"/>
      <c r="X50" s="833"/>
      <c r="Y50" s="833"/>
      <c r="Z50" s="833"/>
      <c r="AA50" s="833"/>
      <c r="AB50" s="833"/>
      <c r="AC50" s="833"/>
      <c r="AD50" s="833"/>
      <c r="AE50" s="833"/>
      <c r="AF50" s="833"/>
      <c r="AG50" s="940"/>
      <c r="AH50" s="941"/>
      <c r="AI50" s="942"/>
    </row>
    <row r="51" ht="31.5" customHeight="1">
      <c r="A51" s="193"/>
      <c r="B51" s="939"/>
      <c r="C51" s="939"/>
      <c r="D51" s="939"/>
      <c r="E51" s="939"/>
      <c r="F51" s="939"/>
      <c r="G51" s="939"/>
      <c r="H51" s="939"/>
      <c r="I51" s="945"/>
      <c r="J51" s="833"/>
      <c r="K51" s="939"/>
      <c r="L51" s="939"/>
      <c r="M51" s="939"/>
      <c r="N51" s="939"/>
      <c r="O51" s="939"/>
      <c r="P51" s="939"/>
      <c r="Q51" s="939"/>
      <c r="R51" s="939"/>
      <c r="S51" s="939"/>
      <c r="T51" s="939"/>
      <c r="U51" s="833"/>
      <c r="V51" s="833"/>
      <c r="W51" s="833"/>
      <c r="X51" s="833"/>
      <c r="Y51" s="833"/>
      <c r="Z51" s="833"/>
      <c r="AA51" s="833"/>
      <c r="AB51" s="833"/>
      <c r="AC51" s="833"/>
      <c r="AD51" s="833"/>
      <c r="AE51" s="833"/>
      <c r="AF51" s="833"/>
      <c r="AG51" s="940"/>
      <c r="AH51" s="941"/>
      <c r="AI51" s="942"/>
    </row>
    <row r="52" ht="31.5" customHeight="1">
      <c r="A52" s="193"/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39"/>
      <c r="U52" s="833"/>
      <c r="V52" s="833"/>
      <c r="W52" s="833"/>
      <c r="X52" s="833"/>
      <c r="Y52" s="833"/>
      <c r="Z52" s="833"/>
      <c r="AA52" s="833"/>
      <c r="AB52" s="833"/>
      <c r="AC52" s="833"/>
      <c r="AD52" s="833"/>
      <c r="AE52" s="833"/>
      <c r="AF52" s="833"/>
      <c r="AG52" s="940"/>
      <c r="AH52" s="941"/>
      <c r="AI52" s="942"/>
    </row>
    <row r="53" ht="31.5" customHeight="1">
      <c r="A53" s="193"/>
      <c r="B53" s="939"/>
      <c r="C53" s="939"/>
      <c r="D53" s="939"/>
      <c r="E53" s="939"/>
      <c r="F53" s="939"/>
      <c r="G53" s="939"/>
      <c r="H53" s="939"/>
      <c r="I53" s="939"/>
      <c r="J53" s="939"/>
      <c r="K53" s="939"/>
      <c r="L53" s="939"/>
      <c r="M53" s="939"/>
      <c r="N53" s="939"/>
      <c r="O53" s="939"/>
      <c r="P53" s="939"/>
      <c r="Q53" s="939"/>
      <c r="R53" s="939"/>
      <c r="S53" s="939"/>
      <c r="T53" s="939"/>
      <c r="U53" s="833"/>
      <c r="V53" s="833"/>
      <c r="W53" s="833"/>
      <c r="X53" s="833"/>
      <c r="Y53" s="833"/>
      <c r="Z53" s="833"/>
      <c r="AA53" s="833"/>
      <c r="AB53" s="833"/>
      <c r="AC53" s="833"/>
      <c r="AD53" s="833"/>
      <c r="AE53" s="833"/>
      <c r="AF53" s="833"/>
      <c r="AG53" s="940"/>
      <c r="AH53" s="941"/>
      <c r="AI53" s="942"/>
    </row>
    <row r="54" ht="31.5" customHeight="1">
      <c r="A54" s="193"/>
      <c r="B54" s="939"/>
      <c r="C54" s="939"/>
      <c r="D54" s="939"/>
      <c r="E54" s="939"/>
      <c r="F54" s="939"/>
      <c r="G54" s="939"/>
      <c r="H54" s="939"/>
      <c r="I54" s="939"/>
      <c r="J54" s="939"/>
      <c r="K54" s="939"/>
      <c r="L54" s="939"/>
      <c r="M54" s="939"/>
      <c r="N54" s="939"/>
      <c r="O54" s="939"/>
      <c r="P54" s="939"/>
      <c r="Q54" s="939"/>
      <c r="R54" s="939"/>
      <c r="S54" s="939"/>
      <c r="T54" s="939"/>
      <c r="U54" s="833"/>
      <c r="V54" s="833"/>
      <c r="W54" s="833"/>
      <c r="X54" s="833"/>
      <c r="Y54" s="833"/>
      <c r="Z54" s="833"/>
      <c r="AA54" s="833"/>
      <c r="AB54" s="833"/>
      <c r="AC54" s="833"/>
      <c r="AD54" s="833"/>
      <c r="AE54" s="833"/>
      <c r="AF54" s="833"/>
      <c r="AG54" s="940"/>
      <c r="AH54" s="941"/>
      <c r="AI54" s="942"/>
    </row>
    <row r="55" ht="31.5" customHeight="1">
      <c r="AI55" s="38"/>
    </row>
    <row r="56" ht="15.75" customHeight="1">
      <c r="C56" s="796"/>
      <c r="D56" s="797"/>
      <c r="AG56" s="49"/>
      <c r="AH56" s="8"/>
    </row>
    <row r="57" ht="15.75" customHeight="1">
      <c r="C57" s="796"/>
      <c r="D57" s="797"/>
      <c r="AG57" s="49"/>
      <c r="AH57" s="8"/>
    </row>
    <row r="58" ht="15.75" customHeight="1">
      <c r="C58" s="796"/>
      <c r="D58" s="797"/>
      <c r="AG58" s="49"/>
      <c r="AH58" s="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H2:AI2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H20:AI20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43:AR43"/>
    <mergeCell ref="AP44:AR44"/>
    <mergeCell ref="AP45:AR45"/>
    <mergeCell ref="AP46:AR46"/>
    <mergeCell ref="AP47:AR47"/>
    <mergeCell ref="AP28:AR28"/>
    <mergeCell ref="AP29:AR29"/>
    <mergeCell ref="AP38:AR38"/>
    <mergeCell ref="AP39:AR39"/>
    <mergeCell ref="AP40:AR40"/>
    <mergeCell ref="AP41:AR41"/>
    <mergeCell ref="AP42:AR42"/>
  </mergeCells>
  <conditionalFormatting sqref="AK28:AN29 AO29 BA28:BN29">
    <cfRule type="notContainsBlanks" dxfId="0" priority="1">
      <formula>LEN(TRIM(AK28))&gt;0</formula>
    </cfRule>
  </conditionalFormatting>
  <conditionalFormatting sqref="AI3:AI17 AI19 AI21:AI30 AI32:AI54">
    <cfRule type="cellIs" dxfId="1" priority="2" operator="equal">
      <formula>"TRUE"</formula>
    </cfRule>
  </conditionalFormatting>
  <conditionalFormatting sqref="AI3:AI17 AI19 AI21:AI30 AI32:AI54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170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6.75" customHeight="1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SUM(AG3:AG32,AW3:AW13,AW17:AW26)</f>
        <v>4382.14</v>
      </c>
      <c r="AH2" s="889" t="s">
        <v>150</v>
      </c>
      <c r="AI2" s="890"/>
      <c r="AP2" s="38"/>
      <c r="AQ2" s="38"/>
      <c r="AR2" s="38"/>
      <c r="AS2" s="862"/>
      <c r="AT2" s="173">
        <v>1.0</v>
      </c>
      <c r="AU2" s="174" t="s">
        <v>16</v>
      </c>
      <c r="AV2" s="173">
        <v>0.05</v>
      </c>
      <c r="AW2" s="456" t="s">
        <v>71</v>
      </c>
      <c r="AX2" s="456" t="s">
        <v>72</v>
      </c>
      <c r="AY2" s="456" t="s">
        <v>73</v>
      </c>
      <c r="AZ2" s="246" t="s">
        <v>34</v>
      </c>
    </row>
    <row r="3" ht="31.5" customHeight="1">
      <c r="A3" s="758" t="s">
        <v>5</v>
      </c>
      <c r="B3" s="820"/>
      <c r="C3" s="820"/>
      <c r="D3" s="820">
        <v>1.5</v>
      </c>
      <c r="E3" s="820">
        <v>1.5</v>
      </c>
      <c r="F3" s="820">
        <v>1.5</v>
      </c>
      <c r="G3" s="820">
        <v>1.5</v>
      </c>
      <c r="H3" s="820"/>
      <c r="I3" s="820"/>
      <c r="J3" s="820"/>
      <c r="K3" s="820">
        <v>4.5</v>
      </c>
      <c r="L3" s="820">
        <v>7.5</v>
      </c>
      <c r="M3" s="820"/>
      <c r="N3" s="820">
        <v>7.54</v>
      </c>
      <c r="O3" s="820">
        <v>1.5</v>
      </c>
      <c r="P3" s="820">
        <v>1.5</v>
      </c>
      <c r="Q3" s="820">
        <v>1.5</v>
      </c>
      <c r="R3" s="820">
        <v>9.0</v>
      </c>
      <c r="S3" s="820">
        <v>10.5</v>
      </c>
      <c r="T3" s="820"/>
      <c r="U3" s="820">
        <v>1.5</v>
      </c>
      <c r="V3" s="820">
        <v>1.5</v>
      </c>
      <c r="W3" s="820">
        <v>3.0</v>
      </c>
      <c r="X3" s="820"/>
      <c r="Y3" s="820">
        <v>4.5</v>
      </c>
      <c r="Z3" s="820">
        <v>4.12</v>
      </c>
      <c r="AA3" s="820">
        <v>1.5</v>
      </c>
      <c r="AB3" s="820"/>
      <c r="AC3" s="820"/>
      <c r="AD3" s="820">
        <v>7.5</v>
      </c>
      <c r="AE3" s="820">
        <v>1.5</v>
      </c>
      <c r="AF3" s="820"/>
      <c r="AG3" s="751">
        <f t="shared" ref="AG3:AG17" si="1">SUM(B3:AF3)</f>
        <v>74.66</v>
      </c>
      <c r="AH3" s="923">
        <v>74.66</v>
      </c>
      <c r="AI3" s="924" t="b">
        <f t="shared" ref="AI3:AI17" si="2">EQ(AG3,AH3)</f>
        <v>1</v>
      </c>
      <c r="AK3" s="923"/>
      <c r="AP3" s="344" t="s">
        <v>120</v>
      </c>
      <c r="AQ3" s="176"/>
      <c r="AR3" s="177"/>
      <c r="AS3" s="464"/>
      <c r="AT3" s="464">
        <f>SUM(valuesByColor("#980000", "", B3:AF17))</f>
        <v>177.24</v>
      </c>
      <c r="AU3" s="345">
        <f t="shared" ref="AU3:AU13" si="3">((AT3*(1-0.05))*(1-0.6))+AX3-AZ3</f>
        <v>67.3512</v>
      </c>
      <c r="AV3" s="346">
        <f t="shared" ref="AV3:AV13" si="4">(AT3*(1-0.05))*(1-0.95)+AY3</f>
        <v>8.4189</v>
      </c>
      <c r="AW3" s="346"/>
      <c r="AX3" s="346">
        <f t="shared" ref="AX3:AX9" si="5">(AW3*(1-0.05))*(1-0.9)</f>
        <v>0</v>
      </c>
      <c r="AY3" s="346">
        <f t="shared" ref="AY3:AY9" si="6">(AW3*(1-0.05))*(1-0.95)</f>
        <v>0</v>
      </c>
      <c r="AZ3" s="883"/>
    </row>
    <row r="4" ht="40.5" customHeight="1">
      <c r="A4" s="758" t="s">
        <v>138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  <c r="R4" s="867"/>
      <c r="S4" s="867"/>
      <c r="T4" s="867"/>
      <c r="U4" s="867"/>
      <c r="V4" s="867"/>
      <c r="W4" s="867"/>
      <c r="X4" s="867"/>
      <c r="Y4" s="867"/>
      <c r="Z4" s="867"/>
      <c r="AA4" s="867"/>
      <c r="AB4" s="867"/>
      <c r="AC4" s="867"/>
      <c r="AD4" s="867"/>
      <c r="AE4" s="867"/>
      <c r="AF4" s="867"/>
      <c r="AG4" s="751">
        <f t="shared" si="1"/>
        <v>0</v>
      </c>
      <c r="AH4" s="923">
        <v>0.0</v>
      </c>
      <c r="AI4" s="924" t="b">
        <f t="shared" si="2"/>
        <v>1</v>
      </c>
      <c r="AJ4" s="38"/>
      <c r="AK4" s="923"/>
      <c r="AP4" s="175" t="s">
        <v>102</v>
      </c>
      <c r="AQ4" s="176"/>
      <c r="AR4" s="177"/>
      <c r="AS4" s="467"/>
      <c r="AT4" s="467">
        <f>SUM(valuesByColor("yellow", "", B3:AF17))</f>
        <v>864.12</v>
      </c>
      <c r="AU4" s="178">
        <f t="shared" si="3"/>
        <v>328.3656</v>
      </c>
      <c r="AV4" s="248">
        <f t="shared" si="4"/>
        <v>41.0457</v>
      </c>
      <c r="AW4" s="248"/>
      <c r="AX4" s="248">
        <f t="shared" si="5"/>
        <v>0</v>
      </c>
      <c r="AY4" s="248">
        <f t="shared" si="6"/>
        <v>0</v>
      </c>
      <c r="AZ4" s="249"/>
    </row>
    <row r="5" ht="27.0" customHeight="1">
      <c r="A5" s="758" t="s">
        <v>139</v>
      </c>
      <c r="B5" s="911">
        <v>1.5</v>
      </c>
      <c r="C5" s="911">
        <v>1.5</v>
      </c>
      <c r="D5" s="911">
        <v>8.56</v>
      </c>
      <c r="E5" s="911"/>
      <c r="F5" s="911"/>
      <c r="G5" s="911">
        <v>4.5</v>
      </c>
      <c r="H5" s="911">
        <v>1.5</v>
      </c>
      <c r="I5" s="849">
        <v>3.12</v>
      </c>
      <c r="J5" s="849">
        <v>4.5</v>
      </c>
      <c r="K5" s="849">
        <v>3.0</v>
      </c>
      <c r="L5" s="849"/>
      <c r="M5" s="849">
        <v>4.5</v>
      </c>
      <c r="N5" s="911"/>
      <c r="O5" s="911"/>
      <c r="P5" s="911"/>
      <c r="Q5" s="911"/>
      <c r="R5" s="911"/>
      <c r="S5" s="911"/>
      <c r="T5" s="911"/>
      <c r="U5" s="911"/>
      <c r="V5" s="911"/>
      <c r="W5" s="911"/>
      <c r="X5" s="911"/>
      <c r="Y5" s="911"/>
      <c r="Z5" s="911"/>
      <c r="AA5" s="911"/>
      <c r="AB5" s="911"/>
      <c r="AC5" s="911"/>
      <c r="AD5" s="911"/>
      <c r="AE5" s="911"/>
      <c r="AF5" s="911"/>
      <c r="AG5" s="751">
        <f t="shared" si="1"/>
        <v>32.68</v>
      </c>
      <c r="AH5" s="923">
        <v>32.68</v>
      </c>
      <c r="AI5" s="924" t="b">
        <f t="shared" si="2"/>
        <v>1</v>
      </c>
      <c r="AJ5" s="38"/>
      <c r="AK5" s="923"/>
      <c r="AM5" s="428"/>
      <c r="AP5" s="252" t="s">
        <v>158</v>
      </c>
      <c r="AQ5" s="176"/>
      <c r="AR5" s="177"/>
      <c r="AS5" s="474"/>
      <c r="AT5" s="474">
        <f>SUM(valuesByColor("cyan", "", B3:AF17))</f>
        <v>131.72</v>
      </c>
      <c r="AU5" s="253">
        <f t="shared" si="3"/>
        <v>0.0536</v>
      </c>
      <c r="AV5" s="254">
        <f t="shared" si="4"/>
        <v>6.2567</v>
      </c>
      <c r="AW5" s="254"/>
      <c r="AX5" s="254">
        <f t="shared" si="5"/>
        <v>0</v>
      </c>
      <c r="AY5" s="254">
        <f t="shared" si="6"/>
        <v>0</v>
      </c>
      <c r="AZ5" s="255">
        <v>50.0</v>
      </c>
    </row>
    <row r="6" ht="27.0" customHeight="1">
      <c r="A6" s="773" t="s">
        <v>3</v>
      </c>
      <c r="B6" s="849"/>
      <c r="C6" s="849">
        <v>10.92</v>
      </c>
      <c r="D6" s="849"/>
      <c r="E6" s="849"/>
      <c r="F6" s="849">
        <v>18.38</v>
      </c>
      <c r="G6" s="849">
        <v>16.72</v>
      </c>
      <c r="H6" s="849">
        <v>7.5</v>
      </c>
      <c r="I6" s="849"/>
      <c r="J6" s="849"/>
      <c r="K6" s="849">
        <v>16.5</v>
      </c>
      <c r="L6" s="849"/>
      <c r="M6" s="849"/>
      <c r="N6" s="849">
        <v>22.5</v>
      </c>
      <c r="O6" s="849">
        <v>12.0</v>
      </c>
      <c r="P6" s="849">
        <v>3.0</v>
      </c>
      <c r="Q6" s="849">
        <v>7.5</v>
      </c>
      <c r="R6" s="849">
        <v>3.0</v>
      </c>
      <c r="S6" s="849"/>
      <c r="T6" s="849"/>
      <c r="U6" s="849"/>
      <c r="V6" s="849"/>
      <c r="W6" s="849"/>
      <c r="X6" s="849"/>
      <c r="Y6" s="898">
        <v>6.42</v>
      </c>
      <c r="Z6" s="898">
        <v>10.92</v>
      </c>
      <c r="AA6" s="898">
        <v>3.12</v>
      </c>
      <c r="AB6" s="898">
        <v>7.5</v>
      </c>
      <c r="AC6" s="898"/>
      <c r="AD6" s="898"/>
      <c r="AE6" s="898">
        <v>1.5</v>
      </c>
      <c r="AF6" s="898"/>
      <c r="AG6" s="751">
        <f t="shared" si="1"/>
        <v>147.48</v>
      </c>
      <c r="AH6" s="925">
        <v>147.48</v>
      </c>
      <c r="AI6" s="924" t="b">
        <f t="shared" si="2"/>
        <v>1</v>
      </c>
      <c r="AJ6" s="38"/>
      <c r="AK6" s="925"/>
      <c r="AP6" s="188" t="s">
        <v>151</v>
      </c>
      <c r="AQ6" s="176"/>
      <c r="AR6" s="177"/>
      <c r="AS6" s="481"/>
      <c r="AT6" s="481">
        <f>SUM(valuesByColor("#f09090", "", B3:AF17))</f>
        <v>1206.99</v>
      </c>
      <c r="AU6" s="189">
        <f t="shared" si="3"/>
        <v>458.6562</v>
      </c>
      <c r="AV6" s="256">
        <f t="shared" si="4"/>
        <v>57.332025</v>
      </c>
      <c r="AW6" s="256"/>
      <c r="AX6" s="482">
        <f t="shared" si="5"/>
        <v>0</v>
      </c>
      <c r="AY6" s="482">
        <f t="shared" si="6"/>
        <v>0</v>
      </c>
      <c r="AZ6" s="257"/>
    </row>
    <row r="7" ht="29.25" customHeight="1">
      <c r="A7" s="758" t="s">
        <v>126</v>
      </c>
      <c r="B7" s="898">
        <v>0.12</v>
      </c>
      <c r="C7" s="898"/>
      <c r="D7" s="898">
        <v>3.0</v>
      </c>
      <c r="E7" s="898">
        <v>9.0</v>
      </c>
      <c r="F7" s="898">
        <v>1.5</v>
      </c>
      <c r="G7" s="898">
        <v>1.5</v>
      </c>
      <c r="H7" s="898">
        <v>0.12</v>
      </c>
      <c r="I7" s="898"/>
      <c r="J7" s="898">
        <v>1.5</v>
      </c>
      <c r="K7" s="898">
        <v>6.0</v>
      </c>
      <c r="L7" s="898">
        <v>3.0</v>
      </c>
      <c r="M7" s="898">
        <v>12.12</v>
      </c>
      <c r="N7" s="898">
        <v>7.5</v>
      </c>
      <c r="O7" s="898">
        <v>4.5</v>
      </c>
      <c r="P7" s="898">
        <v>6.0</v>
      </c>
      <c r="Q7" s="898">
        <v>3.0</v>
      </c>
      <c r="R7" s="898">
        <v>16.5</v>
      </c>
      <c r="S7" s="898">
        <v>9.0</v>
      </c>
      <c r="T7" s="898">
        <v>13.5</v>
      </c>
      <c r="U7" s="898">
        <v>10.5</v>
      </c>
      <c r="V7" s="898">
        <v>17.0</v>
      </c>
      <c r="W7" s="898">
        <v>9.0</v>
      </c>
      <c r="X7" s="898">
        <v>6.0</v>
      </c>
      <c r="Y7" s="898">
        <v>9.0</v>
      </c>
      <c r="Z7" s="898">
        <v>1.5</v>
      </c>
      <c r="AA7" s="898">
        <v>6.0</v>
      </c>
      <c r="AB7" s="898">
        <v>6.0</v>
      </c>
      <c r="AC7" s="898">
        <v>4.5</v>
      </c>
      <c r="AD7" s="898">
        <v>1.5</v>
      </c>
      <c r="AE7" s="898">
        <v>1.5</v>
      </c>
      <c r="AF7" s="898"/>
      <c r="AG7" s="751">
        <f t="shared" si="1"/>
        <v>170.36</v>
      </c>
      <c r="AH7" s="923">
        <v>170.36</v>
      </c>
      <c r="AI7" s="924" t="b">
        <f t="shared" si="2"/>
        <v>1</v>
      </c>
      <c r="AJ7" s="38"/>
      <c r="AK7" s="923"/>
      <c r="AL7" s="38"/>
      <c r="AM7" s="38"/>
      <c r="AN7" s="38"/>
      <c r="AP7" s="263"/>
      <c r="AQ7" s="176"/>
      <c r="AR7" s="177"/>
      <c r="AS7" s="808"/>
      <c r="AT7" s="808">
        <f>SUM(valuesByColor("magenta", "", B3:AF17))</f>
        <v>0</v>
      </c>
      <c r="AU7" s="264">
        <f t="shared" si="3"/>
        <v>0</v>
      </c>
      <c r="AV7" s="265">
        <f t="shared" si="4"/>
        <v>0</v>
      </c>
      <c r="AW7" s="265"/>
      <c r="AX7" s="489">
        <f t="shared" si="5"/>
        <v>0</v>
      </c>
      <c r="AY7" s="489">
        <f t="shared" si="6"/>
        <v>0</v>
      </c>
      <c r="AZ7" s="266"/>
    </row>
    <row r="8" ht="29.25" customHeight="1">
      <c r="A8" s="747" t="s">
        <v>84</v>
      </c>
      <c r="B8" s="911">
        <v>3.0</v>
      </c>
      <c r="C8" s="911">
        <v>6.0</v>
      </c>
      <c r="D8" s="911">
        <v>1.5</v>
      </c>
      <c r="E8" s="911">
        <v>1.5</v>
      </c>
      <c r="F8" s="911"/>
      <c r="G8" s="911">
        <v>4.5</v>
      </c>
      <c r="H8" s="911">
        <v>10.5</v>
      </c>
      <c r="I8" s="911">
        <v>28.02</v>
      </c>
      <c r="J8" s="911">
        <v>15.28</v>
      </c>
      <c r="K8" s="911">
        <v>25.86</v>
      </c>
      <c r="L8" s="911">
        <v>3.0</v>
      </c>
      <c r="M8" s="911">
        <v>15.0</v>
      </c>
      <c r="N8" s="911"/>
      <c r="O8" s="911"/>
      <c r="P8" s="911"/>
      <c r="Q8" s="911"/>
      <c r="R8" s="911"/>
      <c r="S8" s="911"/>
      <c r="T8" s="911"/>
      <c r="U8" s="911"/>
      <c r="V8" s="911"/>
      <c r="W8" s="911"/>
      <c r="X8" s="911"/>
      <c r="Y8" s="911"/>
      <c r="Z8" s="911"/>
      <c r="AA8" s="911"/>
      <c r="AB8" s="849">
        <v>82.7</v>
      </c>
      <c r="AC8" s="849">
        <v>46.18</v>
      </c>
      <c r="AD8" s="849">
        <v>61.74</v>
      </c>
      <c r="AE8" s="849">
        <v>40.9</v>
      </c>
      <c r="AF8" s="911"/>
      <c r="AG8" s="861">
        <f t="shared" si="1"/>
        <v>345.68</v>
      </c>
      <c r="AH8" s="923">
        <v>345.68</v>
      </c>
      <c r="AI8" s="924" t="b">
        <f t="shared" si="2"/>
        <v>1</v>
      </c>
      <c r="AJ8" s="38"/>
      <c r="AK8" s="923"/>
      <c r="AL8" s="38"/>
      <c r="AM8" s="38"/>
      <c r="AN8" s="38"/>
      <c r="AP8" s="195" t="s">
        <v>159</v>
      </c>
      <c r="AQ8" s="176"/>
      <c r="AR8" s="177"/>
      <c r="AS8" s="493"/>
      <c r="AT8" s="493">
        <f>SUM(valuesByColor("#0070c0", "", B3:AF17))</f>
        <v>6.24</v>
      </c>
      <c r="AU8" s="196">
        <f t="shared" si="3"/>
        <v>2.3712</v>
      </c>
      <c r="AV8" s="267">
        <f t="shared" si="4"/>
        <v>0.2964</v>
      </c>
      <c r="AW8" s="267"/>
      <c r="AX8" s="494">
        <f t="shared" si="5"/>
        <v>0</v>
      </c>
      <c r="AY8" s="494">
        <f t="shared" si="6"/>
        <v>0</v>
      </c>
      <c r="AZ8" s="268"/>
    </row>
    <row r="9" ht="29.25" customHeight="1">
      <c r="A9" s="747" t="s">
        <v>111</v>
      </c>
      <c r="B9" s="855">
        <v>21.0</v>
      </c>
      <c r="C9" s="855">
        <v>39.82</v>
      </c>
      <c r="D9" s="855">
        <v>37.86</v>
      </c>
      <c r="E9" s="855">
        <v>27.42</v>
      </c>
      <c r="F9" s="855">
        <v>31.5</v>
      </c>
      <c r="G9" s="855">
        <v>9.0</v>
      </c>
      <c r="H9" s="855">
        <v>16.68</v>
      </c>
      <c r="I9" s="855">
        <v>41.04</v>
      </c>
      <c r="J9" s="855">
        <v>32.48</v>
      </c>
      <c r="K9" s="855">
        <v>49.53</v>
      </c>
      <c r="L9" s="855"/>
      <c r="M9" s="855">
        <v>21.0</v>
      </c>
      <c r="N9" s="855">
        <v>60.3</v>
      </c>
      <c r="O9" s="855">
        <v>38.58</v>
      </c>
      <c r="P9" s="855">
        <v>30.0</v>
      </c>
      <c r="Q9" s="855">
        <v>21.0</v>
      </c>
      <c r="R9" s="855">
        <v>26.22</v>
      </c>
      <c r="S9" s="855">
        <v>58.48</v>
      </c>
      <c r="T9" s="855">
        <v>60.84</v>
      </c>
      <c r="U9" s="855">
        <v>16.04</v>
      </c>
      <c r="V9" s="855">
        <v>33.7</v>
      </c>
      <c r="W9" s="855">
        <v>47.25</v>
      </c>
      <c r="X9" s="855">
        <v>19.5</v>
      </c>
      <c r="Y9" s="855">
        <v>79.08</v>
      </c>
      <c r="Z9" s="855">
        <v>41.95</v>
      </c>
      <c r="AA9" s="855">
        <v>4.5</v>
      </c>
      <c r="AB9" s="855">
        <v>23.62</v>
      </c>
      <c r="AC9" s="855">
        <v>50.1</v>
      </c>
      <c r="AD9" s="855"/>
      <c r="AE9" s="855"/>
      <c r="AF9" s="855"/>
      <c r="AG9" s="751">
        <f t="shared" si="1"/>
        <v>938.49</v>
      </c>
      <c r="AH9" s="923">
        <v>938.49</v>
      </c>
      <c r="AI9" s="924" t="b">
        <f t="shared" si="2"/>
        <v>1</v>
      </c>
      <c r="AJ9" s="38"/>
      <c r="AK9" s="923"/>
      <c r="AL9" s="38"/>
      <c r="AM9" s="38"/>
      <c r="AN9" s="38"/>
      <c r="AP9" s="201" t="s">
        <v>75</v>
      </c>
      <c r="AQ9" s="176"/>
      <c r="AR9" s="177"/>
      <c r="AS9" s="503"/>
      <c r="AT9" s="503">
        <f>SUM(valuesByColor("#ec7c31", "", B3:AF17))</f>
        <v>382.63</v>
      </c>
      <c r="AU9" s="202">
        <f t="shared" si="3"/>
        <v>145.3994</v>
      </c>
      <c r="AV9" s="269">
        <f t="shared" si="4"/>
        <v>18.174925</v>
      </c>
      <c r="AW9" s="269"/>
      <c r="AX9" s="504">
        <f t="shared" si="5"/>
        <v>0</v>
      </c>
      <c r="AY9" s="504">
        <f t="shared" si="6"/>
        <v>0</v>
      </c>
      <c r="AZ9" s="270"/>
    </row>
    <row r="10" ht="29.25" customHeight="1">
      <c r="A10" s="758" t="s">
        <v>156</v>
      </c>
      <c r="B10" s="867"/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946">
        <v>4.74</v>
      </c>
      <c r="N10" s="946">
        <v>1.5</v>
      </c>
      <c r="O10" s="946"/>
      <c r="P10" s="946"/>
      <c r="Q10" s="946"/>
      <c r="R10" s="946"/>
      <c r="S10" s="946"/>
      <c r="T10" s="946"/>
      <c r="U10" s="946"/>
      <c r="V10" s="946"/>
      <c r="W10" s="946"/>
      <c r="X10" s="946"/>
      <c r="Y10" s="946"/>
      <c r="Z10" s="946"/>
      <c r="AA10" s="946"/>
      <c r="AB10" s="946"/>
      <c r="AC10" s="946"/>
      <c r="AD10" s="946"/>
      <c r="AE10" s="946"/>
      <c r="AF10" s="946"/>
      <c r="AG10" s="751">
        <f t="shared" si="1"/>
        <v>6.24</v>
      </c>
      <c r="AH10" s="923">
        <v>6.24</v>
      </c>
      <c r="AI10" s="924" t="b">
        <f t="shared" si="2"/>
        <v>1</v>
      </c>
      <c r="AJ10" s="38"/>
      <c r="AK10" s="923"/>
      <c r="AL10" s="38"/>
      <c r="AM10" s="38"/>
      <c r="AN10" s="38"/>
      <c r="AP10" s="810"/>
      <c r="AQ10" s="176"/>
      <c r="AR10" s="177"/>
      <c r="AS10" s="827"/>
      <c r="AT10" s="827">
        <f>SUM(valuesByColor("#911553", "", B3:AF17))</f>
        <v>0</v>
      </c>
      <c r="AU10" s="828">
        <f t="shared" si="3"/>
        <v>0</v>
      </c>
      <c r="AV10" s="829">
        <f t="shared" si="4"/>
        <v>0</v>
      </c>
      <c r="AW10" s="814"/>
      <c r="AX10" s="815">
        <v>0.0</v>
      </c>
      <c r="AY10" s="815">
        <v>0.0</v>
      </c>
      <c r="AZ10" s="274"/>
    </row>
    <row r="11" ht="29.25" customHeight="1">
      <c r="A11" s="758" t="s">
        <v>99</v>
      </c>
      <c r="B11" s="867"/>
      <c r="C11" s="867"/>
      <c r="D11" s="867"/>
      <c r="E11" s="867"/>
      <c r="F11" s="867"/>
      <c r="G11" s="867"/>
      <c r="H11" s="867"/>
      <c r="I11" s="867"/>
      <c r="J11" s="867"/>
      <c r="K11" s="867"/>
      <c r="L11" s="867"/>
      <c r="M11" s="867"/>
      <c r="N11" s="867"/>
      <c r="O11" s="867"/>
      <c r="P11" s="867"/>
      <c r="Q11" s="867"/>
      <c r="R11" s="867"/>
      <c r="S11" s="867"/>
      <c r="T11" s="867"/>
      <c r="U11" s="867"/>
      <c r="V11" s="867"/>
      <c r="W11" s="867"/>
      <c r="X11" s="867"/>
      <c r="Y11" s="867"/>
      <c r="Z11" s="867"/>
      <c r="AA11" s="867"/>
      <c r="AB11" s="867"/>
      <c r="AC11" s="867"/>
      <c r="AD11" s="867"/>
      <c r="AE11" s="867"/>
      <c r="AF11" s="867"/>
      <c r="AG11" s="751">
        <f t="shared" si="1"/>
        <v>0</v>
      </c>
      <c r="AH11" s="923">
        <v>0.0</v>
      </c>
      <c r="AI11" s="924" t="b">
        <f t="shared" si="2"/>
        <v>1</v>
      </c>
      <c r="AJ11" s="38"/>
      <c r="AK11" s="923"/>
      <c r="AL11" s="38"/>
      <c r="AM11" s="38"/>
      <c r="AN11" s="38"/>
      <c r="AP11" s="277"/>
      <c r="AQ11" s="176"/>
      <c r="AR11" s="177"/>
      <c r="AS11" s="518"/>
      <c r="AT11" s="518">
        <f>SUM(valuesByColor("lime", "", B3:AF17))</f>
        <v>0</v>
      </c>
      <c r="AU11" s="278">
        <f t="shared" si="3"/>
        <v>0</v>
      </c>
      <c r="AV11" s="279">
        <f t="shared" si="4"/>
        <v>0</v>
      </c>
      <c r="AW11" s="279"/>
      <c r="AX11" s="519">
        <f t="shared" ref="AX11:AX13" si="7">(AW11*(1-0.05))*(1-0.9)</f>
        <v>0</v>
      </c>
      <c r="AY11" s="519">
        <f t="shared" ref="AY11:AY13" si="8">(AW11*(1-0.05))*(1-0.95)</f>
        <v>0</v>
      </c>
      <c r="AZ11" s="280"/>
    </row>
    <row r="12" ht="29.25" customHeight="1">
      <c r="A12" s="758" t="s">
        <v>157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5"/>
      <c r="N12" s="855"/>
      <c r="O12" s="855"/>
      <c r="P12" s="855"/>
      <c r="Q12" s="855"/>
      <c r="R12" s="855"/>
      <c r="S12" s="855"/>
      <c r="T12" s="855"/>
      <c r="U12" s="855"/>
      <c r="V12" s="855"/>
      <c r="W12" s="855"/>
      <c r="X12" s="855"/>
      <c r="Y12" s="855"/>
      <c r="Z12" s="855"/>
      <c r="AA12" s="855"/>
      <c r="AB12" s="855"/>
      <c r="AC12" s="855"/>
      <c r="AD12" s="855"/>
      <c r="AE12" s="855"/>
      <c r="AF12" s="855"/>
      <c r="AG12" s="751">
        <f t="shared" si="1"/>
        <v>0</v>
      </c>
      <c r="AH12" s="923">
        <v>0.0</v>
      </c>
      <c r="AI12" s="924" t="b">
        <f t="shared" si="2"/>
        <v>1</v>
      </c>
      <c r="AJ12" s="38"/>
      <c r="AK12" s="923"/>
      <c r="AL12" s="38"/>
      <c r="AM12" s="38"/>
      <c r="AN12" s="38"/>
      <c r="AP12" s="668"/>
      <c r="AQ12" s="176"/>
      <c r="AR12" s="177"/>
      <c r="AS12" s="669"/>
      <c r="AT12" s="669">
        <f>SUM(valuesByColor("#7a00ff", "", B3:AF17))</f>
        <v>0</v>
      </c>
      <c r="AU12" s="670">
        <f t="shared" si="3"/>
        <v>0</v>
      </c>
      <c r="AV12" s="671">
        <f t="shared" si="4"/>
        <v>0</v>
      </c>
      <c r="AW12" s="671"/>
      <c r="AX12" s="672">
        <f t="shared" si="7"/>
        <v>0</v>
      </c>
      <c r="AY12" s="672">
        <f t="shared" si="8"/>
        <v>0</v>
      </c>
      <c r="AZ12" s="673"/>
    </row>
    <row r="13" ht="29.25" customHeight="1">
      <c r="A13" s="758" t="s">
        <v>53</v>
      </c>
      <c r="B13" s="850">
        <v>4.5</v>
      </c>
      <c r="C13" s="850"/>
      <c r="D13" s="850">
        <v>6.0</v>
      </c>
      <c r="E13" s="850">
        <v>3.0</v>
      </c>
      <c r="F13" s="850">
        <v>7.5</v>
      </c>
      <c r="G13" s="850"/>
      <c r="H13" s="850">
        <v>6.0</v>
      </c>
      <c r="I13" s="850">
        <v>3.0</v>
      </c>
      <c r="J13" s="850"/>
      <c r="K13" s="850">
        <v>4.5</v>
      </c>
      <c r="L13" s="850">
        <v>0.56</v>
      </c>
      <c r="M13" s="850"/>
      <c r="N13" s="850">
        <v>4.5</v>
      </c>
      <c r="O13" s="850">
        <v>1.5</v>
      </c>
      <c r="P13" s="850">
        <v>3.42</v>
      </c>
      <c r="Q13" s="850">
        <v>1.5</v>
      </c>
      <c r="R13" s="850">
        <v>4.5</v>
      </c>
      <c r="S13" s="850">
        <v>3.0</v>
      </c>
      <c r="T13" s="850"/>
      <c r="U13" s="850">
        <v>10.5</v>
      </c>
      <c r="V13" s="850">
        <v>1.5</v>
      </c>
      <c r="W13" s="850">
        <v>13.48</v>
      </c>
      <c r="X13" s="850">
        <v>1.5</v>
      </c>
      <c r="Y13" s="850">
        <v>1.5</v>
      </c>
      <c r="Z13" s="850">
        <v>9.56</v>
      </c>
      <c r="AA13" s="850">
        <v>3.0</v>
      </c>
      <c r="AB13" s="850">
        <v>3.56</v>
      </c>
      <c r="AC13" s="850"/>
      <c r="AD13" s="850">
        <v>3.0</v>
      </c>
      <c r="AE13" s="850">
        <v>1.5</v>
      </c>
      <c r="AF13" s="850"/>
      <c r="AG13" s="751">
        <f t="shared" si="1"/>
        <v>102.58</v>
      </c>
      <c r="AH13" s="923">
        <v>102.58</v>
      </c>
      <c r="AI13" s="924" t="b">
        <f t="shared" si="2"/>
        <v>1</v>
      </c>
      <c r="AJ13" s="38"/>
      <c r="AK13" s="923"/>
      <c r="AL13" s="38"/>
      <c r="AM13" s="38"/>
      <c r="AN13" s="38"/>
      <c r="AP13" s="874" t="s">
        <v>152</v>
      </c>
      <c r="AQ13" s="176"/>
      <c r="AR13" s="177"/>
      <c r="AS13" s="895"/>
      <c r="AT13" s="895">
        <f>SUM(valuesByColor("#6089ff", "", B3:AF17))</f>
        <v>199.82</v>
      </c>
      <c r="AU13" s="896">
        <f t="shared" si="3"/>
        <v>75.9316</v>
      </c>
      <c r="AV13" s="897">
        <f t="shared" si="4"/>
        <v>9.49145</v>
      </c>
      <c r="AW13" s="897"/>
      <c r="AX13" s="876">
        <f t="shared" si="7"/>
        <v>0</v>
      </c>
      <c r="AY13" s="876">
        <f t="shared" si="8"/>
        <v>0</v>
      </c>
      <c r="AZ13" s="387"/>
    </row>
    <row r="14" ht="29.25" customHeight="1">
      <c r="A14" s="758" t="s">
        <v>127</v>
      </c>
      <c r="B14" s="855">
        <v>1.5</v>
      </c>
      <c r="C14" s="855">
        <v>28.02</v>
      </c>
      <c r="D14" s="855">
        <v>22.34</v>
      </c>
      <c r="E14" s="855">
        <v>29.42</v>
      </c>
      <c r="F14" s="855">
        <v>6.4</v>
      </c>
      <c r="G14" s="855">
        <v>4.5</v>
      </c>
      <c r="H14" s="855">
        <v>58.02</v>
      </c>
      <c r="I14" s="855">
        <v>16.44</v>
      </c>
      <c r="J14" s="855">
        <v>10.02</v>
      </c>
      <c r="K14" s="855">
        <v>19.96</v>
      </c>
      <c r="L14" s="855"/>
      <c r="M14" s="855"/>
      <c r="N14" s="855">
        <v>9.74</v>
      </c>
      <c r="O14" s="855">
        <v>12.32</v>
      </c>
      <c r="P14" s="855">
        <v>12.44</v>
      </c>
      <c r="Q14" s="855"/>
      <c r="R14" s="855"/>
      <c r="S14" s="855">
        <v>11.88</v>
      </c>
      <c r="T14" s="855">
        <v>6.0</v>
      </c>
      <c r="U14" s="855">
        <v>1.5</v>
      </c>
      <c r="V14" s="855"/>
      <c r="W14" s="855">
        <v>15.0</v>
      </c>
      <c r="X14" s="855">
        <v>3.0</v>
      </c>
      <c r="Y14" s="855"/>
      <c r="Z14" s="855"/>
      <c r="AA14" s="855"/>
      <c r="AB14" s="855"/>
      <c r="AC14" s="855"/>
      <c r="AD14" s="855"/>
      <c r="AE14" s="855"/>
      <c r="AF14" s="855"/>
      <c r="AG14" s="751">
        <f t="shared" si="1"/>
        <v>268.5</v>
      </c>
      <c r="AH14" s="923">
        <v>268.5</v>
      </c>
      <c r="AI14" s="924" t="b">
        <f t="shared" si="2"/>
        <v>1</v>
      </c>
      <c r="AJ14" s="38"/>
      <c r="AK14" s="923"/>
      <c r="AL14" s="38"/>
      <c r="AM14" s="38"/>
      <c r="AN14" s="38"/>
      <c r="AS14" s="865"/>
      <c r="AT14" s="527">
        <f>SUM(AT3:AT13)</f>
        <v>2968.76</v>
      </c>
      <c r="AU14" s="38"/>
      <c r="AV14" s="220">
        <f>SUM(AV3:AV13)</f>
        <v>141.0161</v>
      </c>
    </row>
    <row r="15" ht="29.25" customHeight="1">
      <c r="A15" s="758" t="s">
        <v>125</v>
      </c>
      <c r="B15" s="849">
        <v>1.5</v>
      </c>
      <c r="C15" s="849"/>
      <c r="D15" s="849"/>
      <c r="E15" s="849"/>
      <c r="F15" s="849">
        <v>3.0</v>
      </c>
      <c r="G15" s="849">
        <v>0.88</v>
      </c>
      <c r="H15" s="849"/>
      <c r="I15" s="849"/>
      <c r="J15" s="849"/>
      <c r="K15" s="849">
        <v>1.5</v>
      </c>
      <c r="L15" s="849"/>
      <c r="M15" s="849"/>
      <c r="N15" s="849"/>
      <c r="O15" s="849"/>
      <c r="P15" s="849"/>
      <c r="Q15" s="849"/>
      <c r="R15" s="849"/>
      <c r="S15" s="849"/>
      <c r="T15" s="849"/>
      <c r="U15" s="849"/>
      <c r="V15" s="849"/>
      <c r="W15" s="849"/>
      <c r="X15" s="849"/>
      <c r="Y15" s="849"/>
      <c r="Z15" s="849"/>
      <c r="AA15" s="849"/>
      <c r="AB15" s="849"/>
      <c r="AC15" s="849"/>
      <c r="AD15" s="849"/>
      <c r="AE15" s="849"/>
      <c r="AF15" s="849"/>
      <c r="AG15" s="751">
        <f t="shared" si="1"/>
        <v>6.88</v>
      </c>
      <c r="AH15" s="941">
        <v>6.88</v>
      </c>
      <c r="AI15" s="924" t="b">
        <f t="shared" si="2"/>
        <v>1</v>
      </c>
      <c r="AJ15" s="38"/>
      <c r="AK15" s="38"/>
      <c r="AL15" s="38"/>
      <c r="AM15" s="38"/>
      <c r="AN15" s="38"/>
    </row>
    <row r="16" ht="29.25" customHeight="1">
      <c r="A16" s="758" t="s">
        <v>171</v>
      </c>
      <c r="B16" s="849"/>
      <c r="C16" s="849"/>
      <c r="D16" s="849"/>
      <c r="E16" s="849"/>
      <c r="F16" s="849">
        <v>7.0</v>
      </c>
      <c r="G16" s="849">
        <v>0.09</v>
      </c>
      <c r="H16" s="849"/>
      <c r="I16" s="849"/>
      <c r="J16" s="849"/>
      <c r="K16" s="849">
        <v>1.0</v>
      </c>
      <c r="L16" s="849"/>
      <c r="M16" s="849"/>
      <c r="N16" s="849">
        <v>3.0</v>
      </c>
      <c r="O16" s="849"/>
      <c r="P16" s="849"/>
      <c r="Q16" s="849"/>
      <c r="R16" s="849"/>
      <c r="S16" s="849"/>
      <c r="T16" s="849"/>
      <c r="U16" s="849"/>
      <c r="V16" s="849"/>
      <c r="W16" s="849"/>
      <c r="X16" s="849"/>
      <c r="Y16" s="849"/>
      <c r="Z16" s="849"/>
      <c r="AA16" s="849"/>
      <c r="AB16" s="849"/>
      <c r="AC16" s="849"/>
      <c r="AD16" s="849"/>
      <c r="AE16" s="849"/>
      <c r="AF16" s="849"/>
      <c r="AG16" s="751">
        <f t="shared" si="1"/>
        <v>11.09</v>
      </c>
      <c r="AH16" s="941">
        <v>11.09</v>
      </c>
      <c r="AI16" s="924" t="b">
        <f t="shared" si="2"/>
        <v>1</v>
      </c>
      <c r="AJ16" s="38"/>
      <c r="AK16" s="38"/>
      <c r="AL16" s="38"/>
      <c r="AM16" s="38"/>
      <c r="AN16" s="38"/>
      <c r="AP16" s="38"/>
      <c r="AQ16" s="38"/>
      <c r="AR16" s="38"/>
      <c r="AS16" s="862"/>
      <c r="AT16" s="173">
        <v>1.0</v>
      </c>
      <c r="AU16" s="174" t="s">
        <v>16</v>
      </c>
      <c r="AV16" s="173">
        <v>0.05</v>
      </c>
      <c r="AW16" s="456" t="s">
        <v>71</v>
      </c>
      <c r="AX16" s="456" t="s">
        <v>72</v>
      </c>
      <c r="AY16" s="456" t="s">
        <v>73</v>
      </c>
      <c r="AZ16" s="246" t="s">
        <v>34</v>
      </c>
    </row>
    <row r="17" ht="29.25" customHeight="1">
      <c r="A17" s="758" t="s">
        <v>97</v>
      </c>
      <c r="B17" s="853">
        <v>19.5</v>
      </c>
      <c r="C17" s="853">
        <v>39.0</v>
      </c>
      <c r="D17" s="853">
        <v>34.5</v>
      </c>
      <c r="E17" s="853">
        <v>51.0</v>
      </c>
      <c r="F17" s="853">
        <v>43.5</v>
      </c>
      <c r="G17" s="853">
        <v>37.5</v>
      </c>
      <c r="H17" s="853">
        <v>21.0</v>
      </c>
      <c r="I17" s="853">
        <v>28.5</v>
      </c>
      <c r="J17" s="853">
        <v>34.5</v>
      </c>
      <c r="K17" s="853">
        <v>39.0</v>
      </c>
      <c r="L17" s="853">
        <v>25.5</v>
      </c>
      <c r="M17" s="853">
        <v>34.5</v>
      </c>
      <c r="N17" s="853">
        <v>30.0</v>
      </c>
      <c r="O17" s="853">
        <v>48.0</v>
      </c>
      <c r="P17" s="853">
        <v>34.5</v>
      </c>
      <c r="Q17" s="853">
        <v>24.0</v>
      </c>
      <c r="R17" s="853">
        <v>22.5</v>
      </c>
      <c r="S17" s="853">
        <v>1.5</v>
      </c>
      <c r="T17" s="853">
        <v>40.5</v>
      </c>
      <c r="U17" s="853">
        <v>43.5</v>
      </c>
      <c r="V17" s="853">
        <v>4.5</v>
      </c>
      <c r="W17" s="853">
        <v>40.5</v>
      </c>
      <c r="X17" s="853">
        <v>22.5</v>
      </c>
      <c r="Y17" s="853">
        <v>12.0</v>
      </c>
      <c r="Z17" s="853">
        <v>19.5</v>
      </c>
      <c r="AA17" s="853">
        <v>42.0</v>
      </c>
      <c r="AB17" s="853">
        <v>18.0</v>
      </c>
      <c r="AC17" s="853">
        <v>10.5</v>
      </c>
      <c r="AD17" s="853">
        <v>18.12</v>
      </c>
      <c r="AE17" s="853">
        <v>24.0</v>
      </c>
      <c r="AF17" s="853"/>
      <c r="AG17" s="751">
        <f t="shared" si="1"/>
        <v>864.12</v>
      </c>
      <c r="AH17" s="891">
        <v>0.0</v>
      </c>
      <c r="AI17" s="924" t="b">
        <f t="shared" si="2"/>
        <v>0</v>
      </c>
      <c r="AJ17" s="38"/>
      <c r="AK17" s="38"/>
      <c r="AL17" s="38"/>
      <c r="AM17" s="38"/>
      <c r="AN17" s="38"/>
      <c r="AP17" s="544" t="s">
        <v>108</v>
      </c>
      <c r="AQ17" s="176"/>
      <c r="AR17" s="177"/>
      <c r="AS17" s="545"/>
      <c r="AT17" s="545">
        <f>SUM(valuesByColor("#ffc4d5", "", B22:AF32))</f>
        <v>649.78</v>
      </c>
      <c r="AU17" s="545">
        <f t="shared" ref="AU17:AU26" si="10">((AT17*(1-0.05))*(1-0.6))+AX17-AZ17</f>
        <v>246.9164</v>
      </c>
      <c r="AV17" s="546">
        <f t="shared" ref="AV17:AV26" si="11">(AT17*(1-0.05))*(1-0.95)+AY17</f>
        <v>30.86455</v>
      </c>
      <c r="AW17" s="546"/>
      <c r="AX17" s="546">
        <f t="shared" ref="AX17:AX26" si="12">(AW17*(1-0.05))*(1-0.9)</f>
        <v>0</v>
      </c>
      <c r="AY17" s="546">
        <f t="shared" ref="AY17:AY26" si="13">(AW17*(1-0.05))*(1-0.95)</f>
        <v>0</v>
      </c>
      <c r="AZ17" s="547"/>
    </row>
    <row r="18" ht="30.0" customHeight="1">
      <c r="A18" s="47" t="s">
        <v>14</v>
      </c>
      <c r="B18" s="914">
        <f t="shared" ref="B18:AF18" si="9">SUM(B3:B17)</f>
        <v>52.62</v>
      </c>
      <c r="C18" s="914">
        <f t="shared" si="9"/>
        <v>125.26</v>
      </c>
      <c r="D18" s="914">
        <f t="shared" si="9"/>
        <v>115.26</v>
      </c>
      <c r="E18" s="914">
        <f t="shared" si="9"/>
        <v>122.84</v>
      </c>
      <c r="F18" s="914">
        <f t="shared" si="9"/>
        <v>120.28</v>
      </c>
      <c r="G18" s="914">
        <f t="shared" si="9"/>
        <v>80.69</v>
      </c>
      <c r="H18" s="914">
        <f t="shared" si="9"/>
        <v>121.32</v>
      </c>
      <c r="I18" s="914">
        <f t="shared" si="9"/>
        <v>120.12</v>
      </c>
      <c r="J18" s="914">
        <f t="shared" si="9"/>
        <v>98.28</v>
      </c>
      <c r="K18" s="914">
        <f t="shared" si="9"/>
        <v>171.35</v>
      </c>
      <c r="L18" s="914">
        <f t="shared" si="9"/>
        <v>39.56</v>
      </c>
      <c r="M18" s="914">
        <f t="shared" si="9"/>
        <v>91.86</v>
      </c>
      <c r="N18" s="914">
        <f t="shared" si="9"/>
        <v>146.58</v>
      </c>
      <c r="O18" s="914">
        <f t="shared" si="9"/>
        <v>118.4</v>
      </c>
      <c r="P18" s="914">
        <f t="shared" si="9"/>
        <v>90.86</v>
      </c>
      <c r="Q18" s="914">
        <f t="shared" si="9"/>
        <v>58.5</v>
      </c>
      <c r="R18" s="914">
        <f t="shared" si="9"/>
        <v>81.72</v>
      </c>
      <c r="S18" s="914">
        <f t="shared" si="9"/>
        <v>94.36</v>
      </c>
      <c r="T18" s="914">
        <f t="shared" si="9"/>
        <v>120.84</v>
      </c>
      <c r="U18" s="914">
        <f t="shared" si="9"/>
        <v>83.54</v>
      </c>
      <c r="V18" s="914">
        <f t="shared" si="9"/>
        <v>58.2</v>
      </c>
      <c r="W18" s="914">
        <f t="shared" si="9"/>
        <v>128.23</v>
      </c>
      <c r="X18" s="914">
        <f t="shared" si="9"/>
        <v>52.5</v>
      </c>
      <c r="Y18" s="914">
        <f t="shared" si="9"/>
        <v>112.5</v>
      </c>
      <c r="Z18" s="914">
        <f t="shared" si="9"/>
        <v>87.55</v>
      </c>
      <c r="AA18" s="914">
        <f t="shared" si="9"/>
        <v>60.12</v>
      </c>
      <c r="AB18" s="914">
        <f t="shared" si="9"/>
        <v>141.38</v>
      </c>
      <c r="AC18" s="914">
        <f t="shared" si="9"/>
        <v>111.28</v>
      </c>
      <c r="AD18" s="914">
        <f t="shared" si="9"/>
        <v>91.86</v>
      </c>
      <c r="AE18" s="914">
        <f t="shared" si="9"/>
        <v>70.9</v>
      </c>
      <c r="AF18" s="914">
        <f t="shared" si="9"/>
        <v>0</v>
      </c>
      <c r="AG18" s="915"/>
      <c r="AH18" s="58"/>
      <c r="AI18" s="924"/>
      <c r="AJ18" s="38"/>
      <c r="AK18" s="38"/>
      <c r="AL18" s="38"/>
      <c r="AM18" s="38"/>
      <c r="AN18" s="38"/>
      <c r="AP18" s="555"/>
      <c r="AQ18" s="176"/>
      <c r="AR18" s="177"/>
      <c r="AS18" s="556"/>
      <c r="AT18" s="556">
        <f>SUM(valuesByColor("#636212", "", B22:AF32))</f>
        <v>0</v>
      </c>
      <c r="AU18" s="556">
        <f t="shared" si="10"/>
        <v>0</v>
      </c>
      <c r="AV18" s="557">
        <f t="shared" si="11"/>
        <v>0</v>
      </c>
      <c r="AW18" s="557"/>
      <c r="AX18" s="557">
        <f t="shared" si="12"/>
        <v>0</v>
      </c>
      <c r="AY18" s="557">
        <f t="shared" si="13"/>
        <v>0</v>
      </c>
      <c r="AZ18" s="558"/>
    </row>
    <row r="19" ht="30.0" customHeight="1">
      <c r="AI19" s="38"/>
      <c r="AJ19" s="38"/>
      <c r="AK19" s="38"/>
      <c r="AL19" s="38"/>
      <c r="AM19" s="38"/>
      <c r="AN19" s="38"/>
      <c r="AP19" s="563" t="s">
        <v>164</v>
      </c>
      <c r="AQ19" s="176"/>
      <c r="AR19" s="177"/>
      <c r="AS19" s="564"/>
      <c r="AT19" s="564">
        <f>SUM(valuesByColor("#00b572", "", B22:AF32))</f>
        <v>285.4</v>
      </c>
      <c r="AU19" s="564">
        <f t="shared" si="10"/>
        <v>108.452</v>
      </c>
      <c r="AV19" s="565">
        <f t="shared" si="11"/>
        <v>13.5565</v>
      </c>
      <c r="AW19" s="565"/>
      <c r="AX19" s="565">
        <f t="shared" si="12"/>
        <v>0</v>
      </c>
      <c r="AY19" s="565">
        <f t="shared" si="13"/>
        <v>0</v>
      </c>
      <c r="AZ19" s="566"/>
    </row>
    <row r="20" ht="30.0" customHeight="1">
      <c r="A20" s="927" t="s">
        <v>2</v>
      </c>
      <c r="B20" s="928">
        <v>1.0</v>
      </c>
      <c r="C20" s="928">
        <v>2.0</v>
      </c>
      <c r="D20" s="928">
        <v>3.0</v>
      </c>
      <c r="E20" s="928">
        <v>4.0</v>
      </c>
      <c r="F20" s="928">
        <v>5.0</v>
      </c>
      <c r="G20" s="928">
        <v>6.0</v>
      </c>
      <c r="H20" s="928">
        <v>7.0</v>
      </c>
      <c r="I20" s="928">
        <v>8.0</v>
      </c>
      <c r="J20" s="928">
        <v>9.0</v>
      </c>
      <c r="K20" s="928">
        <v>10.0</v>
      </c>
      <c r="L20" s="928">
        <v>11.0</v>
      </c>
      <c r="M20" s="928">
        <v>12.0</v>
      </c>
      <c r="N20" s="929">
        <v>13.0</v>
      </c>
      <c r="O20" s="929">
        <v>14.0</v>
      </c>
      <c r="P20" s="929">
        <v>15.0</v>
      </c>
      <c r="Q20" s="929">
        <v>16.0</v>
      </c>
      <c r="R20" s="929">
        <v>17.0</v>
      </c>
      <c r="S20" s="929">
        <v>18.0</v>
      </c>
      <c r="T20" s="929">
        <v>19.0</v>
      </c>
      <c r="U20" s="929">
        <v>20.0</v>
      </c>
      <c r="V20" s="929">
        <v>21.0</v>
      </c>
      <c r="W20" s="929">
        <v>22.0</v>
      </c>
      <c r="X20" s="929">
        <v>23.0</v>
      </c>
      <c r="Y20" s="929">
        <v>24.0</v>
      </c>
      <c r="Z20" s="929">
        <v>25.0</v>
      </c>
      <c r="AA20" s="929">
        <v>26.0</v>
      </c>
      <c r="AB20" s="929">
        <v>27.0</v>
      </c>
      <c r="AC20" s="929">
        <v>28.0</v>
      </c>
      <c r="AD20" s="929">
        <v>29.0</v>
      </c>
      <c r="AE20" s="929">
        <v>30.0</v>
      </c>
      <c r="AF20" s="930">
        <v>31.0</v>
      </c>
      <c r="AG20" s="57"/>
      <c r="AH20" s="58"/>
      <c r="AI20" s="38"/>
      <c r="AK20" s="38"/>
      <c r="AL20" s="38"/>
      <c r="AM20" s="38"/>
      <c r="AN20" s="38"/>
      <c r="AP20" s="575" t="s">
        <v>165</v>
      </c>
      <c r="AQ20" s="176"/>
      <c r="AR20" s="177"/>
      <c r="AS20" s="576"/>
      <c r="AT20" s="576">
        <f>SUM(valuesByColor("#7030a0", "", B22:AF32))</f>
        <v>657.5</v>
      </c>
      <c r="AU20" s="576">
        <f t="shared" si="10"/>
        <v>249.85</v>
      </c>
      <c r="AV20" s="577">
        <f t="shared" si="11"/>
        <v>31.23125</v>
      </c>
      <c r="AW20" s="577"/>
      <c r="AX20" s="577">
        <f t="shared" si="12"/>
        <v>0</v>
      </c>
      <c r="AY20" s="577">
        <f t="shared" si="13"/>
        <v>0</v>
      </c>
      <c r="AZ20" s="578"/>
      <c r="BA20" s="38"/>
    </row>
    <row r="21" ht="30.0" customHeight="1">
      <c r="A21" s="947"/>
      <c r="B21" s="931"/>
      <c r="C21" s="931"/>
      <c r="D21" s="931"/>
      <c r="E21" s="931"/>
      <c r="F21" s="931"/>
      <c r="G21" s="931"/>
      <c r="H21" s="931"/>
      <c r="I21" s="931"/>
      <c r="J21" s="931"/>
      <c r="K21" s="931"/>
      <c r="L21" s="931"/>
      <c r="M21" s="931"/>
      <c r="N21" s="931"/>
      <c r="O21" s="931"/>
      <c r="P21" s="931"/>
      <c r="Q21" s="931"/>
      <c r="R21" s="931"/>
      <c r="S21" s="931"/>
      <c r="T21" s="931"/>
      <c r="U21" s="931"/>
      <c r="V21" s="931"/>
      <c r="W21" s="931"/>
      <c r="X21" s="931"/>
      <c r="Y21" s="931"/>
      <c r="Z21" s="931"/>
      <c r="AA21" s="931"/>
      <c r="AB21" s="931"/>
      <c r="AC21" s="931"/>
      <c r="AD21" s="931"/>
      <c r="AE21" s="931"/>
      <c r="AF21" s="931"/>
      <c r="AG21" s="888"/>
      <c r="AH21" s="889" t="s">
        <v>150</v>
      </c>
      <c r="AI21" s="890"/>
      <c r="AK21" s="38"/>
      <c r="AL21" s="38"/>
      <c r="AM21" s="38"/>
      <c r="AN21" s="38"/>
      <c r="AP21" s="580"/>
      <c r="AQ21" s="176"/>
      <c r="AR21" s="177"/>
      <c r="AS21" s="581"/>
      <c r="AT21" s="581">
        <f>SUM(valuesByColor("#9bbb59", "", B22:AF32))</f>
        <v>0</v>
      </c>
      <c r="AU21" s="582">
        <f t="shared" si="10"/>
        <v>0</v>
      </c>
      <c r="AV21" s="583">
        <f t="shared" si="11"/>
        <v>0</v>
      </c>
      <c r="AW21" s="584"/>
      <c r="AX21" s="583">
        <f t="shared" si="12"/>
        <v>0</v>
      </c>
      <c r="AY21" s="583">
        <f t="shared" si="13"/>
        <v>0</v>
      </c>
      <c r="AZ21" s="585"/>
    </row>
    <row r="22" ht="30.0" customHeight="1">
      <c r="A22" s="764" t="s">
        <v>6</v>
      </c>
      <c r="B22" s="798"/>
      <c r="C22" s="757">
        <v>58.62</v>
      </c>
      <c r="D22" s="757">
        <v>2.5</v>
      </c>
      <c r="E22" s="948"/>
      <c r="F22" s="948"/>
      <c r="G22" s="948"/>
      <c r="H22" s="948"/>
      <c r="I22" s="948"/>
      <c r="J22" s="948"/>
      <c r="K22" s="948"/>
      <c r="L22" s="949"/>
      <c r="M22" s="948"/>
      <c r="N22" s="948"/>
      <c r="O22" s="948"/>
      <c r="P22" s="948"/>
      <c r="Q22" s="948"/>
      <c r="R22" s="948"/>
      <c r="S22" s="948"/>
      <c r="T22" s="948"/>
      <c r="U22" s="948"/>
      <c r="V22" s="948"/>
      <c r="W22" s="948"/>
      <c r="X22" s="948"/>
      <c r="Y22" s="948"/>
      <c r="Z22" s="948"/>
      <c r="AA22" s="948"/>
      <c r="AB22" s="948"/>
      <c r="AC22" s="948"/>
      <c r="AD22" s="948"/>
      <c r="AE22" s="948"/>
      <c r="AF22" s="948"/>
      <c r="AG22" s="751">
        <f t="shared" ref="AG22:AG29" si="14">SUM(B22:AF22)</f>
        <v>61.12</v>
      </c>
      <c r="AH22" s="893">
        <v>689.84</v>
      </c>
      <c r="AI22" s="924" t="b">
        <f t="shared" ref="AI22:AI32" si="15">EQ(AG22,AH22)</f>
        <v>0</v>
      </c>
      <c r="AK22" s="38"/>
      <c r="AL22" s="38"/>
      <c r="AM22" s="38"/>
      <c r="AN22" s="38"/>
      <c r="AP22" s="588"/>
      <c r="AQ22" s="176"/>
      <c r="AR22" s="177"/>
      <c r="AS22" s="589"/>
      <c r="AT22" s="589"/>
      <c r="AU22" s="590">
        <f t="shared" si="10"/>
        <v>0</v>
      </c>
      <c r="AV22" s="591">
        <f t="shared" si="11"/>
        <v>0</v>
      </c>
      <c r="AW22" s="592"/>
      <c r="AX22" s="591">
        <f t="shared" si="12"/>
        <v>0</v>
      </c>
      <c r="AY22" s="591">
        <f t="shared" si="13"/>
        <v>0</v>
      </c>
      <c r="AZ22" s="268"/>
    </row>
    <row r="23" ht="30.0" customHeight="1">
      <c r="A23" s="773" t="s">
        <v>134</v>
      </c>
      <c r="B23" s="860">
        <v>15.0</v>
      </c>
      <c r="C23" s="932">
        <v>22.5</v>
      </c>
      <c r="D23" s="932">
        <v>18.0</v>
      </c>
      <c r="E23" s="932">
        <v>23.5</v>
      </c>
      <c r="F23" s="932">
        <v>19.5</v>
      </c>
      <c r="G23" s="932">
        <v>13.5</v>
      </c>
      <c r="H23" s="932">
        <v>25.5</v>
      </c>
      <c r="I23" s="932">
        <v>27.0</v>
      </c>
      <c r="J23" s="932">
        <v>13.5</v>
      </c>
      <c r="K23" s="932">
        <v>33.0</v>
      </c>
      <c r="L23" s="840">
        <v>10.5</v>
      </c>
      <c r="M23" s="932">
        <v>30.0</v>
      </c>
      <c r="N23" s="932">
        <v>17.5</v>
      </c>
      <c r="O23" s="932">
        <v>28.0</v>
      </c>
      <c r="P23" s="932">
        <v>28.5</v>
      </c>
      <c r="Q23" s="932">
        <v>19.5</v>
      </c>
      <c r="R23" s="932">
        <v>30.0</v>
      </c>
      <c r="S23" s="932">
        <v>37.0</v>
      </c>
      <c r="T23" s="932">
        <v>6.0</v>
      </c>
      <c r="U23" s="933">
        <v>21.0</v>
      </c>
      <c r="V23" s="933">
        <v>22.5</v>
      </c>
      <c r="W23" s="933">
        <v>48.0</v>
      </c>
      <c r="X23" s="933">
        <v>3.0</v>
      </c>
      <c r="Y23" s="933">
        <v>10.5</v>
      </c>
      <c r="Z23" s="933">
        <v>23.0</v>
      </c>
      <c r="AA23" s="933">
        <v>30.5</v>
      </c>
      <c r="AB23" s="933">
        <v>7.5</v>
      </c>
      <c r="AC23" s="933">
        <v>51.0</v>
      </c>
      <c r="AD23" s="933"/>
      <c r="AE23" s="933"/>
      <c r="AF23" s="933"/>
      <c r="AG23" s="751">
        <f t="shared" si="14"/>
        <v>635</v>
      </c>
      <c r="AH23" s="893">
        <v>396.48</v>
      </c>
      <c r="AI23" s="924" t="b">
        <f t="shared" si="15"/>
        <v>0</v>
      </c>
      <c r="AK23" s="38"/>
      <c r="AL23" s="38"/>
      <c r="AM23" s="38"/>
      <c r="AN23" s="38"/>
      <c r="AP23" s="588"/>
      <c r="AQ23" s="176"/>
      <c r="AR23" s="177"/>
      <c r="AS23" s="589"/>
      <c r="AT23" s="589"/>
      <c r="AU23" s="590">
        <f t="shared" si="10"/>
        <v>0</v>
      </c>
      <c r="AV23" s="591">
        <f t="shared" si="11"/>
        <v>0</v>
      </c>
      <c r="AW23" s="592"/>
      <c r="AX23" s="591">
        <f t="shared" si="12"/>
        <v>0</v>
      </c>
      <c r="AY23" s="591">
        <f t="shared" si="13"/>
        <v>0</v>
      </c>
      <c r="AZ23" s="270"/>
    </row>
    <row r="24" ht="30.0" customHeight="1">
      <c r="A24" s="747" t="s">
        <v>160</v>
      </c>
      <c r="B24" s="860">
        <v>4.5</v>
      </c>
      <c r="C24" s="932">
        <v>1.5</v>
      </c>
      <c r="D24" s="932">
        <v>1.5</v>
      </c>
      <c r="E24" s="932">
        <v>3.0</v>
      </c>
      <c r="F24" s="932"/>
      <c r="G24" s="932"/>
      <c r="H24" s="932"/>
      <c r="I24" s="787"/>
      <c r="J24" s="787"/>
      <c r="K24" s="787">
        <v>3.0</v>
      </c>
      <c r="L24" s="787"/>
      <c r="M24" s="822">
        <v>2.7</v>
      </c>
      <c r="N24" s="822">
        <v>9.0</v>
      </c>
      <c r="O24" s="822">
        <v>6.0</v>
      </c>
      <c r="P24" s="822">
        <v>1.5</v>
      </c>
      <c r="Q24" s="822"/>
      <c r="R24" s="822">
        <v>1.5</v>
      </c>
      <c r="S24" s="822"/>
      <c r="T24" s="822">
        <v>9.0</v>
      </c>
      <c r="U24" s="822">
        <v>4.5</v>
      </c>
      <c r="V24" s="822"/>
      <c r="W24" s="822">
        <v>1.5</v>
      </c>
      <c r="X24" s="822"/>
      <c r="Y24" s="837"/>
      <c r="Z24" s="837"/>
      <c r="AA24" s="837"/>
      <c r="AB24" s="837"/>
      <c r="AC24" s="837"/>
      <c r="AD24" s="837"/>
      <c r="AE24" s="837"/>
      <c r="AF24" s="837"/>
      <c r="AG24" s="751">
        <f t="shared" si="14"/>
        <v>49.2</v>
      </c>
      <c r="AH24" s="891">
        <v>36.0</v>
      </c>
      <c r="AI24" s="924" t="b">
        <f t="shared" si="15"/>
        <v>0</v>
      </c>
      <c r="AK24" s="38"/>
      <c r="AL24" s="38"/>
      <c r="AM24" s="38"/>
      <c r="AN24" s="38"/>
      <c r="AP24" s="588"/>
      <c r="AQ24" s="176"/>
      <c r="AR24" s="177"/>
      <c r="AS24" s="589"/>
      <c r="AT24" s="589"/>
      <c r="AU24" s="590">
        <f t="shared" si="10"/>
        <v>0</v>
      </c>
      <c r="AV24" s="591">
        <f t="shared" si="11"/>
        <v>0</v>
      </c>
      <c r="AW24" s="600"/>
      <c r="AX24" s="591">
        <f t="shared" si="12"/>
        <v>0</v>
      </c>
      <c r="AY24" s="591">
        <f t="shared" si="13"/>
        <v>0</v>
      </c>
      <c r="AZ24" s="274"/>
    </row>
    <row r="25" ht="30.0" customHeight="1">
      <c r="A25" s="758" t="s">
        <v>161</v>
      </c>
      <c r="B25" s="752"/>
      <c r="C25" s="753"/>
      <c r="D25" s="753">
        <v>16.42</v>
      </c>
      <c r="E25" s="753">
        <v>4.62</v>
      </c>
      <c r="F25" s="753">
        <v>15.02</v>
      </c>
      <c r="G25" s="753">
        <v>7.5</v>
      </c>
      <c r="H25" s="753">
        <v>7.64</v>
      </c>
      <c r="I25" s="749">
        <v>30.12</v>
      </c>
      <c r="J25" s="749">
        <v>3.12</v>
      </c>
      <c r="K25" s="749">
        <v>28.62</v>
      </c>
      <c r="L25" s="749">
        <v>10.74</v>
      </c>
      <c r="M25" s="749"/>
      <c r="N25" s="749">
        <v>7.62</v>
      </c>
      <c r="O25" s="749">
        <v>3.0</v>
      </c>
      <c r="P25" s="749">
        <v>27.8</v>
      </c>
      <c r="Q25" s="749">
        <v>33.48</v>
      </c>
      <c r="R25" s="749">
        <v>51.0</v>
      </c>
      <c r="S25" s="749"/>
      <c r="T25" s="749">
        <v>36.66</v>
      </c>
      <c r="U25" s="749">
        <v>24.02</v>
      </c>
      <c r="V25" s="749">
        <v>33.98</v>
      </c>
      <c r="W25" s="749">
        <v>12.56</v>
      </c>
      <c r="X25" s="749">
        <v>3.0</v>
      </c>
      <c r="Y25" s="749">
        <v>18.34</v>
      </c>
      <c r="Z25" s="749">
        <v>4.5</v>
      </c>
      <c r="AA25" s="749">
        <v>17.32</v>
      </c>
      <c r="AB25" s="749">
        <v>5.76</v>
      </c>
      <c r="AC25" s="749">
        <v>7.5</v>
      </c>
      <c r="AD25" s="749">
        <v>13.06</v>
      </c>
      <c r="AE25" s="749">
        <v>10.42</v>
      </c>
      <c r="AF25" s="749"/>
      <c r="AG25" s="751">
        <f t="shared" si="14"/>
        <v>433.82</v>
      </c>
      <c r="AH25" s="891">
        <v>357.86</v>
      </c>
      <c r="AI25" s="924" t="b">
        <f t="shared" si="15"/>
        <v>0</v>
      </c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10"/>
        <v>0</v>
      </c>
      <c r="AV25" s="591">
        <f t="shared" si="11"/>
        <v>0</v>
      </c>
      <c r="AW25" s="600"/>
      <c r="AX25" s="591">
        <f t="shared" si="12"/>
        <v>0</v>
      </c>
      <c r="AY25" s="591">
        <f t="shared" si="13"/>
        <v>0</v>
      </c>
      <c r="AZ25" s="280"/>
    </row>
    <row r="26" ht="30.0" customHeight="1">
      <c r="A26" s="758" t="s">
        <v>168</v>
      </c>
      <c r="B26" s="752"/>
      <c r="C26" s="753"/>
      <c r="D26" s="753">
        <v>1.5</v>
      </c>
      <c r="E26" s="753"/>
      <c r="F26" s="753"/>
      <c r="G26" s="753">
        <v>0.12</v>
      </c>
      <c r="H26" s="753"/>
      <c r="I26" s="780"/>
      <c r="J26" s="780"/>
      <c r="K26" s="780"/>
      <c r="L26" s="866"/>
      <c r="M26" s="866"/>
      <c r="N26" s="866"/>
      <c r="O26" s="866"/>
      <c r="P26" s="866"/>
      <c r="Q26" s="866"/>
      <c r="R26" s="866"/>
      <c r="S26" s="866"/>
      <c r="T26" s="866"/>
      <c r="U26" s="837"/>
      <c r="V26" s="837"/>
      <c r="W26" s="837"/>
      <c r="X26" s="837"/>
      <c r="Y26" s="837"/>
      <c r="Z26" s="837"/>
      <c r="AA26" s="837"/>
      <c r="AB26" s="837"/>
      <c r="AC26" s="837">
        <v>1.5</v>
      </c>
      <c r="AD26" s="837"/>
      <c r="AE26" s="837"/>
      <c r="AF26" s="837"/>
      <c r="AG26" s="751">
        <f t="shared" si="14"/>
        <v>3.12</v>
      </c>
      <c r="AH26" s="891">
        <v>13.12</v>
      </c>
      <c r="AI26" s="924" t="b">
        <f t="shared" si="15"/>
        <v>0</v>
      </c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10"/>
        <v>0</v>
      </c>
      <c r="AV26" s="591">
        <f t="shared" si="11"/>
        <v>0</v>
      </c>
      <c r="AW26" s="600"/>
      <c r="AX26" s="591">
        <f t="shared" si="12"/>
        <v>0</v>
      </c>
      <c r="AY26" s="591">
        <f t="shared" si="13"/>
        <v>0</v>
      </c>
      <c r="AZ26" s="387"/>
    </row>
    <row r="27" ht="30.0" customHeight="1">
      <c r="A27" s="758" t="s">
        <v>153</v>
      </c>
      <c r="B27" s="798"/>
      <c r="C27" s="757">
        <v>4.5</v>
      </c>
      <c r="D27" s="757"/>
      <c r="E27" s="757">
        <v>6.0</v>
      </c>
      <c r="F27" s="757">
        <v>18.0</v>
      </c>
      <c r="G27" s="757">
        <v>15.0</v>
      </c>
      <c r="H27" s="757">
        <v>4.62</v>
      </c>
      <c r="I27" s="821"/>
      <c r="J27" s="821">
        <v>13.5</v>
      </c>
      <c r="K27" s="821">
        <v>3.0</v>
      </c>
      <c r="L27" s="821">
        <v>4.5</v>
      </c>
      <c r="M27" s="821">
        <v>3.0</v>
      </c>
      <c r="N27" s="821">
        <v>15.12</v>
      </c>
      <c r="O27" s="821">
        <v>6.0</v>
      </c>
      <c r="P27" s="821">
        <v>3.0</v>
      </c>
      <c r="Q27" s="821"/>
      <c r="R27" s="821">
        <v>9.0</v>
      </c>
      <c r="S27" s="821">
        <v>3.12</v>
      </c>
      <c r="T27" s="821">
        <v>16.5</v>
      </c>
      <c r="U27" s="822"/>
      <c r="V27" s="822"/>
      <c r="W27" s="822">
        <v>6.0</v>
      </c>
      <c r="X27" s="822">
        <v>1.62</v>
      </c>
      <c r="Y27" s="822"/>
      <c r="Z27" s="822">
        <v>0.12</v>
      </c>
      <c r="AA27" s="822">
        <v>1.5</v>
      </c>
      <c r="AB27" s="822"/>
      <c r="AC27" s="822">
        <v>1.5</v>
      </c>
      <c r="AD27" s="822">
        <v>9.0</v>
      </c>
      <c r="AE27" s="822">
        <v>4.5</v>
      </c>
      <c r="AF27" s="822"/>
      <c r="AG27" s="751">
        <f t="shared" si="14"/>
        <v>149.1</v>
      </c>
      <c r="AH27" s="891">
        <v>193.09</v>
      </c>
      <c r="AI27" s="924" t="b">
        <f t="shared" si="15"/>
        <v>0</v>
      </c>
      <c r="AK27" s="38"/>
      <c r="AL27" s="38"/>
      <c r="AM27" s="38"/>
      <c r="AN27" s="38"/>
      <c r="AS27" s="865"/>
      <c r="AT27" s="220">
        <f>SUM(AT17:AT26)</f>
        <v>1592.68</v>
      </c>
      <c r="AU27" s="38"/>
      <c r="AV27" s="220">
        <f>SUM(AV17:AV26)</f>
        <v>75.6523</v>
      </c>
    </row>
    <row r="28" ht="30.0" customHeight="1">
      <c r="A28" s="758" t="s">
        <v>172</v>
      </c>
      <c r="B28" s="752"/>
      <c r="C28" s="753"/>
      <c r="D28" s="753">
        <v>1.5</v>
      </c>
      <c r="E28" s="753"/>
      <c r="F28" s="753"/>
      <c r="G28" s="753"/>
      <c r="H28" s="753"/>
      <c r="I28" s="780"/>
      <c r="J28" s="780">
        <v>0.12</v>
      </c>
      <c r="K28" s="780"/>
      <c r="L28" s="866"/>
      <c r="M28" s="866"/>
      <c r="N28" s="866"/>
      <c r="O28" s="866"/>
      <c r="P28" s="866"/>
      <c r="Q28" s="866"/>
      <c r="R28" s="866"/>
      <c r="S28" s="866"/>
      <c r="T28" s="866"/>
      <c r="U28" s="837"/>
      <c r="V28" s="837"/>
      <c r="W28" s="837"/>
      <c r="X28" s="837"/>
      <c r="Y28" s="837"/>
      <c r="Z28" s="837"/>
      <c r="AA28" s="837"/>
      <c r="AB28" s="837"/>
      <c r="AC28" s="837"/>
      <c r="AD28" s="837"/>
      <c r="AE28" s="837"/>
      <c r="AF28" s="837"/>
      <c r="AG28" s="751">
        <f t="shared" si="14"/>
        <v>1.62</v>
      </c>
      <c r="AH28" s="891">
        <v>8.92</v>
      </c>
      <c r="AI28" s="924" t="b">
        <f t="shared" si="15"/>
        <v>0</v>
      </c>
      <c r="AK28" s="38"/>
      <c r="AL28" s="38"/>
      <c r="AM28" s="38"/>
      <c r="AN28" s="38"/>
    </row>
    <row r="29" ht="30.0" customHeight="1">
      <c r="A29" s="758" t="s">
        <v>131</v>
      </c>
      <c r="B29" s="798">
        <v>3.12</v>
      </c>
      <c r="C29" s="757"/>
      <c r="D29" s="757"/>
      <c r="E29" s="757">
        <v>1.62</v>
      </c>
      <c r="F29" s="757">
        <v>6.0</v>
      </c>
      <c r="G29" s="757">
        <v>6.12</v>
      </c>
      <c r="H29" s="757">
        <v>1.5</v>
      </c>
      <c r="I29" s="910"/>
      <c r="J29" s="821">
        <v>3.12</v>
      </c>
      <c r="K29" s="821">
        <v>9.0</v>
      </c>
      <c r="L29" s="821">
        <v>7.5</v>
      </c>
      <c r="M29" s="821">
        <v>1.5</v>
      </c>
      <c r="N29" s="950"/>
      <c r="O29" s="950"/>
      <c r="P29" s="950"/>
      <c r="Q29" s="950"/>
      <c r="R29" s="950"/>
      <c r="S29" s="950"/>
      <c r="T29" s="950"/>
      <c r="U29" s="950"/>
      <c r="V29" s="950"/>
      <c r="W29" s="950"/>
      <c r="X29" s="950"/>
      <c r="Y29" s="950"/>
      <c r="Z29" s="950"/>
      <c r="AA29" s="950"/>
      <c r="AB29" s="950"/>
      <c r="AC29" s="950"/>
      <c r="AD29" s="950"/>
      <c r="AE29" s="950"/>
      <c r="AF29" s="950"/>
      <c r="AG29" s="751">
        <f t="shared" si="14"/>
        <v>39.48</v>
      </c>
      <c r="AH29" s="891">
        <v>196.12</v>
      </c>
      <c r="AI29" s="924" t="b">
        <f t="shared" si="15"/>
        <v>0</v>
      </c>
      <c r="AK29" s="38"/>
      <c r="AL29" s="38"/>
      <c r="AM29" s="38"/>
      <c r="AN29" s="38"/>
    </row>
    <row r="30" ht="31.5" customHeight="1">
      <c r="A30" s="758" t="s">
        <v>173</v>
      </c>
      <c r="B30" s="752"/>
      <c r="C30" s="753"/>
      <c r="D30" s="753"/>
      <c r="E30" s="753"/>
      <c r="F30" s="753"/>
      <c r="G30" s="753">
        <v>4.5</v>
      </c>
      <c r="H30" s="753">
        <v>1.5</v>
      </c>
      <c r="I30" s="913">
        <v>1.62</v>
      </c>
      <c r="J30" s="749">
        <v>1.5</v>
      </c>
      <c r="K30" s="780">
        <v>15.0</v>
      </c>
      <c r="L30" s="780">
        <v>9.0</v>
      </c>
      <c r="M30" s="780">
        <v>9.92</v>
      </c>
      <c r="N30" s="780">
        <v>7.62</v>
      </c>
      <c r="O30" s="780">
        <v>16.74</v>
      </c>
      <c r="P30" s="780">
        <v>21.56</v>
      </c>
      <c r="Q30" s="780">
        <v>24.62</v>
      </c>
      <c r="R30" s="780">
        <v>7.5</v>
      </c>
      <c r="S30" s="780">
        <v>4.5</v>
      </c>
      <c r="T30" s="780">
        <v>5.98</v>
      </c>
      <c r="U30" s="749">
        <v>4.5</v>
      </c>
      <c r="V30" s="749">
        <v>4.5</v>
      </c>
      <c r="W30" s="749">
        <v>13.5</v>
      </c>
      <c r="X30" s="749">
        <v>0.12</v>
      </c>
      <c r="Y30" s="749">
        <v>3.0</v>
      </c>
      <c r="Z30" s="749"/>
      <c r="AA30" s="749">
        <v>3.12</v>
      </c>
      <c r="AB30" s="749"/>
      <c r="AC30" s="749">
        <v>1.5</v>
      </c>
      <c r="AD30" s="749">
        <v>1.5</v>
      </c>
      <c r="AE30" s="749">
        <v>1.5</v>
      </c>
      <c r="AF30" s="837"/>
      <c r="AG30" s="751"/>
      <c r="AH30" s="891"/>
      <c r="AI30" s="924" t="b">
        <f t="shared" si="15"/>
        <v>1</v>
      </c>
      <c r="AK30" s="38"/>
      <c r="AL30" s="38"/>
      <c r="AM30" s="38"/>
      <c r="AN30" s="38"/>
    </row>
    <row r="31" ht="31.5" customHeight="1">
      <c r="A31" s="758" t="s">
        <v>174</v>
      </c>
      <c r="B31" s="859"/>
      <c r="C31" s="754"/>
      <c r="D31" s="754"/>
      <c r="E31" s="754"/>
      <c r="F31" s="754"/>
      <c r="G31" s="754"/>
      <c r="H31" s="754"/>
      <c r="I31" s="951"/>
      <c r="J31" s="750"/>
      <c r="K31" s="781"/>
      <c r="L31" s="781"/>
      <c r="M31" s="780">
        <v>7.0</v>
      </c>
      <c r="N31" s="840"/>
      <c r="O31" s="840"/>
      <c r="P31" s="840"/>
      <c r="Q31" s="840">
        <v>4.5</v>
      </c>
      <c r="R31" s="840"/>
      <c r="S31" s="840"/>
      <c r="T31" s="840"/>
      <c r="U31" s="787"/>
      <c r="V31" s="787"/>
      <c r="W31" s="787">
        <v>1.5</v>
      </c>
      <c r="X31" s="787"/>
      <c r="Y31" s="787">
        <v>1.5</v>
      </c>
      <c r="Z31" s="787">
        <v>1.5</v>
      </c>
      <c r="AA31" s="787"/>
      <c r="AB31" s="787"/>
      <c r="AC31" s="787"/>
      <c r="AD31" s="787"/>
      <c r="AE31" s="787"/>
      <c r="AF31" s="787"/>
      <c r="AG31" s="751"/>
      <c r="AH31" s="891"/>
      <c r="AI31" s="924" t="b">
        <f t="shared" si="15"/>
        <v>1</v>
      </c>
      <c r="AK31" s="38"/>
      <c r="AL31" s="38"/>
      <c r="AM31" s="38"/>
      <c r="AN31" s="38"/>
    </row>
    <row r="32" ht="31.5" customHeight="1">
      <c r="A32" s="758" t="s">
        <v>141</v>
      </c>
      <c r="B32" s="752">
        <v>12.42</v>
      </c>
      <c r="C32" s="753">
        <v>6.0</v>
      </c>
      <c r="D32" s="753">
        <v>4.5</v>
      </c>
      <c r="E32" s="753">
        <v>7.5</v>
      </c>
      <c r="F32" s="753">
        <v>1.5</v>
      </c>
      <c r="G32" s="753">
        <v>1.5</v>
      </c>
      <c r="H32" s="753">
        <v>1.5</v>
      </c>
      <c r="I32" s="913"/>
      <c r="J32" s="749"/>
      <c r="K32" s="780">
        <v>1.5</v>
      </c>
      <c r="L32" s="780">
        <v>1.5</v>
      </c>
      <c r="M32" s="780">
        <v>1.5</v>
      </c>
      <c r="N32" s="780"/>
      <c r="O32" s="780"/>
      <c r="P32" s="780"/>
      <c r="Q32" s="780"/>
      <c r="R32" s="780"/>
      <c r="S32" s="780"/>
      <c r="T32" s="780"/>
      <c r="U32" s="749"/>
      <c r="V32" s="749"/>
      <c r="W32" s="749"/>
      <c r="X32" s="749"/>
      <c r="Y32" s="749"/>
      <c r="Z32" s="749"/>
      <c r="AA32" s="749"/>
      <c r="AB32" s="749"/>
      <c r="AC32" s="749"/>
      <c r="AD32" s="749"/>
      <c r="AE32" s="749">
        <v>1.5</v>
      </c>
      <c r="AF32" s="749"/>
      <c r="AG32" s="751">
        <f>SUM(B32:AF32)</f>
        <v>40.92</v>
      </c>
      <c r="AH32" s="891">
        <v>175.44</v>
      </c>
      <c r="AI32" s="924" t="b">
        <f t="shared" si="15"/>
        <v>0</v>
      </c>
      <c r="AK32" s="38"/>
      <c r="AL32" s="38"/>
      <c r="AM32" s="38"/>
      <c r="AN32" s="38"/>
    </row>
    <row r="33" ht="31.5" customHeight="1">
      <c r="A33" s="47" t="s">
        <v>14</v>
      </c>
      <c r="B33" s="914">
        <f t="shared" ref="B33:AF33" si="16">SUM(B22:B32)</f>
        <v>35.04</v>
      </c>
      <c r="C33" s="914">
        <f t="shared" si="16"/>
        <v>93.12</v>
      </c>
      <c r="D33" s="914">
        <f t="shared" si="16"/>
        <v>45.92</v>
      </c>
      <c r="E33" s="914">
        <f t="shared" si="16"/>
        <v>46.24</v>
      </c>
      <c r="F33" s="914">
        <f t="shared" si="16"/>
        <v>60.02</v>
      </c>
      <c r="G33" s="914">
        <f t="shared" si="16"/>
        <v>48.24</v>
      </c>
      <c r="H33" s="914">
        <f t="shared" si="16"/>
        <v>42.26</v>
      </c>
      <c r="I33" s="914">
        <f t="shared" si="16"/>
        <v>58.74</v>
      </c>
      <c r="J33" s="914">
        <f t="shared" si="16"/>
        <v>34.86</v>
      </c>
      <c r="K33" s="914">
        <f t="shared" si="16"/>
        <v>93.12</v>
      </c>
      <c r="L33" s="914">
        <f t="shared" si="16"/>
        <v>43.74</v>
      </c>
      <c r="M33" s="914">
        <f t="shared" si="16"/>
        <v>55.62</v>
      </c>
      <c r="N33" s="914">
        <f t="shared" si="16"/>
        <v>56.86</v>
      </c>
      <c r="O33" s="914">
        <f t="shared" si="16"/>
        <v>59.74</v>
      </c>
      <c r="P33" s="914">
        <f t="shared" si="16"/>
        <v>82.36</v>
      </c>
      <c r="Q33" s="914">
        <f t="shared" si="16"/>
        <v>82.1</v>
      </c>
      <c r="R33" s="914">
        <f t="shared" si="16"/>
        <v>99</v>
      </c>
      <c r="S33" s="914">
        <f t="shared" si="16"/>
        <v>44.62</v>
      </c>
      <c r="T33" s="914">
        <f t="shared" si="16"/>
        <v>74.14</v>
      </c>
      <c r="U33" s="914">
        <f t="shared" si="16"/>
        <v>54.02</v>
      </c>
      <c r="V33" s="914">
        <f t="shared" si="16"/>
        <v>60.98</v>
      </c>
      <c r="W33" s="914">
        <f t="shared" si="16"/>
        <v>83.06</v>
      </c>
      <c r="X33" s="914">
        <f t="shared" si="16"/>
        <v>7.74</v>
      </c>
      <c r="Y33" s="914">
        <f t="shared" si="16"/>
        <v>33.34</v>
      </c>
      <c r="Z33" s="914">
        <f t="shared" si="16"/>
        <v>29.12</v>
      </c>
      <c r="AA33" s="914">
        <f t="shared" si="16"/>
        <v>52.44</v>
      </c>
      <c r="AB33" s="914">
        <f t="shared" si="16"/>
        <v>13.26</v>
      </c>
      <c r="AC33" s="914">
        <f t="shared" si="16"/>
        <v>63</v>
      </c>
      <c r="AD33" s="914">
        <f t="shared" si="16"/>
        <v>23.56</v>
      </c>
      <c r="AE33" s="914">
        <f t="shared" si="16"/>
        <v>17.92</v>
      </c>
      <c r="AF33" s="914">
        <f t="shared" si="16"/>
        <v>0</v>
      </c>
      <c r="AG33" s="915"/>
      <c r="AH33" s="58"/>
      <c r="AI33" s="924"/>
      <c r="AO33" s="226"/>
    </row>
    <row r="34" ht="31.5" customHeight="1">
      <c r="AO34" s="226"/>
    </row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>
      <c r="A45" s="193"/>
      <c r="B45" s="939"/>
      <c r="C45" s="939"/>
      <c r="D45" s="939"/>
      <c r="E45" s="939"/>
      <c r="F45" s="939"/>
      <c r="G45" s="939"/>
      <c r="H45" s="939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833"/>
      <c r="AB45" s="833"/>
      <c r="AC45" s="833"/>
      <c r="AD45" s="833"/>
      <c r="AE45" s="833"/>
      <c r="AF45" s="833"/>
      <c r="AG45" s="940"/>
      <c r="AH45" s="941"/>
      <c r="AI45" s="942"/>
    </row>
    <row r="46" ht="31.5" customHeight="1">
      <c r="A46" s="943"/>
      <c r="B46" s="939"/>
      <c r="C46" s="939"/>
      <c r="D46" s="939"/>
      <c r="E46" s="939"/>
      <c r="F46" s="939"/>
      <c r="G46" s="939"/>
      <c r="H46" s="939"/>
      <c r="I46" s="939"/>
      <c r="J46" s="939"/>
      <c r="K46" s="939"/>
      <c r="L46" s="939"/>
      <c r="M46" s="939"/>
      <c r="N46" s="939"/>
      <c r="O46" s="939"/>
      <c r="P46" s="939"/>
      <c r="Q46" s="939"/>
      <c r="R46" s="939"/>
      <c r="S46" s="939"/>
      <c r="T46" s="939"/>
      <c r="U46" s="833"/>
      <c r="V46" s="833"/>
      <c r="W46" s="833"/>
      <c r="X46" s="833"/>
      <c r="Y46" s="833"/>
      <c r="Z46" s="833"/>
      <c r="AA46" s="833"/>
      <c r="AB46" s="833"/>
      <c r="AC46" s="833"/>
      <c r="AD46" s="833"/>
      <c r="AE46" s="833"/>
      <c r="AF46" s="833"/>
      <c r="AG46" s="940"/>
      <c r="AH46" s="941"/>
      <c r="AI46" s="942"/>
    </row>
    <row r="47" ht="31.5" customHeight="1">
      <c r="A47" s="193"/>
      <c r="B47" s="939"/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  <c r="O47" s="939"/>
      <c r="P47" s="939"/>
      <c r="Q47" s="939"/>
      <c r="R47" s="939"/>
      <c r="S47" s="939"/>
      <c r="T47" s="939"/>
      <c r="U47" s="833"/>
      <c r="V47" s="833"/>
      <c r="W47" s="833"/>
      <c r="X47" s="833"/>
      <c r="Y47" s="833"/>
      <c r="Z47" s="833"/>
      <c r="AA47" s="833"/>
      <c r="AB47" s="833"/>
      <c r="AC47" s="833"/>
      <c r="AD47" s="833"/>
      <c r="AE47" s="833"/>
      <c r="AF47" s="833"/>
      <c r="AG47" s="940"/>
      <c r="AH47" s="941"/>
      <c r="AI47" s="942"/>
    </row>
    <row r="48" ht="31.5" customHeight="1">
      <c r="A48" s="193"/>
      <c r="B48" s="939"/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  <c r="O48" s="939"/>
      <c r="P48" s="939"/>
      <c r="Q48" s="939"/>
      <c r="R48" s="939"/>
      <c r="S48" s="939"/>
      <c r="T48" s="939"/>
      <c r="U48" s="833"/>
      <c r="V48" s="833"/>
      <c r="W48" s="833"/>
      <c r="X48" s="833"/>
      <c r="Y48" s="833"/>
      <c r="Z48" s="833"/>
      <c r="AA48" s="833"/>
      <c r="AB48" s="833"/>
      <c r="AC48" s="833"/>
      <c r="AD48" s="833"/>
      <c r="AE48" s="833"/>
      <c r="AF48" s="833"/>
      <c r="AG48" s="940"/>
      <c r="AH48" s="941"/>
      <c r="AI48" s="942"/>
    </row>
    <row r="49" ht="31.5" customHeight="1">
      <c r="A49" s="193"/>
      <c r="B49" s="939"/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  <c r="O49" s="939"/>
      <c r="P49" s="939"/>
      <c r="Q49" s="939"/>
      <c r="R49" s="939"/>
      <c r="S49" s="939"/>
      <c r="T49" s="939"/>
      <c r="U49" s="833"/>
      <c r="V49" s="833"/>
      <c r="W49" s="833"/>
      <c r="X49" s="833"/>
      <c r="Y49" s="833"/>
      <c r="Z49" s="833"/>
      <c r="AA49" s="833"/>
      <c r="AB49" s="833"/>
      <c r="AC49" s="833"/>
      <c r="AD49" s="833"/>
      <c r="AE49" s="833"/>
      <c r="AF49" s="833"/>
      <c r="AG49" s="940"/>
      <c r="AH49" s="941"/>
      <c r="AI49" s="942"/>
    </row>
    <row r="50" ht="31.5" customHeight="1">
      <c r="A50" s="193"/>
      <c r="B50" s="939"/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  <c r="O50" s="939"/>
      <c r="P50" s="939"/>
      <c r="Q50" s="939"/>
      <c r="R50" s="939"/>
      <c r="S50" s="939"/>
      <c r="T50" s="939"/>
      <c r="U50" s="833"/>
      <c r="V50" s="833"/>
      <c r="W50" s="833"/>
      <c r="X50" s="833"/>
      <c r="Y50" s="833"/>
      <c r="Z50" s="833"/>
      <c r="AA50" s="833"/>
      <c r="AB50" s="833"/>
      <c r="AC50" s="833"/>
      <c r="AD50" s="833"/>
      <c r="AE50" s="833"/>
      <c r="AF50" s="833"/>
      <c r="AG50" s="940"/>
      <c r="AH50" s="941"/>
      <c r="AI50" s="942"/>
    </row>
    <row r="51" ht="31.5" customHeight="1">
      <c r="A51" s="193"/>
      <c r="B51" s="939"/>
      <c r="C51" s="939"/>
      <c r="D51" s="939"/>
      <c r="E51" s="939"/>
      <c r="F51" s="939"/>
      <c r="G51" s="939"/>
      <c r="H51" s="939"/>
      <c r="I51" s="944"/>
      <c r="J51" s="939"/>
      <c r="K51" s="939"/>
      <c r="L51" s="939"/>
      <c r="M51" s="939"/>
      <c r="N51" s="939"/>
      <c r="O51" s="939"/>
      <c r="P51" s="939"/>
      <c r="Q51" s="939"/>
      <c r="R51" s="939"/>
      <c r="S51" s="939"/>
      <c r="T51" s="939"/>
      <c r="U51" s="833"/>
      <c r="V51" s="833"/>
      <c r="W51" s="833"/>
      <c r="X51" s="833"/>
      <c r="Y51" s="833"/>
      <c r="Z51" s="833"/>
      <c r="AA51" s="833"/>
      <c r="AB51" s="833"/>
      <c r="AC51" s="833"/>
      <c r="AD51" s="833"/>
      <c r="AE51" s="833"/>
      <c r="AF51" s="833"/>
      <c r="AG51" s="940"/>
      <c r="AH51" s="941"/>
      <c r="AI51" s="942"/>
    </row>
    <row r="52" ht="31.5" customHeight="1">
      <c r="A52" s="193"/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39"/>
      <c r="U52" s="833"/>
      <c r="V52" s="833"/>
      <c r="W52" s="833"/>
      <c r="X52" s="833"/>
      <c r="Y52" s="833"/>
      <c r="Z52" s="833"/>
      <c r="AA52" s="833"/>
      <c r="AB52" s="833"/>
      <c r="AC52" s="833"/>
      <c r="AD52" s="833"/>
      <c r="AE52" s="833"/>
      <c r="AF52" s="833"/>
      <c r="AG52" s="940"/>
      <c r="AH52" s="941"/>
      <c r="AI52" s="942"/>
    </row>
    <row r="53" ht="31.5" customHeight="1">
      <c r="A53" s="193"/>
      <c r="B53" s="939"/>
      <c r="C53" s="939"/>
      <c r="D53" s="939"/>
      <c r="E53" s="939"/>
      <c r="F53" s="939"/>
      <c r="G53" s="939"/>
      <c r="H53" s="939"/>
      <c r="I53" s="939"/>
      <c r="J53" s="939"/>
      <c r="K53" s="939"/>
      <c r="L53" s="939"/>
      <c r="M53" s="939"/>
      <c r="N53" s="939"/>
      <c r="O53" s="939"/>
      <c r="P53" s="939"/>
      <c r="Q53" s="939"/>
      <c r="R53" s="939"/>
      <c r="S53" s="939"/>
      <c r="T53" s="939"/>
      <c r="U53" s="833"/>
      <c r="V53" s="833"/>
      <c r="W53" s="833"/>
      <c r="X53" s="833"/>
      <c r="Y53" s="833"/>
      <c r="Z53" s="833"/>
      <c r="AA53" s="833"/>
      <c r="AB53" s="833"/>
      <c r="AC53" s="833"/>
      <c r="AD53" s="833"/>
      <c r="AE53" s="833"/>
      <c r="AF53" s="833"/>
      <c r="AG53" s="940"/>
      <c r="AH53" s="941"/>
      <c r="AI53" s="942"/>
    </row>
    <row r="54" ht="31.5" customHeight="1">
      <c r="A54" s="193"/>
      <c r="B54" s="939"/>
      <c r="C54" s="939"/>
      <c r="D54" s="939"/>
      <c r="E54" s="939"/>
      <c r="F54" s="939"/>
      <c r="G54" s="939"/>
      <c r="H54" s="939"/>
      <c r="I54" s="945"/>
      <c r="J54" s="833"/>
      <c r="K54" s="939"/>
      <c r="L54" s="939"/>
      <c r="M54" s="939"/>
      <c r="N54" s="939"/>
      <c r="O54" s="939"/>
      <c r="P54" s="939"/>
      <c r="Q54" s="939"/>
      <c r="R54" s="939"/>
      <c r="S54" s="939"/>
      <c r="T54" s="939"/>
      <c r="U54" s="833"/>
      <c r="V54" s="833"/>
      <c r="W54" s="833"/>
      <c r="X54" s="833"/>
      <c r="Y54" s="833"/>
      <c r="Z54" s="833"/>
      <c r="AA54" s="833"/>
      <c r="AB54" s="833"/>
      <c r="AC54" s="833"/>
      <c r="AD54" s="833"/>
      <c r="AE54" s="833"/>
      <c r="AF54" s="833"/>
      <c r="AG54" s="940"/>
      <c r="AH54" s="941"/>
      <c r="AI54" s="942"/>
    </row>
    <row r="55" ht="31.5" customHeight="1">
      <c r="A55" s="193"/>
      <c r="B55" s="939"/>
      <c r="C55" s="939"/>
      <c r="D55" s="939"/>
      <c r="E55" s="939"/>
      <c r="F55" s="939"/>
      <c r="G55" s="939"/>
      <c r="H55" s="939"/>
      <c r="I55" s="939"/>
      <c r="J55" s="939"/>
      <c r="K55" s="939"/>
      <c r="L55" s="939"/>
      <c r="M55" s="939"/>
      <c r="N55" s="939"/>
      <c r="O55" s="939"/>
      <c r="P55" s="939"/>
      <c r="Q55" s="939"/>
      <c r="R55" s="939"/>
      <c r="S55" s="939"/>
      <c r="T55" s="939"/>
      <c r="U55" s="833"/>
      <c r="V55" s="833"/>
      <c r="W55" s="833"/>
      <c r="X55" s="833"/>
      <c r="Y55" s="833"/>
      <c r="Z55" s="833"/>
      <c r="AA55" s="833"/>
      <c r="AB55" s="833"/>
      <c r="AC55" s="833"/>
      <c r="AD55" s="833"/>
      <c r="AE55" s="833"/>
      <c r="AF55" s="833"/>
      <c r="AG55" s="940"/>
      <c r="AH55" s="941"/>
      <c r="AI55" s="942"/>
    </row>
    <row r="56" ht="31.5" customHeight="1">
      <c r="A56" s="193"/>
      <c r="B56" s="939"/>
      <c r="C56" s="939"/>
      <c r="D56" s="939"/>
      <c r="E56" s="939"/>
      <c r="F56" s="939"/>
      <c r="G56" s="939"/>
      <c r="H56" s="939"/>
      <c r="I56" s="939"/>
      <c r="J56" s="939"/>
      <c r="K56" s="939"/>
      <c r="L56" s="939"/>
      <c r="M56" s="939"/>
      <c r="N56" s="939"/>
      <c r="O56" s="939"/>
      <c r="P56" s="939"/>
      <c r="Q56" s="939"/>
      <c r="R56" s="939"/>
      <c r="S56" s="939"/>
      <c r="T56" s="939"/>
      <c r="U56" s="833"/>
      <c r="V56" s="833"/>
      <c r="W56" s="833"/>
      <c r="X56" s="833"/>
      <c r="Y56" s="833"/>
      <c r="Z56" s="833"/>
      <c r="AA56" s="833"/>
      <c r="AB56" s="833"/>
      <c r="AC56" s="833"/>
      <c r="AD56" s="833"/>
      <c r="AE56" s="833"/>
      <c r="AF56" s="833"/>
      <c r="AG56" s="940"/>
      <c r="AH56" s="941"/>
      <c r="AI56" s="942"/>
    </row>
    <row r="57" ht="31.5" customHeight="1">
      <c r="A57" s="193"/>
      <c r="B57" s="939"/>
      <c r="C57" s="939"/>
      <c r="D57" s="939"/>
      <c r="E57" s="939"/>
      <c r="F57" s="939"/>
      <c r="G57" s="939"/>
      <c r="H57" s="939"/>
      <c r="I57" s="939"/>
      <c r="J57" s="939"/>
      <c r="K57" s="939"/>
      <c r="L57" s="939"/>
      <c r="M57" s="939"/>
      <c r="N57" s="939"/>
      <c r="O57" s="939"/>
      <c r="P57" s="939"/>
      <c r="Q57" s="939"/>
      <c r="R57" s="939"/>
      <c r="S57" s="939"/>
      <c r="T57" s="939"/>
      <c r="U57" s="833"/>
      <c r="V57" s="833"/>
      <c r="W57" s="833"/>
      <c r="X57" s="833"/>
      <c r="Y57" s="833"/>
      <c r="Z57" s="833"/>
      <c r="AA57" s="833"/>
      <c r="AB57" s="833"/>
      <c r="AC57" s="833"/>
      <c r="AD57" s="833"/>
      <c r="AE57" s="833"/>
      <c r="AF57" s="833"/>
      <c r="AG57" s="940"/>
      <c r="AH57" s="941"/>
      <c r="AI57" s="942"/>
    </row>
    <row r="58" ht="31.5" customHeight="1">
      <c r="AI58" s="3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H2:AI2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7:AR17"/>
    <mergeCell ref="AP18:AR18"/>
    <mergeCell ref="AP25:AR25"/>
    <mergeCell ref="AP26:AR26"/>
    <mergeCell ref="AP19:AR19"/>
    <mergeCell ref="AP20:AR20"/>
    <mergeCell ref="AH21:AI21"/>
    <mergeCell ref="AP21:AR21"/>
    <mergeCell ref="AP22:AR22"/>
    <mergeCell ref="AP23:AR23"/>
    <mergeCell ref="AP24:AR24"/>
  </mergeCells>
  <conditionalFormatting sqref="AK29:AN32 AO30:AO32 BA25:BA27 BB29:BN32">
    <cfRule type="notContainsBlanks" dxfId="0" priority="1">
      <formula>LEN(TRIM(AK29))&gt;0</formula>
    </cfRule>
  </conditionalFormatting>
  <conditionalFormatting sqref="AI3:AI18 AI20 AI22:AI33 AI35:AI57">
    <cfRule type="cellIs" dxfId="1" priority="2" operator="equal">
      <formula>"TRUE"</formula>
    </cfRule>
  </conditionalFormatting>
  <conditionalFormatting sqref="AI3:AI18 AI20 AI22:AI33 AI35:AI57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339" t="s">
        <v>175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6.75" customHeight="1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SUM(AG3:AG32,AW3:AW13,AW17:AW26)</f>
        <v>3844.15</v>
      </c>
      <c r="AH2" s="889" t="s">
        <v>150</v>
      </c>
      <c r="AI2" s="890"/>
      <c r="AP2" s="38"/>
      <c r="AQ2" s="38"/>
      <c r="AR2" s="38"/>
      <c r="AS2" s="862"/>
      <c r="AT2" s="173">
        <v>1.0</v>
      </c>
      <c r="AU2" s="174" t="s">
        <v>16</v>
      </c>
      <c r="AV2" s="173">
        <v>0.05</v>
      </c>
      <c r="AW2" s="456" t="s">
        <v>71</v>
      </c>
      <c r="AX2" s="456" t="s">
        <v>72</v>
      </c>
      <c r="AY2" s="456" t="s">
        <v>73</v>
      </c>
      <c r="AZ2" s="246" t="s">
        <v>34</v>
      </c>
    </row>
    <row r="3" ht="31.5" customHeight="1">
      <c r="A3" s="758" t="s">
        <v>5</v>
      </c>
      <c r="B3" s="820">
        <v>3.0</v>
      </c>
      <c r="C3" s="820">
        <v>1.5</v>
      </c>
      <c r="D3" s="820">
        <v>1.5</v>
      </c>
      <c r="E3" s="820"/>
      <c r="F3" s="820">
        <v>1.5</v>
      </c>
      <c r="G3" s="820">
        <v>3.0</v>
      </c>
      <c r="H3" s="820"/>
      <c r="I3" s="820">
        <v>1.5</v>
      </c>
      <c r="J3" s="820">
        <v>6.0</v>
      </c>
      <c r="K3" s="820">
        <v>1.5</v>
      </c>
      <c r="L3" s="820">
        <v>1.5</v>
      </c>
      <c r="M3" s="820">
        <v>7.5</v>
      </c>
      <c r="N3" s="820"/>
      <c r="O3" s="820">
        <v>4.5</v>
      </c>
      <c r="P3" s="820">
        <v>7.5</v>
      </c>
      <c r="Q3" s="820">
        <v>3.0</v>
      </c>
      <c r="R3" s="820"/>
      <c r="S3" s="820">
        <v>3.0</v>
      </c>
      <c r="T3" s="820">
        <v>4.5</v>
      </c>
      <c r="U3" s="820">
        <v>1.5</v>
      </c>
      <c r="V3" s="820"/>
      <c r="W3" s="820"/>
      <c r="X3" s="820">
        <v>1.5</v>
      </c>
      <c r="Y3" s="820">
        <v>1.5</v>
      </c>
      <c r="Z3" s="820">
        <v>4.5</v>
      </c>
      <c r="AA3" s="820"/>
      <c r="AB3" s="820">
        <v>3.0</v>
      </c>
      <c r="AC3" s="820">
        <v>6.0</v>
      </c>
      <c r="AD3" s="820">
        <v>10.5</v>
      </c>
      <c r="AE3" s="820">
        <v>1.5</v>
      </c>
      <c r="AF3" s="820">
        <v>4.5</v>
      </c>
      <c r="AG3" s="751">
        <f t="shared" ref="AG3:AG17" si="1">SUM(B3:AF3)</f>
        <v>85.5</v>
      </c>
      <c r="AH3" s="15">
        <v>85.5</v>
      </c>
      <c r="AI3" s="924" t="b">
        <f t="shared" ref="AI3:AI17" si="2">EQ(AG3,AH3)</f>
        <v>1</v>
      </c>
      <c r="AK3" s="923"/>
      <c r="AP3" s="344" t="s">
        <v>120</v>
      </c>
      <c r="AQ3" s="176"/>
      <c r="AR3" s="177"/>
      <c r="AS3" s="464"/>
      <c r="AT3" s="464">
        <f>SUM(valuesByColor("#980000", "", B3:AF17))</f>
        <v>165.1</v>
      </c>
      <c r="AU3" s="345">
        <f t="shared" ref="AU3:AU13" si="3">((AT3*(1-0.05))*(1-0.6))+AX3-AZ3</f>
        <v>62.738</v>
      </c>
      <c r="AV3" s="346">
        <f t="shared" ref="AV3:AV13" si="4">(AT3*(1-0.05))*(1-0.95)+AY3</f>
        <v>7.84225</v>
      </c>
      <c r="AW3" s="346"/>
      <c r="AX3" s="346">
        <f t="shared" ref="AX3:AX9" si="5">(AW3*(1-0.05))*(1-0.9)</f>
        <v>0</v>
      </c>
      <c r="AY3" s="346">
        <f t="shared" ref="AY3:AY9" si="6">(AW3*(1-0.05))*(1-0.95)</f>
        <v>0</v>
      </c>
      <c r="AZ3" s="883"/>
    </row>
    <row r="4" ht="40.5" customHeight="1">
      <c r="A4" s="758" t="s">
        <v>138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  <c r="R4" s="867"/>
      <c r="S4" s="867"/>
      <c r="T4" s="867"/>
      <c r="U4" s="867"/>
      <c r="V4" s="867"/>
      <c r="W4" s="867"/>
      <c r="X4" s="867"/>
      <c r="Y4" s="867"/>
      <c r="Z4" s="867"/>
      <c r="AA4" s="867"/>
      <c r="AB4" s="867"/>
      <c r="AC4" s="867"/>
      <c r="AD4" s="867"/>
      <c r="AE4" s="867"/>
      <c r="AF4" s="867"/>
      <c r="AG4" s="751">
        <f t="shared" si="1"/>
        <v>0</v>
      </c>
      <c r="AH4" s="923">
        <v>0.0</v>
      </c>
      <c r="AI4" s="924" t="b">
        <f t="shared" si="2"/>
        <v>1</v>
      </c>
      <c r="AJ4" s="38"/>
      <c r="AK4" s="923"/>
      <c r="AP4" s="175" t="s">
        <v>102</v>
      </c>
      <c r="AQ4" s="176"/>
      <c r="AR4" s="177"/>
      <c r="AS4" s="467"/>
      <c r="AT4" s="467">
        <f>SUM(valuesByColor("yellow", "", B3:AF17))</f>
        <v>96.5</v>
      </c>
      <c r="AU4" s="178">
        <f t="shared" si="3"/>
        <v>36.67</v>
      </c>
      <c r="AV4" s="248">
        <f t="shared" si="4"/>
        <v>4.58375</v>
      </c>
      <c r="AW4" s="248"/>
      <c r="AX4" s="248">
        <f t="shared" si="5"/>
        <v>0</v>
      </c>
      <c r="AY4" s="248">
        <f t="shared" si="6"/>
        <v>0</v>
      </c>
      <c r="AZ4" s="249"/>
    </row>
    <row r="5" ht="27.0" customHeight="1">
      <c r="A5" s="758" t="s">
        <v>139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898"/>
      <c r="N5" s="898"/>
      <c r="O5" s="898"/>
      <c r="P5" s="898"/>
      <c r="Q5" s="898">
        <v>7.5</v>
      </c>
      <c r="R5" s="898">
        <v>4.5</v>
      </c>
      <c r="S5" s="898">
        <v>4.5</v>
      </c>
      <c r="T5" s="898">
        <v>6.0</v>
      </c>
      <c r="U5" s="898">
        <v>4.5</v>
      </c>
      <c r="V5" s="898"/>
      <c r="W5" s="898"/>
      <c r="X5" s="898"/>
      <c r="Y5" s="898"/>
      <c r="Z5" s="898">
        <v>7.5</v>
      </c>
      <c r="AA5" s="898">
        <v>6.0</v>
      </c>
      <c r="AB5" s="898">
        <v>3.0</v>
      </c>
      <c r="AC5" s="898">
        <v>1.5</v>
      </c>
      <c r="AD5" s="898">
        <v>3.0</v>
      </c>
      <c r="AE5" s="898">
        <v>7.5</v>
      </c>
      <c r="AF5" s="898">
        <v>1.5</v>
      </c>
      <c r="AG5" s="751">
        <f t="shared" si="1"/>
        <v>57</v>
      </c>
      <c r="AH5" s="19">
        <v>57.0</v>
      </c>
      <c r="AI5" s="924" t="b">
        <f t="shared" si="2"/>
        <v>1</v>
      </c>
      <c r="AJ5" s="38"/>
      <c r="AK5" s="923"/>
      <c r="AM5" s="428"/>
      <c r="AP5" s="252"/>
      <c r="AQ5" s="176"/>
      <c r="AR5" s="177"/>
      <c r="AS5" s="474"/>
      <c r="AT5" s="474">
        <f>SUM(valuesByColor("cyan", "", B3:AF17))</f>
        <v>0</v>
      </c>
      <c r="AU5" s="253">
        <f t="shared" si="3"/>
        <v>0</v>
      </c>
      <c r="AV5" s="254">
        <f t="shared" si="4"/>
        <v>0</v>
      </c>
      <c r="AW5" s="254"/>
      <c r="AX5" s="254">
        <f t="shared" si="5"/>
        <v>0</v>
      </c>
      <c r="AY5" s="254">
        <f t="shared" si="6"/>
        <v>0</v>
      </c>
      <c r="AZ5" s="255"/>
    </row>
    <row r="6" ht="27.0" customHeight="1">
      <c r="A6" s="773" t="s">
        <v>3</v>
      </c>
      <c r="B6" s="898">
        <v>1.5</v>
      </c>
      <c r="C6" s="898">
        <v>7.5</v>
      </c>
      <c r="D6" s="898">
        <v>10.5</v>
      </c>
      <c r="E6" s="898"/>
      <c r="F6" s="898"/>
      <c r="G6" s="898"/>
      <c r="H6" s="898"/>
      <c r="I6" s="898">
        <v>16.5</v>
      </c>
      <c r="J6" s="898">
        <v>13.38</v>
      </c>
      <c r="K6" s="898"/>
      <c r="L6" s="898">
        <v>11.04</v>
      </c>
      <c r="M6" s="898"/>
      <c r="N6" s="898">
        <v>10.5</v>
      </c>
      <c r="O6" s="898">
        <v>9.98</v>
      </c>
      <c r="P6" s="898">
        <v>4.5</v>
      </c>
      <c r="Q6" s="898">
        <v>7.5</v>
      </c>
      <c r="R6" s="898">
        <v>1.5</v>
      </c>
      <c r="S6" s="898">
        <v>3.0</v>
      </c>
      <c r="T6" s="898">
        <v>4.5</v>
      </c>
      <c r="U6" s="898">
        <v>3.0</v>
      </c>
      <c r="V6" s="898"/>
      <c r="W6" s="898"/>
      <c r="X6" s="898">
        <v>3.0</v>
      </c>
      <c r="Y6" s="898"/>
      <c r="Z6" s="898">
        <v>3.0</v>
      </c>
      <c r="AA6" s="898"/>
      <c r="AB6" s="898">
        <v>1.5</v>
      </c>
      <c r="AC6" s="898">
        <v>1.5</v>
      </c>
      <c r="AD6" s="898">
        <v>3.0</v>
      </c>
      <c r="AE6" s="898">
        <v>3.0</v>
      </c>
      <c r="AF6" s="898">
        <v>1.5</v>
      </c>
      <c r="AG6" s="751">
        <f t="shared" si="1"/>
        <v>121.4</v>
      </c>
      <c r="AH6" s="19">
        <v>121.4</v>
      </c>
      <c r="AI6" s="924" t="b">
        <f t="shared" si="2"/>
        <v>1</v>
      </c>
      <c r="AJ6" s="38"/>
      <c r="AK6" s="925"/>
      <c r="AP6" s="188" t="s">
        <v>151</v>
      </c>
      <c r="AQ6" s="176"/>
      <c r="AR6" s="177"/>
      <c r="AS6" s="481"/>
      <c r="AT6" s="481">
        <f>SUM(valuesByColor("#f09090", "", B3:AF17))</f>
        <v>676.06</v>
      </c>
      <c r="AU6" s="189">
        <f t="shared" si="3"/>
        <v>256.9028</v>
      </c>
      <c r="AV6" s="256">
        <f t="shared" si="4"/>
        <v>32.11285</v>
      </c>
      <c r="AW6" s="256"/>
      <c r="AX6" s="482">
        <f t="shared" si="5"/>
        <v>0</v>
      </c>
      <c r="AY6" s="482">
        <f t="shared" si="6"/>
        <v>0</v>
      </c>
      <c r="AZ6" s="257"/>
    </row>
    <row r="7" ht="29.25" customHeight="1">
      <c r="A7" s="758" t="s">
        <v>126</v>
      </c>
      <c r="B7" s="898">
        <v>3.0</v>
      </c>
      <c r="C7" s="898">
        <v>3.0</v>
      </c>
      <c r="D7" s="898"/>
      <c r="E7" s="898">
        <v>3.0</v>
      </c>
      <c r="F7" s="898"/>
      <c r="G7" s="898"/>
      <c r="H7" s="898">
        <v>3.0</v>
      </c>
      <c r="I7" s="898">
        <v>7.5</v>
      </c>
      <c r="J7" s="898">
        <v>1.5</v>
      </c>
      <c r="K7" s="898"/>
      <c r="L7" s="898">
        <v>3.0</v>
      </c>
      <c r="M7" s="898"/>
      <c r="N7" s="898">
        <v>3.0</v>
      </c>
      <c r="O7" s="898">
        <v>1.5</v>
      </c>
      <c r="P7" s="898">
        <v>1.5</v>
      </c>
      <c r="Q7" s="898">
        <v>1.62</v>
      </c>
      <c r="R7" s="898"/>
      <c r="S7" s="898">
        <v>3.0</v>
      </c>
      <c r="T7" s="898"/>
      <c r="U7" s="898"/>
      <c r="V7" s="898"/>
      <c r="W7" s="898"/>
      <c r="X7" s="898">
        <v>3.0</v>
      </c>
      <c r="Y7" s="898"/>
      <c r="Z7" s="898">
        <v>1.5</v>
      </c>
      <c r="AA7" s="898">
        <v>3.0</v>
      </c>
      <c r="AB7" s="898"/>
      <c r="AC7" s="898">
        <v>1.5</v>
      </c>
      <c r="AD7" s="898"/>
      <c r="AE7" s="898">
        <v>3.0</v>
      </c>
      <c r="AF7" s="898"/>
      <c r="AG7" s="751">
        <f t="shared" si="1"/>
        <v>46.62</v>
      </c>
      <c r="AH7" s="15">
        <v>46.62</v>
      </c>
      <c r="AI7" s="924" t="b">
        <f t="shared" si="2"/>
        <v>1</v>
      </c>
      <c r="AJ7" s="38"/>
      <c r="AK7" s="923"/>
      <c r="AL7" s="38"/>
      <c r="AM7" s="38"/>
      <c r="AN7" s="38"/>
      <c r="AP7" s="263"/>
      <c r="AQ7" s="176"/>
      <c r="AR7" s="177"/>
      <c r="AS7" s="808"/>
      <c r="AT7" s="808">
        <f>SUM(valuesByColor("magenta", "", B3:AF17))</f>
        <v>0</v>
      </c>
      <c r="AU7" s="264">
        <f t="shared" si="3"/>
        <v>0</v>
      </c>
      <c r="AV7" s="265">
        <f t="shared" si="4"/>
        <v>0</v>
      </c>
      <c r="AW7" s="265"/>
      <c r="AX7" s="489">
        <f t="shared" si="5"/>
        <v>0</v>
      </c>
      <c r="AY7" s="489">
        <f t="shared" si="6"/>
        <v>0</v>
      </c>
      <c r="AZ7" s="266"/>
    </row>
    <row r="8" ht="29.25" customHeight="1">
      <c r="A8" s="747" t="s">
        <v>84</v>
      </c>
      <c r="B8" s="849">
        <v>32.54</v>
      </c>
      <c r="C8" s="849"/>
      <c r="D8" s="849"/>
      <c r="E8" s="849">
        <v>15.0</v>
      </c>
      <c r="F8" s="849"/>
      <c r="G8" s="849">
        <v>12.0</v>
      </c>
      <c r="H8" s="849"/>
      <c r="I8" s="849">
        <v>12.14</v>
      </c>
      <c r="J8" s="849"/>
      <c r="K8" s="849">
        <v>7.5</v>
      </c>
      <c r="L8" s="849">
        <v>9.0</v>
      </c>
      <c r="M8" s="849">
        <v>3.0</v>
      </c>
      <c r="N8" s="849"/>
      <c r="O8" s="849"/>
      <c r="P8" s="849"/>
      <c r="Q8" s="849"/>
      <c r="R8" s="849"/>
      <c r="S8" s="849">
        <v>66.1</v>
      </c>
      <c r="T8" s="849">
        <v>45.6</v>
      </c>
      <c r="U8" s="849">
        <v>6.0</v>
      </c>
      <c r="V8" s="849">
        <v>13.01</v>
      </c>
      <c r="W8" s="849">
        <v>64.54</v>
      </c>
      <c r="X8" s="849">
        <v>1.96</v>
      </c>
      <c r="Y8" s="849">
        <v>43.3</v>
      </c>
      <c r="Z8" s="849">
        <v>4.5</v>
      </c>
      <c r="AA8" s="849"/>
      <c r="AB8" s="849">
        <v>23.18</v>
      </c>
      <c r="AC8" s="849">
        <v>20.36</v>
      </c>
      <c r="AD8" s="849">
        <v>15.98</v>
      </c>
      <c r="AE8" s="849">
        <v>13.5</v>
      </c>
      <c r="AF8" s="849"/>
      <c r="AG8" s="861">
        <f t="shared" si="1"/>
        <v>409.21</v>
      </c>
      <c r="AH8" s="15">
        <v>409.21</v>
      </c>
      <c r="AI8" s="924" t="b">
        <f t="shared" si="2"/>
        <v>1</v>
      </c>
      <c r="AJ8" s="38"/>
      <c r="AK8" s="923"/>
      <c r="AL8" s="38"/>
      <c r="AM8" s="38"/>
      <c r="AN8" s="38"/>
      <c r="AP8" s="195"/>
      <c r="AQ8" s="176"/>
      <c r="AR8" s="177"/>
      <c r="AS8" s="493"/>
      <c r="AT8" s="493">
        <f>SUM(valuesByColor("#0070c0", "", B3:AF17))</f>
        <v>0</v>
      </c>
      <c r="AU8" s="196">
        <f t="shared" si="3"/>
        <v>0</v>
      </c>
      <c r="AV8" s="267">
        <f t="shared" si="4"/>
        <v>0</v>
      </c>
      <c r="AW8" s="267"/>
      <c r="AX8" s="494">
        <f t="shared" si="5"/>
        <v>0</v>
      </c>
      <c r="AY8" s="494">
        <f t="shared" si="6"/>
        <v>0</v>
      </c>
      <c r="AZ8" s="268"/>
    </row>
    <row r="9" ht="29.25" customHeight="1">
      <c r="A9" s="747" t="s">
        <v>111</v>
      </c>
      <c r="B9" s="855">
        <v>28.5</v>
      </c>
      <c r="C9" s="855">
        <v>4.5</v>
      </c>
      <c r="D9" s="855">
        <v>21.72</v>
      </c>
      <c r="E9" s="855">
        <v>33.0</v>
      </c>
      <c r="F9" s="855">
        <v>28.26</v>
      </c>
      <c r="G9" s="855">
        <v>15.0</v>
      </c>
      <c r="H9" s="855">
        <v>31.5</v>
      </c>
      <c r="I9" s="855">
        <v>18.98</v>
      </c>
      <c r="J9" s="855">
        <v>36.58</v>
      </c>
      <c r="K9" s="855">
        <v>37.86</v>
      </c>
      <c r="L9" s="855">
        <v>12.0</v>
      </c>
      <c r="M9" s="855">
        <v>9.56</v>
      </c>
      <c r="N9" s="855">
        <v>8.66</v>
      </c>
      <c r="O9" s="855"/>
      <c r="P9" s="855">
        <v>15.0</v>
      </c>
      <c r="Q9" s="855">
        <v>12.0</v>
      </c>
      <c r="R9" s="855">
        <v>7.5</v>
      </c>
      <c r="S9" s="855">
        <v>15.0</v>
      </c>
      <c r="T9" s="855">
        <v>19.5</v>
      </c>
      <c r="U9" s="855">
        <v>10.5</v>
      </c>
      <c r="V9" s="855">
        <v>50.06</v>
      </c>
      <c r="W9" s="855">
        <v>29.46</v>
      </c>
      <c r="X9" s="855">
        <v>3.0</v>
      </c>
      <c r="Y9" s="855"/>
      <c r="Z9" s="855">
        <v>22.26</v>
      </c>
      <c r="AA9" s="855">
        <v>26.58</v>
      </c>
      <c r="AB9" s="855">
        <v>15.3</v>
      </c>
      <c r="AC9" s="855">
        <v>44.96</v>
      </c>
      <c r="AD9" s="855">
        <v>29.04</v>
      </c>
      <c r="AE9" s="855">
        <v>16.5</v>
      </c>
      <c r="AF9" s="855">
        <v>39.9</v>
      </c>
      <c r="AG9" s="751">
        <f t="shared" si="1"/>
        <v>642.68</v>
      </c>
      <c r="AH9" s="19">
        <v>642.68</v>
      </c>
      <c r="AI9" s="924" t="b">
        <f t="shared" si="2"/>
        <v>1</v>
      </c>
      <c r="AJ9" s="38"/>
      <c r="AK9" s="923"/>
      <c r="AL9" s="38"/>
      <c r="AM9" s="38"/>
      <c r="AN9" s="38"/>
      <c r="AP9" s="201" t="s">
        <v>75</v>
      </c>
      <c r="AQ9" s="176"/>
      <c r="AR9" s="177"/>
      <c r="AS9" s="503"/>
      <c r="AT9" s="503">
        <f>SUM(valuesByColor("#ec7c31", "", B3:AF17))</f>
        <v>409.21</v>
      </c>
      <c r="AU9" s="202">
        <f t="shared" si="3"/>
        <v>105.4998</v>
      </c>
      <c r="AV9" s="269">
        <f t="shared" si="4"/>
        <v>19.437475</v>
      </c>
      <c r="AW9" s="269"/>
      <c r="AX9" s="504">
        <f t="shared" si="5"/>
        <v>0</v>
      </c>
      <c r="AY9" s="504">
        <f t="shared" si="6"/>
        <v>0</v>
      </c>
      <c r="AZ9" s="270">
        <v>50.0</v>
      </c>
    </row>
    <row r="10" ht="29.25" customHeight="1">
      <c r="A10" s="758" t="s">
        <v>156</v>
      </c>
      <c r="B10" s="867"/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751">
        <f t="shared" si="1"/>
        <v>0</v>
      </c>
      <c r="AH10" s="923">
        <v>0.0</v>
      </c>
      <c r="AI10" s="924" t="b">
        <f t="shared" si="2"/>
        <v>1</v>
      </c>
      <c r="AJ10" s="38"/>
      <c r="AK10" s="923"/>
      <c r="AL10" s="38"/>
      <c r="AM10" s="38"/>
      <c r="AN10" s="38"/>
      <c r="AP10" s="810"/>
      <c r="AQ10" s="176"/>
      <c r="AR10" s="177"/>
      <c r="AS10" s="827"/>
      <c r="AT10" s="827">
        <f>SUM(valuesByColor("#911553", "", B3:AF17))</f>
        <v>0</v>
      </c>
      <c r="AU10" s="828">
        <f t="shared" si="3"/>
        <v>0</v>
      </c>
      <c r="AV10" s="829">
        <f t="shared" si="4"/>
        <v>0</v>
      </c>
      <c r="AW10" s="814"/>
      <c r="AX10" s="815">
        <v>0.0</v>
      </c>
      <c r="AY10" s="815">
        <v>0.0</v>
      </c>
      <c r="AZ10" s="274"/>
    </row>
    <row r="11" ht="29.25" customHeight="1">
      <c r="A11" s="758" t="s">
        <v>99</v>
      </c>
      <c r="B11" s="867"/>
      <c r="C11" s="867"/>
      <c r="D11" s="867"/>
      <c r="E11" s="867"/>
      <c r="F11" s="867"/>
      <c r="G11" s="867"/>
      <c r="H11" s="867"/>
      <c r="I11" s="867"/>
      <c r="J11" s="867"/>
      <c r="K11" s="867"/>
      <c r="L11" s="867"/>
      <c r="M11" s="867"/>
      <c r="N11" s="867"/>
      <c r="O11" s="867"/>
      <c r="P11" s="867"/>
      <c r="Q11" s="867"/>
      <c r="R11" s="867"/>
      <c r="S11" s="867"/>
      <c r="T11" s="867"/>
      <c r="U11" s="867"/>
      <c r="V11" s="867"/>
      <c r="W11" s="867"/>
      <c r="X11" s="867"/>
      <c r="Y11" s="867"/>
      <c r="Z11" s="867"/>
      <c r="AA11" s="867"/>
      <c r="AB11" s="867"/>
      <c r="AC11" s="867"/>
      <c r="AD11" s="867"/>
      <c r="AE11" s="867"/>
      <c r="AF11" s="867"/>
      <c r="AG11" s="751">
        <f t="shared" si="1"/>
        <v>0</v>
      </c>
      <c r="AH11" s="923">
        <v>0.0</v>
      </c>
      <c r="AI11" s="924" t="b">
        <f t="shared" si="2"/>
        <v>1</v>
      </c>
      <c r="AJ11" s="38"/>
      <c r="AK11" s="923"/>
      <c r="AL11" s="38"/>
      <c r="AM11" s="38"/>
      <c r="AN11" s="38"/>
      <c r="AP11" s="277" t="s">
        <v>116</v>
      </c>
      <c r="AQ11" s="176"/>
      <c r="AR11" s="177"/>
      <c r="AS11" s="518"/>
      <c r="AT11" s="518">
        <f>SUM(valuesByColor("lime", "", B3:AF17))</f>
        <v>0</v>
      </c>
      <c r="AU11" s="278">
        <f t="shared" si="3"/>
        <v>0</v>
      </c>
      <c r="AV11" s="279">
        <f t="shared" si="4"/>
        <v>0</v>
      </c>
      <c r="AW11" s="279"/>
      <c r="AX11" s="519">
        <f t="shared" ref="AX11:AX13" si="7">(AW11*(1-0.05))*(1-0.9)</f>
        <v>0</v>
      </c>
      <c r="AY11" s="519">
        <f t="shared" ref="AY11:AY13" si="8">(AW11*(1-0.05))*(1-0.95)</f>
        <v>0</v>
      </c>
      <c r="AZ11" s="280"/>
    </row>
    <row r="12" ht="29.25" customHeight="1">
      <c r="A12" s="758" t="s">
        <v>157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823"/>
      <c r="O12" s="823"/>
      <c r="P12" s="823"/>
      <c r="Q12" s="823"/>
      <c r="R12" s="823"/>
      <c r="S12" s="952"/>
      <c r="T12" s="952"/>
      <c r="U12" s="952"/>
      <c r="V12" s="952"/>
      <c r="W12" s="952"/>
      <c r="X12" s="952"/>
      <c r="Y12" s="952"/>
      <c r="Z12" s="952"/>
      <c r="AA12" s="952"/>
      <c r="AB12" s="952"/>
      <c r="AC12" s="952"/>
      <c r="AD12" s="952"/>
      <c r="AE12" s="952"/>
      <c r="AF12" s="952"/>
      <c r="AG12" s="751">
        <f t="shared" si="1"/>
        <v>0</v>
      </c>
      <c r="AH12" s="923">
        <v>0.0</v>
      </c>
      <c r="AI12" s="924" t="b">
        <f t="shared" si="2"/>
        <v>1</v>
      </c>
      <c r="AJ12" s="38"/>
      <c r="AK12" s="923"/>
      <c r="AL12" s="38"/>
      <c r="AM12" s="38"/>
      <c r="AN12" s="38"/>
      <c r="AP12" s="668"/>
      <c r="AQ12" s="176"/>
      <c r="AR12" s="177"/>
      <c r="AS12" s="669"/>
      <c r="AT12" s="669">
        <f>SUM(valuesByColor("#7a00ff", "", B3:AF17))</f>
        <v>0</v>
      </c>
      <c r="AU12" s="670">
        <f t="shared" si="3"/>
        <v>0</v>
      </c>
      <c r="AV12" s="671">
        <f t="shared" si="4"/>
        <v>0</v>
      </c>
      <c r="AW12" s="671"/>
      <c r="AX12" s="672">
        <f t="shared" si="7"/>
        <v>0</v>
      </c>
      <c r="AY12" s="672">
        <f t="shared" si="8"/>
        <v>0</v>
      </c>
      <c r="AZ12" s="673"/>
    </row>
    <row r="13" ht="29.25" customHeight="1">
      <c r="A13" s="758" t="s">
        <v>53</v>
      </c>
      <c r="B13" s="850">
        <v>1.5</v>
      </c>
      <c r="C13" s="850"/>
      <c r="D13" s="850">
        <v>1.5</v>
      </c>
      <c r="E13" s="850">
        <v>4.64</v>
      </c>
      <c r="F13" s="850">
        <v>7.04</v>
      </c>
      <c r="G13" s="850">
        <v>1.5</v>
      </c>
      <c r="H13" s="850"/>
      <c r="I13" s="850">
        <v>1.5</v>
      </c>
      <c r="J13" s="850">
        <v>1.5</v>
      </c>
      <c r="K13" s="850">
        <v>3.0</v>
      </c>
      <c r="L13" s="850"/>
      <c r="M13" s="850">
        <v>1.5</v>
      </c>
      <c r="N13" s="850"/>
      <c r="O13" s="850"/>
      <c r="P13" s="850">
        <v>1.5</v>
      </c>
      <c r="Q13" s="850">
        <v>3.0</v>
      </c>
      <c r="R13" s="850"/>
      <c r="S13" s="850">
        <v>4.5</v>
      </c>
      <c r="T13" s="850">
        <v>6.0</v>
      </c>
      <c r="U13" s="850">
        <v>3.0</v>
      </c>
      <c r="V13" s="850">
        <v>6.0</v>
      </c>
      <c r="W13" s="850">
        <v>1.5</v>
      </c>
      <c r="X13" s="850">
        <v>3.42</v>
      </c>
      <c r="Y13" s="850">
        <v>1.5</v>
      </c>
      <c r="Z13" s="850">
        <v>6.0</v>
      </c>
      <c r="AA13" s="850"/>
      <c r="AB13" s="850">
        <v>1.5</v>
      </c>
      <c r="AC13" s="850">
        <v>6.0</v>
      </c>
      <c r="AD13" s="850">
        <v>4.5</v>
      </c>
      <c r="AE13" s="850">
        <v>4.5</v>
      </c>
      <c r="AF13" s="850">
        <v>3.0</v>
      </c>
      <c r="AG13" s="751">
        <f t="shared" si="1"/>
        <v>79.6</v>
      </c>
      <c r="AH13" s="19">
        <v>79.6</v>
      </c>
      <c r="AI13" s="924" t="b">
        <f t="shared" si="2"/>
        <v>1</v>
      </c>
      <c r="AJ13" s="38"/>
      <c r="AK13" s="923"/>
      <c r="AL13" s="38"/>
      <c r="AM13" s="38"/>
      <c r="AN13" s="38"/>
      <c r="AP13" s="874" t="s">
        <v>152</v>
      </c>
      <c r="AQ13" s="176"/>
      <c r="AR13" s="177"/>
      <c r="AS13" s="895"/>
      <c r="AT13" s="895">
        <f>SUM(valuesByColor("#6089ff", "", B3:AF17))</f>
        <v>225.02</v>
      </c>
      <c r="AU13" s="896">
        <f t="shared" si="3"/>
        <v>85.5076</v>
      </c>
      <c r="AV13" s="897">
        <f t="shared" si="4"/>
        <v>10.68845</v>
      </c>
      <c r="AW13" s="897"/>
      <c r="AX13" s="876">
        <f t="shared" si="7"/>
        <v>0</v>
      </c>
      <c r="AY13" s="876">
        <f t="shared" si="8"/>
        <v>0</v>
      </c>
      <c r="AZ13" s="387"/>
    </row>
    <row r="14" ht="29.25" customHeight="1">
      <c r="A14" s="758" t="s">
        <v>127</v>
      </c>
      <c r="B14" s="855">
        <v>1.5</v>
      </c>
      <c r="C14" s="855"/>
      <c r="D14" s="855"/>
      <c r="E14" s="855"/>
      <c r="F14" s="855"/>
      <c r="G14" s="855"/>
      <c r="H14" s="855"/>
      <c r="I14" s="855">
        <v>13.5</v>
      </c>
      <c r="J14" s="855"/>
      <c r="K14" s="855"/>
      <c r="L14" s="855"/>
      <c r="M14" s="855"/>
      <c r="N14" s="855"/>
      <c r="O14" s="855"/>
      <c r="P14" s="855"/>
      <c r="Q14" s="855"/>
      <c r="R14" s="855"/>
      <c r="S14" s="855">
        <v>1.5</v>
      </c>
      <c r="T14" s="855"/>
      <c r="U14" s="855"/>
      <c r="V14" s="855"/>
      <c r="W14" s="855"/>
      <c r="X14" s="855"/>
      <c r="Y14" s="855"/>
      <c r="Z14" s="855"/>
      <c r="AA14" s="855"/>
      <c r="AB14" s="855"/>
      <c r="AC14" s="855"/>
      <c r="AD14" s="855"/>
      <c r="AE14" s="855">
        <v>11.26</v>
      </c>
      <c r="AF14" s="855">
        <v>5.62</v>
      </c>
      <c r="AG14" s="751">
        <f t="shared" si="1"/>
        <v>33.38</v>
      </c>
      <c r="AH14" s="15">
        <v>33.38</v>
      </c>
      <c r="AI14" s="924" t="b">
        <f t="shared" si="2"/>
        <v>1</v>
      </c>
      <c r="AJ14" s="38"/>
      <c r="AK14" s="923"/>
      <c r="AL14" s="38"/>
      <c r="AM14" s="38"/>
      <c r="AN14" s="38"/>
      <c r="AS14" s="865"/>
      <c r="AT14" s="527">
        <f>SUM(AT3:AT13)</f>
        <v>1571.89</v>
      </c>
      <c r="AU14" s="38"/>
      <c r="AV14" s="220">
        <f>SUM(AV3:AV13)</f>
        <v>74.664775</v>
      </c>
    </row>
    <row r="15" ht="29.25" customHeight="1">
      <c r="A15" s="758" t="s">
        <v>125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823"/>
      <c r="O15" s="823"/>
      <c r="P15" s="823"/>
      <c r="Q15" s="823"/>
      <c r="R15" s="823"/>
      <c r="S15" s="823"/>
      <c r="T15" s="823"/>
      <c r="U15" s="823"/>
      <c r="V15" s="823"/>
      <c r="W15" s="823"/>
      <c r="X15" s="823"/>
      <c r="Y15" s="823"/>
      <c r="Z15" s="823"/>
      <c r="AA15" s="823"/>
      <c r="AB15" s="823"/>
      <c r="AC15" s="823"/>
      <c r="AD15" s="823"/>
      <c r="AE15" s="823"/>
      <c r="AF15" s="823"/>
      <c r="AG15" s="751">
        <f t="shared" si="1"/>
        <v>0</v>
      </c>
      <c r="AH15" s="941">
        <v>0.0</v>
      </c>
      <c r="AI15" s="924" t="b">
        <f t="shared" si="2"/>
        <v>1</v>
      </c>
      <c r="AJ15" s="38"/>
      <c r="AK15" s="38"/>
      <c r="AL15" s="38"/>
      <c r="AM15" s="38"/>
      <c r="AN15" s="38"/>
    </row>
    <row r="16" ht="29.25" customHeight="1">
      <c r="A16" s="758" t="s">
        <v>171</v>
      </c>
      <c r="B16" s="823"/>
      <c r="C16" s="823"/>
      <c r="D16" s="823"/>
      <c r="E16" s="823"/>
      <c r="F16" s="823"/>
      <c r="G16" s="823"/>
      <c r="H16" s="823"/>
      <c r="I16" s="823"/>
      <c r="J16" s="823"/>
      <c r="K16" s="823"/>
      <c r="L16" s="823"/>
      <c r="M16" s="823"/>
      <c r="N16" s="823"/>
      <c r="O16" s="823"/>
      <c r="P16" s="823"/>
      <c r="Q16" s="823"/>
      <c r="R16" s="823"/>
      <c r="S16" s="823"/>
      <c r="T16" s="823"/>
      <c r="U16" s="823"/>
      <c r="V16" s="823"/>
      <c r="W16" s="823"/>
      <c r="X16" s="823"/>
      <c r="Y16" s="823"/>
      <c r="Z16" s="823"/>
      <c r="AA16" s="823"/>
      <c r="AB16" s="823"/>
      <c r="AC16" s="823"/>
      <c r="AD16" s="823"/>
      <c r="AE16" s="823"/>
      <c r="AF16" s="823"/>
      <c r="AG16" s="751">
        <f t="shared" si="1"/>
        <v>0</v>
      </c>
      <c r="AH16" s="941">
        <v>0.0</v>
      </c>
      <c r="AI16" s="924" t="b">
        <f t="shared" si="2"/>
        <v>1</v>
      </c>
      <c r="AJ16" s="38"/>
      <c r="AK16" s="38"/>
      <c r="AL16" s="38"/>
      <c r="AM16" s="38"/>
      <c r="AN16" s="38"/>
      <c r="AP16" s="38"/>
      <c r="AQ16" s="38"/>
      <c r="AR16" s="38"/>
      <c r="AS16" s="862"/>
      <c r="AT16" s="173">
        <v>1.0</v>
      </c>
      <c r="AU16" s="174" t="s">
        <v>16</v>
      </c>
      <c r="AV16" s="173">
        <v>0.05</v>
      </c>
      <c r="AW16" s="456" t="s">
        <v>71</v>
      </c>
      <c r="AX16" s="456" t="s">
        <v>72</v>
      </c>
      <c r="AY16" s="456" t="s">
        <v>73</v>
      </c>
      <c r="AZ16" s="246" t="s">
        <v>34</v>
      </c>
    </row>
    <row r="17" ht="29.25" customHeight="1">
      <c r="A17" s="758" t="s">
        <v>97</v>
      </c>
      <c r="B17" s="853">
        <v>24.0</v>
      </c>
      <c r="C17" s="853">
        <v>30.0</v>
      </c>
      <c r="D17" s="853">
        <v>13.5</v>
      </c>
      <c r="E17" s="853"/>
      <c r="F17" s="853"/>
      <c r="G17" s="853">
        <v>10.5</v>
      </c>
      <c r="H17" s="853"/>
      <c r="I17" s="853">
        <v>1.5</v>
      </c>
      <c r="J17" s="853">
        <v>3.0</v>
      </c>
      <c r="K17" s="853">
        <v>1.5</v>
      </c>
      <c r="L17" s="853"/>
      <c r="M17" s="853">
        <v>7.0</v>
      </c>
      <c r="N17" s="853">
        <v>2.5</v>
      </c>
      <c r="O17" s="853">
        <v>1.5</v>
      </c>
      <c r="P17" s="853">
        <v>1.5</v>
      </c>
      <c r="Q17" s="853"/>
      <c r="R17" s="853"/>
      <c r="S17" s="853"/>
      <c r="T17" s="853"/>
      <c r="U17" s="853"/>
      <c r="V17" s="853"/>
      <c r="W17" s="798">
        <v>3.0</v>
      </c>
      <c r="X17" s="798">
        <v>12.48</v>
      </c>
      <c r="Y17" s="798">
        <v>13.62</v>
      </c>
      <c r="Z17" s="798">
        <v>15.0</v>
      </c>
      <c r="AA17" s="798">
        <v>4.5</v>
      </c>
      <c r="AB17" s="798">
        <v>6.0</v>
      </c>
      <c r="AC17" s="798">
        <v>10.62</v>
      </c>
      <c r="AD17" s="798">
        <v>4.5</v>
      </c>
      <c r="AE17" s="798">
        <v>13.74</v>
      </c>
      <c r="AF17" s="798">
        <v>3.0</v>
      </c>
      <c r="AG17" s="751">
        <f t="shared" si="1"/>
        <v>182.96</v>
      </c>
      <c r="AH17" s="891">
        <v>182.96</v>
      </c>
      <c r="AI17" s="924" t="b">
        <f t="shared" si="2"/>
        <v>1</v>
      </c>
      <c r="AJ17" s="38"/>
      <c r="AK17" s="38"/>
      <c r="AL17" s="38"/>
      <c r="AM17" s="38"/>
      <c r="AN17" s="38"/>
      <c r="AP17" s="544" t="s">
        <v>108</v>
      </c>
      <c r="AQ17" s="176"/>
      <c r="AR17" s="177"/>
      <c r="AS17" s="545"/>
      <c r="AT17" s="545">
        <f>SUM(valuesByColor("#ffc4d5", "", B22:AF32))</f>
        <v>724.02</v>
      </c>
      <c r="AU17" s="545">
        <f t="shared" ref="AU17:AU26" si="10">((AT17*(1-0.05))*(1-0.6))+AX17-AZ17</f>
        <v>275.1276</v>
      </c>
      <c r="AV17" s="546">
        <f t="shared" ref="AV17:AV26" si="11">(AT17*(1-0.05))*(1-0.95)+AY17</f>
        <v>34.39095</v>
      </c>
      <c r="AW17" s="546"/>
      <c r="AX17" s="546">
        <f t="shared" ref="AX17:AX26" si="12">(AW17*(1-0.05))*(1-0.9)</f>
        <v>0</v>
      </c>
      <c r="AY17" s="546">
        <f t="shared" ref="AY17:AY26" si="13">(AW17*(1-0.05))*(1-0.95)</f>
        <v>0</v>
      </c>
      <c r="AZ17" s="547"/>
    </row>
    <row r="18" ht="30.0" customHeight="1">
      <c r="A18" s="47" t="s">
        <v>14</v>
      </c>
      <c r="B18" s="914">
        <f t="shared" ref="B18:AF18" si="9">SUM(B3:B17)</f>
        <v>95.54</v>
      </c>
      <c r="C18" s="914">
        <f t="shared" si="9"/>
        <v>46.5</v>
      </c>
      <c r="D18" s="914">
        <f t="shared" si="9"/>
        <v>48.72</v>
      </c>
      <c r="E18" s="914">
        <f t="shared" si="9"/>
        <v>55.64</v>
      </c>
      <c r="F18" s="914">
        <f t="shared" si="9"/>
        <v>36.8</v>
      </c>
      <c r="G18" s="914">
        <f t="shared" si="9"/>
        <v>42</v>
      </c>
      <c r="H18" s="914">
        <f t="shared" si="9"/>
        <v>34.5</v>
      </c>
      <c r="I18" s="914">
        <f t="shared" si="9"/>
        <v>73.12</v>
      </c>
      <c r="J18" s="914">
        <f t="shared" si="9"/>
        <v>61.96</v>
      </c>
      <c r="K18" s="914">
        <f t="shared" si="9"/>
        <v>51.36</v>
      </c>
      <c r="L18" s="914">
        <f t="shared" si="9"/>
        <v>36.54</v>
      </c>
      <c r="M18" s="914">
        <f t="shared" si="9"/>
        <v>28.56</v>
      </c>
      <c r="N18" s="914">
        <f t="shared" si="9"/>
        <v>24.66</v>
      </c>
      <c r="O18" s="914">
        <f t="shared" si="9"/>
        <v>17.48</v>
      </c>
      <c r="P18" s="914">
        <f t="shared" si="9"/>
        <v>31.5</v>
      </c>
      <c r="Q18" s="914">
        <f t="shared" si="9"/>
        <v>34.62</v>
      </c>
      <c r="R18" s="914">
        <f t="shared" si="9"/>
        <v>13.5</v>
      </c>
      <c r="S18" s="914">
        <f t="shared" si="9"/>
        <v>100.6</v>
      </c>
      <c r="T18" s="914">
        <f t="shared" si="9"/>
        <v>86.1</v>
      </c>
      <c r="U18" s="914">
        <f t="shared" si="9"/>
        <v>28.5</v>
      </c>
      <c r="V18" s="914">
        <f t="shared" si="9"/>
        <v>69.07</v>
      </c>
      <c r="W18" s="914">
        <f t="shared" si="9"/>
        <v>98.5</v>
      </c>
      <c r="X18" s="914">
        <f t="shared" si="9"/>
        <v>28.36</v>
      </c>
      <c r="Y18" s="914">
        <f t="shared" si="9"/>
        <v>59.92</v>
      </c>
      <c r="Z18" s="914">
        <f t="shared" si="9"/>
        <v>64.26</v>
      </c>
      <c r="AA18" s="914">
        <f t="shared" si="9"/>
        <v>40.08</v>
      </c>
      <c r="AB18" s="914">
        <f t="shared" si="9"/>
        <v>53.48</v>
      </c>
      <c r="AC18" s="914">
        <f t="shared" si="9"/>
        <v>92.44</v>
      </c>
      <c r="AD18" s="914">
        <f t="shared" si="9"/>
        <v>70.52</v>
      </c>
      <c r="AE18" s="914">
        <f t="shared" si="9"/>
        <v>74.5</v>
      </c>
      <c r="AF18" s="914">
        <f t="shared" si="9"/>
        <v>59.02</v>
      </c>
      <c r="AG18" s="915"/>
      <c r="AH18" s="58"/>
      <c r="AI18" s="924"/>
      <c r="AJ18" s="38"/>
      <c r="AK18" s="38"/>
      <c r="AL18" s="38"/>
      <c r="AM18" s="38"/>
      <c r="AN18" s="38"/>
      <c r="AP18" s="188" t="s">
        <v>176</v>
      </c>
      <c r="AQ18" s="176"/>
      <c r="AR18" s="177"/>
      <c r="AS18" s="953"/>
      <c r="AT18" s="953">
        <f>SUM(valuesByColor("#f09090", "", B22:AF32))</f>
        <v>251.22</v>
      </c>
      <c r="AU18" s="953">
        <f t="shared" si="10"/>
        <v>95.4636</v>
      </c>
      <c r="AV18" s="482">
        <f t="shared" si="11"/>
        <v>11.93295</v>
      </c>
      <c r="AW18" s="482"/>
      <c r="AX18" s="482">
        <f t="shared" si="12"/>
        <v>0</v>
      </c>
      <c r="AY18" s="482">
        <f t="shared" si="13"/>
        <v>0</v>
      </c>
      <c r="AZ18" s="558"/>
    </row>
    <row r="19" ht="30.0" customHeight="1">
      <c r="AI19" s="38"/>
      <c r="AJ19" s="38"/>
      <c r="AK19" s="38"/>
      <c r="AL19" s="38"/>
      <c r="AM19" s="38"/>
      <c r="AN19" s="38"/>
      <c r="AP19" s="563" t="s">
        <v>164</v>
      </c>
      <c r="AQ19" s="176"/>
      <c r="AR19" s="177"/>
      <c r="AS19" s="564"/>
      <c r="AT19" s="564">
        <f>SUM(valuesByColor("#00b572", "", B22:AF32))</f>
        <v>137.94</v>
      </c>
      <c r="AU19" s="564">
        <f t="shared" si="10"/>
        <v>52.4172</v>
      </c>
      <c r="AV19" s="565">
        <f t="shared" si="11"/>
        <v>6.55215</v>
      </c>
      <c r="AW19" s="565"/>
      <c r="AX19" s="565">
        <f t="shared" si="12"/>
        <v>0</v>
      </c>
      <c r="AY19" s="565">
        <f t="shared" si="13"/>
        <v>0</v>
      </c>
      <c r="AZ19" s="566"/>
    </row>
    <row r="20" ht="30.0" customHeight="1">
      <c r="A20" s="927" t="s">
        <v>2</v>
      </c>
      <c r="B20" s="928">
        <v>1.0</v>
      </c>
      <c r="C20" s="928">
        <v>2.0</v>
      </c>
      <c r="D20" s="928">
        <v>3.0</v>
      </c>
      <c r="E20" s="928">
        <v>4.0</v>
      </c>
      <c r="F20" s="928">
        <v>5.0</v>
      </c>
      <c r="G20" s="928">
        <v>6.0</v>
      </c>
      <c r="H20" s="928">
        <v>7.0</v>
      </c>
      <c r="I20" s="928">
        <v>8.0</v>
      </c>
      <c r="J20" s="928">
        <v>9.0</v>
      </c>
      <c r="K20" s="928">
        <v>10.0</v>
      </c>
      <c r="L20" s="928">
        <v>11.0</v>
      </c>
      <c r="M20" s="928">
        <v>12.0</v>
      </c>
      <c r="N20" s="929">
        <v>13.0</v>
      </c>
      <c r="O20" s="929">
        <v>14.0</v>
      </c>
      <c r="P20" s="929">
        <v>15.0</v>
      </c>
      <c r="Q20" s="929">
        <v>16.0</v>
      </c>
      <c r="R20" s="929">
        <v>17.0</v>
      </c>
      <c r="S20" s="929">
        <v>18.0</v>
      </c>
      <c r="T20" s="929">
        <v>19.0</v>
      </c>
      <c r="U20" s="929">
        <v>20.0</v>
      </c>
      <c r="V20" s="929">
        <v>21.0</v>
      </c>
      <c r="W20" s="929">
        <v>22.0</v>
      </c>
      <c r="X20" s="929">
        <v>23.0</v>
      </c>
      <c r="Y20" s="929">
        <v>24.0</v>
      </c>
      <c r="Z20" s="929">
        <v>25.0</v>
      </c>
      <c r="AA20" s="929">
        <v>26.0</v>
      </c>
      <c r="AB20" s="929">
        <v>27.0</v>
      </c>
      <c r="AC20" s="929">
        <v>28.0</v>
      </c>
      <c r="AD20" s="929">
        <v>29.0</v>
      </c>
      <c r="AE20" s="929">
        <v>30.0</v>
      </c>
      <c r="AF20" s="930">
        <v>31.0</v>
      </c>
      <c r="AG20" s="57"/>
      <c r="AH20" s="58"/>
      <c r="AI20" s="38"/>
      <c r="AK20" s="38"/>
      <c r="AL20" s="38"/>
      <c r="AM20" s="38"/>
      <c r="AN20" s="38"/>
      <c r="AP20" s="575" t="s">
        <v>177</v>
      </c>
      <c r="AQ20" s="176"/>
      <c r="AR20" s="177"/>
      <c r="AS20" s="576"/>
      <c r="AT20" s="576">
        <f>SUM(valuesByColor("#7030a0", "", B22:AF32))</f>
        <v>832.46</v>
      </c>
      <c r="AU20" s="576">
        <f t="shared" si="10"/>
        <v>316.3348</v>
      </c>
      <c r="AV20" s="577">
        <f t="shared" si="11"/>
        <v>39.54185</v>
      </c>
      <c r="AW20" s="577"/>
      <c r="AX20" s="577">
        <f t="shared" si="12"/>
        <v>0</v>
      </c>
      <c r="AY20" s="577">
        <f t="shared" si="13"/>
        <v>0</v>
      </c>
      <c r="AZ20" s="578"/>
      <c r="BA20" s="38"/>
    </row>
    <row r="21" ht="30.0" customHeight="1">
      <c r="A21" s="947" t="s">
        <v>178</v>
      </c>
      <c r="B21" s="931"/>
      <c r="C21" s="931"/>
      <c r="D21" s="931"/>
      <c r="E21" s="931"/>
      <c r="F21" s="931"/>
      <c r="G21" s="931"/>
      <c r="H21" s="931"/>
      <c r="I21" s="931"/>
      <c r="J21" s="931"/>
      <c r="K21" s="931"/>
      <c r="L21" s="931"/>
      <c r="M21" s="931"/>
      <c r="N21" s="931"/>
      <c r="O21" s="931"/>
      <c r="P21" s="931"/>
      <c r="Q21" s="931"/>
      <c r="R21" s="931"/>
      <c r="S21" s="931"/>
      <c r="T21" s="931"/>
      <c r="U21" s="931"/>
      <c r="V21" s="931"/>
      <c r="W21" s="931"/>
      <c r="X21" s="931"/>
      <c r="Y21" s="931"/>
      <c r="Z21" s="931"/>
      <c r="AA21" s="931"/>
      <c r="AB21" s="931"/>
      <c r="AC21" s="931"/>
      <c r="AD21" s="931"/>
      <c r="AE21" s="931"/>
      <c r="AF21" s="931"/>
      <c r="AG21" s="888"/>
      <c r="AH21" s="889" t="s">
        <v>150</v>
      </c>
      <c r="AI21" s="890"/>
      <c r="AK21" s="38"/>
      <c r="AL21" s="38"/>
      <c r="AM21" s="38"/>
      <c r="AN21" s="38"/>
      <c r="AP21" s="580" t="s">
        <v>179</v>
      </c>
      <c r="AQ21" s="176"/>
      <c r="AR21" s="177"/>
      <c r="AS21" s="581"/>
      <c r="AT21" s="581">
        <f>SUM(valuesByColor("#9bbb59", "", B22:AF32))</f>
        <v>240.16</v>
      </c>
      <c r="AU21" s="582">
        <f t="shared" si="10"/>
        <v>91.2608</v>
      </c>
      <c r="AV21" s="583">
        <f t="shared" si="11"/>
        <v>11.4076</v>
      </c>
      <c r="AW21" s="584"/>
      <c r="AX21" s="583">
        <f t="shared" si="12"/>
        <v>0</v>
      </c>
      <c r="AY21" s="583">
        <f t="shared" si="13"/>
        <v>0</v>
      </c>
      <c r="AZ21" s="585"/>
      <c r="BA21" s="38" t="s">
        <v>180</v>
      </c>
    </row>
    <row r="22" ht="30.0" customHeight="1">
      <c r="A22" s="764" t="s">
        <v>161</v>
      </c>
      <c r="B22" s="752">
        <v>27.06</v>
      </c>
      <c r="C22" s="753">
        <v>27.52</v>
      </c>
      <c r="D22" s="753">
        <v>24.6</v>
      </c>
      <c r="E22" s="954">
        <v>49.1</v>
      </c>
      <c r="F22" s="954">
        <v>33.98</v>
      </c>
      <c r="G22" s="954">
        <v>18.0</v>
      </c>
      <c r="H22" s="954">
        <v>12.0</v>
      </c>
      <c r="I22" s="954">
        <v>21.3</v>
      </c>
      <c r="J22" s="954">
        <v>17.56</v>
      </c>
      <c r="K22" s="954">
        <v>31.38</v>
      </c>
      <c r="L22" s="955"/>
      <c r="M22" s="954">
        <v>24.0</v>
      </c>
      <c r="N22" s="954">
        <v>41.14</v>
      </c>
      <c r="O22" s="954">
        <v>20.48</v>
      </c>
      <c r="P22" s="954">
        <v>22.14</v>
      </c>
      <c r="Q22" s="954">
        <v>1.5</v>
      </c>
      <c r="R22" s="954">
        <v>0.0</v>
      </c>
      <c r="S22" s="954">
        <v>0.0</v>
      </c>
      <c r="T22" s="954">
        <v>10.5</v>
      </c>
      <c r="U22" s="956">
        <v>9.0</v>
      </c>
      <c r="V22" s="956">
        <v>18.24</v>
      </c>
      <c r="W22" s="956">
        <v>13.5</v>
      </c>
      <c r="X22" s="956">
        <v>34.6</v>
      </c>
      <c r="Y22" s="956">
        <v>9.0</v>
      </c>
      <c r="Z22" s="956">
        <v>30.0</v>
      </c>
      <c r="AA22" s="956">
        <v>12.0</v>
      </c>
      <c r="AB22" s="956">
        <v>10.5</v>
      </c>
      <c r="AC22" s="956">
        <v>43.0</v>
      </c>
      <c r="AD22" s="956">
        <v>24.32</v>
      </c>
      <c r="AE22" s="956">
        <v>3.0</v>
      </c>
      <c r="AF22" s="956">
        <v>4.5</v>
      </c>
      <c r="AG22" s="751">
        <f t="shared" ref="AG22:AG29" si="14">SUM(B22:AF22)</f>
        <v>593.92</v>
      </c>
      <c r="AH22" s="893">
        <v>593.92</v>
      </c>
      <c r="AI22" s="924" t="b">
        <f t="shared" ref="AI22:AI32" si="15">EQ(AG22,AH22)</f>
        <v>1</v>
      </c>
      <c r="AK22" s="38"/>
      <c r="AL22" s="38"/>
      <c r="AM22" s="38"/>
      <c r="AN22" s="38"/>
      <c r="AP22" s="188"/>
      <c r="AQ22" s="176"/>
      <c r="AR22" s="177"/>
      <c r="AS22" s="957"/>
      <c r="AT22" s="957"/>
      <c r="AU22" s="953">
        <f t="shared" si="10"/>
        <v>0</v>
      </c>
      <c r="AV22" s="482">
        <f t="shared" si="11"/>
        <v>0</v>
      </c>
      <c r="AW22" s="256"/>
      <c r="AX22" s="482">
        <f t="shared" si="12"/>
        <v>0</v>
      </c>
      <c r="AY22" s="482">
        <f t="shared" si="13"/>
        <v>0</v>
      </c>
      <c r="AZ22" s="958"/>
    </row>
    <row r="23" ht="30.0" customHeight="1">
      <c r="A23" s="773" t="s">
        <v>134</v>
      </c>
      <c r="B23" s="860">
        <v>24.0</v>
      </c>
      <c r="C23" s="932">
        <v>30.0</v>
      </c>
      <c r="D23" s="932">
        <v>27.0</v>
      </c>
      <c r="E23" s="932">
        <v>20.5</v>
      </c>
      <c r="F23" s="932">
        <v>35.9</v>
      </c>
      <c r="G23" s="932">
        <v>12.0</v>
      </c>
      <c r="H23" s="932">
        <v>50.5</v>
      </c>
      <c r="I23" s="932">
        <v>12.0</v>
      </c>
      <c r="J23" s="932">
        <v>16.5</v>
      </c>
      <c r="K23" s="932">
        <v>21.0</v>
      </c>
      <c r="L23" s="840">
        <v>15.0</v>
      </c>
      <c r="M23" s="932">
        <v>10.5</v>
      </c>
      <c r="N23" s="932">
        <v>4.5</v>
      </c>
      <c r="O23" s="932">
        <v>16.5</v>
      </c>
      <c r="P23" s="932">
        <v>9.64</v>
      </c>
      <c r="Q23" s="932">
        <v>19.5</v>
      </c>
      <c r="R23" s="932">
        <v>10.5</v>
      </c>
      <c r="S23" s="932">
        <v>9.0</v>
      </c>
      <c r="T23" s="932">
        <v>42.0</v>
      </c>
      <c r="U23" s="933">
        <v>10.5</v>
      </c>
      <c r="V23" s="933">
        <v>39.0</v>
      </c>
      <c r="W23" s="933">
        <v>46.5</v>
      </c>
      <c r="X23" s="933">
        <v>19.5</v>
      </c>
      <c r="Y23" s="933">
        <v>28.5</v>
      </c>
      <c r="Z23" s="933">
        <v>70.5</v>
      </c>
      <c r="AA23" s="933">
        <v>70.5</v>
      </c>
      <c r="AB23" s="933">
        <v>27.3</v>
      </c>
      <c r="AC23" s="933">
        <v>30.12</v>
      </c>
      <c r="AD23" s="933">
        <v>37.5</v>
      </c>
      <c r="AE23" s="933">
        <v>18.0</v>
      </c>
      <c r="AF23" s="933">
        <v>45.0</v>
      </c>
      <c r="AG23" s="751">
        <f t="shared" si="14"/>
        <v>829.46</v>
      </c>
      <c r="AH23" s="893">
        <v>829.46</v>
      </c>
      <c r="AI23" s="924" t="b">
        <f t="shared" si="15"/>
        <v>1</v>
      </c>
      <c r="AK23" s="38"/>
      <c r="AL23" s="38"/>
      <c r="AM23" s="38"/>
      <c r="AN23" s="38"/>
      <c r="AP23" s="588"/>
      <c r="AQ23" s="176"/>
      <c r="AR23" s="177"/>
      <c r="AS23" s="589"/>
      <c r="AT23" s="589"/>
      <c r="AU23" s="590">
        <f t="shared" si="10"/>
        <v>0</v>
      </c>
      <c r="AV23" s="591">
        <f t="shared" si="11"/>
        <v>0</v>
      </c>
      <c r="AW23" s="592"/>
      <c r="AX23" s="591">
        <f t="shared" si="12"/>
        <v>0</v>
      </c>
      <c r="AY23" s="591">
        <f t="shared" si="13"/>
        <v>0</v>
      </c>
      <c r="AZ23" s="270"/>
    </row>
    <row r="24" ht="30.0" customHeight="1">
      <c r="A24" s="747" t="s">
        <v>160</v>
      </c>
      <c r="B24" s="752"/>
      <c r="C24" s="753">
        <v>3.12</v>
      </c>
      <c r="D24" s="753">
        <v>3.12</v>
      </c>
      <c r="E24" s="753">
        <v>1.5</v>
      </c>
      <c r="F24" s="753">
        <v>3.12</v>
      </c>
      <c r="G24" s="753"/>
      <c r="H24" s="753"/>
      <c r="I24" s="749">
        <v>1.62</v>
      </c>
      <c r="J24" s="749"/>
      <c r="K24" s="749">
        <v>1.5</v>
      </c>
      <c r="L24" s="837"/>
      <c r="M24" s="837"/>
      <c r="N24" s="837"/>
      <c r="O24" s="837"/>
      <c r="P24" s="837"/>
      <c r="Q24" s="837"/>
      <c r="R24" s="837"/>
      <c r="S24" s="856">
        <v>1.5</v>
      </c>
      <c r="T24" s="856">
        <v>5.5</v>
      </c>
      <c r="U24" s="856">
        <v>3.0</v>
      </c>
      <c r="V24" s="856">
        <v>5.0</v>
      </c>
      <c r="W24" s="856"/>
      <c r="X24" s="793">
        <v>0.24</v>
      </c>
      <c r="Y24" s="793">
        <v>1.5</v>
      </c>
      <c r="Z24" s="793">
        <v>3.0</v>
      </c>
      <c r="AA24" s="793"/>
      <c r="AB24" s="793">
        <v>1.5</v>
      </c>
      <c r="AC24" s="793"/>
      <c r="AD24" s="793"/>
      <c r="AE24" s="793">
        <v>6.0</v>
      </c>
      <c r="AF24" s="793">
        <v>3.0</v>
      </c>
      <c r="AG24" s="751">
        <f t="shared" si="14"/>
        <v>44.22</v>
      </c>
      <c r="AH24" s="891">
        <v>44.22</v>
      </c>
      <c r="AI24" s="924" t="b">
        <f t="shared" si="15"/>
        <v>1</v>
      </c>
      <c r="AK24" s="38"/>
      <c r="AL24" s="38"/>
      <c r="AM24" s="38"/>
      <c r="AN24" s="38"/>
      <c r="AP24" s="588"/>
      <c r="AQ24" s="176"/>
      <c r="AR24" s="177"/>
      <c r="AS24" s="589"/>
      <c r="AT24" s="589"/>
      <c r="AU24" s="590">
        <f t="shared" si="10"/>
        <v>0</v>
      </c>
      <c r="AV24" s="591">
        <f t="shared" si="11"/>
        <v>0</v>
      </c>
      <c r="AW24" s="600"/>
      <c r="AX24" s="591">
        <f t="shared" si="12"/>
        <v>0</v>
      </c>
      <c r="AY24" s="591">
        <f t="shared" si="13"/>
        <v>0</v>
      </c>
      <c r="AZ24" s="274"/>
    </row>
    <row r="25" ht="30.0" customHeight="1">
      <c r="A25" s="758" t="s">
        <v>153</v>
      </c>
      <c r="B25" s="798">
        <v>15.0</v>
      </c>
      <c r="C25" s="757">
        <v>6.12</v>
      </c>
      <c r="D25" s="757">
        <v>3.0</v>
      </c>
      <c r="E25" s="757">
        <v>1.5</v>
      </c>
      <c r="F25" s="757">
        <v>4.5</v>
      </c>
      <c r="G25" s="757">
        <v>4.74</v>
      </c>
      <c r="H25" s="757">
        <v>7.5</v>
      </c>
      <c r="I25" s="822">
        <v>1.5</v>
      </c>
      <c r="J25" s="822">
        <v>6.0</v>
      </c>
      <c r="K25" s="822">
        <v>18.36</v>
      </c>
      <c r="L25" s="822">
        <v>6.12</v>
      </c>
      <c r="M25" s="822">
        <v>3.0</v>
      </c>
      <c r="N25" s="822">
        <v>3.0</v>
      </c>
      <c r="O25" s="822">
        <v>1.5</v>
      </c>
      <c r="P25" s="822">
        <v>1.5</v>
      </c>
      <c r="Q25" s="822">
        <v>3.0</v>
      </c>
      <c r="R25" s="822"/>
      <c r="S25" s="822">
        <v>1.5</v>
      </c>
      <c r="T25" s="822">
        <v>12.12</v>
      </c>
      <c r="U25" s="822"/>
      <c r="V25" s="822"/>
      <c r="W25" s="822"/>
      <c r="X25" s="822">
        <v>1.5</v>
      </c>
      <c r="Y25" s="822">
        <v>1.5</v>
      </c>
      <c r="Z25" s="822">
        <v>3.0</v>
      </c>
      <c r="AA25" s="822"/>
      <c r="AB25" s="822">
        <v>4.5</v>
      </c>
      <c r="AC25" s="822">
        <v>0.24</v>
      </c>
      <c r="AD25" s="822">
        <v>1.5</v>
      </c>
      <c r="AE25" s="822"/>
      <c r="AF25" s="822">
        <v>12.24</v>
      </c>
      <c r="AG25" s="751">
        <f t="shared" si="14"/>
        <v>124.44</v>
      </c>
      <c r="AH25" s="891">
        <v>124.44</v>
      </c>
      <c r="AI25" s="924" t="b">
        <f t="shared" si="15"/>
        <v>1</v>
      </c>
      <c r="AK25" s="38"/>
      <c r="AL25" s="38"/>
      <c r="AM25" s="38"/>
      <c r="AN25" s="38"/>
      <c r="AP25" s="588"/>
      <c r="AQ25" s="176"/>
      <c r="AR25" s="177"/>
      <c r="AS25" s="589"/>
      <c r="AT25" s="589"/>
      <c r="AU25" s="590">
        <f t="shared" si="10"/>
        <v>0</v>
      </c>
      <c r="AV25" s="591">
        <f t="shared" si="11"/>
        <v>0</v>
      </c>
      <c r="AW25" s="600"/>
      <c r="AX25" s="591">
        <f t="shared" si="12"/>
        <v>0</v>
      </c>
      <c r="AY25" s="591">
        <f t="shared" si="13"/>
        <v>0</v>
      </c>
      <c r="AZ25" s="280"/>
    </row>
    <row r="26" ht="30.0" customHeight="1">
      <c r="A26" s="758" t="s">
        <v>157</v>
      </c>
      <c r="B26" s="867"/>
      <c r="C26" s="905"/>
      <c r="D26" s="905"/>
      <c r="E26" s="905"/>
      <c r="F26" s="905"/>
      <c r="G26" s="905"/>
      <c r="H26" s="905"/>
      <c r="I26" s="866"/>
      <c r="J26" s="866"/>
      <c r="K26" s="866"/>
      <c r="L26" s="866"/>
      <c r="M26" s="866"/>
      <c r="N26" s="866"/>
      <c r="O26" s="866"/>
      <c r="P26" s="866"/>
      <c r="Q26" s="866"/>
      <c r="R26" s="866"/>
      <c r="S26" s="866"/>
      <c r="T26" s="866"/>
      <c r="U26" s="837"/>
      <c r="V26" s="837"/>
      <c r="W26" s="837"/>
      <c r="X26" s="837"/>
      <c r="Y26" s="837"/>
      <c r="Z26" s="856">
        <v>3.0</v>
      </c>
      <c r="AA26" s="856">
        <v>4.5</v>
      </c>
      <c r="AB26" s="856">
        <v>1.5</v>
      </c>
      <c r="AC26" s="856">
        <v>1.5</v>
      </c>
      <c r="AD26" s="856">
        <v>1.5</v>
      </c>
      <c r="AE26" s="856"/>
      <c r="AF26" s="856">
        <v>1.5</v>
      </c>
      <c r="AG26" s="751">
        <f t="shared" si="14"/>
        <v>13.5</v>
      </c>
      <c r="AH26" s="891">
        <v>13.5</v>
      </c>
      <c r="AI26" s="924" t="b">
        <f t="shared" si="15"/>
        <v>1</v>
      </c>
      <c r="AK26" s="38"/>
      <c r="AL26" s="38"/>
      <c r="AM26" s="38"/>
      <c r="AN26" s="38"/>
      <c r="AP26" s="588"/>
      <c r="AQ26" s="176"/>
      <c r="AR26" s="177"/>
      <c r="AS26" s="589"/>
      <c r="AT26" s="589"/>
      <c r="AU26" s="590">
        <f t="shared" si="10"/>
        <v>0</v>
      </c>
      <c r="AV26" s="591">
        <f t="shared" si="11"/>
        <v>0</v>
      </c>
      <c r="AW26" s="600"/>
      <c r="AX26" s="591">
        <f t="shared" si="12"/>
        <v>0</v>
      </c>
      <c r="AY26" s="591">
        <f t="shared" si="13"/>
        <v>0</v>
      </c>
      <c r="AZ26" s="387"/>
    </row>
    <row r="27" ht="30.0" customHeight="1">
      <c r="A27" s="758" t="s">
        <v>173</v>
      </c>
      <c r="B27" s="798"/>
      <c r="C27" s="757"/>
      <c r="D27" s="757">
        <v>3.0</v>
      </c>
      <c r="E27" s="757"/>
      <c r="F27" s="757">
        <v>1.5</v>
      </c>
      <c r="G27" s="757">
        <v>1.5</v>
      </c>
      <c r="H27" s="757">
        <v>4.5</v>
      </c>
      <c r="I27" s="821">
        <v>1.5</v>
      </c>
      <c r="J27" s="821">
        <v>1.5</v>
      </c>
      <c r="K27" s="780">
        <v>24.82</v>
      </c>
      <c r="L27" s="780">
        <v>4.5</v>
      </c>
      <c r="M27" s="780">
        <v>4.62</v>
      </c>
      <c r="N27" s="780">
        <v>4.74</v>
      </c>
      <c r="O27" s="780">
        <v>3.0</v>
      </c>
      <c r="P27" s="780">
        <v>10.5</v>
      </c>
      <c r="Q27" s="780">
        <v>0.12</v>
      </c>
      <c r="R27" s="780"/>
      <c r="S27" s="780"/>
      <c r="T27" s="780">
        <v>24.3</v>
      </c>
      <c r="U27" s="749">
        <v>26.0</v>
      </c>
      <c r="V27" s="749">
        <v>22.5</v>
      </c>
      <c r="W27" s="749"/>
      <c r="X27" s="749"/>
      <c r="Y27" s="749">
        <v>1.5</v>
      </c>
      <c r="Z27" s="749">
        <v>1.5</v>
      </c>
      <c r="AA27" s="749">
        <v>12.12</v>
      </c>
      <c r="AB27" s="749">
        <v>39.62</v>
      </c>
      <c r="AC27" s="749">
        <v>79.7</v>
      </c>
      <c r="AD27" s="749">
        <v>31.0</v>
      </c>
      <c r="AE27" s="749">
        <v>37.12</v>
      </c>
      <c r="AF27" s="749">
        <v>0.12</v>
      </c>
      <c r="AG27" s="751">
        <f t="shared" si="14"/>
        <v>341.28</v>
      </c>
      <c r="AH27" s="891">
        <v>341.28</v>
      </c>
      <c r="AI27" s="924" t="b">
        <f t="shared" si="15"/>
        <v>1</v>
      </c>
      <c r="AK27" s="38"/>
      <c r="AL27" s="38"/>
      <c r="AM27" s="38"/>
      <c r="AN27" s="38"/>
      <c r="AS27" s="865"/>
      <c r="AT27" s="220">
        <f>SUM(AT17:AT26)</f>
        <v>2185.8</v>
      </c>
      <c r="AU27" s="38"/>
      <c r="AV27" s="220">
        <f>SUM(AV17:AV26)</f>
        <v>103.8255</v>
      </c>
    </row>
    <row r="28" ht="30.0" customHeight="1">
      <c r="A28" s="758" t="s">
        <v>141</v>
      </c>
      <c r="B28" s="855">
        <v>3.0</v>
      </c>
      <c r="C28" s="908">
        <v>1.5</v>
      </c>
      <c r="D28" s="908"/>
      <c r="E28" s="908">
        <v>1.5</v>
      </c>
      <c r="F28" s="908">
        <v>7.5</v>
      </c>
      <c r="G28" s="908">
        <v>1.5</v>
      </c>
      <c r="H28" s="908">
        <v>3.0</v>
      </c>
      <c r="I28" s="839">
        <v>22.5</v>
      </c>
      <c r="J28" s="839">
        <v>6.12</v>
      </c>
      <c r="K28" s="839">
        <v>4.5</v>
      </c>
      <c r="L28" s="839">
        <v>21.0</v>
      </c>
      <c r="M28" s="839">
        <v>22.5</v>
      </c>
      <c r="N28" s="839">
        <v>3.0</v>
      </c>
      <c r="O28" s="839">
        <v>4.5</v>
      </c>
      <c r="P28" s="839">
        <v>6.0</v>
      </c>
      <c r="Q28" s="839">
        <v>12.0</v>
      </c>
      <c r="R28" s="839">
        <v>4.74</v>
      </c>
      <c r="S28" s="839">
        <v>3.0</v>
      </c>
      <c r="T28" s="839">
        <v>1.5</v>
      </c>
      <c r="U28" s="793"/>
      <c r="V28" s="793">
        <v>1.5</v>
      </c>
      <c r="W28" s="793">
        <v>9.0</v>
      </c>
      <c r="X28" s="793">
        <v>13.5</v>
      </c>
      <c r="Y28" s="793">
        <v>7.5</v>
      </c>
      <c r="Z28" s="793">
        <v>13.5</v>
      </c>
      <c r="AA28" s="793">
        <v>10.62</v>
      </c>
      <c r="AB28" s="793">
        <v>12.0</v>
      </c>
      <c r="AC28" s="793"/>
      <c r="AD28" s="793">
        <v>9.0</v>
      </c>
      <c r="AE28" s="793">
        <v>22.5</v>
      </c>
      <c r="AF28" s="793">
        <v>7.5</v>
      </c>
      <c r="AG28" s="751">
        <f t="shared" si="14"/>
        <v>235.98</v>
      </c>
      <c r="AH28" s="891">
        <v>235.98</v>
      </c>
      <c r="AI28" s="924" t="b">
        <f t="shared" si="15"/>
        <v>1</v>
      </c>
      <c r="AK28" s="38"/>
      <c r="AL28" s="38"/>
      <c r="AM28" s="38"/>
      <c r="AN28" s="38"/>
    </row>
    <row r="29" ht="30.0" customHeight="1">
      <c r="A29" s="758" t="s">
        <v>174</v>
      </c>
      <c r="B29" s="860"/>
      <c r="C29" s="932"/>
      <c r="D29" s="932">
        <v>1.5</v>
      </c>
      <c r="E29" s="932"/>
      <c r="F29" s="932"/>
      <c r="G29" s="932"/>
      <c r="H29" s="932">
        <v>1.5</v>
      </c>
      <c r="I29" s="959"/>
      <c r="J29" s="840"/>
      <c r="K29" s="840"/>
      <c r="L29" s="840"/>
      <c r="M29" s="840"/>
      <c r="N29" s="960"/>
      <c r="O29" s="960"/>
      <c r="P29" s="960"/>
      <c r="Q29" s="961"/>
      <c r="R29" s="961"/>
      <c r="S29" s="961"/>
      <c r="T29" s="961"/>
      <c r="U29" s="961"/>
      <c r="V29" s="961"/>
      <c r="W29" s="961"/>
      <c r="X29" s="961"/>
      <c r="Y29" s="961"/>
      <c r="Z29" s="961"/>
      <c r="AA29" s="961"/>
      <c r="AB29" s="961"/>
      <c r="AC29" s="961"/>
      <c r="AD29" s="961"/>
      <c r="AE29" s="961"/>
      <c r="AF29" s="961"/>
      <c r="AG29" s="751">
        <f t="shared" si="14"/>
        <v>3</v>
      </c>
      <c r="AH29" s="891">
        <v>3.0</v>
      </c>
      <c r="AI29" s="924" t="b">
        <f t="shared" si="15"/>
        <v>1</v>
      </c>
      <c r="AK29" s="38"/>
      <c r="AL29" s="38"/>
      <c r="AM29" s="38"/>
      <c r="AN29" s="38"/>
    </row>
    <row r="30" ht="31.5" customHeight="1">
      <c r="A30" s="758"/>
      <c r="B30" s="867"/>
      <c r="C30" s="905"/>
      <c r="D30" s="905"/>
      <c r="E30" s="905"/>
      <c r="F30" s="905"/>
      <c r="G30" s="905"/>
      <c r="H30" s="905"/>
      <c r="I30" s="962"/>
      <c r="J30" s="837"/>
      <c r="K30" s="866"/>
      <c r="L30" s="866"/>
      <c r="M30" s="866"/>
      <c r="N30" s="866"/>
      <c r="O30" s="866"/>
      <c r="P30" s="866"/>
      <c r="Q30" s="866"/>
      <c r="R30" s="866"/>
      <c r="S30" s="866"/>
      <c r="T30" s="866"/>
      <c r="U30" s="837"/>
      <c r="V30" s="837"/>
      <c r="W30" s="837"/>
      <c r="X30" s="837"/>
      <c r="Y30" s="837"/>
      <c r="Z30" s="837"/>
      <c r="AA30" s="837"/>
      <c r="AB30" s="837"/>
      <c r="AC30" s="837"/>
      <c r="AD30" s="837"/>
      <c r="AE30" s="837"/>
      <c r="AF30" s="837"/>
      <c r="AG30" s="751"/>
      <c r="AH30" s="891"/>
      <c r="AI30" s="924" t="b">
        <f t="shared" si="15"/>
        <v>1</v>
      </c>
      <c r="AK30" s="38"/>
      <c r="AL30" s="38"/>
      <c r="AM30" s="38"/>
      <c r="AN30" s="38"/>
    </row>
    <row r="31" ht="31.5" customHeight="1">
      <c r="A31" s="758"/>
      <c r="B31" s="859"/>
      <c r="C31" s="754"/>
      <c r="D31" s="754"/>
      <c r="E31" s="754"/>
      <c r="F31" s="754"/>
      <c r="G31" s="754"/>
      <c r="H31" s="754"/>
      <c r="I31" s="951"/>
      <c r="J31" s="750"/>
      <c r="K31" s="781"/>
      <c r="L31" s="781"/>
      <c r="M31" s="866"/>
      <c r="N31" s="866"/>
      <c r="O31" s="866"/>
      <c r="P31" s="866"/>
      <c r="Q31" s="866"/>
      <c r="R31" s="866"/>
      <c r="S31" s="866"/>
      <c r="T31" s="866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751"/>
      <c r="AH31" s="891"/>
      <c r="AI31" s="924" t="b">
        <f t="shared" si="15"/>
        <v>1</v>
      </c>
      <c r="AK31" s="38"/>
      <c r="AL31" s="38"/>
      <c r="AM31" s="38"/>
      <c r="AN31" s="38"/>
    </row>
    <row r="32" ht="31.5" customHeight="1">
      <c r="A32" s="758"/>
      <c r="B32" s="867"/>
      <c r="C32" s="905"/>
      <c r="D32" s="905"/>
      <c r="E32" s="905"/>
      <c r="F32" s="905"/>
      <c r="G32" s="905"/>
      <c r="H32" s="905"/>
      <c r="I32" s="962"/>
      <c r="J32" s="837"/>
      <c r="K32" s="866"/>
      <c r="L32" s="866"/>
      <c r="M32" s="866"/>
      <c r="N32" s="866"/>
      <c r="O32" s="866"/>
      <c r="P32" s="866"/>
      <c r="Q32" s="866"/>
      <c r="R32" s="866"/>
      <c r="S32" s="866"/>
      <c r="T32" s="866"/>
      <c r="U32" s="837"/>
      <c r="V32" s="837"/>
      <c r="W32" s="837"/>
      <c r="X32" s="837"/>
      <c r="Y32" s="837"/>
      <c r="Z32" s="837"/>
      <c r="AA32" s="837"/>
      <c r="AB32" s="837"/>
      <c r="AC32" s="837"/>
      <c r="AD32" s="837"/>
      <c r="AE32" s="837"/>
      <c r="AF32" s="837"/>
      <c r="AG32" s="751"/>
      <c r="AH32" s="891"/>
      <c r="AI32" s="924" t="b">
        <f t="shared" si="15"/>
        <v>1</v>
      </c>
      <c r="AK32" s="38"/>
      <c r="AL32" s="38"/>
      <c r="AM32" s="38"/>
      <c r="AN32" s="38"/>
    </row>
    <row r="33" ht="31.5" customHeight="1">
      <c r="A33" s="47" t="s">
        <v>14</v>
      </c>
      <c r="B33" s="914">
        <f t="shared" ref="B33:AF33" si="16">SUM(B22:B32)</f>
        <v>69.06</v>
      </c>
      <c r="C33" s="914">
        <f t="shared" si="16"/>
        <v>68.26</v>
      </c>
      <c r="D33" s="914">
        <f t="shared" si="16"/>
        <v>62.22</v>
      </c>
      <c r="E33" s="914">
        <f t="shared" si="16"/>
        <v>74.1</v>
      </c>
      <c r="F33" s="914">
        <f t="shared" si="16"/>
        <v>86.5</v>
      </c>
      <c r="G33" s="914">
        <f t="shared" si="16"/>
        <v>37.74</v>
      </c>
      <c r="H33" s="914">
        <f t="shared" si="16"/>
        <v>79</v>
      </c>
      <c r="I33" s="914">
        <f t="shared" si="16"/>
        <v>60.42</v>
      </c>
      <c r="J33" s="914">
        <f t="shared" si="16"/>
        <v>47.68</v>
      </c>
      <c r="K33" s="914">
        <f t="shared" si="16"/>
        <v>101.56</v>
      </c>
      <c r="L33" s="914">
        <f t="shared" si="16"/>
        <v>46.62</v>
      </c>
      <c r="M33" s="914">
        <f t="shared" si="16"/>
        <v>64.62</v>
      </c>
      <c r="N33" s="914">
        <f t="shared" si="16"/>
        <v>56.38</v>
      </c>
      <c r="O33" s="914">
        <f t="shared" si="16"/>
        <v>45.98</v>
      </c>
      <c r="P33" s="914">
        <f t="shared" si="16"/>
        <v>49.78</v>
      </c>
      <c r="Q33" s="914">
        <f t="shared" si="16"/>
        <v>36.12</v>
      </c>
      <c r="R33" s="914">
        <f t="shared" si="16"/>
        <v>15.24</v>
      </c>
      <c r="S33" s="914">
        <f t="shared" si="16"/>
        <v>15</v>
      </c>
      <c r="T33" s="914">
        <f t="shared" si="16"/>
        <v>95.92</v>
      </c>
      <c r="U33" s="914">
        <f t="shared" si="16"/>
        <v>48.5</v>
      </c>
      <c r="V33" s="914">
        <f t="shared" si="16"/>
        <v>86.24</v>
      </c>
      <c r="W33" s="914">
        <f t="shared" si="16"/>
        <v>69</v>
      </c>
      <c r="X33" s="914">
        <f t="shared" si="16"/>
        <v>69.34</v>
      </c>
      <c r="Y33" s="914">
        <f t="shared" si="16"/>
        <v>49.5</v>
      </c>
      <c r="Z33" s="914">
        <f t="shared" si="16"/>
        <v>124.5</v>
      </c>
      <c r="AA33" s="914">
        <f t="shared" si="16"/>
        <v>109.74</v>
      </c>
      <c r="AB33" s="914">
        <f t="shared" si="16"/>
        <v>96.92</v>
      </c>
      <c r="AC33" s="914">
        <f t="shared" si="16"/>
        <v>154.56</v>
      </c>
      <c r="AD33" s="914">
        <f t="shared" si="16"/>
        <v>104.82</v>
      </c>
      <c r="AE33" s="914">
        <f t="shared" si="16"/>
        <v>86.62</v>
      </c>
      <c r="AF33" s="914">
        <f t="shared" si="16"/>
        <v>73.86</v>
      </c>
      <c r="AG33" s="915"/>
      <c r="AH33" s="58"/>
      <c r="AI33" s="924"/>
      <c r="AO33" s="226"/>
    </row>
    <row r="34" ht="31.5" customHeight="1">
      <c r="AO34" s="226"/>
    </row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>
      <c r="A45" s="193"/>
      <c r="B45" s="939"/>
      <c r="C45" s="939"/>
      <c r="D45" s="939"/>
      <c r="E45" s="939"/>
      <c r="F45" s="939"/>
      <c r="G45" s="939"/>
      <c r="H45" s="939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833"/>
      <c r="AB45" s="833"/>
      <c r="AC45" s="833"/>
      <c r="AD45" s="833"/>
      <c r="AE45" s="833"/>
      <c r="AF45" s="833"/>
      <c r="AG45" s="940"/>
      <c r="AH45" s="941"/>
      <c r="AI45" s="942"/>
    </row>
    <row r="46" ht="31.5" customHeight="1">
      <c r="A46" s="943"/>
      <c r="B46" s="939"/>
      <c r="C46" s="939"/>
      <c r="D46" s="939"/>
      <c r="E46" s="939"/>
      <c r="F46" s="939"/>
      <c r="G46" s="939"/>
      <c r="H46" s="939"/>
      <c r="I46" s="939"/>
      <c r="J46" s="939"/>
      <c r="K46" s="939"/>
      <c r="L46" s="939"/>
      <c r="M46" s="939"/>
      <c r="N46" s="939"/>
      <c r="O46" s="939"/>
      <c r="P46" s="939"/>
      <c r="Q46" s="939"/>
      <c r="R46" s="939"/>
      <c r="S46" s="939"/>
      <c r="T46" s="939"/>
      <c r="U46" s="833"/>
      <c r="V46" s="833"/>
      <c r="W46" s="833"/>
      <c r="X46" s="833"/>
      <c r="Y46" s="833"/>
      <c r="Z46" s="833"/>
      <c r="AA46" s="833"/>
      <c r="AB46" s="833"/>
      <c r="AC46" s="833"/>
      <c r="AD46" s="833"/>
      <c r="AE46" s="833"/>
      <c r="AF46" s="833"/>
      <c r="AG46" s="940"/>
      <c r="AH46" s="941"/>
      <c r="AI46" s="942"/>
    </row>
    <row r="47" ht="31.5" customHeight="1">
      <c r="A47" s="193"/>
      <c r="B47" s="939"/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  <c r="O47" s="939"/>
      <c r="P47" s="939"/>
      <c r="Q47" s="939"/>
      <c r="R47" s="939"/>
      <c r="S47" s="939"/>
      <c r="T47" s="939"/>
      <c r="U47" s="833"/>
      <c r="V47" s="833"/>
      <c r="W47" s="833"/>
      <c r="X47" s="833"/>
      <c r="Y47" s="833"/>
      <c r="Z47" s="833"/>
      <c r="AA47" s="833"/>
      <c r="AB47" s="833"/>
      <c r="AC47" s="833"/>
      <c r="AD47" s="833"/>
      <c r="AE47" s="833"/>
      <c r="AF47" s="833"/>
      <c r="AG47" s="940"/>
      <c r="AH47" s="941"/>
      <c r="AI47" s="942"/>
    </row>
    <row r="48" ht="31.5" customHeight="1">
      <c r="A48" s="193"/>
      <c r="B48" s="939"/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  <c r="O48" s="939"/>
      <c r="P48" s="939"/>
      <c r="Q48" s="939"/>
      <c r="R48" s="939"/>
      <c r="S48" s="939"/>
      <c r="T48" s="939"/>
      <c r="U48" s="833"/>
      <c r="V48" s="833"/>
      <c r="W48" s="833"/>
      <c r="X48" s="833"/>
      <c r="Y48" s="833"/>
      <c r="Z48" s="833"/>
      <c r="AA48" s="833"/>
      <c r="AB48" s="833"/>
      <c r="AC48" s="833"/>
      <c r="AD48" s="833"/>
      <c r="AE48" s="833"/>
      <c r="AF48" s="833"/>
      <c r="AG48" s="940"/>
      <c r="AH48" s="941"/>
      <c r="AI48" s="942"/>
    </row>
    <row r="49" ht="31.5" customHeight="1">
      <c r="A49" s="193"/>
      <c r="B49" s="939"/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  <c r="O49" s="939"/>
      <c r="P49" s="939"/>
      <c r="Q49" s="939"/>
      <c r="R49" s="939"/>
      <c r="S49" s="939"/>
      <c r="T49" s="939"/>
      <c r="U49" s="833"/>
      <c r="V49" s="833"/>
      <c r="W49" s="833"/>
      <c r="X49" s="833"/>
      <c r="Y49" s="833"/>
      <c r="Z49" s="833"/>
      <c r="AA49" s="833"/>
      <c r="AB49" s="833"/>
      <c r="AC49" s="833"/>
      <c r="AD49" s="833"/>
      <c r="AE49" s="833"/>
      <c r="AF49" s="833"/>
      <c r="AG49" s="940"/>
      <c r="AH49" s="941"/>
      <c r="AI49" s="942"/>
    </row>
    <row r="50" ht="31.5" customHeight="1">
      <c r="A50" s="193"/>
      <c r="B50" s="939"/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  <c r="O50" s="939"/>
      <c r="P50" s="939"/>
      <c r="Q50" s="939"/>
      <c r="R50" s="939"/>
      <c r="S50" s="939"/>
      <c r="T50" s="939"/>
      <c r="U50" s="833"/>
      <c r="V50" s="833"/>
      <c r="W50" s="833"/>
      <c r="X50" s="833"/>
      <c r="Y50" s="833"/>
      <c r="Z50" s="833"/>
      <c r="AA50" s="833"/>
      <c r="AB50" s="833"/>
      <c r="AC50" s="833"/>
      <c r="AD50" s="833"/>
      <c r="AE50" s="833"/>
      <c r="AF50" s="833"/>
      <c r="AG50" s="940"/>
      <c r="AH50" s="941"/>
      <c r="AI50" s="942"/>
    </row>
    <row r="51" ht="31.5" customHeight="1">
      <c r="A51" s="193"/>
      <c r="B51" s="939"/>
      <c r="C51" s="939"/>
      <c r="D51" s="939"/>
      <c r="E51" s="939"/>
      <c r="F51" s="939"/>
      <c r="G51" s="939"/>
      <c r="H51" s="939"/>
      <c r="I51" s="944"/>
      <c r="J51" s="939"/>
      <c r="K51" s="939"/>
      <c r="L51" s="939"/>
      <c r="M51" s="939"/>
      <c r="N51" s="939"/>
      <c r="O51" s="939"/>
      <c r="P51" s="939"/>
      <c r="Q51" s="939"/>
      <c r="R51" s="939"/>
      <c r="S51" s="939"/>
      <c r="T51" s="939"/>
      <c r="U51" s="833"/>
      <c r="V51" s="833"/>
      <c r="W51" s="833"/>
      <c r="X51" s="833"/>
      <c r="Y51" s="833"/>
      <c r="Z51" s="833"/>
      <c r="AA51" s="833"/>
      <c r="AB51" s="833"/>
      <c r="AC51" s="833"/>
      <c r="AD51" s="833"/>
      <c r="AE51" s="833"/>
      <c r="AF51" s="833"/>
      <c r="AG51" s="940"/>
      <c r="AH51" s="941"/>
      <c r="AI51" s="942"/>
    </row>
    <row r="52" ht="31.5" customHeight="1">
      <c r="A52" s="193"/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39"/>
      <c r="U52" s="833"/>
      <c r="V52" s="833"/>
      <c r="W52" s="833"/>
      <c r="X52" s="833"/>
      <c r="Y52" s="833"/>
      <c r="Z52" s="833"/>
      <c r="AA52" s="833"/>
      <c r="AB52" s="833"/>
      <c r="AC52" s="833"/>
      <c r="AD52" s="833"/>
      <c r="AE52" s="833"/>
      <c r="AF52" s="833"/>
      <c r="AG52" s="940"/>
      <c r="AH52" s="941"/>
      <c r="AI52" s="942"/>
    </row>
    <row r="53" ht="31.5" customHeight="1">
      <c r="A53" s="193"/>
      <c r="B53" s="939"/>
      <c r="C53" s="939"/>
      <c r="D53" s="939"/>
      <c r="E53" s="939"/>
      <c r="F53" s="939"/>
      <c r="G53" s="939"/>
      <c r="H53" s="939"/>
      <c r="I53" s="939"/>
      <c r="J53" s="939"/>
      <c r="K53" s="939"/>
      <c r="L53" s="939"/>
      <c r="M53" s="939"/>
      <c r="N53" s="939"/>
      <c r="O53" s="939"/>
      <c r="P53" s="939"/>
      <c r="Q53" s="939"/>
      <c r="R53" s="939"/>
      <c r="S53" s="939"/>
      <c r="T53" s="939"/>
      <c r="U53" s="833"/>
      <c r="V53" s="833"/>
      <c r="W53" s="833"/>
      <c r="X53" s="833"/>
      <c r="Y53" s="833"/>
      <c r="Z53" s="833"/>
      <c r="AA53" s="833"/>
      <c r="AB53" s="833"/>
      <c r="AC53" s="833"/>
      <c r="AD53" s="833"/>
      <c r="AE53" s="833"/>
      <c r="AF53" s="833"/>
      <c r="AG53" s="940"/>
      <c r="AH53" s="941"/>
      <c r="AI53" s="942"/>
    </row>
    <row r="54" ht="31.5" customHeight="1">
      <c r="A54" s="193"/>
      <c r="B54" s="939"/>
      <c r="C54" s="939"/>
      <c r="D54" s="939"/>
      <c r="E54" s="939"/>
      <c r="F54" s="939"/>
      <c r="G54" s="939"/>
      <c r="H54" s="939"/>
      <c r="I54" s="945"/>
      <c r="J54" s="833"/>
      <c r="K54" s="939"/>
      <c r="L54" s="939"/>
      <c r="M54" s="939"/>
      <c r="N54" s="939"/>
      <c r="O54" s="939"/>
      <c r="P54" s="939"/>
      <c r="Q54" s="939"/>
      <c r="R54" s="939"/>
      <c r="S54" s="939"/>
      <c r="T54" s="939"/>
      <c r="U54" s="833"/>
      <c r="V54" s="833"/>
      <c r="W54" s="833"/>
      <c r="X54" s="833"/>
      <c r="Y54" s="833"/>
      <c r="Z54" s="833"/>
      <c r="AA54" s="833"/>
      <c r="AB54" s="833"/>
      <c r="AC54" s="833"/>
      <c r="AD54" s="833"/>
      <c r="AE54" s="833"/>
      <c r="AF54" s="833"/>
      <c r="AG54" s="940"/>
      <c r="AH54" s="941"/>
      <c r="AI54" s="942"/>
    </row>
    <row r="55" ht="31.5" customHeight="1">
      <c r="A55" s="193"/>
      <c r="B55" s="939"/>
      <c r="C55" s="939"/>
      <c r="D55" s="939"/>
      <c r="E55" s="939"/>
      <c r="F55" s="939"/>
      <c r="G55" s="939"/>
      <c r="H55" s="939"/>
      <c r="I55" s="939"/>
      <c r="J55" s="939"/>
      <c r="K55" s="939"/>
      <c r="L55" s="939"/>
      <c r="M55" s="939"/>
      <c r="N55" s="939"/>
      <c r="O55" s="939"/>
      <c r="P55" s="939"/>
      <c r="Q55" s="939"/>
      <c r="R55" s="939"/>
      <c r="S55" s="939"/>
      <c r="T55" s="939"/>
      <c r="U55" s="833"/>
      <c r="V55" s="833"/>
      <c r="W55" s="833"/>
      <c r="X55" s="833"/>
      <c r="Y55" s="833"/>
      <c r="Z55" s="833"/>
      <c r="AA55" s="833"/>
      <c r="AB55" s="833"/>
      <c r="AC55" s="833"/>
      <c r="AD55" s="833"/>
      <c r="AE55" s="833"/>
      <c r="AF55" s="833"/>
      <c r="AG55" s="940"/>
      <c r="AH55" s="941"/>
      <c r="AI55" s="942"/>
    </row>
    <row r="56" ht="31.5" customHeight="1">
      <c r="A56" s="193"/>
      <c r="B56" s="939"/>
      <c r="C56" s="939"/>
      <c r="D56" s="939"/>
      <c r="E56" s="939"/>
      <c r="F56" s="939"/>
      <c r="G56" s="939"/>
      <c r="H56" s="939"/>
      <c r="I56" s="939"/>
      <c r="J56" s="939"/>
      <c r="K56" s="939"/>
      <c r="L56" s="939"/>
      <c r="M56" s="939"/>
      <c r="N56" s="939"/>
      <c r="O56" s="939"/>
      <c r="P56" s="939"/>
      <c r="Q56" s="939"/>
      <c r="R56" s="939"/>
      <c r="S56" s="939"/>
      <c r="T56" s="939"/>
      <c r="U56" s="833"/>
      <c r="V56" s="833"/>
      <c r="W56" s="833"/>
      <c r="X56" s="833"/>
      <c r="Y56" s="833"/>
      <c r="Z56" s="833"/>
      <c r="AA56" s="833"/>
      <c r="AB56" s="833"/>
      <c r="AC56" s="833"/>
      <c r="AD56" s="833"/>
      <c r="AE56" s="833"/>
      <c r="AF56" s="833"/>
      <c r="AG56" s="940"/>
      <c r="AH56" s="941"/>
      <c r="AI56" s="942"/>
    </row>
    <row r="57" ht="31.5" customHeight="1">
      <c r="A57" s="193"/>
      <c r="B57" s="939"/>
      <c r="C57" s="939"/>
      <c r="D57" s="939"/>
      <c r="E57" s="939"/>
      <c r="F57" s="939"/>
      <c r="G57" s="939"/>
      <c r="H57" s="939"/>
      <c r="I57" s="939"/>
      <c r="J57" s="939"/>
      <c r="K57" s="939"/>
      <c r="L57" s="939"/>
      <c r="M57" s="939"/>
      <c r="N57" s="939"/>
      <c r="O57" s="939"/>
      <c r="P57" s="939"/>
      <c r="Q57" s="939"/>
      <c r="R57" s="939"/>
      <c r="S57" s="939"/>
      <c r="T57" s="939"/>
      <c r="U57" s="833"/>
      <c r="V57" s="833"/>
      <c r="W57" s="833"/>
      <c r="X57" s="833"/>
      <c r="Y57" s="833"/>
      <c r="Z57" s="833"/>
      <c r="AA57" s="833"/>
      <c r="AB57" s="833"/>
      <c r="AC57" s="833"/>
      <c r="AD57" s="833"/>
      <c r="AE57" s="833"/>
      <c r="AF57" s="833"/>
      <c r="AG57" s="940"/>
      <c r="AH57" s="941"/>
      <c r="AI57" s="942"/>
    </row>
    <row r="58" ht="31.5" customHeight="1">
      <c r="AI58" s="3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H2:AI2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7:AR17"/>
    <mergeCell ref="AP18:AR18"/>
    <mergeCell ref="AP25:AR25"/>
    <mergeCell ref="AP26:AR26"/>
    <mergeCell ref="AP19:AR19"/>
    <mergeCell ref="AP20:AR20"/>
    <mergeCell ref="AH21:AI21"/>
    <mergeCell ref="AP21:AR21"/>
    <mergeCell ref="AP22:AR22"/>
    <mergeCell ref="AP23:AR23"/>
    <mergeCell ref="AP24:AR24"/>
  </mergeCells>
  <conditionalFormatting sqref="AK29:AN32 AO30:AO32 BA25:BA27 BB29:BN32">
    <cfRule type="notContainsBlanks" dxfId="0" priority="1">
      <formula>LEN(TRIM(AK29))&gt;0</formula>
    </cfRule>
  </conditionalFormatting>
  <conditionalFormatting sqref="AI3:AI18 AI20 AI22:AI33 AI35:AI57">
    <cfRule type="cellIs" dxfId="1" priority="2" operator="equal">
      <formula>"TRUE"</formula>
    </cfRule>
  </conditionalFormatting>
  <conditionalFormatting sqref="AI3:AI18 AI20 AI22:AI33 AI35:AI57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1.86"/>
    <col customWidth="1" min="34" max="34" width="0.14"/>
    <col customWidth="1" min="35" max="35" width="13.43"/>
  </cols>
  <sheetData>
    <row r="1" ht="36.75" customHeight="1">
      <c r="A1" s="1" t="s">
        <v>15</v>
      </c>
      <c r="B1" s="52"/>
      <c r="C1" s="53"/>
      <c r="D1" s="54"/>
      <c r="E1" s="55"/>
      <c r="F1" s="55"/>
      <c r="G1" s="55"/>
      <c r="H1" s="55"/>
      <c r="I1" s="55"/>
      <c r="J1" s="55"/>
      <c r="K1" s="55"/>
      <c r="L1" s="55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1</v>
      </c>
      <c r="AH1" s="56"/>
      <c r="AI1" s="58"/>
      <c r="AJ1" s="38"/>
      <c r="AK1" s="38"/>
      <c r="AL1" s="38"/>
      <c r="AM1" s="38"/>
      <c r="AN1" s="38"/>
      <c r="AO1" s="38"/>
      <c r="AP1" s="38"/>
      <c r="AQ1" s="38"/>
      <c r="AR1" s="38"/>
    </row>
    <row r="2" ht="24.0" customHeight="1">
      <c r="A2" s="59" t="s">
        <v>2</v>
      </c>
      <c r="B2" s="60">
        <v>1.0</v>
      </c>
      <c r="C2" s="60">
        <v>2.0</v>
      </c>
      <c r="D2" s="61">
        <v>3.0</v>
      </c>
      <c r="E2" s="60">
        <v>4.0</v>
      </c>
      <c r="F2" s="60">
        <v>5.0</v>
      </c>
      <c r="G2" s="60">
        <v>6.0</v>
      </c>
      <c r="H2" s="60">
        <v>7.0</v>
      </c>
      <c r="I2" s="60">
        <v>8.0</v>
      </c>
      <c r="J2" s="60">
        <v>9.0</v>
      </c>
      <c r="K2" s="60">
        <v>10.0</v>
      </c>
      <c r="L2" s="60">
        <v>11.0</v>
      </c>
      <c r="M2" s="60">
        <v>12.0</v>
      </c>
      <c r="N2" s="62">
        <v>13.0</v>
      </c>
      <c r="O2" s="62">
        <v>14.0</v>
      </c>
      <c r="P2" s="62">
        <v>15.0</v>
      </c>
      <c r="Q2" s="62">
        <v>16.0</v>
      </c>
      <c r="R2" s="62">
        <v>17.0</v>
      </c>
      <c r="S2" s="62">
        <v>18.0</v>
      </c>
      <c r="T2" s="62">
        <v>19.0</v>
      </c>
      <c r="U2" s="62">
        <v>20.0</v>
      </c>
      <c r="V2" s="62">
        <v>21.0</v>
      </c>
      <c r="W2" s="62">
        <v>22.0</v>
      </c>
      <c r="X2" s="62">
        <v>23.0</v>
      </c>
      <c r="Y2" s="62">
        <v>24.0</v>
      </c>
      <c r="Z2" s="62">
        <v>25.0</v>
      </c>
      <c r="AA2" s="62">
        <v>26.0</v>
      </c>
      <c r="AB2" s="62">
        <v>27.0</v>
      </c>
      <c r="AC2" s="62">
        <v>28.0</v>
      </c>
      <c r="AD2" s="62">
        <v>29.0</v>
      </c>
      <c r="AE2" s="62">
        <v>30.0</v>
      </c>
      <c r="AF2" s="63">
        <v>31.0</v>
      </c>
      <c r="AG2" s="64">
        <f>SUM(AG3:AG18)</f>
        <v>6449.6</v>
      </c>
      <c r="AH2" s="65"/>
      <c r="AI2" s="58"/>
      <c r="AJ2" s="38"/>
      <c r="AK2" s="38"/>
      <c r="AL2" s="38"/>
      <c r="AM2" s="38"/>
      <c r="AN2" s="38"/>
      <c r="AO2" s="38"/>
      <c r="AP2" s="66"/>
      <c r="AQ2" s="66"/>
      <c r="AR2" s="66"/>
    </row>
    <row r="3" ht="32.25" customHeight="1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9"/>
      <c r="AG3" s="70">
        <f t="shared" ref="AG3:AG18" si="1">SUM(B3:AF3)</f>
        <v>0</v>
      </c>
      <c r="AH3" s="71"/>
      <c r="AI3" s="58"/>
      <c r="AJ3" s="38"/>
      <c r="AK3" s="38"/>
      <c r="AL3" s="38"/>
      <c r="AM3" s="38"/>
      <c r="AN3" s="38"/>
      <c r="AO3" s="72"/>
      <c r="AP3" s="73">
        <v>1.0</v>
      </c>
      <c r="AQ3" s="74" t="s">
        <v>16</v>
      </c>
      <c r="AR3" s="75">
        <v>0.05</v>
      </c>
    </row>
    <row r="4" ht="33.0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70">
        <f t="shared" si="1"/>
        <v>0</v>
      </c>
      <c r="AH4" s="76"/>
      <c r="AI4" s="58"/>
      <c r="AJ4" s="38"/>
      <c r="AK4" s="38"/>
      <c r="AL4" s="38"/>
      <c r="AM4" s="38"/>
      <c r="AN4" s="38"/>
      <c r="AO4" s="72"/>
      <c r="AP4" s="77" t="s">
        <v>17</v>
      </c>
      <c r="AQ4" s="77" t="s">
        <v>17</v>
      </c>
      <c r="AR4" s="77" t="s">
        <v>17</v>
      </c>
    </row>
    <row r="5" ht="36.75" customHeight="1">
      <c r="A5" s="78"/>
      <c r="B5" s="68"/>
      <c r="C5" s="68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70">
        <f t="shared" si="1"/>
        <v>0</v>
      </c>
      <c r="AH5" s="65"/>
      <c r="AI5" s="58"/>
      <c r="AJ5" s="38"/>
      <c r="AK5" s="38"/>
      <c r="AL5" s="38"/>
      <c r="AM5" s="79" t="s">
        <v>18</v>
      </c>
      <c r="AP5" s="80">
        <f>SUM('02.23 '!C16:H16,'02.23 '!B17:AF17,'02.23 '!B18)</f>
        <v>988.48</v>
      </c>
      <c r="AQ5" s="80">
        <f t="shared" ref="AQ5:AQ11" si="2">(AP5*(1-0.05))*(1-0.6)</f>
        <v>375.6224</v>
      </c>
      <c r="AR5" s="80">
        <f t="shared" ref="AR5:AR11" si="3">(AP5*(1-0.05))*(1-0.95)</f>
        <v>46.9528</v>
      </c>
    </row>
    <row r="6" ht="31.5" customHeight="1">
      <c r="A6" s="81" t="s">
        <v>5</v>
      </c>
      <c r="B6" s="82">
        <v>21.12</v>
      </c>
      <c r="C6" s="83">
        <v>24.24</v>
      </c>
      <c r="D6" s="84">
        <v>16.5</v>
      </c>
      <c r="E6" s="85">
        <v>31.5</v>
      </c>
      <c r="F6" s="85">
        <v>13.8</v>
      </c>
      <c r="G6" s="85">
        <v>25.86</v>
      </c>
      <c r="H6" s="85">
        <v>15.0</v>
      </c>
      <c r="I6" s="85">
        <v>33.0</v>
      </c>
      <c r="J6" s="85">
        <v>18.0</v>
      </c>
      <c r="K6" s="85">
        <v>28.5</v>
      </c>
      <c r="L6" s="85">
        <v>15.24</v>
      </c>
      <c r="M6" s="85">
        <v>21.12</v>
      </c>
      <c r="N6" s="84">
        <v>10.74</v>
      </c>
      <c r="O6" s="84">
        <v>19.62</v>
      </c>
      <c r="P6" s="85">
        <v>30.0</v>
      </c>
      <c r="Q6" s="85">
        <v>34.74</v>
      </c>
      <c r="R6" s="85">
        <v>24.12</v>
      </c>
      <c r="S6" s="85">
        <v>9.12</v>
      </c>
      <c r="T6" s="85">
        <v>15.12</v>
      </c>
      <c r="U6" s="85">
        <v>13.62</v>
      </c>
      <c r="V6" s="85">
        <v>34.5</v>
      </c>
      <c r="W6" s="85">
        <v>12.12</v>
      </c>
      <c r="X6" s="85">
        <v>9.0</v>
      </c>
      <c r="Y6" s="85">
        <v>3.0</v>
      </c>
      <c r="Z6" s="85">
        <v>6.0</v>
      </c>
      <c r="AA6" s="85">
        <v>9.12</v>
      </c>
      <c r="AB6" s="85">
        <v>3.0</v>
      </c>
      <c r="AC6" s="85">
        <v>4.5</v>
      </c>
      <c r="AD6" s="69"/>
      <c r="AE6" s="69"/>
      <c r="AF6" s="69"/>
      <c r="AG6" s="70">
        <f t="shared" si="1"/>
        <v>502.2</v>
      </c>
      <c r="AH6" s="65"/>
      <c r="AI6" s="58"/>
      <c r="AJ6" s="38"/>
      <c r="AK6" s="38"/>
      <c r="AL6" s="38"/>
      <c r="AM6" s="86" t="s">
        <v>19</v>
      </c>
      <c r="AP6" s="87">
        <f>SUM('02.23 '!B14:C14,'02.23 '!B15:F15,'02.23 '!C12:F12)</f>
        <v>65.66</v>
      </c>
      <c r="AQ6" s="87">
        <f t="shared" si="2"/>
        <v>24.9508</v>
      </c>
      <c r="AR6" s="87">
        <f t="shared" si="3"/>
        <v>3.11885</v>
      </c>
    </row>
    <row r="7" ht="23.25" customHeight="1">
      <c r="A7" s="88" t="s">
        <v>6</v>
      </c>
      <c r="B7" s="89">
        <v>93.24</v>
      </c>
      <c r="C7" s="89">
        <v>73.74</v>
      </c>
      <c r="D7" s="90">
        <v>103.86</v>
      </c>
      <c r="E7" s="91">
        <v>105.36</v>
      </c>
      <c r="F7" s="91">
        <v>121.74</v>
      </c>
      <c r="G7" s="91">
        <v>117.6</v>
      </c>
      <c r="H7" s="91">
        <v>123.24</v>
      </c>
      <c r="I7" s="91">
        <v>114.12</v>
      </c>
      <c r="J7" s="91">
        <v>157.62</v>
      </c>
      <c r="K7" s="91">
        <v>142.24</v>
      </c>
      <c r="L7" s="91">
        <v>119.36</v>
      </c>
      <c r="M7" s="89">
        <v>108.0</v>
      </c>
      <c r="N7" s="92">
        <v>79.62</v>
      </c>
      <c r="O7" s="92">
        <v>81.0</v>
      </c>
      <c r="P7" s="92">
        <v>88.5</v>
      </c>
      <c r="Q7" s="92">
        <v>69.0</v>
      </c>
      <c r="R7" s="92">
        <v>114.12</v>
      </c>
      <c r="S7" s="92">
        <v>96.12</v>
      </c>
      <c r="T7" s="92">
        <v>78.0</v>
      </c>
      <c r="U7" s="92">
        <v>118.62</v>
      </c>
      <c r="V7" s="92">
        <v>101.5</v>
      </c>
      <c r="W7" s="92">
        <v>57.12</v>
      </c>
      <c r="X7" s="92">
        <v>84.24</v>
      </c>
      <c r="Y7" s="92">
        <v>76.86</v>
      </c>
      <c r="Z7" s="92">
        <v>48.48</v>
      </c>
      <c r="AA7" s="92">
        <v>87.0</v>
      </c>
      <c r="AB7" s="92">
        <v>106.5</v>
      </c>
      <c r="AC7" s="92">
        <v>48.36</v>
      </c>
      <c r="AD7" s="93"/>
      <c r="AE7" s="93"/>
      <c r="AF7" s="93"/>
      <c r="AG7" s="70">
        <f t="shared" si="1"/>
        <v>2715.16</v>
      </c>
      <c r="AH7" s="69"/>
      <c r="AI7" s="58"/>
      <c r="AJ7" s="38"/>
      <c r="AK7" s="38"/>
      <c r="AL7" s="38"/>
      <c r="AM7" s="94" t="s">
        <v>20</v>
      </c>
      <c r="AP7" s="95">
        <f>SUM('02.23 '!I12:AF12)</f>
        <v>1175.55</v>
      </c>
      <c r="AQ7" s="95">
        <f t="shared" si="2"/>
        <v>446.709</v>
      </c>
      <c r="AR7" s="95">
        <f t="shared" si="3"/>
        <v>55.838625</v>
      </c>
    </row>
    <row r="8" ht="28.5" customHeight="1">
      <c r="A8" s="78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70">
        <f t="shared" si="1"/>
        <v>0</v>
      </c>
      <c r="AH8" s="69"/>
      <c r="AI8" s="58"/>
      <c r="AJ8" s="38"/>
      <c r="AK8" s="38"/>
      <c r="AL8" s="38"/>
      <c r="AM8" s="96" t="s">
        <v>21</v>
      </c>
      <c r="AP8" s="97">
        <f>SUM('02.23 '!L14:O14,'02.23 '!K16:L16)</f>
        <v>26.25</v>
      </c>
      <c r="AQ8" s="97">
        <f t="shared" si="2"/>
        <v>9.975</v>
      </c>
      <c r="AR8" s="97">
        <f t="shared" si="3"/>
        <v>1.246875</v>
      </c>
    </row>
    <row r="9" ht="26.25" customHeight="1">
      <c r="A9" s="81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93"/>
      <c r="R9" s="69"/>
      <c r="S9" s="69"/>
      <c r="T9" s="69"/>
      <c r="U9" s="69"/>
      <c r="V9" s="69"/>
      <c r="W9" s="69"/>
      <c r="X9" s="93"/>
      <c r="Y9" s="69"/>
      <c r="Z9" s="93"/>
      <c r="AA9" s="69"/>
      <c r="AB9" s="93"/>
      <c r="AC9" s="69"/>
      <c r="AD9" s="93"/>
      <c r="AE9" s="69"/>
      <c r="AF9" s="69"/>
      <c r="AG9" s="70">
        <f t="shared" si="1"/>
        <v>0</v>
      </c>
      <c r="AH9" s="69"/>
      <c r="AI9" s="58"/>
      <c r="AJ9" s="38"/>
      <c r="AK9" s="38"/>
      <c r="AL9" s="38"/>
      <c r="AM9" s="98" t="s">
        <v>22</v>
      </c>
      <c r="AP9" s="99">
        <f>SUM('02.23 '!AB11:AF11,'02.23 '!AA13:AB13,'02.23 '!S11:T11,'02.23 '!T16:AA16,'02.23 '!L18:AA18)</f>
        <v>447.12</v>
      </c>
      <c r="AQ9" s="99">
        <f t="shared" si="2"/>
        <v>169.9056</v>
      </c>
      <c r="AR9" s="99">
        <f t="shared" si="3"/>
        <v>21.2382</v>
      </c>
    </row>
    <row r="10" ht="21.0" customHeight="1">
      <c r="A10" s="81" t="s">
        <v>12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70">
        <f t="shared" si="1"/>
        <v>0</v>
      </c>
      <c r="AH10" s="69"/>
      <c r="AI10" s="58"/>
      <c r="AJ10" s="38"/>
      <c r="AK10" s="38"/>
      <c r="AL10" s="38"/>
      <c r="AM10" s="100" t="s">
        <v>23</v>
      </c>
      <c r="AP10" s="101">
        <f>SUM('02.23 '!S15:AF15,'02.23 '!U11:AA11,'02.23 '!B11:R11,'02.23 '!B12,'02.23 '!G12,'02.23 '!H12,'02.23 '!C18:K18)</f>
        <v>497.35</v>
      </c>
      <c r="AQ10" s="101">
        <f t="shared" si="2"/>
        <v>188.993</v>
      </c>
      <c r="AR10" s="101">
        <f t="shared" si="3"/>
        <v>23.624125</v>
      </c>
    </row>
    <row r="11" ht="27.0" customHeight="1">
      <c r="A11" s="102" t="s">
        <v>3</v>
      </c>
      <c r="B11" s="103">
        <v>3.0</v>
      </c>
      <c r="C11" s="103">
        <v>23.24</v>
      </c>
      <c r="D11" s="103">
        <v>8.7</v>
      </c>
      <c r="E11" s="103">
        <v>4.95</v>
      </c>
      <c r="F11" s="104"/>
      <c r="G11" s="103">
        <v>11.55</v>
      </c>
      <c r="H11" s="103">
        <v>4.2</v>
      </c>
      <c r="I11" s="103">
        <v>18.45</v>
      </c>
      <c r="J11" s="103">
        <v>10.2</v>
      </c>
      <c r="K11" s="103">
        <v>20.85</v>
      </c>
      <c r="L11" s="103">
        <v>11.43</v>
      </c>
      <c r="M11" s="103">
        <v>2.55</v>
      </c>
      <c r="N11" s="103">
        <v>17.25</v>
      </c>
      <c r="O11" s="104"/>
      <c r="P11" s="103">
        <v>19.26</v>
      </c>
      <c r="Q11" s="103">
        <v>16.8</v>
      </c>
      <c r="R11" s="103">
        <v>1.5</v>
      </c>
      <c r="S11" s="105">
        <v>8.7</v>
      </c>
      <c r="T11" s="105">
        <v>18.0</v>
      </c>
      <c r="U11" s="103">
        <v>10.65</v>
      </c>
      <c r="V11" s="103">
        <v>20.25</v>
      </c>
      <c r="W11" s="103">
        <v>46.35</v>
      </c>
      <c r="X11" s="103">
        <v>24.75</v>
      </c>
      <c r="Y11" s="103">
        <v>4.62</v>
      </c>
      <c r="Z11" s="104"/>
      <c r="AA11" s="103">
        <v>10.8</v>
      </c>
      <c r="AB11" s="105">
        <v>6.6</v>
      </c>
      <c r="AC11" s="106">
        <v>9.0</v>
      </c>
      <c r="AD11" s="107"/>
      <c r="AE11" s="108"/>
      <c r="AF11" s="109"/>
      <c r="AG11" s="70">
        <f t="shared" si="1"/>
        <v>333.65</v>
      </c>
      <c r="AH11" s="69"/>
      <c r="AI11" s="58"/>
      <c r="AJ11" s="38"/>
      <c r="AK11" s="38"/>
      <c r="AL11" s="38"/>
      <c r="AM11" s="110" t="s">
        <v>24</v>
      </c>
      <c r="AP11" s="111">
        <f>SUM('02.23 '!AB18:AF18)</f>
        <v>31.83</v>
      </c>
      <c r="AQ11" s="112">
        <f t="shared" si="2"/>
        <v>12.0954</v>
      </c>
      <c r="AR11" s="111">
        <f t="shared" si="3"/>
        <v>1.511925</v>
      </c>
    </row>
    <row r="12" ht="27.0" customHeight="1">
      <c r="A12" s="113" t="s">
        <v>4</v>
      </c>
      <c r="B12" s="114">
        <v>15.0</v>
      </c>
      <c r="C12" s="115">
        <v>12.12</v>
      </c>
      <c r="D12" s="115">
        <v>24.6</v>
      </c>
      <c r="E12" s="115">
        <v>19.94</v>
      </c>
      <c r="F12" s="115">
        <v>6.0</v>
      </c>
      <c r="G12" s="114">
        <v>23.16</v>
      </c>
      <c r="H12" s="114">
        <v>24.36</v>
      </c>
      <c r="I12" s="116">
        <v>25.09</v>
      </c>
      <c r="J12" s="116">
        <v>42.43</v>
      </c>
      <c r="K12" s="116">
        <v>83.1</v>
      </c>
      <c r="L12" s="116">
        <v>119.36</v>
      </c>
      <c r="M12" s="117">
        <v>54.0</v>
      </c>
      <c r="N12" s="117">
        <v>56.68</v>
      </c>
      <c r="O12" s="118">
        <v>61.14</v>
      </c>
      <c r="P12" s="118">
        <v>40.8</v>
      </c>
      <c r="Q12" s="119">
        <v>48.3</v>
      </c>
      <c r="R12" s="119">
        <v>35.86</v>
      </c>
      <c r="S12" s="116">
        <v>87.24</v>
      </c>
      <c r="T12" s="116">
        <v>99.16</v>
      </c>
      <c r="U12" s="116">
        <v>63.06</v>
      </c>
      <c r="V12" s="116">
        <v>55.03</v>
      </c>
      <c r="W12" s="120"/>
      <c r="X12" s="116">
        <v>51.94</v>
      </c>
      <c r="Y12" s="116">
        <v>39.58</v>
      </c>
      <c r="Z12" s="116">
        <v>99.44</v>
      </c>
      <c r="AA12" s="116">
        <v>14.84</v>
      </c>
      <c r="AB12" s="116">
        <v>48.44</v>
      </c>
      <c r="AC12" s="121">
        <v>50.06</v>
      </c>
      <c r="AD12" s="122"/>
      <c r="AE12" s="123"/>
      <c r="AF12" s="124"/>
      <c r="AG12" s="70">
        <f t="shared" si="1"/>
        <v>1300.73</v>
      </c>
      <c r="AH12" s="69"/>
      <c r="AI12" s="58"/>
      <c r="AJ12" s="38"/>
      <c r="AK12" s="38"/>
      <c r="AL12" s="38"/>
      <c r="AM12" s="38"/>
      <c r="AN12" s="38"/>
      <c r="AO12" s="38"/>
      <c r="AP12" s="125">
        <f>sum(AP5:AP11)</f>
        <v>3232.24</v>
      </c>
      <c r="AQ12" s="38"/>
      <c r="AR12" s="125">
        <f>sum(AR5:AR11)</f>
        <v>153.5314</v>
      </c>
    </row>
    <row r="13" ht="28.5" customHeight="1">
      <c r="A13" s="102" t="s">
        <v>25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>
        <v>10.29</v>
      </c>
      <c r="AB13" s="127">
        <v>3.0</v>
      </c>
      <c r="AC13" s="126"/>
      <c r="AD13" s="128"/>
      <c r="AE13" s="129"/>
      <c r="AF13" s="130"/>
      <c r="AG13" s="70">
        <f t="shared" si="1"/>
        <v>13.29</v>
      </c>
      <c r="AH13" s="69"/>
      <c r="AI13" s="58"/>
      <c r="AJ13" s="38"/>
      <c r="AK13" s="38"/>
      <c r="AL13" s="38"/>
      <c r="AM13" s="38"/>
      <c r="AN13" s="38"/>
      <c r="AO13" s="38"/>
      <c r="AP13" s="79" t="s">
        <v>18</v>
      </c>
    </row>
    <row r="14" ht="28.5" customHeight="1">
      <c r="A14" s="131" t="s">
        <v>8</v>
      </c>
      <c r="B14" s="132"/>
      <c r="C14" s="133">
        <v>1.5</v>
      </c>
      <c r="D14" s="126"/>
      <c r="E14" s="126"/>
      <c r="F14" s="126"/>
      <c r="G14" s="126"/>
      <c r="H14" s="126"/>
      <c r="I14" s="126"/>
      <c r="J14" s="126"/>
      <c r="K14" s="126"/>
      <c r="L14" s="134">
        <v>6.0</v>
      </c>
      <c r="M14" s="134">
        <v>6.0</v>
      </c>
      <c r="N14" s="134">
        <v>8.25</v>
      </c>
      <c r="O14" s="134">
        <v>1.5</v>
      </c>
      <c r="P14" s="126"/>
      <c r="Q14" s="126"/>
      <c r="R14" s="135"/>
      <c r="S14" s="128"/>
      <c r="T14" s="129"/>
      <c r="U14" s="126"/>
      <c r="V14" s="126"/>
      <c r="W14" s="126"/>
      <c r="X14" s="126"/>
      <c r="Y14" s="126"/>
      <c r="Z14" s="126"/>
      <c r="AA14" s="126"/>
      <c r="AB14" s="126"/>
      <c r="AC14" s="126"/>
      <c r="AD14" s="136"/>
      <c r="AE14" s="137"/>
      <c r="AF14" s="130"/>
      <c r="AG14" s="70">
        <f t="shared" si="1"/>
        <v>23.25</v>
      </c>
      <c r="AH14" s="69"/>
      <c r="AI14" s="58"/>
      <c r="AJ14" s="38"/>
      <c r="AK14" s="38"/>
      <c r="AL14" s="38"/>
      <c r="AM14" s="38"/>
      <c r="AN14" s="38"/>
      <c r="AO14" s="38"/>
      <c r="AP14" s="86" t="s">
        <v>19</v>
      </c>
    </row>
    <row r="15" ht="28.5" customHeight="1">
      <c r="A15" s="131" t="s">
        <v>9</v>
      </c>
      <c r="B15" s="132"/>
      <c r="C15" s="138">
        <v>1.5</v>
      </c>
      <c r="D15" s="132"/>
      <c r="E15" s="132"/>
      <c r="F15" s="132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39"/>
      <c r="S15" s="140">
        <v>15.02</v>
      </c>
      <c r="T15" s="140">
        <v>19.7</v>
      </c>
      <c r="U15" s="104"/>
      <c r="V15" s="104"/>
      <c r="W15" s="104"/>
      <c r="X15" s="104"/>
      <c r="Y15" s="140">
        <v>1.5</v>
      </c>
      <c r="Z15" s="104"/>
      <c r="AA15" s="104"/>
      <c r="AB15" s="104"/>
      <c r="AC15" s="104"/>
      <c r="AD15" s="141"/>
      <c r="AE15" s="142"/>
      <c r="AF15" s="143"/>
      <c r="AG15" s="70">
        <f t="shared" si="1"/>
        <v>37.72</v>
      </c>
      <c r="AH15" s="69"/>
      <c r="AI15" s="58"/>
      <c r="AJ15" s="38"/>
      <c r="AK15" s="38"/>
      <c r="AL15" s="38"/>
      <c r="AM15" s="38"/>
      <c r="AN15" s="38"/>
      <c r="AO15" s="38"/>
      <c r="AP15" s="96" t="s">
        <v>21</v>
      </c>
    </row>
    <row r="16" ht="26.25" customHeight="1">
      <c r="A16" s="131" t="s">
        <v>10</v>
      </c>
      <c r="B16" s="126"/>
      <c r="C16" s="144">
        <v>4.5</v>
      </c>
      <c r="D16" s="145"/>
      <c r="E16" s="145"/>
      <c r="F16" s="145"/>
      <c r="G16" s="144">
        <v>0.12</v>
      </c>
      <c r="H16" s="145"/>
      <c r="I16" s="126"/>
      <c r="J16" s="126"/>
      <c r="K16" s="146">
        <v>3.0</v>
      </c>
      <c r="L16" s="146">
        <v>1.5</v>
      </c>
      <c r="M16" s="126"/>
      <c r="N16" s="126"/>
      <c r="O16" s="126"/>
      <c r="P16" s="126"/>
      <c r="Q16" s="126"/>
      <c r="R16" s="126"/>
      <c r="S16" s="126"/>
      <c r="T16" s="147">
        <v>73.5</v>
      </c>
      <c r="U16" s="148">
        <v>6.0</v>
      </c>
      <c r="V16" s="127">
        <v>21.0</v>
      </c>
      <c r="W16" s="127">
        <v>9.7</v>
      </c>
      <c r="X16" s="127">
        <v>3.0</v>
      </c>
      <c r="Y16" s="127">
        <v>1.5</v>
      </c>
      <c r="Z16" s="127">
        <v>4.5</v>
      </c>
      <c r="AA16" s="127">
        <v>1.5</v>
      </c>
      <c r="AB16" s="126"/>
      <c r="AC16" s="126"/>
      <c r="AD16" s="128"/>
      <c r="AE16" s="149"/>
      <c r="AF16" s="130"/>
      <c r="AG16" s="70">
        <f t="shared" si="1"/>
        <v>129.82</v>
      </c>
      <c r="AH16" s="69"/>
      <c r="AI16" s="58"/>
      <c r="AJ16" s="38"/>
      <c r="AK16" s="38"/>
      <c r="AL16" s="38"/>
      <c r="AM16" s="38"/>
      <c r="AN16" s="38"/>
      <c r="AO16" s="38"/>
      <c r="AP16" s="98" t="s">
        <v>22</v>
      </c>
    </row>
    <row r="17" ht="25.5" customHeight="1">
      <c r="A17" s="131" t="s">
        <v>11</v>
      </c>
      <c r="B17" s="150">
        <v>22.5</v>
      </c>
      <c r="C17" s="150">
        <v>19.5</v>
      </c>
      <c r="D17" s="150">
        <v>27.0</v>
      </c>
      <c r="E17" s="150">
        <v>6.0</v>
      </c>
      <c r="F17" s="150">
        <v>36.0</v>
      </c>
      <c r="G17" s="150">
        <v>59.6</v>
      </c>
      <c r="H17" s="150">
        <v>19.5</v>
      </c>
      <c r="I17" s="150">
        <v>6.0</v>
      </c>
      <c r="J17" s="150">
        <v>28.62</v>
      </c>
      <c r="K17" s="150">
        <v>15.0</v>
      </c>
      <c r="L17" s="150">
        <v>18.12</v>
      </c>
      <c r="M17" s="150">
        <v>27.0</v>
      </c>
      <c r="N17" s="150">
        <v>29.0</v>
      </c>
      <c r="O17" s="150">
        <v>51.0</v>
      </c>
      <c r="P17" s="150">
        <v>19.5</v>
      </c>
      <c r="Q17" s="150">
        <v>46.5</v>
      </c>
      <c r="R17" s="151">
        <v>34.5</v>
      </c>
      <c r="S17" s="150">
        <v>57.0</v>
      </c>
      <c r="T17" s="151">
        <v>33.0</v>
      </c>
      <c r="U17" s="150">
        <v>39.0</v>
      </c>
      <c r="V17" s="150">
        <v>40.5</v>
      </c>
      <c r="W17" s="150">
        <v>48.7</v>
      </c>
      <c r="X17" s="150">
        <v>73.34</v>
      </c>
      <c r="Y17" s="150">
        <v>49.5</v>
      </c>
      <c r="Z17" s="150">
        <v>54.12</v>
      </c>
      <c r="AA17" s="150">
        <v>46.74</v>
      </c>
      <c r="AB17" s="150">
        <v>31.5</v>
      </c>
      <c r="AC17" s="145">
        <v>45.12</v>
      </c>
      <c r="AD17" s="152"/>
      <c r="AE17" s="152"/>
      <c r="AF17" s="153"/>
      <c r="AG17" s="70">
        <f t="shared" si="1"/>
        <v>983.86</v>
      </c>
      <c r="AH17" s="69"/>
      <c r="AI17" s="58"/>
      <c r="AJ17" s="38"/>
      <c r="AK17" s="38"/>
      <c r="AL17" s="38"/>
      <c r="AM17" s="38"/>
      <c r="AN17" s="38"/>
      <c r="AO17" s="38"/>
      <c r="AP17" s="100" t="s">
        <v>23</v>
      </c>
    </row>
    <row r="18" ht="29.25" customHeight="1">
      <c r="A18" s="154" t="s">
        <v>13</v>
      </c>
      <c r="B18" s="155"/>
      <c r="C18" s="156">
        <v>13.02</v>
      </c>
      <c r="D18" s="156">
        <v>15.42</v>
      </c>
      <c r="E18" s="156">
        <v>1.8</v>
      </c>
      <c r="F18" s="157"/>
      <c r="G18" s="156">
        <v>3.0</v>
      </c>
      <c r="H18" s="156">
        <v>35.84</v>
      </c>
      <c r="I18" s="156">
        <v>17.78</v>
      </c>
      <c r="J18" s="156">
        <v>18.9</v>
      </c>
      <c r="K18" s="156">
        <v>1.5</v>
      </c>
      <c r="L18" s="158">
        <v>32.16</v>
      </c>
      <c r="M18" s="158">
        <v>40.05</v>
      </c>
      <c r="N18" s="158">
        <v>36.07</v>
      </c>
      <c r="O18" s="158">
        <v>9.76</v>
      </c>
      <c r="P18" s="158">
        <v>33.08</v>
      </c>
      <c r="Q18" s="158">
        <v>24.56</v>
      </c>
      <c r="R18" s="158">
        <v>21.07</v>
      </c>
      <c r="S18" s="159">
        <v>6.98</v>
      </c>
      <c r="T18" s="160">
        <v>10.24</v>
      </c>
      <c r="U18" s="161">
        <v>4.58</v>
      </c>
      <c r="V18" s="158">
        <v>1.64</v>
      </c>
      <c r="W18" s="158">
        <v>7.16</v>
      </c>
      <c r="X18" s="158">
        <v>16.62</v>
      </c>
      <c r="Y18" s="158">
        <v>14.78</v>
      </c>
      <c r="Z18" s="158">
        <v>1.68</v>
      </c>
      <c r="AA18" s="158">
        <v>10.4</v>
      </c>
      <c r="AB18" s="162">
        <v>7.16</v>
      </c>
      <c r="AC18" s="163">
        <v>24.67</v>
      </c>
      <c r="AD18" s="164"/>
      <c r="AE18" s="165"/>
      <c r="AF18" s="166"/>
      <c r="AG18" s="70">
        <f t="shared" si="1"/>
        <v>409.92</v>
      </c>
      <c r="AH18" s="38"/>
      <c r="AI18" s="58"/>
      <c r="AJ18" s="38"/>
      <c r="AK18" s="38"/>
      <c r="AL18" s="38"/>
      <c r="AM18" s="38"/>
      <c r="AN18" s="38"/>
      <c r="AO18" s="38"/>
      <c r="AP18" s="110" t="s">
        <v>24</v>
      </c>
    </row>
    <row r="19" ht="24.75" customHeight="1">
      <c r="A19" s="47" t="s">
        <v>14</v>
      </c>
      <c r="B19" s="167">
        <f t="shared" ref="B19:AF19" si="4">SUM(B3:B18)</f>
        <v>154.86</v>
      </c>
      <c r="C19" s="167">
        <f t="shared" si="4"/>
        <v>173.36</v>
      </c>
      <c r="D19" s="167">
        <f t="shared" si="4"/>
        <v>196.08</v>
      </c>
      <c r="E19" s="167">
        <f t="shared" si="4"/>
        <v>169.55</v>
      </c>
      <c r="F19" s="167">
        <f t="shared" si="4"/>
        <v>177.54</v>
      </c>
      <c r="G19" s="167">
        <f t="shared" si="4"/>
        <v>240.89</v>
      </c>
      <c r="H19" s="167">
        <f t="shared" si="4"/>
        <v>222.14</v>
      </c>
      <c r="I19" s="167">
        <f t="shared" si="4"/>
        <v>214.44</v>
      </c>
      <c r="J19" s="167">
        <f t="shared" si="4"/>
        <v>275.77</v>
      </c>
      <c r="K19" s="167">
        <f t="shared" si="4"/>
        <v>294.19</v>
      </c>
      <c r="L19" s="167">
        <f t="shared" si="4"/>
        <v>323.17</v>
      </c>
      <c r="M19" s="167">
        <f t="shared" si="4"/>
        <v>258.72</v>
      </c>
      <c r="N19" s="167">
        <f t="shared" si="4"/>
        <v>237.61</v>
      </c>
      <c r="O19" s="167">
        <f t="shared" si="4"/>
        <v>224.02</v>
      </c>
      <c r="P19" s="167">
        <f t="shared" si="4"/>
        <v>231.14</v>
      </c>
      <c r="Q19" s="167">
        <f t="shared" si="4"/>
        <v>239.9</v>
      </c>
      <c r="R19" s="167">
        <f t="shared" si="4"/>
        <v>231.17</v>
      </c>
      <c r="S19" s="167">
        <f t="shared" si="4"/>
        <v>280.18</v>
      </c>
      <c r="T19" s="167">
        <f t="shared" si="4"/>
        <v>346.72</v>
      </c>
      <c r="U19" s="167">
        <f t="shared" si="4"/>
        <v>255.53</v>
      </c>
      <c r="V19" s="167">
        <f t="shared" si="4"/>
        <v>274.42</v>
      </c>
      <c r="W19" s="167">
        <f t="shared" si="4"/>
        <v>181.15</v>
      </c>
      <c r="X19" s="167">
        <f t="shared" si="4"/>
        <v>262.89</v>
      </c>
      <c r="Y19" s="167">
        <f t="shared" si="4"/>
        <v>191.34</v>
      </c>
      <c r="Z19" s="167">
        <f t="shared" si="4"/>
        <v>214.22</v>
      </c>
      <c r="AA19" s="167">
        <f t="shared" si="4"/>
        <v>190.69</v>
      </c>
      <c r="AB19" s="167">
        <f t="shared" si="4"/>
        <v>206.2</v>
      </c>
      <c r="AC19" s="167">
        <f t="shared" si="4"/>
        <v>181.71</v>
      </c>
      <c r="AD19" s="167">
        <f t="shared" si="4"/>
        <v>0</v>
      </c>
      <c r="AE19" s="167">
        <f t="shared" si="4"/>
        <v>0</v>
      </c>
      <c r="AF19" s="167">
        <f t="shared" si="4"/>
        <v>0</v>
      </c>
      <c r="AG19" s="38"/>
      <c r="AH19" s="38"/>
      <c r="AI19" s="58"/>
      <c r="AJ19" s="38"/>
      <c r="AK19" s="38"/>
      <c r="AL19" s="38"/>
      <c r="AM19" s="38"/>
      <c r="AN19" s="38"/>
      <c r="AO19" s="38"/>
      <c r="AP19" s="94" t="s">
        <v>20</v>
      </c>
    </row>
    <row r="20">
      <c r="A20" s="66"/>
      <c r="B20" s="66"/>
      <c r="C20" s="66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8"/>
      <c r="AJ20" s="38"/>
      <c r="AK20" s="38"/>
      <c r="AL20" s="38"/>
      <c r="AM20" s="38"/>
      <c r="AN20" s="38"/>
      <c r="AO20" s="38"/>
      <c r="AP20" s="38"/>
      <c r="AQ20" s="38"/>
      <c r="AR20" s="38"/>
    </row>
    <row r="21" ht="99.75" customHeight="1">
      <c r="A21" s="168"/>
      <c r="B21" s="169"/>
      <c r="C21" s="170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8"/>
      <c r="AJ21" s="38"/>
      <c r="AK21" s="38"/>
      <c r="AL21" s="38"/>
      <c r="AM21" s="38"/>
      <c r="AN21" s="38"/>
      <c r="AO21" s="38"/>
      <c r="AP21" s="38"/>
      <c r="AQ21" s="38"/>
      <c r="AR21" s="38"/>
    </row>
    <row r="22" ht="15.75" customHeight="1">
      <c r="AG22" s="49"/>
      <c r="AI22" s="8"/>
    </row>
    <row r="23" ht="15.75" customHeight="1">
      <c r="AG23" s="49"/>
      <c r="AI23" s="8"/>
    </row>
    <row r="24" ht="15.75" customHeight="1">
      <c r="AG24" s="49"/>
      <c r="AI24" s="8"/>
    </row>
    <row r="25" ht="15.75" customHeight="1">
      <c r="AG25" s="49"/>
      <c r="AI25" s="8"/>
    </row>
    <row r="26" ht="15.75" customHeight="1">
      <c r="AG26" s="49"/>
      <c r="AI26" s="8"/>
    </row>
    <row r="27" ht="15.75" customHeight="1">
      <c r="AG27" s="49"/>
      <c r="AI27" s="8"/>
    </row>
    <row r="28" ht="15.75" customHeight="1">
      <c r="AG28" s="49"/>
      <c r="AI28" s="8"/>
    </row>
    <row r="29" ht="15.75" customHeight="1">
      <c r="AG29" s="49"/>
      <c r="AI29" s="8"/>
    </row>
    <row r="30" ht="15.75" customHeight="1">
      <c r="AG30" s="49"/>
      <c r="AI30" s="8"/>
    </row>
    <row r="31" ht="15.75" customHeight="1">
      <c r="AG31" s="49"/>
      <c r="AI31" s="8"/>
    </row>
    <row r="32" ht="15.75" customHeight="1">
      <c r="AG32" s="49"/>
      <c r="AI32" s="8"/>
    </row>
    <row r="33" ht="15.75" customHeight="1">
      <c r="AG33" s="49"/>
      <c r="AI33" s="8"/>
    </row>
    <row r="34" ht="15.75" customHeight="1">
      <c r="AG34" s="49"/>
      <c r="AI34" s="8"/>
    </row>
    <row r="35" ht="15.75" customHeight="1">
      <c r="AG35" s="49"/>
      <c r="AI35" s="8"/>
    </row>
    <row r="36" ht="15.75" customHeight="1">
      <c r="AG36" s="49"/>
      <c r="AI36" s="8"/>
    </row>
    <row r="37" ht="15.75" customHeight="1">
      <c r="AG37" s="49"/>
      <c r="AI37" s="8"/>
    </row>
    <row r="38" ht="15.75" customHeight="1">
      <c r="AG38" s="49"/>
      <c r="AI38" s="8"/>
    </row>
    <row r="39" ht="15.75" customHeight="1">
      <c r="AG39" s="49"/>
      <c r="AI39" s="8"/>
    </row>
    <row r="40" ht="15.75" customHeight="1">
      <c r="AG40" s="49"/>
      <c r="AI40" s="8"/>
    </row>
    <row r="41" ht="15.75" customHeight="1">
      <c r="AG41" s="49"/>
      <c r="AI41" s="8"/>
    </row>
    <row r="42" ht="15.75" customHeight="1">
      <c r="AG42" s="49"/>
      <c r="AI42" s="8"/>
    </row>
    <row r="43" ht="15.75" customHeight="1">
      <c r="AG43" s="49"/>
      <c r="AI43" s="8"/>
    </row>
    <row r="44" ht="15.75" customHeight="1">
      <c r="AG44" s="49"/>
      <c r="AI44" s="8"/>
    </row>
    <row r="45" ht="15.75" customHeight="1">
      <c r="AG45" s="49"/>
      <c r="AI45" s="8"/>
    </row>
    <row r="46" ht="15.75" customHeight="1">
      <c r="AG46" s="49"/>
      <c r="AI46" s="8"/>
    </row>
    <row r="47" ht="15.75" customHeight="1">
      <c r="AG47" s="49"/>
      <c r="AI47" s="8"/>
    </row>
    <row r="48" ht="15.75" customHeight="1">
      <c r="AG48" s="49"/>
      <c r="AI48" s="8"/>
    </row>
    <row r="49" ht="15.75" customHeight="1">
      <c r="AG49" s="49"/>
      <c r="AI49" s="8"/>
    </row>
    <row r="50" ht="15.75" customHeight="1">
      <c r="AG50" s="49"/>
      <c r="AI50" s="8"/>
    </row>
    <row r="51" ht="15.75" customHeight="1">
      <c r="AG51" s="49"/>
      <c r="AI51" s="8"/>
    </row>
    <row r="52" ht="15.75" customHeight="1">
      <c r="AG52" s="49"/>
      <c r="AI52" s="8"/>
    </row>
    <row r="53" ht="15.75" customHeight="1">
      <c r="AG53" s="49"/>
      <c r="AI53" s="8"/>
    </row>
    <row r="54" ht="15.75" customHeight="1">
      <c r="AG54" s="49"/>
      <c r="AI54" s="8"/>
    </row>
    <row r="55" ht="15.75" customHeight="1">
      <c r="AG55" s="49"/>
      <c r="AI55" s="8"/>
    </row>
    <row r="56" ht="15.75" customHeight="1">
      <c r="AG56" s="49"/>
      <c r="AI56" s="8"/>
    </row>
    <row r="57" ht="15.75" customHeight="1">
      <c r="AG57" s="49"/>
      <c r="AI57" s="8"/>
    </row>
    <row r="58" ht="15.75" customHeight="1">
      <c r="AG58" s="49"/>
      <c r="AI58" s="8"/>
    </row>
    <row r="59" ht="15.75" customHeight="1">
      <c r="AG59" s="49"/>
      <c r="AI59" s="8"/>
    </row>
    <row r="60" ht="15.75" customHeight="1">
      <c r="AG60" s="49"/>
      <c r="AI60" s="8"/>
    </row>
    <row r="61" ht="15.75" customHeight="1">
      <c r="AG61" s="49"/>
      <c r="AI61" s="8"/>
    </row>
    <row r="62" ht="15.75" customHeight="1">
      <c r="AG62" s="49"/>
      <c r="AI62" s="8"/>
    </row>
    <row r="63" ht="15.75" customHeight="1">
      <c r="AG63" s="49"/>
      <c r="AI63" s="8"/>
    </row>
    <row r="64" ht="15.75" customHeight="1">
      <c r="AG64" s="49"/>
      <c r="AI64" s="8"/>
    </row>
    <row r="65" ht="15.75" customHeight="1">
      <c r="AG65" s="49"/>
      <c r="AI65" s="8"/>
    </row>
    <row r="66" ht="15.75" customHeight="1">
      <c r="AG66" s="49"/>
      <c r="AI66" s="8"/>
    </row>
    <row r="67" ht="15.75" customHeight="1">
      <c r="AG67" s="49"/>
      <c r="AI67" s="8"/>
    </row>
    <row r="68" ht="15.75" customHeight="1">
      <c r="AG68" s="49"/>
      <c r="AI68" s="8"/>
    </row>
    <row r="69" ht="15.75" customHeight="1">
      <c r="AG69" s="49"/>
      <c r="AI69" s="8"/>
    </row>
    <row r="70" ht="15.75" customHeight="1">
      <c r="AG70" s="49"/>
      <c r="AI70" s="8"/>
    </row>
    <row r="71" ht="15.75" customHeight="1">
      <c r="AG71" s="49"/>
      <c r="AI71" s="8"/>
    </row>
    <row r="72" ht="15.75" customHeight="1">
      <c r="AG72" s="49"/>
      <c r="AI72" s="8"/>
    </row>
    <row r="73" ht="15.75" customHeight="1">
      <c r="AG73" s="49"/>
      <c r="AI73" s="8"/>
    </row>
    <row r="74" ht="15.75" customHeight="1">
      <c r="AG74" s="49"/>
      <c r="AI74" s="8"/>
    </row>
    <row r="75" ht="15.75" customHeight="1">
      <c r="AG75" s="49"/>
      <c r="AI75" s="8"/>
    </row>
    <row r="76" ht="15.75" customHeight="1">
      <c r="AG76" s="49"/>
      <c r="AI76" s="8"/>
    </row>
    <row r="77" ht="15.75" customHeight="1">
      <c r="AG77" s="49"/>
      <c r="AI77" s="8"/>
    </row>
    <row r="78" ht="15.75" customHeight="1">
      <c r="AG78" s="49"/>
      <c r="AI78" s="8"/>
    </row>
    <row r="79" ht="15.75" customHeight="1">
      <c r="AG79" s="49"/>
      <c r="AI79" s="8"/>
    </row>
    <row r="80" ht="15.75" customHeight="1">
      <c r="AG80" s="49"/>
      <c r="AI80" s="8"/>
    </row>
    <row r="81" ht="15.75" customHeight="1">
      <c r="AG81" s="49"/>
      <c r="AI81" s="8"/>
    </row>
    <row r="82" ht="15.75" customHeight="1">
      <c r="AG82" s="49"/>
      <c r="AI82" s="8"/>
    </row>
    <row r="83" ht="15.75" customHeight="1">
      <c r="AG83" s="49"/>
      <c r="AI83" s="8"/>
    </row>
    <row r="84" ht="15.75" customHeight="1">
      <c r="AG84" s="49"/>
      <c r="AI84" s="8"/>
    </row>
    <row r="85" ht="15.75" customHeight="1">
      <c r="AG85" s="49"/>
      <c r="AI85" s="8"/>
    </row>
    <row r="86" ht="15.75" customHeight="1">
      <c r="AG86" s="49"/>
      <c r="AI86" s="8"/>
    </row>
    <row r="87" ht="15.75" customHeight="1">
      <c r="AG87" s="49"/>
      <c r="AI87" s="8"/>
    </row>
    <row r="88" ht="15.75" customHeight="1">
      <c r="AG88" s="49"/>
      <c r="AI88" s="8"/>
    </row>
    <row r="89" ht="15.75" customHeight="1">
      <c r="AG89" s="49"/>
      <c r="AI89" s="8"/>
    </row>
    <row r="90" ht="15.75" customHeight="1">
      <c r="AG90" s="49"/>
      <c r="AI90" s="8"/>
    </row>
    <row r="91" ht="15.75" customHeight="1">
      <c r="AG91" s="49"/>
      <c r="AI91" s="8"/>
    </row>
    <row r="92" ht="15.75" customHeight="1">
      <c r="AG92" s="49"/>
      <c r="AI92" s="8"/>
    </row>
    <row r="93" ht="15.75" customHeight="1">
      <c r="AG93" s="49"/>
      <c r="AI93" s="8"/>
    </row>
    <row r="94" ht="15.75" customHeight="1">
      <c r="AG94" s="49"/>
      <c r="AI94" s="8"/>
    </row>
    <row r="95" ht="15.75" customHeight="1">
      <c r="AG95" s="49"/>
      <c r="AI95" s="8"/>
    </row>
    <row r="96" ht="15.75" customHeight="1">
      <c r="AG96" s="49"/>
      <c r="AI96" s="8"/>
    </row>
    <row r="97" ht="15.75" customHeight="1">
      <c r="AG97" s="49"/>
      <c r="AI97" s="8"/>
    </row>
    <row r="98" ht="15.75" customHeight="1">
      <c r="AG98" s="49"/>
      <c r="AI98" s="8"/>
    </row>
    <row r="99" ht="15.75" customHeight="1">
      <c r="AG99" s="49"/>
      <c r="AI99" s="8"/>
    </row>
    <row r="100" ht="15.75" customHeight="1">
      <c r="AG100" s="49"/>
      <c r="AI100" s="8"/>
    </row>
    <row r="101" ht="15.75" customHeight="1">
      <c r="AG101" s="49"/>
      <c r="AI101" s="8"/>
    </row>
    <row r="102" ht="15.75" customHeight="1">
      <c r="AG102" s="49"/>
      <c r="AI102" s="8"/>
    </row>
    <row r="103" ht="15.75" customHeight="1">
      <c r="AG103" s="49"/>
      <c r="AI103" s="8"/>
    </row>
    <row r="104" ht="15.75" customHeight="1">
      <c r="AG104" s="49"/>
      <c r="AI104" s="8"/>
    </row>
    <row r="105" ht="15.75" customHeight="1">
      <c r="AG105" s="49"/>
      <c r="AI105" s="8"/>
    </row>
    <row r="106" ht="15.75" customHeight="1">
      <c r="AG106" s="49"/>
      <c r="AI106" s="8"/>
    </row>
    <row r="107" ht="15.75" customHeight="1">
      <c r="AG107" s="49"/>
      <c r="AI107" s="8"/>
    </row>
    <row r="108" ht="15.75" customHeight="1">
      <c r="AG108" s="49"/>
      <c r="AI108" s="8"/>
    </row>
    <row r="109" ht="15.75" customHeight="1">
      <c r="AG109" s="49"/>
      <c r="AI109" s="8"/>
    </row>
    <row r="110" ht="15.75" customHeight="1">
      <c r="AG110" s="49"/>
      <c r="AI110" s="8"/>
    </row>
    <row r="111" ht="15.75" customHeight="1">
      <c r="AG111" s="49"/>
      <c r="AI111" s="8"/>
    </row>
    <row r="112" ht="15.75" customHeight="1">
      <c r="AG112" s="49"/>
      <c r="AI112" s="8"/>
    </row>
    <row r="113" ht="15.75" customHeight="1">
      <c r="AG113" s="49"/>
      <c r="AI113" s="8"/>
    </row>
    <row r="114" ht="15.75" customHeight="1">
      <c r="AG114" s="49"/>
      <c r="AI114" s="8"/>
    </row>
    <row r="115" ht="15.75" customHeight="1">
      <c r="AG115" s="49"/>
      <c r="AI115" s="8"/>
    </row>
    <row r="116" ht="15.75" customHeight="1">
      <c r="AG116" s="49"/>
      <c r="AI116" s="8"/>
    </row>
    <row r="117" ht="15.75" customHeight="1">
      <c r="AG117" s="49"/>
      <c r="AI117" s="8"/>
    </row>
    <row r="118" ht="15.75" customHeight="1">
      <c r="AG118" s="49"/>
      <c r="AI118" s="8"/>
    </row>
    <row r="119" ht="15.75" customHeight="1">
      <c r="AG119" s="49"/>
      <c r="AI119" s="8"/>
    </row>
    <row r="120" ht="15.75" customHeight="1">
      <c r="AG120" s="49"/>
      <c r="AI120" s="8"/>
    </row>
    <row r="121" ht="15.75" customHeight="1">
      <c r="AG121" s="49"/>
      <c r="AI121" s="8"/>
    </row>
    <row r="122" ht="15.75" customHeight="1">
      <c r="AG122" s="49"/>
      <c r="AI122" s="8"/>
    </row>
    <row r="123" ht="15.75" customHeight="1">
      <c r="AG123" s="49"/>
      <c r="AI123" s="8"/>
    </row>
    <row r="124" ht="15.75" customHeight="1">
      <c r="AG124" s="49"/>
      <c r="AI124" s="8"/>
    </row>
    <row r="125" ht="15.75" customHeight="1">
      <c r="AG125" s="49"/>
      <c r="AI125" s="8"/>
    </row>
    <row r="126" ht="15.75" customHeight="1">
      <c r="AG126" s="49"/>
      <c r="AI126" s="8"/>
    </row>
    <row r="127" ht="15.75" customHeight="1">
      <c r="AG127" s="49"/>
      <c r="AI127" s="8"/>
    </row>
    <row r="128" ht="15.75" customHeight="1">
      <c r="AG128" s="49"/>
      <c r="AI128" s="8"/>
    </row>
    <row r="129" ht="15.75" customHeight="1">
      <c r="AG129" s="49"/>
      <c r="AI129" s="8"/>
    </row>
    <row r="130" ht="15.75" customHeight="1">
      <c r="AG130" s="49"/>
      <c r="AI130" s="8"/>
    </row>
    <row r="131" ht="15.75" customHeight="1">
      <c r="AG131" s="49"/>
      <c r="AI131" s="8"/>
    </row>
    <row r="132" ht="15.75" customHeight="1">
      <c r="AG132" s="49"/>
      <c r="AI132" s="8"/>
    </row>
    <row r="133" ht="15.75" customHeight="1">
      <c r="AG133" s="49"/>
      <c r="AI133" s="8"/>
    </row>
    <row r="134" ht="15.75" customHeight="1">
      <c r="AG134" s="49"/>
      <c r="AI134" s="8"/>
    </row>
    <row r="135" ht="15.75" customHeight="1">
      <c r="AG135" s="49"/>
      <c r="AI135" s="8"/>
    </row>
    <row r="136" ht="15.75" customHeight="1">
      <c r="AG136" s="49"/>
      <c r="AI136" s="8"/>
    </row>
    <row r="137" ht="15.75" customHeight="1">
      <c r="AG137" s="49"/>
      <c r="AI137" s="8"/>
    </row>
    <row r="138" ht="15.75" customHeight="1">
      <c r="AG138" s="49"/>
      <c r="AI138" s="8"/>
    </row>
    <row r="139" ht="15.75" customHeight="1">
      <c r="AG139" s="49"/>
      <c r="AI139" s="8"/>
    </row>
    <row r="140" ht="15.75" customHeight="1">
      <c r="AG140" s="49"/>
      <c r="AI140" s="8"/>
    </row>
    <row r="141" ht="15.75" customHeight="1">
      <c r="AG141" s="49"/>
      <c r="AI141" s="8"/>
    </row>
    <row r="142" ht="15.75" customHeight="1">
      <c r="AG142" s="49"/>
      <c r="AI142" s="8"/>
    </row>
    <row r="143" ht="15.75" customHeight="1">
      <c r="AG143" s="49"/>
      <c r="AI143" s="8"/>
    </row>
    <row r="144" ht="15.75" customHeight="1">
      <c r="AG144" s="49"/>
      <c r="AI144" s="8"/>
    </row>
    <row r="145" ht="15.75" customHeight="1">
      <c r="AG145" s="49"/>
      <c r="AI145" s="8"/>
    </row>
    <row r="146" ht="15.75" customHeight="1">
      <c r="AG146" s="49"/>
      <c r="AI146" s="8"/>
    </row>
    <row r="147" ht="15.75" customHeight="1">
      <c r="AG147" s="49"/>
      <c r="AI147" s="8"/>
    </row>
    <row r="148" ht="15.75" customHeight="1">
      <c r="AG148" s="49"/>
      <c r="AI148" s="8"/>
    </row>
    <row r="149" ht="15.75" customHeight="1">
      <c r="AG149" s="49"/>
      <c r="AI149" s="8"/>
    </row>
    <row r="150" ht="15.75" customHeight="1">
      <c r="AG150" s="49"/>
      <c r="AI150" s="8"/>
    </row>
    <row r="151" ht="15.75" customHeight="1">
      <c r="AG151" s="49"/>
      <c r="AI151" s="8"/>
    </row>
    <row r="152" ht="15.75" customHeight="1">
      <c r="AG152" s="49"/>
      <c r="AI152" s="8"/>
    </row>
    <row r="153" ht="15.75" customHeight="1">
      <c r="AG153" s="49"/>
      <c r="AI153" s="8"/>
    </row>
    <row r="154" ht="15.75" customHeight="1">
      <c r="AG154" s="49"/>
      <c r="AI154" s="8"/>
    </row>
    <row r="155" ht="15.75" customHeight="1">
      <c r="AG155" s="49"/>
      <c r="AI155" s="8"/>
    </row>
    <row r="156" ht="15.75" customHeight="1">
      <c r="AG156" s="49"/>
      <c r="AI156" s="8"/>
    </row>
    <row r="157" ht="15.75" customHeight="1">
      <c r="AG157" s="49"/>
      <c r="AI157" s="8"/>
    </row>
    <row r="158" ht="15.75" customHeight="1">
      <c r="AG158" s="49"/>
      <c r="AI158" s="8"/>
    </row>
    <row r="159" ht="15.75" customHeight="1">
      <c r="AG159" s="49"/>
      <c r="AI159" s="8"/>
    </row>
    <row r="160" ht="15.75" customHeight="1">
      <c r="AG160" s="49"/>
      <c r="AI160" s="8"/>
    </row>
    <row r="161" ht="15.75" customHeight="1">
      <c r="AG161" s="49"/>
      <c r="AI161" s="8"/>
    </row>
    <row r="162" ht="15.75" customHeight="1">
      <c r="AG162" s="49"/>
      <c r="AI162" s="8"/>
    </row>
    <row r="163" ht="15.75" customHeight="1">
      <c r="AG163" s="49"/>
      <c r="AI163" s="8"/>
    </row>
    <row r="164" ht="15.75" customHeight="1">
      <c r="AG164" s="49"/>
      <c r="AI164" s="8"/>
    </row>
    <row r="165" ht="15.75" customHeight="1">
      <c r="AG165" s="49"/>
      <c r="AI165" s="8"/>
    </row>
    <row r="166" ht="15.75" customHeight="1">
      <c r="AG166" s="49"/>
      <c r="AI166" s="8"/>
    </row>
    <row r="167" ht="15.75" customHeight="1">
      <c r="AG167" s="49"/>
      <c r="AI167" s="8"/>
    </row>
    <row r="168" ht="15.75" customHeight="1">
      <c r="AG168" s="49"/>
      <c r="AI168" s="8"/>
    </row>
    <row r="169" ht="15.75" customHeight="1">
      <c r="AG169" s="49"/>
      <c r="AI169" s="8"/>
    </row>
    <row r="170" ht="15.75" customHeight="1">
      <c r="AG170" s="49"/>
      <c r="AI170" s="8"/>
    </row>
    <row r="171" ht="15.75" customHeight="1">
      <c r="AG171" s="49"/>
      <c r="AI171" s="8"/>
    </row>
    <row r="172" ht="15.75" customHeight="1">
      <c r="AG172" s="49"/>
      <c r="AI172" s="8"/>
    </row>
    <row r="173" ht="15.75" customHeight="1">
      <c r="AG173" s="49"/>
      <c r="AI173" s="8"/>
    </row>
    <row r="174" ht="15.75" customHeight="1">
      <c r="AG174" s="49"/>
      <c r="AI174" s="8"/>
    </row>
    <row r="175" ht="15.75" customHeight="1">
      <c r="AG175" s="49"/>
      <c r="AI175" s="8"/>
    </row>
    <row r="176" ht="15.75" customHeight="1">
      <c r="AG176" s="49"/>
      <c r="AI176" s="8"/>
    </row>
    <row r="177" ht="15.75" customHeight="1">
      <c r="AG177" s="49"/>
      <c r="AI177" s="8"/>
    </row>
    <row r="178" ht="15.75" customHeight="1">
      <c r="AG178" s="49"/>
      <c r="AI178" s="8"/>
    </row>
    <row r="179" ht="15.75" customHeight="1">
      <c r="AG179" s="49"/>
      <c r="AI179" s="8"/>
    </row>
    <row r="180" ht="15.75" customHeight="1">
      <c r="AG180" s="49"/>
      <c r="AI180" s="8"/>
    </row>
    <row r="181" ht="15.75" customHeight="1">
      <c r="AG181" s="49"/>
      <c r="AI181" s="8"/>
    </row>
    <row r="182" ht="15.75" customHeight="1">
      <c r="AG182" s="49"/>
      <c r="AI182" s="8"/>
    </row>
    <row r="183" ht="15.75" customHeight="1">
      <c r="AG183" s="49"/>
      <c r="AI183" s="8"/>
    </row>
    <row r="184" ht="15.75" customHeight="1">
      <c r="AG184" s="49"/>
      <c r="AI184" s="8"/>
    </row>
    <row r="185" ht="15.75" customHeight="1">
      <c r="AG185" s="49"/>
      <c r="AI185" s="8"/>
    </row>
    <row r="186" ht="15.75" customHeight="1">
      <c r="AG186" s="49"/>
      <c r="AI186" s="8"/>
    </row>
    <row r="187" ht="15.75" customHeight="1">
      <c r="AG187" s="49"/>
      <c r="AI187" s="8"/>
    </row>
    <row r="188" ht="15.75" customHeight="1">
      <c r="AG188" s="49"/>
      <c r="AI188" s="8"/>
    </row>
    <row r="189" ht="15.75" customHeight="1">
      <c r="AG189" s="49"/>
      <c r="AI189" s="8"/>
    </row>
    <row r="190" ht="15.75" customHeight="1">
      <c r="AG190" s="49"/>
      <c r="AI190" s="8"/>
    </row>
    <row r="191" ht="15.75" customHeight="1">
      <c r="AG191" s="49"/>
      <c r="AI191" s="8"/>
    </row>
    <row r="192" ht="15.75" customHeight="1">
      <c r="AG192" s="49"/>
      <c r="AI192" s="8"/>
    </row>
    <row r="193" ht="15.75" customHeight="1">
      <c r="AG193" s="49"/>
      <c r="AI193" s="8"/>
    </row>
    <row r="194" ht="15.75" customHeight="1">
      <c r="AG194" s="49"/>
      <c r="AI194" s="8"/>
    </row>
    <row r="195" ht="15.75" customHeight="1">
      <c r="AG195" s="49"/>
      <c r="AI195" s="8"/>
    </row>
    <row r="196" ht="15.75" customHeight="1">
      <c r="AG196" s="49"/>
      <c r="AI196" s="8"/>
    </row>
    <row r="197" ht="15.75" customHeight="1">
      <c r="AG197" s="49"/>
      <c r="AI197" s="8"/>
    </row>
    <row r="198" ht="15.75" customHeight="1">
      <c r="AG198" s="49"/>
      <c r="AI198" s="8"/>
    </row>
    <row r="199" ht="15.75" customHeight="1">
      <c r="AG199" s="49"/>
      <c r="AI199" s="8"/>
    </row>
    <row r="200" ht="15.75" customHeight="1">
      <c r="AG200" s="49"/>
      <c r="AI200" s="8"/>
    </row>
    <row r="201" ht="15.75" customHeight="1">
      <c r="AG201" s="49"/>
      <c r="AI201" s="8"/>
    </row>
    <row r="202" ht="15.75" customHeight="1">
      <c r="AG202" s="49"/>
      <c r="AI202" s="8"/>
    </row>
    <row r="203" ht="15.75" customHeight="1">
      <c r="AG203" s="49"/>
      <c r="AI203" s="8"/>
    </row>
    <row r="204" ht="15.75" customHeight="1">
      <c r="AG204" s="49"/>
      <c r="AI204" s="8"/>
    </row>
    <row r="205" ht="15.75" customHeight="1">
      <c r="AG205" s="49"/>
      <c r="AI205" s="8"/>
    </row>
    <row r="206" ht="15.75" customHeight="1">
      <c r="AG206" s="49"/>
      <c r="AI206" s="8"/>
    </row>
    <row r="207" ht="15.75" customHeight="1">
      <c r="AG207" s="49"/>
      <c r="AI207" s="8"/>
    </row>
    <row r="208" ht="15.75" customHeight="1">
      <c r="AG208" s="49"/>
      <c r="AI208" s="8"/>
    </row>
    <row r="209" ht="15.75" customHeight="1">
      <c r="AG209" s="49"/>
      <c r="AI209" s="8"/>
    </row>
    <row r="210" ht="15.75" customHeight="1">
      <c r="AG210" s="49"/>
      <c r="AI210" s="8"/>
    </row>
    <row r="211" ht="15.75" customHeight="1">
      <c r="AG211" s="49"/>
      <c r="AI211" s="8"/>
    </row>
    <row r="212" ht="15.75" customHeight="1">
      <c r="AG212" s="49"/>
      <c r="AI212" s="8"/>
    </row>
    <row r="213" ht="15.75" customHeight="1">
      <c r="AG213" s="49"/>
      <c r="AI213" s="8"/>
    </row>
    <row r="214" ht="15.75" customHeight="1">
      <c r="AG214" s="49"/>
      <c r="AI214" s="8"/>
    </row>
    <row r="215" ht="15.75" customHeight="1">
      <c r="AG215" s="49"/>
      <c r="AI215" s="8"/>
    </row>
    <row r="216" ht="15.75" customHeight="1">
      <c r="AG216" s="49"/>
      <c r="AI216" s="8"/>
    </row>
    <row r="217" ht="15.75" customHeight="1">
      <c r="AG217" s="49"/>
      <c r="AI217" s="8"/>
    </row>
    <row r="218" ht="15.75" customHeight="1">
      <c r="AG218" s="49"/>
      <c r="AI218" s="8"/>
    </row>
    <row r="219" ht="15.75" customHeight="1">
      <c r="AG219" s="49"/>
      <c r="AI219" s="8"/>
    </row>
    <row r="220" ht="15.75" customHeight="1">
      <c r="AG220" s="49"/>
      <c r="AI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P13:AR13"/>
    <mergeCell ref="AP14:AR14"/>
    <mergeCell ref="AP15:AR15"/>
    <mergeCell ref="AP16:AR16"/>
    <mergeCell ref="AP17:AR17"/>
    <mergeCell ref="AP18:AR18"/>
    <mergeCell ref="AP19:AR19"/>
    <mergeCell ref="AM5:AO5"/>
    <mergeCell ref="AM6:AO6"/>
    <mergeCell ref="AM7:AO7"/>
    <mergeCell ref="AM8:AO8"/>
    <mergeCell ref="AM9:AO9"/>
    <mergeCell ref="AM10:AO10"/>
    <mergeCell ref="AM11:AO1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66" width="14.14"/>
  </cols>
  <sheetData>
    <row r="1" ht="36.75" customHeight="1">
      <c r="A1" s="963" t="s">
        <v>181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964" t="s">
        <v>182</v>
      </c>
      <c r="AH1" s="58"/>
      <c r="AI1" s="38"/>
      <c r="AJ1" s="38"/>
      <c r="BB1" s="226"/>
      <c r="BC1" s="226"/>
      <c r="BD1" s="226"/>
      <c r="BE1" s="226"/>
      <c r="BF1" s="226"/>
      <c r="BG1" s="226"/>
      <c r="BH1" s="745"/>
      <c r="BI1" s="226"/>
      <c r="BJ1" s="226"/>
      <c r="BK1" s="746"/>
      <c r="BL1" s="226"/>
      <c r="BM1" s="226"/>
      <c r="BN1" s="226"/>
    </row>
    <row r="2" ht="36.75" customHeight="1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888">
        <f>SUM(AG3:AG32,AW3:AW13,AW17:AW26)</f>
        <v>0</v>
      </c>
      <c r="AH2" s="965"/>
      <c r="AP2" s="38"/>
      <c r="AQ2" s="38"/>
      <c r="AR2" s="38"/>
      <c r="AS2" s="425"/>
      <c r="AT2" s="425"/>
      <c r="AU2" s="916"/>
      <c r="AV2" s="425"/>
      <c r="AW2" s="745"/>
      <c r="AX2" s="745"/>
      <c r="AY2" s="745"/>
      <c r="AZ2" s="917"/>
    </row>
    <row r="3" ht="31.5" customHeight="1">
      <c r="A3" s="966" t="s">
        <v>183</v>
      </c>
      <c r="B3" s="768"/>
      <c r="C3" s="768"/>
      <c r="D3" s="768"/>
      <c r="E3" s="768"/>
      <c r="F3" s="768"/>
      <c r="G3" s="768"/>
      <c r="H3" s="768"/>
      <c r="I3" s="768"/>
      <c r="J3" s="768"/>
      <c r="K3" s="768"/>
      <c r="L3" s="768"/>
      <c r="M3" s="768"/>
      <c r="N3" s="768"/>
      <c r="O3" s="768"/>
      <c r="P3" s="768"/>
      <c r="Q3" s="768"/>
      <c r="R3" s="768"/>
      <c r="S3" s="768"/>
      <c r="T3" s="768"/>
      <c r="U3" s="768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967">
        <f t="shared" ref="AG3:AG17" si="1">SUM(B3:AF3)</f>
        <v>0</v>
      </c>
      <c r="AH3" s="15"/>
      <c r="AI3" s="924"/>
      <c r="AK3" s="923"/>
      <c r="AP3" s="745"/>
      <c r="AS3" s="968"/>
      <c r="AT3" s="968"/>
      <c r="AU3" s="918"/>
      <c r="AV3" s="918"/>
      <c r="AW3" s="918"/>
      <c r="AX3" s="918"/>
      <c r="AY3" s="918"/>
      <c r="AZ3" s="969"/>
    </row>
    <row r="4" ht="40.5" customHeight="1">
      <c r="A4" s="966" t="s">
        <v>183</v>
      </c>
      <c r="B4" s="823"/>
      <c r="C4" s="823"/>
      <c r="D4" s="823"/>
      <c r="E4" s="823"/>
      <c r="F4" s="823"/>
      <c r="G4" s="823"/>
      <c r="H4" s="823"/>
      <c r="I4" s="823"/>
      <c r="J4" s="823"/>
      <c r="K4" s="823"/>
      <c r="L4" s="823"/>
      <c r="M4" s="823"/>
      <c r="N4" s="823"/>
      <c r="O4" s="823"/>
      <c r="P4" s="823"/>
      <c r="Q4" s="823"/>
      <c r="R4" s="823"/>
      <c r="S4" s="823"/>
      <c r="T4" s="823"/>
      <c r="U4" s="823"/>
      <c r="V4" s="823"/>
      <c r="W4" s="823"/>
      <c r="X4" s="823"/>
      <c r="Y4" s="823"/>
      <c r="Z4" s="823"/>
      <c r="AA4" s="823"/>
      <c r="AB4" s="823"/>
      <c r="AC4" s="823"/>
      <c r="AD4" s="823"/>
      <c r="AE4" s="823"/>
      <c r="AF4" s="823"/>
      <c r="AG4" s="967">
        <f t="shared" si="1"/>
        <v>0</v>
      </c>
      <c r="AH4" s="923"/>
      <c r="AI4" s="924"/>
      <c r="AJ4" s="38"/>
      <c r="AK4" s="923"/>
      <c r="AP4" s="226"/>
      <c r="AS4" s="970"/>
      <c r="AT4" s="970"/>
      <c r="AU4" s="918"/>
      <c r="AV4" s="918"/>
      <c r="AW4" s="918"/>
      <c r="AX4" s="918"/>
      <c r="AY4" s="918"/>
      <c r="AZ4" s="919"/>
    </row>
    <row r="5" ht="27.0" customHeight="1">
      <c r="A5" s="966" t="s">
        <v>183</v>
      </c>
      <c r="B5" s="823"/>
      <c r="C5" s="823"/>
      <c r="D5" s="823"/>
      <c r="E5" s="823"/>
      <c r="F5" s="823"/>
      <c r="G5" s="823"/>
      <c r="H5" s="823"/>
      <c r="I5" s="823"/>
      <c r="J5" s="823"/>
      <c r="K5" s="823"/>
      <c r="L5" s="823"/>
      <c r="M5" s="823"/>
      <c r="N5" s="823"/>
      <c r="O5" s="823"/>
      <c r="P5" s="823"/>
      <c r="Q5" s="823"/>
      <c r="R5" s="823"/>
      <c r="S5" s="823"/>
      <c r="T5" s="823"/>
      <c r="U5" s="823"/>
      <c r="V5" s="823"/>
      <c r="W5" s="823"/>
      <c r="X5" s="823"/>
      <c r="Y5" s="823"/>
      <c r="Z5" s="823"/>
      <c r="AA5" s="823"/>
      <c r="AB5" s="823"/>
      <c r="AC5" s="823"/>
      <c r="AD5" s="823"/>
      <c r="AE5" s="823"/>
      <c r="AF5" s="823"/>
      <c r="AG5" s="967">
        <f t="shared" si="1"/>
        <v>0</v>
      </c>
      <c r="AH5" s="19"/>
      <c r="AI5" s="924"/>
      <c r="AJ5" s="38"/>
      <c r="AK5" s="923"/>
      <c r="AM5" s="428"/>
      <c r="AP5" s="226"/>
      <c r="AS5" s="970"/>
      <c r="AT5" s="970"/>
      <c r="AU5" s="918"/>
      <c r="AV5" s="918"/>
      <c r="AW5" s="918"/>
      <c r="AX5" s="918"/>
      <c r="AY5" s="918"/>
      <c r="AZ5" s="919"/>
    </row>
    <row r="6" ht="27.0" customHeight="1">
      <c r="A6" s="966" t="s">
        <v>183</v>
      </c>
      <c r="B6" s="823"/>
      <c r="C6" s="823"/>
      <c r="D6" s="823"/>
      <c r="E6" s="823"/>
      <c r="F6" s="823"/>
      <c r="G6" s="823"/>
      <c r="H6" s="823"/>
      <c r="I6" s="823"/>
      <c r="J6" s="823"/>
      <c r="K6" s="823"/>
      <c r="L6" s="823"/>
      <c r="M6" s="823"/>
      <c r="N6" s="823"/>
      <c r="O6" s="823"/>
      <c r="P6" s="823"/>
      <c r="Q6" s="823"/>
      <c r="R6" s="823"/>
      <c r="S6" s="823"/>
      <c r="T6" s="823"/>
      <c r="U6" s="823"/>
      <c r="V6" s="823"/>
      <c r="W6" s="823"/>
      <c r="X6" s="823"/>
      <c r="Y6" s="823"/>
      <c r="Z6" s="823"/>
      <c r="AA6" s="823"/>
      <c r="AB6" s="823"/>
      <c r="AC6" s="823"/>
      <c r="AD6" s="823"/>
      <c r="AE6" s="823"/>
      <c r="AF6" s="823"/>
      <c r="AG6" s="967">
        <f t="shared" si="1"/>
        <v>0</v>
      </c>
      <c r="AH6" s="19"/>
      <c r="AI6" s="924"/>
      <c r="AJ6" s="38"/>
      <c r="AK6" s="925"/>
      <c r="AP6" s="226"/>
      <c r="AS6" s="971"/>
      <c r="AT6" s="971"/>
      <c r="AU6" s="922"/>
      <c r="AV6" s="922"/>
      <c r="AW6" s="922"/>
      <c r="AX6" s="918"/>
      <c r="AY6" s="918"/>
      <c r="AZ6" s="919"/>
    </row>
    <row r="7" ht="29.25" customHeight="1">
      <c r="A7" s="966" t="s">
        <v>183</v>
      </c>
      <c r="B7" s="823"/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967">
        <f t="shared" si="1"/>
        <v>0</v>
      </c>
      <c r="AH7" s="15"/>
      <c r="AI7" s="924"/>
      <c r="AJ7" s="38"/>
      <c r="AK7" s="923"/>
      <c r="AL7" s="38"/>
      <c r="AM7" s="38"/>
      <c r="AN7" s="38"/>
      <c r="AP7" s="226"/>
      <c r="AS7" s="971"/>
      <c r="AT7" s="971"/>
      <c r="AU7" s="922"/>
      <c r="AV7" s="922"/>
      <c r="AW7" s="922"/>
      <c r="AX7" s="918"/>
      <c r="AY7" s="918"/>
      <c r="AZ7" s="919"/>
    </row>
    <row r="8" ht="29.25" customHeight="1">
      <c r="A8" s="966" t="s">
        <v>183</v>
      </c>
      <c r="B8" s="823"/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972">
        <f t="shared" si="1"/>
        <v>0</v>
      </c>
      <c r="AH8" s="15"/>
      <c r="AI8" s="924"/>
      <c r="AJ8" s="38"/>
      <c r="AK8" s="923"/>
      <c r="AL8" s="38"/>
      <c r="AM8" s="38"/>
      <c r="AN8" s="38"/>
      <c r="AP8" s="226"/>
      <c r="AS8" s="971"/>
      <c r="AT8" s="971"/>
      <c r="AU8" s="922"/>
      <c r="AV8" s="922"/>
      <c r="AW8" s="922"/>
      <c r="AX8" s="918"/>
      <c r="AY8" s="918"/>
      <c r="AZ8" s="919"/>
    </row>
    <row r="9" ht="29.25" customHeight="1">
      <c r="A9" s="966" t="s">
        <v>183</v>
      </c>
      <c r="B9" s="823"/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  <c r="R9" s="823"/>
      <c r="S9" s="823"/>
      <c r="T9" s="823"/>
      <c r="U9" s="823"/>
      <c r="V9" s="823"/>
      <c r="W9" s="823"/>
      <c r="X9" s="823"/>
      <c r="Y9" s="823"/>
      <c r="Z9" s="823"/>
      <c r="AA9" s="823"/>
      <c r="AB9" s="823"/>
      <c r="AC9" s="823"/>
      <c r="AD9" s="823"/>
      <c r="AE9" s="823"/>
      <c r="AF9" s="823"/>
      <c r="AG9" s="967">
        <f t="shared" si="1"/>
        <v>0</v>
      </c>
      <c r="AH9" s="19"/>
      <c r="AI9" s="924"/>
      <c r="AJ9" s="38"/>
      <c r="AK9" s="923"/>
      <c r="AL9" s="38"/>
      <c r="AM9" s="38"/>
      <c r="AN9" s="38"/>
      <c r="AP9" s="226"/>
      <c r="AS9" s="971"/>
      <c r="AT9" s="971"/>
      <c r="AU9" s="922"/>
      <c r="AV9" s="922"/>
      <c r="AW9" s="922"/>
      <c r="AX9" s="918"/>
      <c r="AY9" s="918"/>
      <c r="AZ9" s="919"/>
    </row>
    <row r="10" ht="29.25" customHeight="1">
      <c r="A10" s="966" t="s">
        <v>183</v>
      </c>
      <c r="B10" s="823"/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97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967">
        <f t="shared" si="1"/>
        <v>0</v>
      </c>
      <c r="AH10" s="923"/>
      <c r="AI10" s="924"/>
      <c r="AJ10" s="38"/>
      <c r="AK10" s="923"/>
      <c r="AL10" s="38"/>
      <c r="AM10" s="38"/>
      <c r="AN10" s="38"/>
      <c r="AP10" s="226"/>
      <c r="AS10" s="970"/>
      <c r="AT10" s="970"/>
      <c r="AU10" s="974"/>
      <c r="AV10" s="974"/>
      <c r="AW10" s="921"/>
      <c r="AX10" s="918"/>
      <c r="AY10" s="918"/>
      <c r="AZ10" s="919"/>
    </row>
    <row r="11" ht="29.25" customHeight="1">
      <c r="A11" s="966" t="s">
        <v>183</v>
      </c>
      <c r="B11" s="823"/>
      <c r="C11" s="823"/>
      <c r="D11" s="823"/>
      <c r="E11" s="823"/>
      <c r="F11" s="823"/>
      <c r="G11" s="823"/>
      <c r="H11" s="823"/>
      <c r="I11" s="823"/>
      <c r="J11" s="823"/>
      <c r="K11" s="823"/>
      <c r="L11" s="823"/>
      <c r="M11" s="823"/>
      <c r="N11" s="823"/>
      <c r="O11" s="823"/>
      <c r="P11" s="823"/>
      <c r="Q11" s="823"/>
      <c r="R11" s="823"/>
      <c r="S11" s="823"/>
      <c r="T11" s="823"/>
      <c r="U11" s="823"/>
      <c r="V11" s="823"/>
      <c r="W11" s="823"/>
      <c r="X11" s="823"/>
      <c r="Y11" s="823"/>
      <c r="Z11" s="823"/>
      <c r="AA11" s="823"/>
      <c r="AB11" s="823"/>
      <c r="AC11" s="823"/>
      <c r="AD11" s="823"/>
      <c r="AE11" s="823"/>
      <c r="AF11" s="823"/>
      <c r="AG11" s="967">
        <f t="shared" si="1"/>
        <v>0</v>
      </c>
      <c r="AH11" s="923"/>
      <c r="AI11" s="924"/>
      <c r="AJ11" s="38"/>
      <c r="AK11" s="923"/>
      <c r="AL11" s="38"/>
      <c r="AM11" s="38"/>
      <c r="AN11" s="38"/>
      <c r="AP11" s="226"/>
      <c r="AS11" s="970"/>
      <c r="AT11" s="970"/>
      <c r="AU11" s="921"/>
      <c r="AV11" s="921"/>
      <c r="AW11" s="921"/>
      <c r="AX11" s="918"/>
      <c r="AY11" s="918"/>
      <c r="AZ11" s="919"/>
    </row>
    <row r="12" ht="29.25" customHeight="1">
      <c r="A12" s="966" t="s">
        <v>183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823"/>
      <c r="O12" s="823"/>
      <c r="P12" s="823"/>
      <c r="Q12" s="823"/>
      <c r="R12" s="823"/>
      <c r="S12" s="823"/>
      <c r="T12" s="823"/>
      <c r="U12" s="823"/>
      <c r="V12" s="823"/>
      <c r="W12" s="823"/>
      <c r="X12" s="823"/>
      <c r="Y12" s="823"/>
      <c r="Z12" s="823"/>
      <c r="AA12" s="823"/>
      <c r="AB12" s="823"/>
      <c r="AC12" s="823"/>
      <c r="AD12" s="823"/>
      <c r="AE12" s="823"/>
      <c r="AF12" s="823"/>
      <c r="AG12" s="967">
        <f t="shared" si="1"/>
        <v>0</v>
      </c>
      <c r="AH12" s="923"/>
      <c r="AI12" s="924"/>
      <c r="AJ12" s="38"/>
      <c r="AK12" s="923"/>
      <c r="AL12" s="38"/>
      <c r="AM12" s="38"/>
      <c r="AN12" s="38"/>
      <c r="AP12" s="226"/>
      <c r="AS12" s="970"/>
      <c r="AT12" s="970"/>
      <c r="AU12" s="921"/>
      <c r="AV12" s="921"/>
      <c r="AW12" s="921"/>
      <c r="AX12" s="918"/>
      <c r="AY12" s="918"/>
      <c r="AZ12" s="919"/>
    </row>
    <row r="13" ht="29.25" customHeight="1">
      <c r="A13" s="966" t="s">
        <v>183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823"/>
      <c r="O13" s="823"/>
      <c r="P13" s="823"/>
      <c r="Q13" s="823"/>
      <c r="R13" s="823"/>
      <c r="S13" s="823"/>
      <c r="T13" s="823"/>
      <c r="U13" s="823"/>
      <c r="V13" s="823"/>
      <c r="W13" s="823"/>
      <c r="X13" s="823"/>
      <c r="Y13" s="823"/>
      <c r="Z13" s="823"/>
      <c r="AA13" s="823"/>
      <c r="AB13" s="823"/>
      <c r="AC13" s="823"/>
      <c r="AD13" s="823"/>
      <c r="AE13" s="823"/>
      <c r="AF13" s="823"/>
      <c r="AG13" s="967">
        <f t="shared" si="1"/>
        <v>0</v>
      </c>
      <c r="AH13" s="19"/>
      <c r="AI13" s="924"/>
      <c r="AJ13" s="38"/>
      <c r="AK13" s="923"/>
      <c r="AL13" s="38"/>
      <c r="AM13" s="38"/>
      <c r="AN13" s="38"/>
      <c r="AP13" s="226"/>
      <c r="AS13" s="970"/>
      <c r="AT13" s="970"/>
      <c r="AU13" s="921"/>
      <c r="AV13" s="921"/>
      <c r="AW13" s="921"/>
      <c r="AX13" s="918"/>
      <c r="AY13" s="918"/>
      <c r="AZ13" s="919"/>
    </row>
    <row r="14" ht="29.25" customHeight="1">
      <c r="A14" s="966" t="s">
        <v>183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967">
        <f t="shared" si="1"/>
        <v>0</v>
      </c>
      <c r="AH14" s="15"/>
      <c r="AI14" s="924"/>
      <c r="AJ14" s="38"/>
      <c r="AK14" s="923"/>
      <c r="AL14" s="38"/>
      <c r="AM14" s="38"/>
      <c r="AN14" s="38"/>
      <c r="AS14" s="865"/>
      <c r="AT14" s="975"/>
      <c r="AU14" s="38"/>
      <c r="AV14" s="976"/>
    </row>
    <row r="15" ht="29.25" customHeight="1">
      <c r="A15" s="966" t="s">
        <v>183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823"/>
      <c r="O15" s="823"/>
      <c r="P15" s="823"/>
      <c r="Q15" s="823"/>
      <c r="R15" s="823"/>
      <c r="S15" s="823"/>
      <c r="T15" s="823"/>
      <c r="U15" s="823"/>
      <c r="V15" s="823"/>
      <c r="W15" s="823"/>
      <c r="X15" s="823"/>
      <c r="Y15" s="823"/>
      <c r="Z15" s="823"/>
      <c r="AA15" s="823"/>
      <c r="AB15" s="823"/>
      <c r="AC15" s="823"/>
      <c r="AD15" s="823"/>
      <c r="AE15" s="823"/>
      <c r="AF15" s="823"/>
      <c r="AG15" s="967">
        <f t="shared" si="1"/>
        <v>0</v>
      </c>
      <c r="AH15" s="941"/>
      <c r="AI15" s="924"/>
      <c r="AJ15" s="38"/>
      <c r="AK15" s="38"/>
      <c r="AL15" s="38"/>
      <c r="AM15" s="38"/>
      <c r="AN15" s="38"/>
    </row>
    <row r="16" ht="29.25" customHeight="1">
      <c r="A16" s="966" t="s">
        <v>183</v>
      </c>
      <c r="B16" s="823"/>
      <c r="C16" s="823"/>
      <c r="D16" s="823"/>
      <c r="E16" s="823"/>
      <c r="F16" s="823"/>
      <c r="G16" s="823"/>
      <c r="H16" s="823"/>
      <c r="I16" s="823"/>
      <c r="J16" s="823"/>
      <c r="K16" s="823"/>
      <c r="L16" s="823"/>
      <c r="M16" s="823"/>
      <c r="N16" s="823"/>
      <c r="O16" s="823"/>
      <c r="P16" s="823"/>
      <c r="Q16" s="823"/>
      <c r="R16" s="823"/>
      <c r="S16" s="823"/>
      <c r="T16" s="823"/>
      <c r="U16" s="823"/>
      <c r="V16" s="823"/>
      <c r="W16" s="823"/>
      <c r="X16" s="823"/>
      <c r="Y16" s="823"/>
      <c r="Z16" s="823"/>
      <c r="AA16" s="823"/>
      <c r="AB16" s="823"/>
      <c r="AC16" s="823"/>
      <c r="AD16" s="823"/>
      <c r="AE16" s="823"/>
      <c r="AF16" s="823"/>
      <c r="AG16" s="967">
        <f t="shared" si="1"/>
        <v>0</v>
      </c>
      <c r="AH16" s="941"/>
      <c r="AI16" s="924"/>
      <c r="AJ16" s="38"/>
      <c r="AK16" s="38"/>
      <c r="AL16" s="38"/>
      <c r="AM16" s="38"/>
      <c r="AN16" s="38"/>
      <c r="AP16" s="38"/>
      <c r="AQ16" s="38"/>
      <c r="AR16" s="38"/>
      <c r="AS16" s="425"/>
      <c r="AT16" s="425"/>
      <c r="AU16" s="916"/>
      <c r="AV16" s="425"/>
      <c r="AW16" s="745"/>
      <c r="AX16" s="745"/>
      <c r="AY16" s="745"/>
      <c r="AZ16" s="917"/>
    </row>
    <row r="17" ht="29.25" customHeight="1">
      <c r="A17" s="966" t="s">
        <v>183</v>
      </c>
      <c r="B17" s="823"/>
      <c r="C17" s="823"/>
      <c r="D17" s="823"/>
      <c r="E17" s="823"/>
      <c r="F17" s="823"/>
      <c r="G17" s="823"/>
      <c r="H17" s="823"/>
      <c r="I17" s="823"/>
      <c r="J17" s="823"/>
      <c r="K17" s="823"/>
      <c r="L17" s="823"/>
      <c r="M17" s="823"/>
      <c r="N17" s="823"/>
      <c r="O17" s="823"/>
      <c r="P17" s="823"/>
      <c r="Q17" s="823"/>
      <c r="R17" s="823"/>
      <c r="S17" s="823"/>
      <c r="T17" s="823"/>
      <c r="U17" s="823"/>
      <c r="V17" s="823"/>
      <c r="W17" s="823"/>
      <c r="X17" s="823"/>
      <c r="Y17" s="823"/>
      <c r="Z17" s="823"/>
      <c r="AA17" s="823"/>
      <c r="AB17" s="823"/>
      <c r="AC17" s="823"/>
      <c r="AD17" s="823"/>
      <c r="AE17" s="823"/>
      <c r="AF17" s="823"/>
      <c r="AG17" s="967">
        <f t="shared" si="1"/>
        <v>0</v>
      </c>
      <c r="AH17" s="941"/>
      <c r="AI17" s="924"/>
      <c r="AJ17" s="38"/>
      <c r="AK17" s="38"/>
      <c r="AL17" s="38"/>
      <c r="AM17" s="38"/>
      <c r="AN17" s="38"/>
      <c r="AP17" s="745"/>
      <c r="AS17" s="918"/>
      <c r="AT17" s="918"/>
      <c r="AU17" s="918"/>
      <c r="AV17" s="918"/>
      <c r="AW17" s="918"/>
      <c r="AX17" s="918"/>
      <c r="AY17" s="918"/>
      <c r="AZ17" s="38"/>
    </row>
    <row r="18" ht="30.0" customHeight="1">
      <c r="A18" s="977" t="s">
        <v>184</v>
      </c>
      <c r="B18" s="914"/>
      <c r="C18" s="914"/>
      <c r="D18" s="914"/>
      <c r="E18" s="914"/>
      <c r="F18" s="914"/>
      <c r="G18" s="914"/>
      <c r="H18" s="914"/>
      <c r="I18" s="914"/>
      <c r="J18" s="914"/>
      <c r="K18" s="914"/>
      <c r="L18" s="914"/>
      <c r="M18" s="914"/>
      <c r="N18" s="914"/>
      <c r="O18" s="914"/>
      <c r="P18" s="914"/>
      <c r="Q18" s="914"/>
      <c r="R18" s="914"/>
      <c r="S18" s="914"/>
      <c r="T18" s="914"/>
      <c r="U18" s="914"/>
      <c r="V18" s="914"/>
      <c r="W18" s="914"/>
      <c r="X18" s="914"/>
      <c r="Y18" s="914"/>
      <c r="Z18" s="914"/>
      <c r="AA18" s="914"/>
      <c r="AB18" s="914"/>
      <c r="AC18" s="914"/>
      <c r="AD18" s="914"/>
      <c r="AE18" s="914"/>
      <c r="AF18" s="914"/>
      <c r="AG18" s="915"/>
      <c r="AH18" s="58"/>
      <c r="AI18" s="924"/>
      <c r="AJ18" s="38"/>
      <c r="AK18" s="38"/>
      <c r="AL18" s="38"/>
      <c r="AM18" s="38"/>
      <c r="AN18" s="38"/>
      <c r="AP18" s="226"/>
      <c r="AS18" s="918"/>
      <c r="AT18" s="918"/>
      <c r="AU18" s="918"/>
      <c r="AV18" s="918"/>
      <c r="AW18" s="918"/>
      <c r="AX18" s="918"/>
      <c r="AY18" s="918"/>
      <c r="AZ18" s="919"/>
    </row>
    <row r="19" ht="30.0" customHeight="1">
      <c r="AI19" s="38"/>
      <c r="AJ19" s="38"/>
      <c r="AK19" s="38"/>
      <c r="AL19" s="38"/>
      <c r="AM19" s="38"/>
      <c r="AN19" s="38"/>
      <c r="AP19" s="226"/>
      <c r="AS19" s="918"/>
      <c r="AT19" s="918"/>
      <c r="AU19" s="918"/>
      <c r="AV19" s="918"/>
      <c r="AW19" s="918"/>
      <c r="AX19" s="918"/>
      <c r="AY19" s="918"/>
      <c r="AZ19" s="919"/>
    </row>
    <row r="20" ht="30.0" customHeight="1">
      <c r="A20" s="978"/>
      <c r="B20" s="978"/>
      <c r="C20" s="978"/>
      <c r="D20" s="978"/>
      <c r="E20" s="978"/>
      <c r="F20" s="978"/>
      <c r="G20" s="978"/>
      <c r="H20" s="978"/>
      <c r="I20" s="978"/>
      <c r="J20" s="978"/>
      <c r="K20" s="978"/>
      <c r="L20" s="978"/>
      <c r="M20" s="978"/>
      <c r="N20" s="978"/>
      <c r="O20" s="978"/>
      <c r="P20" s="978"/>
      <c r="Q20" s="978"/>
      <c r="R20" s="978"/>
      <c r="S20" s="978"/>
      <c r="T20" s="978"/>
      <c r="U20" s="978"/>
      <c r="V20" s="978"/>
      <c r="W20" s="978"/>
      <c r="X20" s="978"/>
      <c r="Y20" s="978"/>
      <c r="Z20" s="978"/>
      <c r="AA20" s="978"/>
      <c r="AB20" s="978"/>
      <c r="AC20" s="978"/>
      <c r="AD20" s="978"/>
      <c r="AE20" s="978"/>
      <c r="AF20" s="12"/>
      <c r="AG20" s="979"/>
      <c r="AH20" s="58"/>
      <c r="AI20" s="38"/>
      <c r="AK20" s="38"/>
      <c r="AL20" s="38"/>
      <c r="AM20" s="38"/>
      <c r="AN20" s="38"/>
      <c r="AP20" s="746"/>
      <c r="AS20" s="920"/>
      <c r="AT20" s="920"/>
      <c r="AU20" s="920"/>
      <c r="AV20" s="920"/>
      <c r="AW20" s="920"/>
      <c r="AX20" s="920"/>
      <c r="AY20" s="920"/>
      <c r="AZ20" s="919"/>
      <c r="BA20" s="38"/>
    </row>
    <row r="21" ht="30.0" customHeight="1">
      <c r="A21" s="980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981"/>
      <c r="AH21" s="982"/>
      <c r="AK21" s="38"/>
      <c r="AL21" s="38"/>
      <c r="AM21" s="38"/>
      <c r="AN21" s="38"/>
      <c r="AP21" s="226"/>
      <c r="AS21" s="921"/>
      <c r="AT21" s="921"/>
      <c r="AU21" s="918"/>
      <c r="AV21" s="918"/>
      <c r="AW21" s="922"/>
      <c r="AX21" s="918"/>
      <c r="AY21" s="918"/>
      <c r="AZ21" s="919"/>
      <c r="BA21" s="38"/>
    </row>
    <row r="22" ht="30.0" customHeight="1">
      <c r="A22" s="213"/>
      <c r="B22" s="939"/>
      <c r="C22" s="939"/>
      <c r="D22" s="939"/>
      <c r="E22" s="983"/>
      <c r="F22" s="983"/>
      <c r="G22" s="983"/>
      <c r="H22" s="983"/>
      <c r="I22" s="983"/>
      <c r="J22" s="983"/>
      <c r="K22" s="983"/>
      <c r="L22" s="983"/>
      <c r="M22" s="983"/>
      <c r="N22" s="983"/>
      <c r="O22" s="983"/>
      <c r="P22" s="983"/>
      <c r="Q22" s="983"/>
      <c r="R22" s="983"/>
      <c r="S22" s="983"/>
      <c r="T22" s="983"/>
      <c r="U22" s="983"/>
      <c r="V22" s="983"/>
      <c r="W22" s="983"/>
      <c r="X22" s="983"/>
      <c r="Y22" s="983"/>
      <c r="Z22" s="983"/>
      <c r="AA22" s="983"/>
      <c r="AB22" s="983"/>
      <c r="AC22" s="983"/>
      <c r="AD22" s="983"/>
      <c r="AE22" s="983"/>
      <c r="AF22" s="983"/>
      <c r="AG22" s="940"/>
      <c r="AH22" s="984"/>
      <c r="AI22" s="942"/>
      <c r="AK22" s="38"/>
      <c r="AL22" s="38"/>
      <c r="AM22" s="38"/>
      <c r="AN22" s="38"/>
      <c r="AP22" s="226"/>
      <c r="AS22" s="921"/>
      <c r="AT22" s="921"/>
      <c r="AU22" s="918"/>
      <c r="AV22" s="918"/>
      <c r="AW22" s="922"/>
      <c r="AX22" s="918"/>
      <c r="AY22" s="918"/>
      <c r="AZ22" s="919"/>
    </row>
    <row r="23" ht="30.0" customHeight="1">
      <c r="A23" s="213"/>
      <c r="B23" s="939"/>
      <c r="C23" s="939"/>
      <c r="D23" s="939"/>
      <c r="E23" s="939"/>
      <c r="F23" s="939"/>
      <c r="G23" s="939"/>
      <c r="H23" s="939"/>
      <c r="I23" s="939"/>
      <c r="J23" s="939"/>
      <c r="K23" s="939"/>
      <c r="L23" s="939"/>
      <c r="M23" s="939"/>
      <c r="N23" s="939"/>
      <c r="O23" s="939"/>
      <c r="P23" s="939"/>
      <c r="Q23" s="939"/>
      <c r="R23" s="939"/>
      <c r="S23" s="939"/>
      <c r="T23" s="939"/>
      <c r="U23" s="833"/>
      <c r="V23" s="833"/>
      <c r="W23" s="833"/>
      <c r="X23" s="833"/>
      <c r="Y23" s="833"/>
      <c r="Z23" s="833"/>
      <c r="AA23" s="833"/>
      <c r="AB23" s="833"/>
      <c r="AC23" s="833"/>
      <c r="AD23" s="833"/>
      <c r="AE23" s="833"/>
      <c r="AF23" s="833"/>
      <c r="AG23" s="940"/>
      <c r="AH23" s="984"/>
      <c r="AI23" s="942"/>
      <c r="AK23" s="38"/>
      <c r="AL23" s="38"/>
      <c r="AM23" s="38"/>
      <c r="AN23" s="38"/>
      <c r="AP23" s="226"/>
      <c r="AS23" s="921"/>
      <c r="AT23" s="921"/>
      <c r="AU23" s="918"/>
      <c r="AV23" s="918"/>
      <c r="AW23" s="922"/>
      <c r="AX23" s="918"/>
      <c r="AY23" s="918"/>
      <c r="AZ23" s="919"/>
    </row>
    <row r="24" ht="30.0" customHeight="1">
      <c r="A24" s="193"/>
      <c r="B24" s="939"/>
      <c r="C24" s="939"/>
      <c r="D24" s="939"/>
      <c r="E24" s="939"/>
      <c r="F24" s="939"/>
      <c r="G24" s="939"/>
      <c r="H24" s="939"/>
      <c r="I24" s="833"/>
      <c r="J24" s="833"/>
      <c r="K24" s="833"/>
      <c r="L24" s="833"/>
      <c r="M24" s="833"/>
      <c r="N24" s="833"/>
      <c r="O24" s="833"/>
      <c r="P24" s="833"/>
      <c r="Q24" s="833"/>
      <c r="R24" s="833"/>
      <c r="S24" s="833"/>
      <c r="T24" s="833"/>
      <c r="U24" s="833"/>
      <c r="V24" s="833"/>
      <c r="W24" s="833"/>
      <c r="X24" s="833"/>
      <c r="Y24" s="833"/>
      <c r="Z24" s="833"/>
      <c r="AA24" s="833"/>
      <c r="AB24" s="833"/>
      <c r="AC24" s="833"/>
      <c r="AD24" s="833"/>
      <c r="AE24" s="833"/>
      <c r="AF24" s="833"/>
      <c r="AG24" s="940"/>
      <c r="AH24" s="941"/>
      <c r="AI24" s="942"/>
      <c r="AK24" s="38"/>
      <c r="AL24" s="38"/>
      <c r="AM24" s="38"/>
      <c r="AN24" s="38"/>
      <c r="AP24" s="226"/>
      <c r="AS24" s="921"/>
      <c r="AT24" s="921"/>
      <c r="AU24" s="918"/>
      <c r="AV24" s="918"/>
      <c r="AW24" s="921"/>
      <c r="AX24" s="918"/>
      <c r="AY24" s="918"/>
      <c r="AZ24" s="919"/>
    </row>
    <row r="25" ht="30.0" customHeight="1">
      <c r="A25" s="193"/>
      <c r="B25" s="939"/>
      <c r="C25" s="939"/>
      <c r="D25" s="939"/>
      <c r="E25" s="939"/>
      <c r="F25" s="939"/>
      <c r="G25" s="939"/>
      <c r="H25" s="939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33"/>
      <c r="T25" s="833"/>
      <c r="U25" s="833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940"/>
      <c r="AH25" s="941"/>
      <c r="AI25" s="942"/>
      <c r="AK25" s="38"/>
      <c r="AL25" s="38"/>
      <c r="AM25" s="38"/>
      <c r="AN25" s="38"/>
      <c r="AP25" s="226"/>
      <c r="AS25" s="921"/>
      <c r="AT25" s="921"/>
      <c r="AU25" s="918"/>
      <c r="AV25" s="918"/>
      <c r="AW25" s="921"/>
      <c r="AX25" s="918"/>
      <c r="AY25" s="918"/>
      <c r="AZ25" s="919"/>
    </row>
    <row r="26" ht="30.0" customHeight="1">
      <c r="A26" s="193"/>
      <c r="B26" s="939"/>
      <c r="C26" s="939"/>
      <c r="D26" s="939"/>
      <c r="E26" s="939"/>
      <c r="F26" s="939"/>
      <c r="G26" s="939"/>
      <c r="H26" s="939"/>
      <c r="I26" s="939"/>
      <c r="J26" s="939"/>
      <c r="K26" s="939"/>
      <c r="L26" s="939"/>
      <c r="M26" s="939"/>
      <c r="N26" s="939"/>
      <c r="O26" s="939"/>
      <c r="P26" s="939"/>
      <c r="Q26" s="939"/>
      <c r="R26" s="939"/>
      <c r="S26" s="939"/>
      <c r="T26" s="939"/>
      <c r="U26" s="833"/>
      <c r="V26" s="833"/>
      <c r="W26" s="833"/>
      <c r="X26" s="833"/>
      <c r="Y26" s="833"/>
      <c r="Z26" s="833"/>
      <c r="AA26" s="833"/>
      <c r="AB26" s="833"/>
      <c r="AC26" s="833"/>
      <c r="AD26" s="833"/>
      <c r="AE26" s="833"/>
      <c r="AF26" s="833"/>
      <c r="AG26" s="940"/>
      <c r="AH26" s="941"/>
      <c r="AI26" s="942"/>
      <c r="AK26" s="38"/>
      <c r="AL26" s="38"/>
      <c r="AM26" s="38"/>
      <c r="AN26" s="38"/>
      <c r="AP26" s="226"/>
      <c r="AS26" s="921"/>
      <c r="AT26" s="921"/>
      <c r="AU26" s="918"/>
      <c r="AV26" s="918"/>
      <c r="AW26" s="921"/>
      <c r="AX26" s="918"/>
      <c r="AY26" s="918"/>
      <c r="AZ26" s="919"/>
    </row>
    <row r="27" ht="30.0" customHeight="1">
      <c r="A27" s="193"/>
      <c r="B27" s="939"/>
      <c r="C27" s="939"/>
      <c r="D27" s="939"/>
      <c r="E27" s="939"/>
      <c r="F27" s="939"/>
      <c r="G27" s="939"/>
      <c r="H27" s="939"/>
      <c r="I27" s="939"/>
      <c r="J27" s="939"/>
      <c r="K27" s="939"/>
      <c r="L27" s="939"/>
      <c r="M27" s="939"/>
      <c r="N27" s="939"/>
      <c r="O27" s="939"/>
      <c r="P27" s="939"/>
      <c r="Q27" s="939"/>
      <c r="R27" s="939"/>
      <c r="S27" s="939"/>
      <c r="T27" s="939"/>
      <c r="U27" s="833"/>
      <c r="V27" s="833"/>
      <c r="W27" s="833"/>
      <c r="X27" s="833"/>
      <c r="Y27" s="833"/>
      <c r="Z27" s="833"/>
      <c r="AA27" s="833"/>
      <c r="AB27" s="833"/>
      <c r="AC27" s="833"/>
      <c r="AD27" s="833"/>
      <c r="AE27" s="833"/>
      <c r="AF27" s="833"/>
      <c r="AG27" s="940"/>
      <c r="AH27" s="941"/>
      <c r="AI27" s="942"/>
      <c r="AK27" s="38"/>
      <c r="AL27" s="38"/>
      <c r="AM27" s="38"/>
      <c r="AN27" s="38"/>
      <c r="AS27" s="865"/>
      <c r="AT27" s="976"/>
      <c r="AU27" s="38"/>
      <c r="AV27" s="976"/>
    </row>
    <row r="28" ht="30.0" customHeight="1">
      <c r="A28" s="193"/>
      <c r="B28" s="939"/>
      <c r="C28" s="939"/>
      <c r="D28" s="939"/>
      <c r="E28" s="939"/>
      <c r="F28" s="939"/>
      <c r="G28" s="939"/>
      <c r="H28" s="939"/>
      <c r="I28" s="939"/>
      <c r="J28" s="939"/>
      <c r="K28" s="939"/>
      <c r="L28" s="939"/>
      <c r="M28" s="939"/>
      <c r="N28" s="939"/>
      <c r="O28" s="939"/>
      <c r="P28" s="939"/>
      <c r="Q28" s="939"/>
      <c r="R28" s="939"/>
      <c r="S28" s="939"/>
      <c r="T28" s="939"/>
      <c r="U28" s="833"/>
      <c r="V28" s="833"/>
      <c r="W28" s="833"/>
      <c r="X28" s="833"/>
      <c r="Y28" s="833"/>
      <c r="Z28" s="833"/>
      <c r="AA28" s="833"/>
      <c r="AB28" s="833"/>
      <c r="AC28" s="833"/>
      <c r="AD28" s="833"/>
      <c r="AE28" s="833"/>
      <c r="AF28" s="833"/>
      <c r="AG28" s="940"/>
      <c r="AH28" s="941"/>
      <c r="AI28" s="942"/>
      <c r="AK28" s="38"/>
      <c r="AL28" s="38"/>
      <c r="AM28" s="38"/>
      <c r="AN28" s="38"/>
    </row>
    <row r="29" ht="30.0" customHeight="1">
      <c r="A29" s="193"/>
      <c r="B29" s="939"/>
      <c r="C29" s="939"/>
      <c r="D29" s="939"/>
      <c r="E29" s="939"/>
      <c r="F29" s="939"/>
      <c r="G29" s="939"/>
      <c r="H29" s="939"/>
      <c r="I29" s="944"/>
      <c r="J29" s="939"/>
      <c r="K29" s="939"/>
      <c r="L29" s="939"/>
      <c r="M29" s="939"/>
      <c r="N29" s="985"/>
      <c r="O29" s="985"/>
      <c r="P29" s="985"/>
      <c r="Q29" s="985"/>
      <c r="R29" s="985"/>
      <c r="S29" s="985"/>
      <c r="T29" s="985"/>
      <c r="U29" s="985"/>
      <c r="V29" s="985"/>
      <c r="W29" s="985"/>
      <c r="X29" s="985"/>
      <c r="Y29" s="985"/>
      <c r="Z29" s="985"/>
      <c r="AA29" s="985"/>
      <c r="AB29" s="985"/>
      <c r="AC29" s="985"/>
      <c r="AD29" s="985"/>
      <c r="AE29" s="985"/>
      <c r="AF29" s="985"/>
      <c r="AG29" s="940"/>
      <c r="AH29" s="941"/>
      <c r="AI29" s="942"/>
      <c r="AK29" s="38"/>
      <c r="AL29" s="38"/>
      <c r="AM29" s="38"/>
      <c r="AN29" s="38"/>
    </row>
    <row r="30" ht="31.5" customHeight="1">
      <c r="A30" s="193"/>
      <c r="B30" s="939"/>
      <c r="C30" s="939"/>
      <c r="D30" s="939"/>
      <c r="E30" s="939"/>
      <c r="F30" s="939"/>
      <c r="G30" s="939"/>
      <c r="H30" s="939"/>
      <c r="I30" s="945"/>
      <c r="J30" s="833"/>
      <c r="K30" s="939"/>
      <c r="L30" s="939"/>
      <c r="M30" s="939"/>
      <c r="N30" s="939"/>
      <c r="O30" s="939"/>
      <c r="P30" s="939"/>
      <c r="Q30" s="939"/>
      <c r="R30" s="939"/>
      <c r="S30" s="939"/>
      <c r="T30" s="939"/>
      <c r="U30" s="833"/>
      <c r="V30" s="833"/>
      <c r="W30" s="833"/>
      <c r="X30" s="833"/>
      <c r="Y30" s="833"/>
      <c r="Z30" s="833"/>
      <c r="AA30" s="833"/>
      <c r="AB30" s="833"/>
      <c r="AC30" s="833"/>
      <c r="AD30" s="833"/>
      <c r="AE30" s="833"/>
      <c r="AF30" s="833"/>
      <c r="AG30" s="940"/>
      <c r="AH30" s="941"/>
      <c r="AI30" s="942"/>
      <c r="AK30" s="38"/>
      <c r="AL30" s="38"/>
      <c r="AM30" s="38"/>
      <c r="AN30" s="38"/>
    </row>
    <row r="31" ht="31.5" customHeight="1">
      <c r="A31" s="193"/>
      <c r="B31" s="939"/>
      <c r="C31" s="939"/>
      <c r="D31" s="939"/>
      <c r="E31" s="939"/>
      <c r="F31" s="939"/>
      <c r="G31" s="939"/>
      <c r="H31" s="939"/>
      <c r="I31" s="945"/>
      <c r="J31" s="833"/>
      <c r="K31" s="939"/>
      <c r="L31" s="939"/>
      <c r="M31" s="939"/>
      <c r="N31" s="939"/>
      <c r="O31" s="939"/>
      <c r="P31" s="939"/>
      <c r="Q31" s="939"/>
      <c r="R31" s="939"/>
      <c r="S31" s="939"/>
      <c r="T31" s="939"/>
      <c r="U31" s="833"/>
      <c r="V31" s="833"/>
      <c r="W31" s="833"/>
      <c r="X31" s="833"/>
      <c r="Y31" s="833"/>
      <c r="Z31" s="833"/>
      <c r="AA31" s="833"/>
      <c r="AB31" s="833"/>
      <c r="AC31" s="833"/>
      <c r="AD31" s="833"/>
      <c r="AE31" s="833"/>
      <c r="AF31" s="833"/>
      <c r="AG31" s="940"/>
      <c r="AH31" s="941"/>
      <c r="AI31" s="942"/>
      <c r="AK31" s="38"/>
      <c r="AL31" s="38"/>
      <c r="AM31" s="38"/>
      <c r="AN31" s="38"/>
    </row>
    <row r="32" ht="31.5" customHeight="1">
      <c r="A32" s="193"/>
      <c r="B32" s="939"/>
      <c r="C32" s="939"/>
      <c r="D32" s="939"/>
      <c r="E32" s="939"/>
      <c r="F32" s="939"/>
      <c r="G32" s="939"/>
      <c r="H32" s="939"/>
      <c r="I32" s="945"/>
      <c r="J32" s="833"/>
      <c r="K32" s="939"/>
      <c r="L32" s="939"/>
      <c r="M32" s="939"/>
      <c r="N32" s="939"/>
      <c r="O32" s="939"/>
      <c r="P32" s="939"/>
      <c r="Q32" s="939"/>
      <c r="R32" s="939"/>
      <c r="S32" s="939"/>
      <c r="T32" s="939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940"/>
      <c r="AH32" s="941"/>
      <c r="AI32" s="942"/>
      <c r="AK32" s="38"/>
      <c r="AL32" s="38"/>
      <c r="AM32" s="38"/>
      <c r="AN32" s="38"/>
    </row>
    <row r="33" ht="31.5" customHeight="1">
      <c r="A33" s="986"/>
      <c r="B33" s="987"/>
      <c r="C33" s="987"/>
      <c r="D33" s="987"/>
      <c r="E33" s="987"/>
      <c r="F33" s="987"/>
      <c r="G33" s="987"/>
      <c r="H33" s="987"/>
      <c r="I33" s="987"/>
      <c r="J33" s="987"/>
      <c r="K33" s="987"/>
      <c r="L33" s="987"/>
      <c r="M33" s="987"/>
      <c r="N33" s="987"/>
      <c r="O33" s="987"/>
      <c r="P33" s="987"/>
      <c r="Q33" s="987"/>
      <c r="R33" s="987"/>
      <c r="S33" s="987"/>
      <c r="T33" s="987"/>
      <c r="U33" s="987"/>
      <c r="V33" s="987"/>
      <c r="W33" s="987"/>
      <c r="X33" s="987"/>
      <c r="Y33" s="987"/>
      <c r="Z33" s="987"/>
      <c r="AA33" s="987"/>
      <c r="AB33" s="987"/>
      <c r="AC33" s="987"/>
      <c r="AD33" s="987"/>
      <c r="AE33" s="987"/>
      <c r="AF33" s="987"/>
      <c r="AG33" s="915"/>
      <c r="AH33" s="58"/>
      <c r="AI33" s="942"/>
      <c r="AO33" s="226"/>
    </row>
    <row r="34" ht="31.5" customHeight="1">
      <c r="AO34" s="226"/>
    </row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>
      <c r="A45" s="193"/>
      <c r="B45" s="939"/>
      <c r="C45" s="939"/>
      <c r="D45" s="939"/>
      <c r="E45" s="939"/>
      <c r="F45" s="939"/>
      <c r="G45" s="939"/>
      <c r="H45" s="939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833"/>
      <c r="AB45" s="833"/>
      <c r="AC45" s="833"/>
      <c r="AD45" s="833"/>
      <c r="AE45" s="833"/>
      <c r="AF45" s="833"/>
      <c r="AG45" s="940"/>
      <c r="AH45" s="941"/>
      <c r="AI45" s="942"/>
    </row>
    <row r="46" ht="31.5" customHeight="1">
      <c r="A46" s="943"/>
      <c r="B46" s="939"/>
      <c r="C46" s="939"/>
      <c r="D46" s="939"/>
      <c r="E46" s="939"/>
      <c r="F46" s="939"/>
      <c r="G46" s="939"/>
      <c r="H46" s="939"/>
      <c r="I46" s="939"/>
      <c r="J46" s="939"/>
      <c r="K46" s="939"/>
      <c r="L46" s="939"/>
      <c r="M46" s="939"/>
      <c r="N46" s="939"/>
      <c r="O46" s="939"/>
      <c r="P46" s="939"/>
      <c r="Q46" s="939"/>
      <c r="R46" s="939"/>
      <c r="S46" s="939"/>
      <c r="T46" s="939"/>
      <c r="U46" s="833"/>
      <c r="V46" s="833"/>
      <c r="W46" s="833"/>
      <c r="X46" s="833"/>
      <c r="Y46" s="833"/>
      <c r="Z46" s="833"/>
      <c r="AA46" s="833"/>
      <c r="AB46" s="833"/>
      <c r="AC46" s="833"/>
      <c r="AD46" s="833"/>
      <c r="AE46" s="833"/>
      <c r="AF46" s="833"/>
      <c r="AG46" s="940"/>
      <c r="AH46" s="941"/>
      <c r="AI46" s="942"/>
    </row>
    <row r="47" ht="31.5" customHeight="1">
      <c r="A47" s="193"/>
      <c r="B47" s="939"/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  <c r="O47" s="939"/>
      <c r="P47" s="939"/>
      <c r="Q47" s="939"/>
      <c r="R47" s="939"/>
      <c r="S47" s="939"/>
      <c r="T47" s="939"/>
      <c r="U47" s="833"/>
      <c r="V47" s="833"/>
      <c r="W47" s="833"/>
      <c r="X47" s="833"/>
      <c r="Y47" s="833"/>
      <c r="Z47" s="833"/>
      <c r="AA47" s="833"/>
      <c r="AB47" s="833"/>
      <c r="AC47" s="833"/>
      <c r="AD47" s="833"/>
      <c r="AE47" s="833"/>
      <c r="AF47" s="833"/>
      <c r="AG47" s="940"/>
      <c r="AH47" s="941"/>
      <c r="AI47" s="942"/>
    </row>
    <row r="48" ht="31.5" customHeight="1">
      <c r="A48" s="193"/>
      <c r="B48" s="939"/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  <c r="O48" s="939"/>
      <c r="P48" s="939"/>
      <c r="Q48" s="939"/>
      <c r="R48" s="939"/>
      <c r="S48" s="939"/>
      <c r="T48" s="939"/>
      <c r="U48" s="833"/>
      <c r="V48" s="833"/>
      <c r="W48" s="833"/>
      <c r="X48" s="833"/>
      <c r="Y48" s="833"/>
      <c r="Z48" s="833"/>
      <c r="AA48" s="833"/>
      <c r="AB48" s="833"/>
      <c r="AC48" s="833"/>
      <c r="AD48" s="833"/>
      <c r="AE48" s="833"/>
      <c r="AF48" s="833"/>
      <c r="AG48" s="940"/>
      <c r="AH48" s="941"/>
      <c r="AI48" s="942"/>
    </row>
    <row r="49" ht="31.5" customHeight="1">
      <c r="A49" s="193"/>
      <c r="B49" s="939"/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  <c r="O49" s="939"/>
      <c r="P49" s="939"/>
      <c r="Q49" s="939"/>
      <c r="R49" s="939"/>
      <c r="S49" s="939"/>
      <c r="T49" s="939"/>
      <c r="U49" s="833"/>
      <c r="V49" s="833"/>
      <c r="W49" s="833"/>
      <c r="X49" s="833"/>
      <c r="Y49" s="833"/>
      <c r="Z49" s="833"/>
      <c r="AA49" s="833"/>
      <c r="AB49" s="833"/>
      <c r="AC49" s="833"/>
      <c r="AD49" s="833"/>
      <c r="AE49" s="833"/>
      <c r="AF49" s="833"/>
      <c r="AG49" s="940"/>
      <c r="AH49" s="941"/>
      <c r="AI49" s="942"/>
    </row>
    <row r="50" ht="31.5" customHeight="1">
      <c r="A50" s="193"/>
      <c r="B50" s="939"/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  <c r="O50" s="939"/>
      <c r="P50" s="939"/>
      <c r="Q50" s="939"/>
      <c r="R50" s="939"/>
      <c r="S50" s="939"/>
      <c r="T50" s="939"/>
      <c r="U50" s="833"/>
      <c r="V50" s="833"/>
      <c r="W50" s="833"/>
      <c r="X50" s="833"/>
      <c r="Y50" s="833"/>
      <c r="Z50" s="833"/>
      <c r="AA50" s="833"/>
      <c r="AB50" s="833"/>
      <c r="AC50" s="833"/>
      <c r="AD50" s="833"/>
      <c r="AE50" s="833"/>
      <c r="AF50" s="833"/>
      <c r="AG50" s="940"/>
      <c r="AH50" s="941"/>
      <c r="AI50" s="942"/>
    </row>
    <row r="51" ht="31.5" customHeight="1">
      <c r="A51" s="193"/>
      <c r="B51" s="939"/>
      <c r="C51" s="939"/>
      <c r="D51" s="939"/>
      <c r="E51" s="939"/>
      <c r="F51" s="939"/>
      <c r="G51" s="939"/>
      <c r="H51" s="939"/>
      <c r="I51" s="944"/>
      <c r="J51" s="939"/>
      <c r="K51" s="939"/>
      <c r="L51" s="939"/>
      <c r="M51" s="939"/>
      <c r="N51" s="939"/>
      <c r="O51" s="939"/>
      <c r="P51" s="939"/>
      <c r="Q51" s="939"/>
      <c r="R51" s="939"/>
      <c r="S51" s="939"/>
      <c r="T51" s="939"/>
      <c r="U51" s="833"/>
      <c r="V51" s="833"/>
      <c r="W51" s="833"/>
      <c r="X51" s="833"/>
      <c r="Y51" s="833"/>
      <c r="Z51" s="833"/>
      <c r="AA51" s="833"/>
      <c r="AB51" s="833"/>
      <c r="AC51" s="833"/>
      <c r="AD51" s="833"/>
      <c r="AE51" s="833"/>
      <c r="AF51" s="833"/>
      <c r="AG51" s="940"/>
      <c r="AH51" s="941"/>
      <c r="AI51" s="942"/>
    </row>
    <row r="52" ht="31.5" customHeight="1">
      <c r="A52" s="193"/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39"/>
      <c r="U52" s="833"/>
      <c r="V52" s="833"/>
      <c r="W52" s="833"/>
      <c r="X52" s="833"/>
      <c r="Y52" s="833"/>
      <c r="Z52" s="833"/>
      <c r="AA52" s="833"/>
      <c r="AB52" s="833"/>
      <c r="AC52" s="833"/>
      <c r="AD52" s="833"/>
      <c r="AE52" s="833"/>
      <c r="AF52" s="833"/>
      <c r="AG52" s="940"/>
      <c r="AH52" s="941"/>
      <c r="AI52" s="942"/>
    </row>
    <row r="53" ht="31.5" customHeight="1">
      <c r="A53" s="193"/>
      <c r="B53" s="939"/>
      <c r="C53" s="939"/>
      <c r="D53" s="939"/>
      <c r="E53" s="939"/>
      <c r="F53" s="939"/>
      <c r="G53" s="939"/>
      <c r="H53" s="939"/>
      <c r="I53" s="939"/>
      <c r="J53" s="939"/>
      <c r="K53" s="939"/>
      <c r="L53" s="939"/>
      <c r="M53" s="939"/>
      <c r="N53" s="939"/>
      <c r="O53" s="939"/>
      <c r="P53" s="939"/>
      <c r="Q53" s="939"/>
      <c r="R53" s="939"/>
      <c r="S53" s="939"/>
      <c r="T53" s="939"/>
      <c r="U53" s="833"/>
      <c r="V53" s="833"/>
      <c r="W53" s="833"/>
      <c r="X53" s="833"/>
      <c r="Y53" s="833"/>
      <c r="Z53" s="833"/>
      <c r="AA53" s="833"/>
      <c r="AB53" s="833"/>
      <c r="AC53" s="833"/>
      <c r="AD53" s="833"/>
      <c r="AE53" s="833"/>
      <c r="AF53" s="833"/>
      <c r="AG53" s="940"/>
      <c r="AH53" s="941"/>
      <c r="AI53" s="942"/>
    </row>
    <row r="54" ht="31.5" customHeight="1">
      <c r="A54" s="193"/>
      <c r="B54" s="939"/>
      <c r="C54" s="939"/>
      <c r="D54" s="939"/>
      <c r="E54" s="939"/>
      <c r="F54" s="939"/>
      <c r="G54" s="939"/>
      <c r="H54" s="939"/>
      <c r="I54" s="945"/>
      <c r="J54" s="833"/>
      <c r="K54" s="939"/>
      <c r="L54" s="939"/>
      <c r="M54" s="939"/>
      <c r="N54" s="939"/>
      <c r="O54" s="939"/>
      <c r="P54" s="939"/>
      <c r="Q54" s="939"/>
      <c r="R54" s="939"/>
      <c r="S54" s="939"/>
      <c r="T54" s="939"/>
      <c r="U54" s="833"/>
      <c r="V54" s="833"/>
      <c r="W54" s="833"/>
      <c r="X54" s="833"/>
      <c r="Y54" s="833"/>
      <c r="Z54" s="833"/>
      <c r="AA54" s="833"/>
      <c r="AB54" s="833"/>
      <c r="AC54" s="833"/>
      <c r="AD54" s="833"/>
      <c r="AE54" s="833"/>
      <c r="AF54" s="833"/>
      <c r="AG54" s="940"/>
      <c r="AH54" s="941"/>
      <c r="AI54" s="942"/>
    </row>
    <row r="55" ht="31.5" customHeight="1">
      <c r="A55" s="193"/>
      <c r="B55" s="939"/>
      <c r="C55" s="939"/>
      <c r="D55" s="939"/>
      <c r="E55" s="939"/>
      <c r="F55" s="939"/>
      <c r="G55" s="939"/>
      <c r="H55" s="939"/>
      <c r="I55" s="939"/>
      <c r="J55" s="939"/>
      <c r="K55" s="939"/>
      <c r="L55" s="939"/>
      <c r="M55" s="939"/>
      <c r="N55" s="939"/>
      <c r="O55" s="939"/>
      <c r="P55" s="939"/>
      <c r="Q55" s="939"/>
      <c r="R55" s="939"/>
      <c r="S55" s="939"/>
      <c r="T55" s="939"/>
      <c r="U55" s="833"/>
      <c r="V55" s="833"/>
      <c r="W55" s="833"/>
      <c r="X55" s="833"/>
      <c r="Y55" s="833"/>
      <c r="Z55" s="833"/>
      <c r="AA55" s="833"/>
      <c r="AB55" s="833"/>
      <c r="AC55" s="833"/>
      <c r="AD55" s="833"/>
      <c r="AE55" s="833"/>
      <c r="AF55" s="833"/>
      <c r="AG55" s="940"/>
      <c r="AH55" s="941"/>
      <c r="AI55" s="942"/>
    </row>
    <row r="56" ht="31.5" customHeight="1">
      <c r="A56" s="193"/>
      <c r="B56" s="939"/>
      <c r="C56" s="939"/>
      <c r="D56" s="939"/>
      <c r="E56" s="939"/>
      <c r="F56" s="939"/>
      <c r="G56" s="939"/>
      <c r="H56" s="939"/>
      <c r="I56" s="939"/>
      <c r="J56" s="939"/>
      <c r="K56" s="939"/>
      <c r="L56" s="939"/>
      <c r="M56" s="939"/>
      <c r="N56" s="939"/>
      <c r="O56" s="939"/>
      <c r="P56" s="939"/>
      <c r="Q56" s="939"/>
      <c r="R56" s="939"/>
      <c r="S56" s="939"/>
      <c r="T56" s="939"/>
      <c r="U56" s="833"/>
      <c r="V56" s="833"/>
      <c r="W56" s="833"/>
      <c r="X56" s="833"/>
      <c r="Y56" s="833"/>
      <c r="Z56" s="833"/>
      <c r="AA56" s="833"/>
      <c r="AB56" s="833"/>
      <c r="AC56" s="833"/>
      <c r="AD56" s="833"/>
      <c r="AE56" s="833"/>
      <c r="AF56" s="833"/>
      <c r="AG56" s="940"/>
      <c r="AH56" s="941"/>
      <c r="AI56" s="942"/>
    </row>
    <row r="57" ht="31.5" customHeight="1">
      <c r="A57" s="193"/>
      <c r="B57" s="939"/>
      <c r="C57" s="939"/>
      <c r="D57" s="939"/>
      <c r="E57" s="939"/>
      <c r="F57" s="939"/>
      <c r="G57" s="939"/>
      <c r="H57" s="939"/>
      <c r="I57" s="939"/>
      <c r="J57" s="939"/>
      <c r="K57" s="939"/>
      <c r="L57" s="939"/>
      <c r="M57" s="939"/>
      <c r="N57" s="939"/>
      <c r="O57" s="939"/>
      <c r="P57" s="939"/>
      <c r="Q57" s="939"/>
      <c r="R57" s="939"/>
      <c r="S57" s="939"/>
      <c r="T57" s="939"/>
      <c r="U57" s="833"/>
      <c r="V57" s="833"/>
      <c r="W57" s="833"/>
      <c r="X57" s="833"/>
      <c r="Y57" s="833"/>
      <c r="Z57" s="833"/>
      <c r="AA57" s="833"/>
      <c r="AB57" s="833"/>
      <c r="AC57" s="833"/>
      <c r="AD57" s="833"/>
      <c r="AE57" s="833"/>
      <c r="AF57" s="833"/>
      <c r="AG57" s="940"/>
      <c r="AH57" s="941"/>
      <c r="AI57" s="942"/>
    </row>
    <row r="58" ht="31.5" customHeight="1">
      <c r="AI58" s="38"/>
    </row>
    <row r="59" ht="15.75" customHeight="1">
      <c r="C59" s="796"/>
      <c r="D59" s="797"/>
      <c r="AG59" s="49"/>
      <c r="AH59" s="8"/>
    </row>
    <row r="60" ht="15.75" customHeight="1">
      <c r="C60" s="796"/>
      <c r="D60" s="797"/>
      <c r="AG60" s="49"/>
      <c r="AH60" s="8"/>
    </row>
    <row r="61" ht="15.75" customHeight="1">
      <c r="C61" s="796"/>
      <c r="D61" s="797"/>
      <c r="AG61" s="49"/>
      <c r="AH61" s="8"/>
    </row>
    <row r="62" ht="15.75" customHeight="1">
      <c r="C62" s="796"/>
      <c r="D62" s="797"/>
      <c r="AG62" s="49"/>
      <c r="AH62" s="8"/>
    </row>
    <row r="63" ht="15.75" customHeight="1">
      <c r="C63" s="796"/>
      <c r="D63" s="797"/>
      <c r="AG63" s="49"/>
      <c r="AH63" s="8"/>
    </row>
    <row r="64" ht="15.75" customHeight="1">
      <c r="C64" s="796"/>
      <c r="D64" s="797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H2:AI2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7:AR17"/>
    <mergeCell ref="AP18:AR18"/>
    <mergeCell ref="AP25:AR25"/>
    <mergeCell ref="AP26:AR26"/>
    <mergeCell ref="AP19:AR19"/>
    <mergeCell ref="AP20:AR20"/>
    <mergeCell ref="AH21:AI21"/>
    <mergeCell ref="AP21:AR21"/>
    <mergeCell ref="AP22:AR22"/>
    <mergeCell ref="AP23:AR23"/>
    <mergeCell ref="AP24:AR24"/>
  </mergeCells>
  <conditionalFormatting sqref="AK29:AN32 AO30:AO32 BA25:BA27 BB29:BN32">
    <cfRule type="notContainsBlanks" dxfId="0" priority="1">
      <formula>LEN(TRIM(AK29))&gt;0</formula>
    </cfRule>
  </conditionalFormatting>
  <conditionalFormatting sqref="AI3:AI18 AI20 AI22:AI33 AI35:AI57">
    <cfRule type="cellIs" dxfId="1" priority="2" operator="equal">
      <formula>"TRUE"</formula>
    </cfRule>
  </conditionalFormatting>
  <conditionalFormatting sqref="AI3:AI18 AI20 AI22:AI33 AI35:AI57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1.86"/>
    <col customWidth="1" min="34" max="34" width="0.14"/>
    <col customWidth="1" min="35" max="35" width="13.43"/>
  </cols>
  <sheetData>
    <row r="1" ht="36.75" customHeight="1">
      <c r="A1" s="1" t="s">
        <v>26</v>
      </c>
      <c r="B1" s="52"/>
      <c r="C1" s="53"/>
      <c r="D1" s="54"/>
      <c r="E1" s="55"/>
      <c r="F1" s="55"/>
      <c r="G1" s="55"/>
      <c r="H1" s="55"/>
      <c r="I1" s="55"/>
      <c r="J1" s="55"/>
      <c r="K1" s="55"/>
      <c r="L1" s="55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1</v>
      </c>
      <c r="AH1" s="56"/>
      <c r="AI1" s="58"/>
      <c r="AJ1" s="38"/>
      <c r="AK1" s="38"/>
      <c r="AL1" s="38"/>
      <c r="AM1" s="38"/>
      <c r="AN1" s="38"/>
      <c r="AO1" s="38"/>
      <c r="AP1" s="38"/>
      <c r="AQ1" s="38"/>
      <c r="AR1" s="38"/>
    </row>
    <row r="2" ht="24.0" customHeight="1">
      <c r="A2" s="59" t="s">
        <v>2</v>
      </c>
      <c r="B2" s="60">
        <v>1.0</v>
      </c>
      <c r="C2" s="60">
        <v>2.0</v>
      </c>
      <c r="D2" s="61">
        <v>3.0</v>
      </c>
      <c r="E2" s="60">
        <v>4.0</v>
      </c>
      <c r="F2" s="60">
        <v>5.0</v>
      </c>
      <c r="G2" s="60">
        <v>6.0</v>
      </c>
      <c r="H2" s="60">
        <v>7.0</v>
      </c>
      <c r="I2" s="60">
        <v>8.0</v>
      </c>
      <c r="J2" s="60">
        <v>9.0</v>
      </c>
      <c r="K2" s="60">
        <v>10.0</v>
      </c>
      <c r="L2" s="60">
        <v>11.0</v>
      </c>
      <c r="M2" s="60">
        <v>12.0</v>
      </c>
      <c r="N2" s="62">
        <v>13.0</v>
      </c>
      <c r="O2" s="62">
        <v>14.0</v>
      </c>
      <c r="P2" s="62">
        <v>15.0</v>
      </c>
      <c r="Q2" s="62">
        <v>16.0</v>
      </c>
      <c r="R2" s="62">
        <v>17.0</v>
      </c>
      <c r="S2" s="62">
        <v>18.0</v>
      </c>
      <c r="T2" s="62">
        <v>19.0</v>
      </c>
      <c r="U2" s="62">
        <v>20.0</v>
      </c>
      <c r="V2" s="62">
        <v>21.0</v>
      </c>
      <c r="W2" s="62">
        <v>22.0</v>
      </c>
      <c r="X2" s="62">
        <v>23.0</v>
      </c>
      <c r="Y2" s="62">
        <v>24.0</v>
      </c>
      <c r="Z2" s="62">
        <v>25.0</v>
      </c>
      <c r="AA2" s="62">
        <v>26.0</v>
      </c>
      <c r="AB2" s="62">
        <v>27.0</v>
      </c>
      <c r="AC2" s="62">
        <v>28.0</v>
      </c>
      <c r="AD2" s="62">
        <v>29.0</v>
      </c>
      <c r="AE2" s="62">
        <v>30.0</v>
      </c>
      <c r="AF2" s="63">
        <v>31.0</v>
      </c>
      <c r="AG2" s="64">
        <f>SUM(AG3:AG19)</f>
        <v>6455.98</v>
      </c>
      <c r="AH2" s="65"/>
      <c r="AI2" s="58"/>
      <c r="AJ2" s="38"/>
      <c r="AK2" s="38"/>
      <c r="AL2" s="38"/>
      <c r="AM2" s="38"/>
      <c r="AN2" s="38"/>
      <c r="AO2" s="38"/>
      <c r="AP2" s="38"/>
      <c r="AQ2" s="38"/>
      <c r="AR2" s="38"/>
      <c r="AS2" s="38"/>
    </row>
    <row r="3" ht="32.25" customHeight="1">
      <c r="A3" s="67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2"/>
      <c r="AG3" s="70">
        <f t="shared" ref="AG3:AG19" si="1">SUM(B3:AF3)</f>
        <v>0</v>
      </c>
      <c r="AH3" s="71"/>
      <c r="AI3" s="58"/>
      <c r="AJ3" s="38"/>
      <c r="AK3" s="38"/>
      <c r="AL3" s="38"/>
      <c r="AM3" s="38"/>
      <c r="AN3" s="38"/>
      <c r="AO3" s="38"/>
      <c r="AP3" s="38"/>
      <c r="AQ3" s="38"/>
      <c r="AR3" s="38"/>
      <c r="AS3" s="38"/>
    </row>
    <row r="4" ht="33.0" customHeight="1">
      <c r="A4" s="67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70">
        <f t="shared" si="1"/>
        <v>0</v>
      </c>
      <c r="AH4" s="76"/>
      <c r="AI4" s="58"/>
      <c r="AJ4" s="38"/>
      <c r="AK4" s="38"/>
      <c r="AL4" s="38"/>
      <c r="AM4" s="38"/>
      <c r="AN4" s="38"/>
      <c r="AO4" s="72"/>
      <c r="AP4" s="173">
        <v>1.0</v>
      </c>
      <c r="AQ4" s="174" t="s">
        <v>16</v>
      </c>
      <c r="AR4" s="173">
        <v>0.05</v>
      </c>
    </row>
    <row r="5" ht="36.75" customHeight="1">
      <c r="A5" s="15" t="s">
        <v>27</v>
      </c>
      <c r="B5" s="171"/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>
        <v>28.31</v>
      </c>
      <c r="X5" s="172">
        <v>15.0</v>
      </c>
      <c r="Y5" s="172">
        <v>16.86</v>
      </c>
      <c r="Z5" s="172">
        <v>19.74</v>
      </c>
      <c r="AA5" s="172">
        <v>19.62</v>
      </c>
      <c r="AB5" s="172">
        <v>9.24</v>
      </c>
      <c r="AC5" s="172">
        <v>13.62</v>
      </c>
      <c r="AD5" s="172">
        <v>18.12</v>
      </c>
      <c r="AE5" s="172">
        <v>25.74</v>
      </c>
      <c r="AF5" s="172">
        <v>7.5</v>
      </c>
      <c r="AG5" s="70">
        <f t="shared" si="1"/>
        <v>173.75</v>
      </c>
      <c r="AH5" s="65"/>
      <c r="AI5" s="58"/>
      <c r="AJ5" s="38"/>
      <c r="AK5" s="38"/>
      <c r="AL5" s="38"/>
      <c r="AM5" s="175" t="s">
        <v>18</v>
      </c>
      <c r="AN5" s="176"/>
      <c r="AO5" s="177"/>
      <c r="AP5" s="178">
        <f>SUM(B18:AF18,AB10:AF10)</f>
        <v>1189.3</v>
      </c>
      <c r="AQ5" s="178">
        <f>((AP5*(1-0.05))*(1-0.6))-5</f>
        <v>446.934</v>
      </c>
      <c r="AR5" s="178">
        <f>(AP5*(1-0.05))*(1-0.95)</f>
        <v>56.49175</v>
      </c>
    </row>
    <row r="6" ht="31.5" customHeight="1">
      <c r="A6" s="81" t="s">
        <v>5</v>
      </c>
      <c r="B6" s="179">
        <v>9.36</v>
      </c>
      <c r="C6" s="180">
        <v>4.5</v>
      </c>
      <c r="D6" s="181">
        <v>4.5</v>
      </c>
      <c r="E6" s="182">
        <v>1.5</v>
      </c>
      <c r="F6" s="182">
        <v>1.5</v>
      </c>
      <c r="G6" s="182">
        <v>6.0</v>
      </c>
      <c r="H6" s="182">
        <v>6.24</v>
      </c>
      <c r="I6" s="182">
        <v>13.62</v>
      </c>
      <c r="J6" s="182">
        <v>13.86</v>
      </c>
      <c r="K6" s="182">
        <v>3.0</v>
      </c>
      <c r="L6" s="182">
        <v>6.36</v>
      </c>
      <c r="M6" s="182">
        <v>7.62</v>
      </c>
      <c r="N6" s="181">
        <v>6.0</v>
      </c>
      <c r="O6" s="181">
        <v>10.62</v>
      </c>
      <c r="P6" s="182">
        <v>6.24</v>
      </c>
      <c r="Q6" s="182">
        <v>1.5</v>
      </c>
      <c r="R6" s="182">
        <v>3.12</v>
      </c>
      <c r="S6" s="182">
        <v>1.62</v>
      </c>
      <c r="T6" s="182">
        <v>7.5</v>
      </c>
      <c r="U6" s="182">
        <v>6.12</v>
      </c>
      <c r="V6" s="182">
        <v>1.5</v>
      </c>
      <c r="W6" s="182">
        <v>0.12</v>
      </c>
      <c r="X6" s="182">
        <v>1.62</v>
      </c>
      <c r="Y6" s="182">
        <v>6.0</v>
      </c>
      <c r="Z6" s="182">
        <v>1.74</v>
      </c>
      <c r="AA6" s="182">
        <v>0.12</v>
      </c>
      <c r="AB6" s="182">
        <v>3.0</v>
      </c>
      <c r="AC6" s="182">
        <v>1.5</v>
      </c>
      <c r="AD6" s="172"/>
      <c r="AE6" s="172">
        <v>3.12</v>
      </c>
      <c r="AF6" s="172">
        <v>1.5</v>
      </c>
      <c r="AG6" s="70">
        <f t="shared" si="1"/>
        <v>141</v>
      </c>
      <c r="AH6" s="65"/>
      <c r="AI6" s="58"/>
      <c r="AJ6" s="38"/>
      <c r="AK6" s="38"/>
      <c r="AL6" s="38"/>
      <c r="AM6" s="183"/>
      <c r="AN6" s="176"/>
      <c r="AO6" s="177"/>
      <c r="AP6" s="184"/>
      <c r="AQ6" s="184"/>
      <c r="AR6" s="184"/>
    </row>
    <row r="7" ht="23.25" customHeight="1">
      <c r="A7" s="88" t="s">
        <v>6</v>
      </c>
      <c r="B7" s="185">
        <v>49.74</v>
      </c>
      <c r="C7" s="185">
        <v>54.0</v>
      </c>
      <c r="D7" s="186">
        <v>30.12</v>
      </c>
      <c r="E7" s="187">
        <v>73.78</v>
      </c>
      <c r="F7" s="187">
        <v>69.12</v>
      </c>
      <c r="G7" s="187">
        <v>70.5</v>
      </c>
      <c r="H7" s="187">
        <v>78.12</v>
      </c>
      <c r="I7" s="187">
        <v>67.62</v>
      </c>
      <c r="J7" s="187">
        <v>64.54</v>
      </c>
      <c r="K7" s="187">
        <v>87.12</v>
      </c>
      <c r="L7" s="187">
        <v>55.5</v>
      </c>
      <c r="M7" s="185">
        <v>37.74</v>
      </c>
      <c r="N7" s="186">
        <v>72.0</v>
      </c>
      <c r="O7" s="186">
        <v>55.62</v>
      </c>
      <c r="P7" s="186">
        <v>79.62</v>
      </c>
      <c r="Q7" s="186">
        <v>118.5</v>
      </c>
      <c r="R7" s="186">
        <v>88.0</v>
      </c>
      <c r="S7" s="186">
        <v>87.0</v>
      </c>
      <c r="T7" s="186">
        <v>68.2</v>
      </c>
      <c r="U7" s="186">
        <v>63.48</v>
      </c>
      <c r="V7" s="186">
        <v>72.24</v>
      </c>
      <c r="W7" s="186">
        <v>60.12</v>
      </c>
      <c r="X7" s="186">
        <v>25.62</v>
      </c>
      <c r="Y7" s="186">
        <v>90.0</v>
      </c>
      <c r="Z7" s="186">
        <v>66.0</v>
      </c>
      <c r="AA7" s="186">
        <v>68.62</v>
      </c>
      <c r="AB7" s="186">
        <v>51.24</v>
      </c>
      <c r="AC7" s="186">
        <v>42.12</v>
      </c>
      <c r="AD7" s="172">
        <v>55.74</v>
      </c>
      <c r="AE7" s="172">
        <v>73.74</v>
      </c>
      <c r="AF7" s="172">
        <v>39.12</v>
      </c>
      <c r="AG7" s="70">
        <f t="shared" si="1"/>
        <v>2014.88</v>
      </c>
      <c r="AH7" s="69"/>
      <c r="AI7" s="58"/>
      <c r="AJ7" s="38"/>
      <c r="AK7" s="38"/>
      <c r="AL7" s="38"/>
      <c r="AM7" s="188" t="s">
        <v>20</v>
      </c>
      <c r="AN7" s="176"/>
      <c r="AO7" s="177"/>
      <c r="AP7" s="189">
        <f>SUM(B12:AF12)</f>
        <v>1594.74</v>
      </c>
      <c r="AQ7" s="189">
        <f>((AP7*(1-0.05))*(1-0.6))-5</f>
        <v>601.0012</v>
      </c>
      <c r="AR7" s="189">
        <f>(AP7*(1-0.05))*(1-0.95)</f>
        <v>75.75015</v>
      </c>
    </row>
    <row r="8" ht="28.5" customHeight="1">
      <c r="A8" s="190" t="s">
        <v>8</v>
      </c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70">
        <f t="shared" si="1"/>
        <v>0</v>
      </c>
      <c r="AH8" s="69"/>
      <c r="AI8" s="58"/>
      <c r="AJ8" s="38"/>
      <c r="AK8" s="38"/>
      <c r="AL8" s="38"/>
      <c r="AM8" s="191"/>
      <c r="AN8" s="176"/>
      <c r="AO8" s="177"/>
      <c r="AP8" s="192"/>
      <c r="AQ8" s="192"/>
      <c r="AR8" s="192"/>
    </row>
    <row r="9" ht="26.25" customHeight="1">
      <c r="A9" s="193" t="s">
        <v>28</v>
      </c>
      <c r="B9" s="172"/>
      <c r="C9" s="194">
        <v>1.5</v>
      </c>
      <c r="D9" s="194"/>
      <c r="E9" s="194">
        <v>1.5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70">
        <f t="shared" si="1"/>
        <v>3</v>
      </c>
      <c r="AH9" s="69"/>
      <c r="AI9" s="58"/>
      <c r="AJ9" s="38"/>
      <c r="AK9" s="38"/>
      <c r="AL9" s="38"/>
      <c r="AM9" s="195" t="s">
        <v>22</v>
      </c>
      <c r="AN9" s="176"/>
      <c r="AO9" s="177"/>
      <c r="AP9" s="196">
        <f>SUM(B10:AA10,B11:J11,H19:N19,P15:AF15)</f>
        <v>974.68</v>
      </c>
      <c r="AQ9" s="196">
        <f>((AP9*(1-0.05))*(1-0.6))-10</f>
        <v>360.3784</v>
      </c>
      <c r="AR9" s="196">
        <f t="shared" ref="AR9:AR11" si="2">(AP9*(1-0.05))*(1-0.95)</f>
        <v>46.2973</v>
      </c>
    </row>
    <row r="10" ht="21.0" customHeight="1">
      <c r="A10" s="81" t="s">
        <v>29</v>
      </c>
      <c r="B10" s="197"/>
      <c r="C10" s="197"/>
      <c r="D10" s="197">
        <v>0.84</v>
      </c>
      <c r="E10" s="197">
        <v>10.26</v>
      </c>
      <c r="F10" s="197">
        <v>18.33</v>
      </c>
      <c r="G10" s="198">
        <v>3.0</v>
      </c>
      <c r="H10" s="197">
        <v>8.95</v>
      </c>
      <c r="I10" s="197">
        <v>14.24</v>
      </c>
      <c r="J10" s="197">
        <v>3.14</v>
      </c>
      <c r="K10" s="197">
        <v>17.66</v>
      </c>
      <c r="L10" s="197">
        <v>11.94</v>
      </c>
      <c r="M10" s="197">
        <v>15.31</v>
      </c>
      <c r="N10" s="197">
        <v>35.3</v>
      </c>
      <c r="O10" s="197">
        <v>29.98</v>
      </c>
      <c r="P10" s="197">
        <v>41.05</v>
      </c>
      <c r="Q10" s="197">
        <v>4.92</v>
      </c>
      <c r="R10" s="197">
        <v>16.76</v>
      </c>
      <c r="S10" s="197">
        <v>28.6</v>
      </c>
      <c r="T10" s="197">
        <v>30.89</v>
      </c>
      <c r="U10" s="199">
        <v>3.0</v>
      </c>
      <c r="V10" s="197">
        <v>19.48</v>
      </c>
      <c r="W10" s="197">
        <v>9.25</v>
      </c>
      <c r="X10" s="197">
        <v>4.5</v>
      </c>
      <c r="Y10" s="197">
        <v>3.1</v>
      </c>
      <c r="Z10" s="197">
        <v>12.58</v>
      </c>
      <c r="AA10" s="197">
        <v>0.0</v>
      </c>
      <c r="AB10" s="200">
        <v>1.5</v>
      </c>
      <c r="AC10" s="200"/>
      <c r="AD10" s="200">
        <v>3.0</v>
      </c>
      <c r="AE10" s="200"/>
      <c r="AF10" s="200">
        <v>3.12</v>
      </c>
      <c r="AG10" s="70">
        <f t="shared" si="1"/>
        <v>350.7</v>
      </c>
      <c r="AH10" s="69"/>
      <c r="AI10" s="58"/>
      <c r="AJ10" s="38"/>
      <c r="AK10" s="38"/>
      <c r="AL10" s="38"/>
      <c r="AM10" s="201" t="s">
        <v>23</v>
      </c>
      <c r="AN10" s="176"/>
      <c r="AO10" s="177"/>
      <c r="AP10" s="202">
        <f>SUM(N11:R11,C9:E9,B16:I16,H14:J14,N16,S11:W11,T17:W17,X11:AF11,X17:AF17)</f>
        <v>182.52</v>
      </c>
      <c r="AQ10" s="202">
        <f>((AP10*(1-0.05))*(1-0.6))-5</f>
        <v>64.3576</v>
      </c>
      <c r="AR10" s="202">
        <f t="shared" si="2"/>
        <v>8.6697</v>
      </c>
    </row>
    <row r="11" ht="27.0" customHeight="1">
      <c r="A11" s="203" t="s">
        <v>3</v>
      </c>
      <c r="B11" s="204">
        <v>27.54</v>
      </c>
      <c r="C11" s="204">
        <v>3.3</v>
      </c>
      <c r="D11" s="204">
        <v>3.3</v>
      </c>
      <c r="E11" s="204">
        <v>3.0</v>
      </c>
      <c r="F11" s="205">
        <v>23.25</v>
      </c>
      <c r="G11" s="206"/>
      <c r="H11" s="204"/>
      <c r="I11" s="204"/>
      <c r="J11" s="204">
        <v>3.0</v>
      </c>
      <c r="K11" s="207"/>
      <c r="L11" s="207"/>
      <c r="M11" s="207"/>
      <c r="N11" s="208">
        <v>6.75</v>
      </c>
      <c r="O11" s="209">
        <v>18.57</v>
      </c>
      <c r="P11" s="208">
        <v>40.0</v>
      </c>
      <c r="Q11" s="208">
        <v>1.5</v>
      </c>
      <c r="R11" s="208">
        <v>4.95</v>
      </c>
      <c r="S11" s="208">
        <v>7.05</v>
      </c>
      <c r="T11" s="208">
        <v>7.62</v>
      </c>
      <c r="U11" s="210"/>
      <c r="V11" s="208">
        <v>1.5</v>
      </c>
      <c r="W11" s="208">
        <v>1.5</v>
      </c>
      <c r="X11" s="208">
        <v>9.0</v>
      </c>
      <c r="Y11" s="208">
        <v>7.5</v>
      </c>
      <c r="Z11" s="209">
        <v>6.0</v>
      </c>
      <c r="AA11" s="208">
        <v>0.0</v>
      </c>
      <c r="AB11" s="208">
        <v>1.5</v>
      </c>
      <c r="AC11" s="209"/>
      <c r="AD11" s="209">
        <v>1.74</v>
      </c>
      <c r="AE11" s="209">
        <v>7.2</v>
      </c>
      <c r="AF11" s="209">
        <v>3.3</v>
      </c>
      <c r="AG11" s="70">
        <f t="shared" si="1"/>
        <v>189.07</v>
      </c>
      <c r="AH11" s="69"/>
      <c r="AI11" s="58"/>
      <c r="AJ11" s="38"/>
      <c r="AK11" s="38"/>
      <c r="AL11" s="38"/>
      <c r="AM11" s="211" t="s">
        <v>24</v>
      </c>
      <c r="AN11" s="176"/>
      <c r="AO11" s="177"/>
      <c r="AP11" s="212">
        <f>SUM(F13:K13,K14:R14,O13,B19:F19,S14:W14,X14:AF14)</f>
        <v>183.61</v>
      </c>
      <c r="AQ11" s="212">
        <f>((AP11*(1-0.05))*(1-0.6))</f>
        <v>69.7718</v>
      </c>
      <c r="AR11" s="212">
        <f t="shared" si="2"/>
        <v>8.721475</v>
      </c>
    </row>
    <row r="12" ht="27.0" customHeight="1">
      <c r="A12" s="213" t="s">
        <v>4</v>
      </c>
      <c r="B12" s="214">
        <v>92.49</v>
      </c>
      <c r="C12" s="214">
        <v>51.46</v>
      </c>
      <c r="D12" s="214">
        <v>80.68</v>
      </c>
      <c r="E12" s="215"/>
      <c r="F12" s="214">
        <v>48.72</v>
      </c>
      <c r="G12" s="214">
        <v>81.45</v>
      </c>
      <c r="H12" s="214">
        <v>83.49</v>
      </c>
      <c r="I12" s="214">
        <v>59.22</v>
      </c>
      <c r="J12" s="214">
        <v>87.18</v>
      </c>
      <c r="K12" s="214">
        <v>47.96</v>
      </c>
      <c r="L12" s="214">
        <v>35.94</v>
      </c>
      <c r="M12" s="216">
        <v>78.74</v>
      </c>
      <c r="N12" s="216">
        <v>41.7</v>
      </c>
      <c r="O12" s="216">
        <v>51.64</v>
      </c>
      <c r="P12" s="216">
        <v>4.5</v>
      </c>
      <c r="Q12" s="217"/>
      <c r="R12" s="218">
        <v>69.0</v>
      </c>
      <c r="S12" s="215"/>
      <c r="T12" s="214">
        <v>74.06</v>
      </c>
      <c r="U12" s="214">
        <v>30.83</v>
      </c>
      <c r="V12" s="214">
        <v>19.96</v>
      </c>
      <c r="W12" s="219">
        <v>41.28</v>
      </c>
      <c r="X12" s="214">
        <v>3.0</v>
      </c>
      <c r="Y12" s="214">
        <v>21.92</v>
      </c>
      <c r="Z12" s="214">
        <v>61.22</v>
      </c>
      <c r="AA12" s="214">
        <v>84.51</v>
      </c>
      <c r="AB12" s="214">
        <v>61.28</v>
      </c>
      <c r="AC12" s="219">
        <v>62.92</v>
      </c>
      <c r="AD12" s="219">
        <v>84.21</v>
      </c>
      <c r="AE12" s="219">
        <v>68.88</v>
      </c>
      <c r="AF12" s="219">
        <v>66.5</v>
      </c>
      <c r="AG12" s="70">
        <f t="shared" si="1"/>
        <v>1594.74</v>
      </c>
      <c r="AH12" s="69"/>
      <c r="AI12" s="58"/>
      <c r="AJ12" s="38"/>
      <c r="AK12" s="38"/>
      <c r="AL12" s="38"/>
      <c r="AM12" s="38"/>
      <c r="AN12" s="38"/>
      <c r="AO12" s="38"/>
      <c r="AP12" s="220">
        <f>sum(AP5:AP11)</f>
        <v>4124.85</v>
      </c>
      <c r="AQ12" s="38"/>
      <c r="AR12" s="220">
        <f>sum(AR5:AR11)</f>
        <v>195.930375</v>
      </c>
    </row>
    <row r="13" ht="28.5" customHeight="1">
      <c r="A13" s="221" t="s">
        <v>30</v>
      </c>
      <c r="B13" s="222"/>
      <c r="C13" s="222"/>
      <c r="D13" s="222"/>
      <c r="E13" s="222"/>
      <c r="F13" s="223">
        <v>7.69</v>
      </c>
      <c r="G13" s="224">
        <v>1.62</v>
      </c>
      <c r="H13" s="223">
        <v>0.12</v>
      </c>
      <c r="I13" s="223">
        <v>1.62</v>
      </c>
      <c r="J13" s="223">
        <v>1.74</v>
      </c>
      <c r="K13" s="223">
        <v>1.5</v>
      </c>
      <c r="L13" s="222"/>
      <c r="M13" s="222"/>
      <c r="N13" s="222"/>
      <c r="O13" s="223">
        <v>0.12</v>
      </c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5"/>
      <c r="AB13" s="225"/>
      <c r="AC13" s="222"/>
      <c r="AD13" s="222"/>
      <c r="AE13" s="222"/>
      <c r="AF13" s="222"/>
      <c r="AG13" s="70">
        <f t="shared" si="1"/>
        <v>14.41</v>
      </c>
      <c r="AH13" s="69"/>
      <c r="AI13" s="58"/>
      <c r="AJ13" s="38"/>
      <c r="AK13" s="38"/>
      <c r="AL13" s="38"/>
      <c r="AM13" s="38"/>
      <c r="AN13" s="38"/>
      <c r="AO13" s="38"/>
      <c r="AP13" s="226"/>
    </row>
    <row r="14" ht="28.5" customHeight="1">
      <c r="A14" s="193" t="s">
        <v>31</v>
      </c>
      <c r="B14" s="222"/>
      <c r="C14" s="227"/>
      <c r="D14" s="222"/>
      <c r="E14" s="222"/>
      <c r="F14" s="222"/>
      <c r="G14" s="209">
        <v>1.5</v>
      </c>
      <c r="H14" s="209">
        <v>8.1</v>
      </c>
      <c r="I14" s="209">
        <v>5.94</v>
      </c>
      <c r="J14" s="209">
        <v>16.68</v>
      </c>
      <c r="K14" s="223">
        <v>3.0</v>
      </c>
      <c r="L14" s="228">
        <v>3.0</v>
      </c>
      <c r="M14" s="228"/>
      <c r="N14" s="228">
        <v>7.67</v>
      </c>
      <c r="O14" s="228">
        <v>9.0</v>
      </c>
      <c r="P14" s="229">
        <v>1.5</v>
      </c>
      <c r="Q14" s="229">
        <v>10.5</v>
      </c>
      <c r="R14" s="229">
        <v>1.5</v>
      </c>
      <c r="S14" s="229">
        <v>1.5</v>
      </c>
      <c r="T14" s="229">
        <v>34.9</v>
      </c>
      <c r="U14" s="229">
        <v>15.34</v>
      </c>
      <c r="V14" s="229">
        <v>6.12</v>
      </c>
      <c r="W14" s="229">
        <v>4.62</v>
      </c>
      <c r="X14" s="230"/>
      <c r="Y14" s="230"/>
      <c r="Z14" s="229">
        <v>9.0</v>
      </c>
      <c r="AA14" s="229">
        <v>0.75</v>
      </c>
      <c r="AB14" s="229">
        <v>3.12</v>
      </c>
      <c r="AC14" s="230"/>
      <c r="AD14" s="231"/>
      <c r="AE14" s="231"/>
      <c r="AF14" s="231"/>
      <c r="AG14" s="70">
        <f t="shared" si="1"/>
        <v>143.74</v>
      </c>
      <c r="AH14" s="69"/>
      <c r="AI14" s="58"/>
      <c r="AJ14" s="38"/>
      <c r="AK14" s="38"/>
      <c r="AL14" s="38"/>
      <c r="AM14" s="38"/>
      <c r="AN14" s="38"/>
      <c r="AO14" s="38"/>
      <c r="AP14" s="226"/>
      <c r="AQ14" s="226"/>
      <c r="AR14" s="226"/>
    </row>
    <row r="15" ht="28.5" customHeight="1">
      <c r="A15" s="193" t="s">
        <v>32</v>
      </c>
      <c r="B15" s="222"/>
      <c r="C15" s="227"/>
      <c r="D15" s="222"/>
      <c r="E15" s="222"/>
      <c r="F15" s="222"/>
      <c r="G15" s="222"/>
      <c r="H15" s="222"/>
      <c r="I15" s="222"/>
      <c r="J15" s="222"/>
      <c r="K15" s="222"/>
      <c r="L15" s="227"/>
      <c r="M15" s="227"/>
      <c r="N15" s="227"/>
      <c r="O15" s="227"/>
      <c r="P15" s="205">
        <v>10.6</v>
      </c>
      <c r="Q15" s="205">
        <v>7.8</v>
      </c>
      <c r="R15" s="205">
        <v>15.3</v>
      </c>
      <c r="S15" s="205">
        <v>12.0</v>
      </c>
      <c r="T15" s="205">
        <v>40.05</v>
      </c>
      <c r="U15" s="232"/>
      <c r="V15" s="205">
        <v>19.2</v>
      </c>
      <c r="W15" s="205">
        <v>25.7</v>
      </c>
      <c r="X15" s="205">
        <v>40.95</v>
      </c>
      <c r="Y15" s="205">
        <v>18.45</v>
      </c>
      <c r="Z15" s="205">
        <v>51.5</v>
      </c>
      <c r="AA15" s="205">
        <v>26.4</v>
      </c>
      <c r="AB15" s="205">
        <v>11.5</v>
      </c>
      <c r="AC15" s="205">
        <v>12.3</v>
      </c>
      <c r="AD15" s="205">
        <v>38.05</v>
      </c>
      <c r="AE15" s="205">
        <v>55.53</v>
      </c>
      <c r="AF15" s="205">
        <v>67.7</v>
      </c>
      <c r="AG15" s="70">
        <f t="shared" si="1"/>
        <v>453.03</v>
      </c>
      <c r="AH15" s="69"/>
      <c r="AI15" s="58"/>
      <c r="AJ15" s="38"/>
      <c r="AK15" s="38"/>
      <c r="AL15" s="38"/>
      <c r="AM15" s="38"/>
      <c r="AN15" s="38"/>
      <c r="AO15" s="38"/>
      <c r="AP15" s="226"/>
    </row>
    <row r="16" ht="28.5" customHeight="1">
      <c r="A16" s="190" t="s">
        <v>9</v>
      </c>
      <c r="B16" s="209"/>
      <c r="C16" s="233"/>
      <c r="D16" s="209">
        <v>1.5</v>
      </c>
      <c r="E16" s="209">
        <v>1.5</v>
      </c>
      <c r="F16" s="209"/>
      <c r="G16" s="209"/>
      <c r="H16" s="209">
        <v>8.12</v>
      </c>
      <c r="I16" s="209"/>
      <c r="J16" s="234"/>
      <c r="K16" s="234"/>
      <c r="L16" s="234"/>
      <c r="M16" s="234"/>
      <c r="N16" s="209">
        <v>1.5</v>
      </c>
      <c r="O16" s="234"/>
      <c r="P16" s="234"/>
      <c r="Q16" s="234"/>
      <c r="R16" s="222"/>
      <c r="S16" s="235"/>
      <c r="T16" s="235"/>
      <c r="U16" s="222"/>
      <c r="V16" s="222"/>
      <c r="W16" s="222"/>
      <c r="X16" s="222"/>
      <c r="Y16" s="235"/>
      <c r="Z16" s="222"/>
      <c r="AA16" s="222"/>
      <c r="AB16" s="222"/>
      <c r="AC16" s="222"/>
      <c r="AD16" s="222"/>
      <c r="AE16" s="222"/>
      <c r="AF16" s="222"/>
      <c r="AG16" s="70">
        <f t="shared" si="1"/>
        <v>12.62</v>
      </c>
      <c r="AH16" s="69"/>
      <c r="AI16" s="58"/>
      <c r="AJ16" s="38"/>
      <c r="AK16" s="38"/>
      <c r="AL16" s="38"/>
      <c r="AM16" s="38"/>
      <c r="AN16" s="38"/>
      <c r="AO16" s="38"/>
      <c r="AP16" s="226"/>
    </row>
    <row r="17" ht="26.25" customHeight="1">
      <c r="A17" s="190" t="s">
        <v>10</v>
      </c>
      <c r="B17" s="236"/>
      <c r="C17" s="237"/>
      <c r="D17" s="236"/>
      <c r="E17" s="236"/>
      <c r="F17" s="236"/>
      <c r="G17" s="237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09">
        <v>3.0</v>
      </c>
      <c r="U17" s="209">
        <v>7.5</v>
      </c>
      <c r="V17" s="209">
        <v>0.0</v>
      </c>
      <c r="W17" s="209">
        <v>0.0</v>
      </c>
      <c r="X17" s="209">
        <v>0.0</v>
      </c>
      <c r="Y17" s="209"/>
      <c r="Z17" s="209"/>
      <c r="AA17" s="209"/>
      <c r="AB17" s="209"/>
      <c r="AC17" s="209"/>
      <c r="AD17" s="209"/>
      <c r="AE17" s="209"/>
      <c r="AF17" s="209"/>
      <c r="AG17" s="70">
        <f t="shared" si="1"/>
        <v>10.5</v>
      </c>
      <c r="AH17" s="69"/>
      <c r="AI17" s="58"/>
      <c r="AJ17" s="38"/>
      <c r="AK17" s="38"/>
      <c r="AL17" s="38"/>
      <c r="AM17" s="38"/>
      <c r="AN17" s="38"/>
      <c r="AO17" s="38"/>
      <c r="AP17" s="226"/>
    </row>
    <row r="18" ht="25.5" customHeight="1">
      <c r="A18" s="190" t="s">
        <v>11</v>
      </c>
      <c r="B18" s="238">
        <v>54.0</v>
      </c>
      <c r="C18" s="238">
        <v>48.12</v>
      </c>
      <c r="D18" s="238">
        <v>36.12</v>
      </c>
      <c r="E18" s="238">
        <v>45.77</v>
      </c>
      <c r="F18" s="238">
        <v>62.68</v>
      </c>
      <c r="G18" s="238">
        <v>55.5</v>
      </c>
      <c r="H18" s="238">
        <v>54.0</v>
      </c>
      <c r="I18" s="238">
        <v>27.12</v>
      </c>
      <c r="J18" s="238">
        <v>25.5</v>
      </c>
      <c r="K18" s="238">
        <v>34.5</v>
      </c>
      <c r="L18" s="238">
        <v>40.5</v>
      </c>
      <c r="M18" s="238">
        <v>21.0</v>
      </c>
      <c r="N18" s="238">
        <v>28.19</v>
      </c>
      <c r="O18" s="238">
        <v>42.0</v>
      </c>
      <c r="P18" s="238">
        <v>24.0</v>
      </c>
      <c r="Q18" s="238">
        <v>34.5</v>
      </c>
      <c r="R18" s="238">
        <v>31.3</v>
      </c>
      <c r="S18" s="238">
        <v>34.5</v>
      </c>
      <c r="T18" s="238">
        <v>79.14</v>
      </c>
      <c r="U18" s="238">
        <v>27.62</v>
      </c>
      <c r="V18" s="238">
        <v>31.5</v>
      </c>
      <c r="W18" s="238">
        <v>12.0</v>
      </c>
      <c r="X18" s="238">
        <v>27.0</v>
      </c>
      <c r="Y18" s="238">
        <v>7.0</v>
      </c>
      <c r="Z18" s="238">
        <v>43.26</v>
      </c>
      <c r="AA18" s="238">
        <v>24.0</v>
      </c>
      <c r="AB18" s="238">
        <v>25.5</v>
      </c>
      <c r="AC18" s="239">
        <v>52.12</v>
      </c>
      <c r="AD18" s="239">
        <v>48.12</v>
      </c>
      <c r="AE18" s="239">
        <v>48.0</v>
      </c>
      <c r="AF18" s="239">
        <v>57.12</v>
      </c>
      <c r="AG18" s="70">
        <f t="shared" si="1"/>
        <v>1181.68</v>
      </c>
      <c r="AH18" s="69"/>
      <c r="AI18" s="58"/>
      <c r="AJ18" s="38"/>
      <c r="AK18" s="38"/>
      <c r="AL18" s="38"/>
      <c r="AM18" s="38"/>
      <c r="AN18" s="38"/>
      <c r="AO18" s="38"/>
      <c r="AP18" s="226"/>
    </row>
    <row r="19" ht="29.25" customHeight="1">
      <c r="A19" s="240" t="s">
        <v>13</v>
      </c>
      <c r="B19" s="241">
        <v>6.54</v>
      </c>
      <c r="C19" s="242">
        <v>27.0</v>
      </c>
      <c r="D19" s="242">
        <v>6.0</v>
      </c>
      <c r="E19" s="242">
        <v>12.14</v>
      </c>
      <c r="F19" s="241">
        <v>6.0</v>
      </c>
      <c r="G19" s="206"/>
      <c r="H19" s="243">
        <v>15.8</v>
      </c>
      <c r="I19" s="243">
        <v>13.74</v>
      </c>
      <c r="J19" s="243">
        <v>14.04</v>
      </c>
      <c r="K19" s="243">
        <v>12.48</v>
      </c>
      <c r="L19" s="243">
        <v>3.84</v>
      </c>
      <c r="M19" s="243">
        <v>26.42</v>
      </c>
      <c r="N19" s="243">
        <v>28.86</v>
      </c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5"/>
      <c r="AD19" s="245"/>
      <c r="AE19" s="245"/>
      <c r="AF19" s="245"/>
      <c r="AG19" s="70">
        <f t="shared" si="1"/>
        <v>172.86</v>
      </c>
      <c r="AH19" s="38"/>
      <c r="AI19" s="58"/>
      <c r="AJ19" s="38"/>
      <c r="AK19" s="38"/>
      <c r="AL19" s="38"/>
      <c r="AM19" s="38"/>
      <c r="AN19" s="38"/>
      <c r="AO19" s="38"/>
      <c r="AP19" s="226"/>
    </row>
    <row r="20" ht="24.75" customHeight="1">
      <c r="A20" s="47" t="s">
        <v>14</v>
      </c>
      <c r="B20" s="167">
        <f t="shared" ref="B20:AF20" si="3">SUM(B3:B19)</f>
        <v>239.67</v>
      </c>
      <c r="C20" s="167">
        <f t="shared" si="3"/>
        <v>189.88</v>
      </c>
      <c r="D20" s="167">
        <f t="shared" si="3"/>
        <v>163.06</v>
      </c>
      <c r="E20" s="167">
        <f t="shared" si="3"/>
        <v>149.45</v>
      </c>
      <c r="F20" s="167">
        <f t="shared" si="3"/>
        <v>237.29</v>
      </c>
      <c r="G20" s="167">
        <f t="shared" si="3"/>
        <v>219.57</v>
      </c>
      <c r="H20" s="167">
        <f t="shared" si="3"/>
        <v>262.94</v>
      </c>
      <c r="I20" s="167">
        <f t="shared" si="3"/>
        <v>203.12</v>
      </c>
      <c r="J20" s="167">
        <f t="shared" si="3"/>
        <v>229.68</v>
      </c>
      <c r="K20" s="167">
        <f t="shared" si="3"/>
        <v>207.22</v>
      </c>
      <c r="L20" s="167">
        <f t="shared" si="3"/>
        <v>157.08</v>
      </c>
      <c r="M20" s="167">
        <f t="shared" si="3"/>
        <v>186.83</v>
      </c>
      <c r="N20" s="167">
        <f t="shared" si="3"/>
        <v>227.97</v>
      </c>
      <c r="O20" s="167">
        <f t="shared" si="3"/>
        <v>217.55</v>
      </c>
      <c r="P20" s="167">
        <f t="shared" si="3"/>
        <v>207.51</v>
      </c>
      <c r="Q20" s="167">
        <f t="shared" si="3"/>
        <v>179.22</v>
      </c>
      <c r="R20" s="167">
        <f t="shared" si="3"/>
        <v>229.93</v>
      </c>
      <c r="S20" s="167">
        <f t="shared" si="3"/>
        <v>172.27</v>
      </c>
      <c r="T20" s="167">
        <f t="shared" si="3"/>
        <v>345.36</v>
      </c>
      <c r="U20" s="167">
        <f t="shared" si="3"/>
        <v>153.89</v>
      </c>
      <c r="V20" s="167">
        <f t="shared" si="3"/>
        <v>171.5</v>
      </c>
      <c r="W20" s="167">
        <f t="shared" si="3"/>
        <v>182.9</v>
      </c>
      <c r="X20" s="167">
        <f t="shared" si="3"/>
        <v>126.69</v>
      </c>
      <c r="Y20" s="167">
        <f t="shared" si="3"/>
        <v>170.83</v>
      </c>
      <c r="Z20" s="167">
        <f t="shared" si="3"/>
        <v>271.04</v>
      </c>
      <c r="AA20" s="167">
        <f t="shared" si="3"/>
        <v>224.02</v>
      </c>
      <c r="AB20" s="167">
        <f t="shared" si="3"/>
        <v>167.88</v>
      </c>
      <c r="AC20" s="167">
        <f t="shared" si="3"/>
        <v>184.58</v>
      </c>
      <c r="AD20" s="167">
        <f t="shared" si="3"/>
        <v>248.98</v>
      </c>
      <c r="AE20" s="167">
        <f t="shared" si="3"/>
        <v>282.21</v>
      </c>
      <c r="AF20" s="167">
        <f t="shared" si="3"/>
        <v>245.86</v>
      </c>
      <c r="AG20" s="38"/>
      <c r="AH20" s="38"/>
      <c r="AI20" s="58"/>
      <c r="AJ20" s="38"/>
      <c r="AK20" s="38"/>
      <c r="AL20" s="38"/>
      <c r="AM20" s="38"/>
      <c r="AN20" s="38"/>
      <c r="AO20" s="38"/>
      <c r="AP20" s="226"/>
    </row>
    <row r="21" ht="15.75" customHeight="1">
      <c r="A21" s="66"/>
      <c r="B21" s="66"/>
      <c r="C21" s="66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8"/>
      <c r="AJ21" s="38"/>
      <c r="AK21" s="38"/>
      <c r="AL21" s="38"/>
      <c r="AM21" s="38"/>
      <c r="AN21" s="38"/>
      <c r="AO21" s="38"/>
      <c r="AP21" s="38"/>
      <c r="AQ21" s="38"/>
      <c r="AR21" s="38"/>
    </row>
    <row r="22" ht="99.75" customHeight="1">
      <c r="A22" s="168"/>
      <c r="B22" s="169"/>
      <c r="C22" s="170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8"/>
      <c r="AJ22" s="38"/>
      <c r="AK22" s="38"/>
      <c r="AL22" s="38"/>
      <c r="AM22" s="38"/>
      <c r="AN22" s="38"/>
      <c r="AO22" s="38"/>
      <c r="AP22" s="38"/>
      <c r="AQ22" s="38"/>
      <c r="AR22" s="38"/>
    </row>
    <row r="23" ht="15.75" customHeight="1">
      <c r="AG23" s="49"/>
      <c r="AI23" s="8"/>
    </row>
    <row r="24" ht="15.75" customHeight="1">
      <c r="AG24" s="49"/>
      <c r="AI24" s="8"/>
    </row>
    <row r="25" ht="15.75" customHeight="1">
      <c r="AG25" s="49"/>
      <c r="AI25" s="8"/>
    </row>
    <row r="26" ht="15.75" customHeight="1">
      <c r="AG26" s="49"/>
      <c r="AI26" s="8"/>
    </row>
    <row r="27" ht="15.75" customHeight="1">
      <c r="AG27" s="49"/>
      <c r="AI27" s="8"/>
    </row>
    <row r="28" ht="15.75" customHeight="1">
      <c r="AG28" s="49"/>
      <c r="AI28" s="8"/>
    </row>
    <row r="29" ht="15.75" customHeight="1">
      <c r="AG29" s="49"/>
      <c r="AI29" s="8"/>
    </row>
    <row r="30" ht="15.75" customHeight="1">
      <c r="AG30" s="49"/>
      <c r="AI30" s="8"/>
    </row>
    <row r="31" ht="15.75" customHeight="1">
      <c r="AG31" s="49"/>
      <c r="AI31" s="8"/>
    </row>
    <row r="32" ht="15.75" customHeight="1">
      <c r="AG32" s="49"/>
      <c r="AI32" s="8"/>
    </row>
    <row r="33" ht="15.75" customHeight="1">
      <c r="AG33" s="49"/>
      <c r="AI33" s="8"/>
    </row>
    <row r="34" ht="15.75" customHeight="1">
      <c r="AG34" s="49"/>
      <c r="AI34" s="8"/>
    </row>
    <row r="35" ht="15.75" customHeight="1">
      <c r="AG35" s="49"/>
      <c r="AI35" s="8"/>
    </row>
    <row r="36" ht="15.75" customHeight="1">
      <c r="AG36" s="49"/>
      <c r="AI36" s="8"/>
    </row>
    <row r="37" ht="15.75" customHeight="1">
      <c r="AG37" s="49"/>
      <c r="AI37" s="8"/>
    </row>
    <row r="38" ht="15.75" customHeight="1">
      <c r="AG38" s="49"/>
      <c r="AI38" s="8"/>
    </row>
    <row r="39" ht="15.75" customHeight="1">
      <c r="AG39" s="49"/>
      <c r="AI39" s="8"/>
    </row>
    <row r="40" ht="15.75" customHeight="1">
      <c r="AG40" s="49"/>
      <c r="AI40" s="8"/>
    </row>
    <row r="41" ht="15.75" customHeight="1">
      <c r="AG41" s="49"/>
      <c r="AI41" s="8"/>
    </row>
    <row r="42" ht="15.75" customHeight="1">
      <c r="AG42" s="49"/>
      <c r="AI42" s="8"/>
    </row>
    <row r="43" ht="15.75" customHeight="1">
      <c r="AG43" s="49"/>
      <c r="AI43" s="8"/>
    </row>
    <row r="44" ht="15.75" customHeight="1">
      <c r="AG44" s="49"/>
      <c r="AI44" s="8"/>
    </row>
    <row r="45" ht="15.75" customHeight="1">
      <c r="AG45" s="49"/>
      <c r="AI45" s="8"/>
    </row>
    <row r="46" ht="15.75" customHeight="1">
      <c r="AG46" s="49"/>
      <c r="AI46" s="8"/>
    </row>
    <row r="47" ht="15.75" customHeight="1">
      <c r="AG47" s="49"/>
      <c r="AI47" s="8"/>
    </row>
    <row r="48" ht="15.75" customHeight="1">
      <c r="AG48" s="49"/>
      <c r="AI48" s="8"/>
    </row>
    <row r="49" ht="15.75" customHeight="1">
      <c r="AG49" s="49"/>
      <c r="AI49" s="8"/>
    </row>
    <row r="50" ht="15.75" customHeight="1">
      <c r="AG50" s="49"/>
      <c r="AI50" s="8"/>
    </row>
    <row r="51" ht="15.75" customHeight="1">
      <c r="AG51" s="49"/>
      <c r="AI51" s="8"/>
    </row>
    <row r="52" ht="15.75" customHeight="1">
      <c r="AG52" s="49"/>
      <c r="AI52" s="8"/>
    </row>
    <row r="53" ht="15.75" customHeight="1">
      <c r="AG53" s="49"/>
      <c r="AI53" s="8"/>
    </row>
    <row r="54" ht="15.75" customHeight="1">
      <c r="AG54" s="49"/>
      <c r="AI54" s="8"/>
    </row>
    <row r="55" ht="15.75" customHeight="1">
      <c r="AG55" s="49"/>
      <c r="AI55" s="8"/>
    </row>
    <row r="56" ht="15.75" customHeight="1">
      <c r="AG56" s="49"/>
      <c r="AI56" s="8"/>
    </row>
    <row r="57" ht="15.75" customHeight="1">
      <c r="AG57" s="49"/>
      <c r="AI57" s="8"/>
    </row>
    <row r="58" ht="15.75" customHeight="1">
      <c r="AG58" s="49"/>
      <c r="AI58" s="8"/>
    </row>
    <row r="59" ht="15.75" customHeight="1">
      <c r="AG59" s="49"/>
      <c r="AI59" s="8"/>
    </row>
    <row r="60" ht="15.75" customHeight="1">
      <c r="AG60" s="49"/>
      <c r="AI60" s="8"/>
    </row>
    <row r="61" ht="15.75" customHeight="1">
      <c r="AG61" s="49"/>
      <c r="AI61" s="8"/>
    </row>
    <row r="62" ht="15.75" customHeight="1">
      <c r="AG62" s="49"/>
      <c r="AI62" s="8"/>
    </row>
    <row r="63" ht="15.75" customHeight="1">
      <c r="AG63" s="49"/>
      <c r="AI63" s="8"/>
    </row>
    <row r="64" ht="15.75" customHeight="1">
      <c r="AG64" s="49"/>
      <c r="AI64" s="8"/>
    </row>
    <row r="65" ht="15.75" customHeight="1">
      <c r="AG65" s="49"/>
      <c r="AI65" s="8"/>
    </row>
    <row r="66" ht="15.75" customHeight="1">
      <c r="AG66" s="49"/>
      <c r="AI66" s="8"/>
    </row>
    <row r="67" ht="15.75" customHeight="1">
      <c r="AG67" s="49"/>
      <c r="AI67" s="8"/>
    </row>
    <row r="68" ht="15.75" customHeight="1">
      <c r="AG68" s="49"/>
      <c r="AI68" s="8"/>
    </row>
    <row r="69" ht="15.75" customHeight="1">
      <c r="AG69" s="49"/>
      <c r="AI69" s="8"/>
    </row>
    <row r="70" ht="15.75" customHeight="1">
      <c r="AG70" s="49"/>
      <c r="AI70" s="8"/>
    </row>
    <row r="71" ht="15.75" customHeight="1">
      <c r="AG71" s="49"/>
      <c r="AI71" s="8"/>
    </row>
    <row r="72" ht="15.75" customHeight="1">
      <c r="AG72" s="49"/>
      <c r="AI72" s="8"/>
    </row>
    <row r="73" ht="15.75" customHeight="1">
      <c r="AG73" s="49"/>
      <c r="AI73" s="8"/>
    </row>
    <row r="74" ht="15.75" customHeight="1">
      <c r="AG74" s="49"/>
      <c r="AI74" s="8"/>
    </row>
    <row r="75" ht="15.75" customHeight="1">
      <c r="AG75" s="49"/>
      <c r="AI75" s="8"/>
    </row>
    <row r="76" ht="15.75" customHeight="1">
      <c r="AG76" s="49"/>
      <c r="AI76" s="8"/>
    </row>
    <row r="77" ht="15.75" customHeight="1">
      <c r="AG77" s="49"/>
      <c r="AI77" s="8"/>
    </row>
    <row r="78" ht="15.75" customHeight="1">
      <c r="AG78" s="49"/>
      <c r="AI78" s="8"/>
    </row>
    <row r="79" ht="15.75" customHeight="1">
      <c r="AG79" s="49"/>
      <c r="AI79" s="8"/>
    </row>
    <row r="80" ht="15.75" customHeight="1">
      <c r="AG80" s="49"/>
      <c r="AI80" s="8"/>
    </row>
    <row r="81" ht="15.75" customHeight="1">
      <c r="AG81" s="49"/>
      <c r="AI81" s="8"/>
    </row>
    <row r="82" ht="15.75" customHeight="1">
      <c r="AG82" s="49"/>
      <c r="AI82" s="8"/>
    </row>
    <row r="83" ht="15.75" customHeight="1">
      <c r="AG83" s="49"/>
      <c r="AI83" s="8"/>
    </row>
    <row r="84" ht="15.75" customHeight="1">
      <c r="AG84" s="49"/>
      <c r="AI84" s="8"/>
    </row>
    <row r="85" ht="15.75" customHeight="1">
      <c r="AG85" s="49"/>
      <c r="AI85" s="8"/>
    </row>
    <row r="86" ht="15.75" customHeight="1">
      <c r="AG86" s="49"/>
      <c r="AI86" s="8"/>
    </row>
    <row r="87" ht="15.75" customHeight="1">
      <c r="AG87" s="49"/>
      <c r="AI87" s="8"/>
    </row>
    <row r="88" ht="15.75" customHeight="1">
      <c r="AG88" s="49"/>
      <c r="AI88" s="8"/>
    </row>
    <row r="89" ht="15.75" customHeight="1">
      <c r="AG89" s="49"/>
      <c r="AI89" s="8"/>
    </row>
    <row r="90" ht="15.75" customHeight="1">
      <c r="AG90" s="49"/>
      <c r="AI90" s="8"/>
    </row>
    <row r="91" ht="15.75" customHeight="1">
      <c r="AG91" s="49"/>
      <c r="AI91" s="8"/>
    </row>
    <row r="92" ht="15.75" customHeight="1">
      <c r="AG92" s="49"/>
      <c r="AI92" s="8"/>
    </row>
    <row r="93" ht="15.75" customHeight="1">
      <c r="AG93" s="49"/>
      <c r="AI93" s="8"/>
    </row>
    <row r="94" ht="15.75" customHeight="1">
      <c r="AG94" s="49"/>
      <c r="AI94" s="8"/>
    </row>
    <row r="95" ht="15.75" customHeight="1">
      <c r="AG95" s="49"/>
      <c r="AI95" s="8"/>
    </row>
    <row r="96" ht="15.75" customHeight="1">
      <c r="AG96" s="49"/>
      <c r="AI96" s="8"/>
    </row>
    <row r="97" ht="15.75" customHeight="1">
      <c r="AG97" s="49"/>
      <c r="AI97" s="8"/>
    </row>
    <row r="98" ht="15.75" customHeight="1">
      <c r="AG98" s="49"/>
      <c r="AI98" s="8"/>
    </row>
    <row r="99" ht="15.75" customHeight="1">
      <c r="AG99" s="49"/>
      <c r="AI99" s="8"/>
    </row>
    <row r="100" ht="15.75" customHeight="1">
      <c r="AG100" s="49"/>
      <c r="AI100" s="8"/>
    </row>
    <row r="101" ht="15.75" customHeight="1">
      <c r="AG101" s="49"/>
      <c r="AI101" s="8"/>
    </row>
    <row r="102" ht="15.75" customHeight="1">
      <c r="AG102" s="49"/>
      <c r="AI102" s="8"/>
    </row>
    <row r="103" ht="15.75" customHeight="1">
      <c r="AG103" s="49"/>
      <c r="AI103" s="8"/>
    </row>
    <row r="104" ht="15.75" customHeight="1">
      <c r="AG104" s="49"/>
      <c r="AI104" s="8"/>
    </row>
    <row r="105" ht="15.75" customHeight="1">
      <c r="AG105" s="49"/>
      <c r="AI105" s="8"/>
    </row>
    <row r="106" ht="15.75" customHeight="1">
      <c r="AG106" s="49"/>
      <c r="AI106" s="8"/>
    </row>
    <row r="107" ht="15.75" customHeight="1">
      <c r="AG107" s="49"/>
      <c r="AI107" s="8"/>
    </row>
    <row r="108" ht="15.75" customHeight="1">
      <c r="AG108" s="49"/>
      <c r="AI108" s="8"/>
    </row>
    <row r="109" ht="15.75" customHeight="1">
      <c r="AG109" s="49"/>
      <c r="AI109" s="8"/>
    </row>
    <row r="110" ht="15.75" customHeight="1">
      <c r="AG110" s="49"/>
      <c r="AI110" s="8"/>
    </row>
    <row r="111" ht="15.75" customHeight="1">
      <c r="AG111" s="49"/>
      <c r="AI111" s="8"/>
    </row>
    <row r="112" ht="15.75" customHeight="1">
      <c r="AG112" s="49"/>
      <c r="AI112" s="8"/>
    </row>
    <row r="113" ht="15.75" customHeight="1">
      <c r="AG113" s="49"/>
      <c r="AI113" s="8"/>
    </row>
    <row r="114" ht="15.75" customHeight="1">
      <c r="AG114" s="49"/>
      <c r="AI114" s="8"/>
    </row>
    <row r="115" ht="15.75" customHeight="1">
      <c r="AG115" s="49"/>
      <c r="AI115" s="8"/>
    </row>
    <row r="116" ht="15.75" customHeight="1">
      <c r="AG116" s="49"/>
      <c r="AI116" s="8"/>
    </row>
    <row r="117" ht="15.75" customHeight="1">
      <c r="AG117" s="49"/>
      <c r="AI117" s="8"/>
    </row>
    <row r="118" ht="15.75" customHeight="1">
      <c r="AG118" s="49"/>
      <c r="AI118" s="8"/>
    </row>
    <row r="119" ht="15.75" customHeight="1">
      <c r="AG119" s="49"/>
      <c r="AI119" s="8"/>
    </row>
    <row r="120" ht="15.75" customHeight="1">
      <c r="AG120" s="49"/>
      <c r="AI120" s="8"/>
    </row>
    <row r="121" ht="15.75" customHeight="1">
      <c r="AG121" s="49"/>
      <c r="AI121" s="8"/>
    </row>
    <row r="122" ht="15.75" customHeight="1">
      <c r="AG122" s="49"/>
      <c r="AI122" s="8"/>
    </row>
    <row r="123" ht="15.75" customHeight="1">
      <c r="AG123" s="49"/>
      <c r="AI123" s="8"/>
    </row>
    <row r="124" ht="15.75" customHeight="1">
      <c r="AG124" s="49"/>
      <c r="AI124" s="8"/>
    </row>
    <row r="125" ht="15.75" customHeight="1">
      <c r="AG125" s="49"/>
      <c r="AI125" s="8"/>
    </row>
    <row r="126" ht="15.75" customHeight="1">
      <c r="AG126" s="49"/>
      <c r="AI126" s="8"/>
    </row>
    <row r="127" ht="15.75" customHeight="1">
      <c r="AG127" s="49"/>
      <c r="AI127" s="8"/>
    </row>
    <row r="128" ht="15.75" customHeight="1">
      <c r="AG128" s="49"/>
      <c r="AI128" s="8"/>
    </row>
    <row r="129" ht="15.75" customHeight="1">
      <c r="AG129" s="49"/>
      <c r="AI129" s="8"/>
    </row>
    <row r="130" ht="15.75" customHeight="1">
      <c r="AG130" s="49"/>
      <c r="AI130" s="8"/>
    </row>
    <row r="131" ht="15.75" customHeight="1">
      <c r="AG131" s="49"/>
      <c r="AI131" s="8"/>
    </row>
    <row r="132" ht="15.75" customHeight="1">
      <c r="AG132" s="49"/>
      <c r="AI132" s="8"/>
    </row>
    <row r="133" ht="15.75" customHeight="1">
      <c r="AG133" s="49"/>
      <c r="AI133" s="8"/>
    </row>
    <row r="134" ht="15.75" customHeight="1">
      <c r="AG134" s="49"/>
      <c r="AI134" s="8"/>
    </row>
    <row r="135" ht="15.75" customHeight="1">
      <c r="AG135" s="49"/>
      <c r="AI135" s="8"/>
    </row>
    <row r="136" ht="15.75" customHeight="1">
      <c r="AG136" s="49"/>
      <c r="AI136" s="8"/>
    </row>
    <row r="137" ht="15.75" customHeight="1">
      <c r="AG137" s="49"/>
      <c r="AI137" s="8"/>
    </row>
    <row r="138" ht="15.75" customHeight="1">
      <c r="AG138" s="49"/>
      <c r="AI138" s="8"/>
    </row>
    <row r="139" ht="15.75" customHeight="1">
      <c r="AG139" s="49"/>
      <c r="AI139" s="8"/>
    </row>
    <row r="140" ht="15.75" customHeight="1">
      <c r="AG140" s="49"/>
      <c r="AI140" s="8"/>
    </row>
    <row r="141" ht="15.75" customHeight="1">
      <c r="AG141" s="49"/>
      <c r="AI141" s="8"/>
    </row>
    <row r="142" ht="15.75" customHeight="1">
      <c r="AG142" s="49"/>
      <c r="AI142" s="8"/>
    </row>
    <row r="143" ht="15.75" customHeight="1">
      <c r="AG143" s="49"/>
      <c r="AI143" s="8"/>
    </row>
    <row r="144" ht="15.75" customHeight="1">
      <c r="AG144" s="49"/>
      <c r="AI144" s="8"/>
    </row>
    <row r="145" ht="15.75" customHeight="1">
      <c r="AG145" s="49"/>
      <c r="AI145" s="8"/>
    </row>
    <row r="146" ht="15.75" customHeight="1">
      <c r="AG146" s="49"/>
      <c r="AI146" s="8"/>
    </row>
    <row r="147" ht="15.75" customHeight="1">
      <c r="AG147" s="49"/>
      <c r="AI147" s="8"/>
    </row>
    <row r="148" ht="15.75" customHeight="1">
      <c r="AG148" s="49"/>
      <c r="AI148" s="8"/>
    </row>
    <row r="149" ht="15.75" customHeight="1">
      <c r="AG149" s="49"/>
      <c r="AI149" s="8"/>
    </row>
    <row r="150" ht="15.75" customHeight="1">
      <c r="AG150" s="49"/>
      <c r="AI150" s="8"/>
    </row>
    <row r="151" ht="15.75" customHeight="1">
      <c r="AG151" s="49"/>
      <c r="AI151" s="8"/>
    </row>
    <row r="152" ht="15.75" customHeight="1">
      <c r="AG152" s="49"/>
      <c r="AI152" s="8"/>
    </row>
    <row r="153" ht="15.75" customHeight="1">
      <c r="AG153" s="49"/>
      <c r="AI153" s="8"/>
    </row>
    <row r="154" ht="15.75" customHeight="1">
      <c r="AG154" s="49"/>
      <c r="AI154" s="8"/>
    </row>
    <row r="155" ht="15.75" customHeight="1">
      <c r="AG155" s="49"/>
      <c r="AI155" s="8"/>
    </row>
    <row r="156" ht="15.75" customHeight="1">
      <c r="AG156" s="49"/>
      <c r="AI156" s="8"/>
    </row>
    <row r="157" ht="15.75" customHeight="1">
      <c r="AG157" s="49"/>
      <c r="AI157" s="8"/>
    </row>
    <row r="158" ht="15.75" customHeight="1">
      <c r="AG158" s="49"/>
      <c r="AI158" s="8"/>
    </row>
    <row r="159" ht="15.75" customHeight="1">
      <c r="AG159" s="49"/>
      <c r="AI159" s="8"/>
    </row>
    <row r="160" ht="15.75" customHeight="1">
      <c r="AG160" s="49"/>
      <c r="AI160" s="8"/>
    </row>
    <row r="161" ht="15.75" customHeight="1">
      <c r="AG161" s="49"/>
      <c r="AI161" s="8"/>
    </row>
    <row r="162" ht="15.75" customHeight="1">
      <c r="AG162" s="49"/>
      <c r="AI162" s="8"/>
    </row>
    <row r="163" ht="15.75" customHeight="1">
      <c r="AG163" s="49"/>
      <c r="AI163" s="8"/>
    </row>
    <row r="164" ht="15.75" customHeight="1">
      <c r="AG164" s="49"/>
      <c r="AI164" s="8"/>
    </row>
    <row r="165" ht="15.75" customHeight="1">
      <c r="AG165" s="49"/>
      <c r="AI165" s="8"/>
    </row>
    <row r="166" ht="15.75" customHeight="1">
      <c r="AG166" s="49"/>
      <c r="AI166" s="8"/>
    </row>
    <row r="167" ht="15.75" customHeight="1">
      <c r="AG167" s="49"/>
      <c r="AI167" s="8"/>
    </row>
    <row r="168" ht="15.75" customHeight="1">
      <c r="AG168" s="49"/>
      <c r="AI168" s="8"/>
    </row>
    <row r="169" ht="15.75" customHeight="1">
      <c r="AG169" s="49"/>
      <c r="AI169" s="8"/>
    </row>
    <row r="170" ht="15.75" customHeight="1">
      <c r="AG170" s="49"/>
      <c r="AI170" s="8"/>
    </row>
    <row r="171" ht="15.75" customHeight="1">
      <c r="AG171" s="49"/>
      <c r="AI171" s="8"/>
    </row>
    <row r="172" ht="15.75" customHeight="1">
      <c r="AG172" s="49"/>
      <c r="AI172" s="8"/>
    </row>
    <row r="173" ht="15.75" customHeight="1">
      <c r="AG173" s="49"/>
      <c r="AI173" s="8"/>
    </row>
    <row r="174" ht="15.75" customHeight="1">
      <c r="AG174" s="49"/>
      <c r="AI174" s="8"/>
    </row>
    <row r="175" ht="15.75" customHeight="1">
      <c r="AG175" s="49"/>
      <c r="AI175" s="8"/>
    </row>
    <row r="176" ht="15.75" customHeight="1">
      <c r="AG176" s="49"/>
      <c r="AI176" s="8"/>
    </row>
    <row r="177" ht="15.75" customHeight="1">
      <c r="AG177" s="49"/>
      <c r="AI177" s="8"/>
    </row>
    <row r="178" ht="15.75" customHeight="1">
      <c r="AG178" s="49"/>
      <c r="AI178" s="8"/>
    </row>
    <row r="179" ht="15.75" customHeight="1">
      <c r="AG179" s="49"/>
      <c r="AI179" s="8"/>
    </row>
    <row r="180" ht="15.75" customHeight="1">
      <c r="AG180" s="49"/>
      <c r="AI180" s="8"/>
    </row>
    <row r="181" ht="15.75" customHeight="1">
      <c r="AG181" s="49"/>
      <c r="AI181" s="8"/>
    </row>
    <row r="182" ht="15.75" customHeight="1">
      <c r="AG182" s="49"/>
      <c r="AI182" s="8"/>
    </row>
    <row r="183" ht="15.75" customHeight="1">
      <c r="AG183" s="49"/>
      <c r="AI183" s="8"/>
    </row>
    <row r="184" ht="15.75" customHeight="1">
      <c r="AG184" s="49"/>
      <c r="AI184" s="8"/>
    </row>
    <row r="185" ht="15.75" customHeight="1">
      <c r="AG185" s="49"/>
      <c r="AI185" s="8"/>
    </row>
    <row r="186" ht="15.75" customHeight="1">
      <c r="AG186" s="49"/>
      <c r="AI186" s="8"/>
    </row>
    <row r="187" ht="15.75" customHeight="1">
      <c r="AG187" s="49"/>
      <c r="AI187" s="8"/>
    </row>
    <row r="188" ht="15.75" customHeight="1">
      <c r="AG188" s="49"/>
      <c r="AI188" s="8"/>
    </row>
    <row r="189" ht="15.75" customHeight="1">
      <c r="AG189" s="49"/>
      <c r="AI189" s="8"/>
    </row>
    <row r="190" ht="15.75" customHeight="1">
      <c r="AG190" s="49"/>
      <c r="AI190" s="8"/>
    </row>
    <row r="191" ht="15.75" customHeight="1">
      <c r="AG191" s="49"/>
      <c r="AI191" s="8"/>
    </row>
    <row r="192" ht="15.75" customHeight="1">
      <c r="AG192" s="49"/>
      <c r="AI192" s="8"/>
    </row>
    <row r="193" ht="15.75" customHeight="1">
      <c r="AG193" s="49"/>
      <c r="AI193" s="8"/>
    </row>
    <row r="194" ht="15.75" customHeight="1">
      <c r="AG194" s="49"/>
      <c r="AI194" s="8"/>
    </row>
    <row r="195" ht="15.75" customHeight="1">
      <c r="AG195" s="49"/>
      <c r="AI195" s="8"/>
    </row>
    <row r="196" ht="15.75" customHeight="1">
      <c r="AG196" s="49"/>
      <c r="AI196" s="8"/>
    </row>
    <row r="197" ht="15.75" customHeight="1">
      <c r="AG197" s="49"/>
      <c r="AI197" s="8"/>
    </row>
    <row r="198" ht="15.75" customHeight="1">
      <c r="AG198" s="49"/>
      <c r="AI198" s="8"/>
    </row>
    <row r="199" ht="15.75" customHeight="1">
      <c r="AG199" s="49"/>
      <c r="AI199" s="8"/>
    </row>
    <row r="200" ht="15.75" customHeight="1">
      <c r="AG200" s="49"/>
      <c r="AI200" s="8"/>
    </row>
    <row r="201" ht="15.75" customHeight="1">
      <c r="AG201" s="49"/>
      <c r="AI201" s="8"/>
    </row>
    <row r="202" ht="15.75" customHeight="1">
      <c r="AG202" s="49"/>
      <c r="AI202" s="8"/>
    </row>
    <row r="203" ht="15.75" customHeight="1">
      <c r="AG203" s="49"/>
      <c r="AI203" s="8"/>
    </row>
    <row r="204" ht="15.75" customHeight="1">
      <c r="AG204" s="49"/>
      <c r="AI204" s="8"/>
    </row>
    <row r="205" ht="15.75" customHeight="1">
      <c r="AG205" s="49"/>
      <c r="AI205" s="8"/>
    </row>
    <row r="206" ht="15.75" customHeight="1">
      <c r="AG206" s="49"/>
      <c r="AI206" s="8"/>
    </row>
    <row r="207" ht="15.75" customHeight="1">
      <c r="AG207" s="49"/>
      <c r="AI207" s="8"/>
    </row>
    <row r="208" ht="15.75" customHeight="1">
      <c r="AG208" s="49"/>
      <c r="AI208" s="8"/>
    </row>
    <row r="209" ht="15.75" customHeight="1">
      <c r="AG209" s="49"/>
      <c r="AI209" s="8"/>
    </row>
    <row r="210" ht="15.75" customHeight="1">
      <c r="AG210" s="49"/>
      <c r="AI210" s="8"/>
    </row>
    <row r="211" ht="15.75" customHeight="1">
      <c r="AG211" s="49"/>
      <c r="AI211" s="8"/>
    </row>
    <row r="212" ht="15.75" customHeight="1">
      <c r="AG212" s="49"/>
      <c r="AI212" s="8"/>
    </row>
    <row r="213" ht="15.75" customHeight="1">
      <c r="AG213" s="49"/>
      <c r="AI213" s="8"/>
    </row>
    <row r="214" ht="15.75" customHeight="1">
      <c r="AG214" s="49"/>
      <c r="AI214" s="8"/>
    </row>
    <row r="215" ht="15.75" customHeight="1">
      <c r="AG215" s="49"/>
      <c r="AI215" s="8"/>
    </row>
    <row r="216" ht="15.75" customHeight="1">
      <c r="AG216" s="49"/>
      <c r="AI216" s="8"/>
    </row>
    <row r="217" ht="15.75" customHeight="1">
      <c r="AG217" s="49"/>
      <c r="AI217" s="8"/>
    </row>
    <row r="218" ht="15.75" customHeight="1">
      <c r="AG218" s="49"/>
      <c r="AI218" s="8"/>
    </row>
    <row r="219" ht="15.75" customHeight="1">
      <c r="AG219" s="49"/>
      <c r="AI219" s="8"/>
    </row>
    <row r="220" ht="15.75" customHeight="1">
      <c r="AG220" s="49"/>
      <c r="AI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P13:AR13"/>
    <mergeCell ref="AP15:AR15"/>
    <mergeCell ref="AP16:AR16"/>
    <mergeCell ref="AP17:AR17"/>
    <mergeCell ref="AP18:AR18"/>
    <mergeCell ref="AP19:AR19"/>
    <mergeCell ref="AP20:AR20"/>
    <mergeCell ref="AM5:AO5"/>
    <mergeCell ref="AM6:AO6"/>
    <mergeCell ref="AM7:AO7"/>
    <mergeCell ref="AM8:AO8"/>
    <mergeCell ref="AM9:AO9"/>
    <mergeCell ref="AM10:AO10"/>
    <mergeCell ref="AM11:AO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3.43"/>
    <col customWidth="1" min="36" max="36" width="9.43"/>
  </cols>
  <sheetData>
    <row r="1" ht="36.75" customHeight="1">
      <c r="A1" s="1" t="s">
        <v>33</v>
      </c>
      <c r="B1" s="52"/>
      <c r="C1" s="53"/>
      <c r="D1" s="54"/>
      <c r="E1" s="55"/>
      <c r="F1" s="55"/>
      <c r="G1" s="55"/>
      <c r="H1" s="55"/>
      <c r="I1" s="55"/>
      <c r="J1" s="55"/>
      <c r="K1" s="55"/>
      <c r="L1" s="55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1</v>
      </c>
      <c r="AH1" s="58"/>
      <c r="AI1" s="38"/>
      <c r="AJ1" s="38"/>
      <c r="AK1" s="38"/>
      <c r="AL1" s="38"/>
      <c r="AM1" s="38"/>
      <c r="AN1" s="38"/>
      <c r="AO1" s="38"/>
      <c r="AP1" s="38"/>
      <c r="AQ1" s="38"/>
    </row>
    <row r="2" ht="24.0" customHeight="1">
      <c r="A2" s="59" t="s">
        <v>2</v>
      </c>
      <c r="B2" s="60">
        <v>1.0</v>
      </c>
      <c r="C2" s="60">
        <v>2.0</v>
      </c>
      <c r="D2" s="61">
        <v>3.0</v>
      </c>
      <c r="E2" s="60">
        <v>4.0</v>
      </c>
      <c r="F2" s="60">
        <v>5.0</v>
      </c>
      <c r="G2" s="60">
        <v>6.0</v>
      </c>
      <c r="H2" s="60">
        <v>7.0</v>
      </c>
      <c r="I2" s="60">
        <v>8.0</v>
      </c>
      <c r="J2" s="60">
        <v>9.0</v>
      </c>
      <c r="K2" s="60">
        <v>10.0</v>
      </c>
      <c r="L2" s="60">
        <v>11.0</v>
      </c>
      <c r="M2" s="60">
        <v>12.0</v>
      </c>
      <c r="N2" s="62">
        <v>13.0</v>
      </c>
      <c r="O2" s="62">
        <v>14.0</v>
      </c>
      <c r="P2" s="62">
        <v>15.0</v>
      </c>
      <c r="Q2" s="62">
        <v>16.0</v>
      </c>
      <c r="R2" s="62">
        <v>17.0</v>
      </c>
      <c r="S2" s="62">
        <v>18.0</v>
      </c>
      <c r="T2" s="62">
        <v>19.0</v>
      </c>
      <c r="U2" s="62">
        <v>20.0</v>
      </c>
      <c r="V2" s="62">
        <v>21.0</v>
      </c>
      <c r="W2" s="62">
        <v>22.0</v>
      </c>
      <c r="X2" s="62">
        <v>23.0</v>
      </c>
      <c r="Y2" s="62">
        <v>24.0</v>
      </c>
      <c r="Z2" s="62">
        <v>25.0</v>
      </c>
      <c r="AA2" s="62">
        <v>26.0</v>
      </c>
      <c r="AB2" s="62">
        <v>27.0</v>
      </c>
      <c r="AC2" s="62">
        <v>28.0</v>
      </c>
      <c r="AD2" s="62">
        <v>29.0</v>
      </c>
      <c r="AE2" s="62">
        <v>30.0</v>
      </c>
      <c r="AF2" s="63">
        <v>31.0</v>
      </c>
      <c r="AG2" s="64">
        <f>SUM(AG3:AG25)</f>
        <v>8394.64</v>
      </c>
      <c r="AH2" s="58"/>
      <c r="AI2" s="38"/>
      <c r="AJ2" s="38"/>
      <c r="AK2" s="38"/>
      <c r="AL2" s="38"/>
      <c r="AM2" s="72"/>
      <c r="AN2" s="173">
        <v>1.0</v>
      </c>
      <c r="AO2" s="174" t="s">
        <v>16</v>
      </c>
      <c r="AP2" s="173">
        <v>0.05</v>
      </c>
      <c r="AQ2" s="246" t="s">
        <v>34</v>
      </c>
      <c r="AR2" s="38"/>
    </row>
    <row r="3" ht="32.25" customHeight="1">
      <c r="A3" s="67"/>
      <c r="B3" s="247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2"/>
      <c r="AG3" s="70">
        <f t="shared" ref="AG3:AG10" si="1">SUM(B3:AF3)</f>
        <v>0</v>
      </c>
      <c r="AH3" s="58"/>
      <c r="AI3" s="38"/>
      <c r="AJ3" s="38"/>
      <c r="AK3" s="175" t="s">
        <v>35</v>
      </c>
      <c r="AL3" s="176"/>
      <c r="AM3" s="177"/>
      <c r="AN3" s="178">
        <f>SUM(B23:AF23,B10:AF10,L25:AF25)</f>
        <v>2035.4</v>
      </c>
      <c r="AO3" s="178">
        <f t="shared" ref="AO3:AO10" si="2">((AN3*(1-0.05))*(1-0.6))</f>
        <v>773.452</v>
      </c>
      <c r="AP3" s="248">
        <f t="shared" ref="AP3:AP10" si="3">(AN3*(1-0.05))*(1-0.95)</f>
        <v>96.6815</v>
      </c>
      <c r="AQ3" s="249"/>
      <c r="AR3" s="38"/>
    </row>
    <row r="4" ht="33.0" customHeight="1">
      <c r="A4" s="190" t="s">
        <v>36</v>
      </c>
      <c r="B4" s="250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2"/>
      <c r="X4" s="172"/>
      <c r="Y4" s="172"/>
      <c r="Z4" s="172"/>
      <c r="AA4" s="172"/>
      <c r="AB4" s="172"/>
      <c r="AC4" s="251">
        <v>10.22</v>
      </c>
      <c r="AD4" s="251">
        <v>0.12</v>
      </c>
      <c r="AE4" s="251">
        <v>25.34</v>
      </c>
      <c r="AF4" s="251"/>
      <c r="AG4" s="70">
        <f t="shared" si="1"/>
        <v>35.68</v>
      </c>
      <c r="AH4" s="58"/>
      <c r="AI4" s="38"/>
      <c r="AJ4" s="38"/>
      <c r="AK4" s="252" t="s">
        <v>37</v>
      </c>
      <c r="AL4" s="176"/>
      <c r="AM4" s="177"/>
      <c r="AN4" s="253">
        <f>SUM(S12,T11,U12,U20:AF20,R14)</f>
        <v>324.41</v>
      </c>
      <c r="AO4" s="253">
        <f t="shared" si="2"/>
        <v>123.2758</v>
      </c>
      <c r="AP4" s="254">
        <f t="shared" si="3"/>
        <v>15.409475</v>
      </c>
      <c r="AQ4" s="255"/>
    </row>
    <row r="5" ht="36.75" customHeight="1">
      <c r="A5" s="190" t="s">
        <v>27</v>
      </c>
      <c r="B5" s="171">
        <v>22.62</v>
      </c>
      <c r="C5" s="171">
        <v>20.0</v>
      </c>
      <c r="D5" s="172">
        <v>21.5</v>
      </c>
      <c r="E5" s="172">
        <v>12.36</v>
      </c>
      <c r="F5" s="172">
        <v>7.5</v>
      </c>
      <c r="G5" s="172">
        <v>23.36</v>
      </c>
      <c r="H5" s="172">
        <v>21.12</v>
      </c>
      <c r="I5" s="172">
        <v>15.12</v>
      </c>
      <c r="J5" s="172">
        <v>12.0</v>
      </c>
      <c r="K5" s="172">
        <v>13.74</v>
      </c>
      <c r="L5" s="172">
        <v>17.86</v>
      </c>
      <c r="M5" s="172">
        <v>30.24</v>
      </c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70">
        <f t="shared" si="1"/>
        <v>217.42</v>
      </c>
      <c r="AH5" s="58"/>
      <c r="AI5" s="38"/>
      <c r="AJ5" s="38"/>
      <c r="AK5" s="188" t="s">
        <v>38</v>
      </c>
      <c r="AL5" s="176"/>
      <c r="AM5" s="177"/>
      <c r="AN5" s="189">
        <f>SUM(B13:AF13)</f>
        <v>1760.97</v>
      </c>
      <c r="AO5" s="189">
        <f t="shared" si="2"/>
        <v>669.1686</v>
      </c>
      <c r="AP5" s="256">
        <f t="shared" si="3"/>
        <v>83.646075</v>
      </c>
      <c r="AQ5" s="257">
        <v>30.0</v>
      </c>
    </row>
    <row r="6" ht="31.5" customHeight="1">
      <c r="A6" s="81" t="s">
        <v>5</v>
      </c>
      <c r="B6" s="179">
        <v>1.5</v>
      </c>
      <c r="C6" s="180">
        <v>1.5</v>
      </c>
      <c r="D6" s="181"/>
      <c r="E6" s="182">
        <v>4.62</v>
      </c>
      <c r="F6" s="258">
        <v>32.75</v>
      </c>
      <c r="G6" s="259">
        <v>20.55</v>
      </c>
      <c r="H6" s="259">
        <v>31.05</v>
      </c>
      <c r="I6" s="259">
        <v>31.5</v>
      </c>
      <c r="J6" s="259">
        <v>24.12</v>
      </c>
      <c r="K6" s="259">
        <v>10.35</v>
      </c>
      <c r="L6" s="259">
        <v>21.99</v>
      </c>
      <c r="M6" s="259">
        <v>42.09</v>
      </c>
      <c r="N6" s="259">
        <v>7.5</v>
      </c>
      <c r="O6" s="259">
        <v>19.05</v>
      </c>
      <c r="P6" s="259">
        <v>32.85</v>
      </c>
      <c r="Q6" s="259">
        <v>12.69</v>
      </c>
      <c r="R6" s="259">
        <v>0.0</v>
      </c>
      <c r="S6" s="259">
        <v>12.0</v>
      </c>
      <c r="T6" s="259">
        <v>7.5</v>
      </c>
      <c r="U6" s="259">
        <v>7.5</v>
      </c>
      <c r="V6" s="259">
        <v>4.5</v>
      </c>
      <c r="W6" s="259">
        <v>4.5</v>
      </c>
      <c r="X6" s="260"/>
      <c r="Y6" s="260"/>
      <c r="Z6" s="259">
        <v>0.0</v>
      </c>
      <c r="AA6" s="259">
        <v>7.5</v>
      </c>
      <c r="AB6" s="259"/>
      <c r="AC6" s="261">
        <v>1.62</v>
      </c>
      <c r="AD6" s="262"/>
      <c r="AE6" s="262"/>
      <c r="AF6" s="262"/>
      <c r="AG6" s="70">
        <f t="shared" si="1"/>
        <v>339.23</v>
      </c>
      <c r="AH6" s="58"/>
      <c r="AI6" s="38"/>
      <c r="AJ6" s="38"/>
      <c r="AK6" s="263" t="s">
        <v>39</v>
      </c>
      <c r="AL6" s="176"/>
      <c r="AM6" s="177"/>
      <c r="AN6" s="264">
        <f>SUM(F6:AB6)</f>
        <v>329.99</v>
      </c>
      <c r="AO6" s="264">
        <f t="shared" si="2"/>
        <v>125.3962</v>
      </c>
      <c r="AP6" s="265">
        <f t="shared" si="3"/>
        <v>15.674525</v>
      </c>
      <c r="AQ6" s="266"/>
    </row>
    <row r="7" ht="33.75" customHeight="1">
      <c r="A7" s="88" t="s">
        <v>6</v>
      </c>
      <c r="B7" s="185">
        <v>40.62</v>
      </c>
      <c r="C7" s="185">
        <v>75.12</v>
      </c>
      <c r="D7" s="186">
        <v>55.74</v>
      </c>
      <c r="E7" s="187">
        <v>57.12</v>
      </c>
      <c r="F7" s="187">
        <v>82.5</v>
      </c>
      <c r="G7" s="187">
        <v>83.6</v>
      </c>
      <c r="H7" s="187">
        <v>61.6</v>
      </c>
      <c r="I7" s="187">
        <v>97.24</v>
      </c>
      <c r="J7" s="187">
        <v>99.98</v>
      </c>
      <c r="K7" s="187">
        <v>88.6</v>
      </c>
      <c r="L7" s="38">
        <v>68.24</v>
      </c>
      <c r="M7" s="187">
        <v>36.36</v>
      </c>
      <c r="N7" s="186">
        <v>37.86</v>
      </c>
      <c r="O7" s="186">
        <v>54.12</v>
      </c>
      <c r="P7" s="186">
        <v>48.0</v>
      </c>
      <c r="Q7" s="186">
        <v>102.12</v>
      </c>
      <c r="R7" s="186">
        <v>54.12</v>
      </c>
      <c r="S7" s="186">
        <v>48.36</v>
      </c>
      <c r="T7" s="186">
        <v>87.12</v>
      </c>
      <c r="U7" s="186">
        <v>40.62</v>
      </c>
      <c r="V7" s="186">
        <v>37.5</v>
      </c>
      <c r="W7" s="186">
        <v>39.0</v>
      </c>
      <c r="X7" s="186">
        <v>58.62</v>
      </c>
      <c r="Y7" s="186">
        <v>67.62</v>
      </c>
      <c r="Z7" s="186">
        <v>67.86</v>
      </c>
      <c r="AA7" s="186">
        <v>55.5</v>
      </c>
      <c r="AB7" s="186">
        <v>67.5</v>
      </c>
      <c r="AC7" s="186">
        <v>45.24</v>
      </c>
      <c r="AD7" s="172">
        <v>76.62</v>
      </c>
      <c r="AE7" s="172">
        <v>57.48</v>
      </c>
      <c r="AF7" s="172"/>
      <c r="AG7" s="70">
        <f t="shared" si="1"/>
        <v>1891.98</v>
      </c>
      <c r="AH7" s="58"/>
      <c r="AI7" s="38"/>
      <c r="AJ7" s="38"/>
      <c r="AK7" s="195" t="s">
        <v>40</v>
      </c>
      <c r="AL7" s="176"/>
      <c r="AM7" s="177"/>
      <c r="AN7" s="196">
        <f>SUM(B17:AF17)</f>
        <v>790.45</v>
      </c>
      <c r="AO7" s="196">
        <f t="shared" si="2"/>
        <v>300.371</v>
      </c>
      <c r="AP7" s="267">
        <f t="shared" si="3"/>
        <v>37.546375</v>
      </c>
      <c r="AQ7" s="268"/>
    </row>
    <row r="8" ht="31.5" customHeight="1">
      <c r="A8" s="190" t="s">
        <v>8</v>
      </c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70">
        <f t="shared" si="1"/>
        <v>0</v>
      </c>
      <c r="AH8" s="58"/>
      <c r="AI8" s="38"/>
      <c r="AJ8" s="38"/>
      <c r="AK8" s="201" t="s">
        <v>23</v>
      </c>
      <c r="AL8" s="176"/>
      <c r="AM8" s="177"/>
      <c r="AN8" s="202">
        <f>SUM(H16:AF16,G15:H15,U11:AE11,B11:S11,S24:V24,W19:AF19)</f>
        <v>841.22</v>
      </c>
      <c r="AO8" s="202">
        <f t="shared" si="2"/>
        <v>319.6636</v>
      </c>
      <c r="AP8" s="269">
        <f t="shared" si="3"/>
        <v>39.95795</v>
      </c>
      <c r="AQ8" s="270"/>
    </row>
    <row r="9" ht="29.25" customHeight="1">
      <c r="A9" s="190" t="s">
        <v>41</v>
      </c>
      <c r="B9" s="250">
        <v>9.86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251">
        <v>0.8</v>
      </c>
      <c r="AA9" s="251">
        <v>0.66</v>
      </c>
      <c r="AB9" s="172"/>
      <c r="AC9" s="172"/>
      <c r="AD9" s="172"/>
      <c r="AE9" s="172"/>
      <c r="AF9" s="172"/>
      <c r="AG9" s="70">
        <f t="shared" si="1"/>
        <v>11.32</v>
      </c>
      <c r="AH9" s="58"/>
      <c r="AI9" s="38"/>
      <c r="AJ9" s="38"/>
      <c r="AK9" s="271" t="s">
        <v>42</v>
      </c>
      <c r="AL9" s="176"/>
      <c r="AM9" s="177"/>
      <c r="AN9" s="272">
        <f>SUM(X15:Z15,Z9:AA9,AC6,AC4:AE4)</f>
        <v>53.55</v>
      </c>
      <c r="AO9" s="272">
        <f t="shared" si="2"/>
        <v>20.349</v>
      </c>
      <c r="AP9" s="273">
        <f t="shared" si="3"/>
        <v>2.543625</v>
      </c>
      <c r="AQ9" s="274"/>
    </row>
    <row r="10" ht="29.25" customHeight="1">
      <c r="A10" s="81" t="s">
        <v>29</v>
      </c>
      <c r="B10" s="200"/>
      <c r="C10" s="200"/>
      <c r="D10" s="200"/>
      <c r="E10" s="200"/>
      <c r="F10" s="200">
        <v>7.5</v>
      </c>
      <c r="G10" s="275"/>
      <c r="H10" s="200">
        <v>1.5</v>
      </c>
      <c r="I10" s="200">
        <v>1.5</v>
      </c>
      <c r="J10" s="200">
        <v>6.0</v>
      </c>
      <c r="K10" s="200"/>
      <c r="L10" s="200">
        <v>1.5</v>
      </c>
      <c r="M10" s="200">
        <v>1.5</v>
      </c>
      <c r="N10" s="200"/>
      <c r="O10" s="200">
        <v>1.74</v>
      </c>
      <c r="P10" s="200">
        <v>3.0</v>
      </c>
      <c r="Q10" s="200"/>
      <c r="R10" s="200"/>
      <c r="S10" s="200"/>
      <c r="T10" s="200">
        <v>6.0</v>
      </c>
      <c r="U10" s="276">
        <v>1.62</v>
      </c>
      <c r="V10" s="276">
        <v>2.22</v>
      </c>
      <c r="W10" s="276">
        <v>1.5</v>
      </c>
      <c r="X10" s="276"/>
      <c r="Y10" s="276">
        <v>0.12</v>
      </c>
      <c r="Z10" s="276">
        <v>1.5</v>
      </c>
      <c r="AA10" s="276">
        <v>19.79</v>
      </c>
      <c r="AB10" s="276">
        <v>4.5</v>
      </c>
      <c r="AC10" s="276">
        <v>3.0</v>
      </c>
      <c r="AD10" s="276"/>
      <c r="AE10" s="276"/>
      <c r="AF10" s="276"/>
      <c r="AG10" s="70">
        <f t="shared" si="1"/>
        <v>64.49</v>
      </c>
      <c r="AH10" s="58"/>
      <c r="AI10" s="38"/>
      <c r="AJ10" s="38"/>
      <c r="AK10" s="277" t="s">
        <v>43</v>
      </c>
      <c r="AL10" s="176"/>
      <c r="AM10" s="177"/>
      <c r="AN10" s="278">
        <f>SUM(T22:AF22,V25:AF25)</f>
        <v>155.43</v>
      </c>
      <c r="AO10" s="278">
        <f t="shared" si="2"/>
        <v>59.0634</v>
      </c>
      <c r="AP10" s="279">
        <f t="shared" si="3"/>
        <v>7.382925</v>
      </c>
      <c r="AQ10" s="280"/>
    </row>
    <row r="11" ht="27.0" customHeight="1">
      <c r="A11" s="203" t="s">
        <v>3</v>
      </c>
      <c r="B11" s="208">
        <v>1.5</v>
      </c>
      <c r="C11" s="208"/>
      <c r="D11" s="208">
        <v>1.5</v>
      </c>
      <c r="E11" s="208"/>
      <c r="F11" s="209"/>
      <c r="G11" s="281">
        <v>9.45</v>
      </c>
      <c r="H11" s="208">
        <v>3.0</v>
      </c>
      <c r="I11" s="208">
        <v>2.0</v>
      </c>
      <c r="J11" s="208"/>
      <c r="K11" s="208">
        <v>4.5</v>
      </c>
      <c r="L11" s="208">
        <v>3.0</v>
      </c>
      <c r="M11" s="208"/>
      <c r="N11" s="208">
        <v>1.5</v>
      </c>
      <c r="O11" s="209">
        <v>1.5</v>
      </c>
      <c r="P11" s="208"/>
      <c r="Q11" s="208">
        <v>16.5</v>
      </c>
      <c r="R11" s="208">
        <v>50.13</v>
      </c>
      <c r="S11" s="208">
        <v>33.3</v>
      </c>
      <c r="T11" s="282">
        <v>2.04</v>
      </c>
      <c r="U11" s="283">
        <v>3.9</v>
      </c>
      <c r="V11" s="283">
        <v>21.72</v>
      </c>
      <c r="W11" s="283">
        <v>9.2</v>
      </c>
      <c r="X11" s="283">
        <v>3.75</v>
      </c>
      <c r="Y11" s="283">
        <v>17.85</v>
      </c>
      <c r="Z11" s="284">
        <v>1.8</v>
      </c>
      <c r="AA11" s="283">
        <v>11.1</v>
      </c>
      <c r="AB11" s="283">
        <v>0.0</v>
      </c>
      <c r="AC11" s="284"/>
      <c r="AD11" s="284"/>
      <c r="AE11" s="284">
        <v>6.0</v>
      </c>
      <c r="AF11" s="284"/>
      <c r="AG11" s="285">
        <f>SUM(B11:AF11,S12:AF12)</f>
        <v>214.78</v>
      </c>
      <c r="AH11" s="58"/>
      <c r="AI11" s="38"/>
      <c r="AJ11" s="38"/>
      <c r="AK11" s="38"/>
      <c r="AL11" s="38"/>
      <c r="AM11" s="38"/>
      <c r="AN11" s="220">
        <f>sum(AN3:AN10)</f>
        <v>6291.42</v>
      </c>
      <c r="AO11" s="38"/>
      <c r="AP11" s="220">
        <f>sum(AP3:AP10)</f>
        <v>298.84245</v>
      </c>
    </row>
    <row r="12" ht="27.0" customHeight="1">
      <c r="A12" s="286" t="s">
        <v>44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288"/>
      <c r="O12" s="288"/>
      <c r="P12" s="288"/>
      <c r="Q12" s="289"/>
      <c r="R12" s="290"/>
      <c r="S12" s="291">
        <v>6.54</v>
      </c>
      <c r="T12" s="287"/>
      <c r="U12" s="291">
        <v>3.0</v>
      </c>
      <c r="V12" s="287"/>
      <c r="W12" s="222"/>
      <c r="X12" s="287"/>
      <c r="Y12" s="287"/>
      <c r="Z12" s="287"/>
      <c r="AA12" s="287"/>
      <c r="AB12" s="287"/>
      <c r="AC12" s="222"/>
      <c r="AD12" s="222"/>
      <c r="AE12" s="222"/>
      <c r="AF12" s="222"/>
      <c r="AG12" s="292"/>
      <c r="AH12" s="58"/>
      <c r="AI12" s="38"/>
      <c r="AJ12" s="38"/>
      <c r="AK12" s="38"/>
    </row>
    <row r="13" ht="27.0" customHeight="1">
      <c r="A13" s="213" t="s">
        <v>4</v>
      </c>
      <c r="B13" s="214">
        <v>16.5</v>
      </c>
      <c r="C13" s="214">
        <v>39.93</v>
      </c>
      <c r="D13" s="214">
        <v>81.9</v>
      </c>
      <c r="E13" s="214">
        <v>75.04</v>
      </c>
      <c r="F13" s="214">
        <v>65.32</v>
      </c>
      <c r="G13" s="214">
        <v>48.42</v>
      </c>
      <c r="H13" s="214">
        <v>39.8</v>
      </c>
      <c r="I13" s="214">
        <v>85.58</v>
      </c>
      <c r="J13" s="214">
        <v>99.56</v>
      </c>
      <c r="K13" s="214">
        <v>56.04</v>
      </c>
      <c r="L13" s="214">
        <v>42.46</v>
      </c>
      <c r="M13" s="216">
        <v>65.64</v>
      </c>
      <c r="N13" s="216">
        <v>58.32</v>
      </c>
      <c r="O13" s="216">
        <v>45.0</v>
      </c>
      <c r="P13" s="293">
        <v>0.0</v>
      </c>
      <c r="Q13" s="218">
        <v>47.58</v>
      </c>
      <c r="R13" s="218">
        <v>74.64</v>
      </c>
      <c r="S13" s="214">
        <v>90.6</v>
      </c>
      <c r="T13" s="214">
        <v>67.84</v>
      </c>
      <c r="U13" s="214">
        <v>54.18</v>
      </c>
      <c r="V13" s="214">
        <v>81.56</v>
      </c>
      <c r="W13" s="219">
        <v>67.42</v>
      </c>
      <c r="X13" s="214">
        <v>56.96</v>
      </c>
      <c r="Y13" s="214">
        <v>90.36</v>
      </c>
      <c r="Z13" s="214">
        <v>64.54</v>
      </c>
      <c r="AA13" s="214">
        <v>68.7</v>
      </c>
      <c r="AB13" s="214">
        <v>7.62</v>
      </c>
      <c r="AC13" s="219">
        <v>71.5</v>
      </c>
      <c r="AD13" s="219">
        <v>36.58</v>
      </c>
      <c r="AE13" s="219">
        <v>61.38</v>
      </c>
      <c r="AF13" s="219"/>
      <c r="AG13" s="70">
        <f t="shared" ref="AG13:AG15" si="4">SUM(B13:AF13)</f>
        <v>1760.97</v>
      </c>
      <c r="AH13" s="58" t="s">
        <v>45</v>
      </c>
      <c r="AI13" s="38"/>
      <c r="AJ13" s="38"/>
      <c r="AK13" s="38"/>
      <c r="AL13" s="38"/>
      <c r="AM13" s="38"/>
      <c r="AN13" s="38"/>
    </row>
    <row r="14" ht="28.5" customHeight="1">
      <c r="A14" s="221" t="s">
        <v>30</v>
      </c>
      <c r="B14" s="222"/>
      <c r="C14" s="222"/>
      <c r="D14" s="222"/>
      <c r="E14" s="222"/>
      <c r="F14" s="222"/>
      <c r="G14" s="294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95">
        <v>0.48</v>
      </c>
      <c r="S14" s="295"/>
      <c r="T14" s="222"/>
      <c r="U14" s="222"/>
      <c r="V14" s="209">
        <v>2.05</v>
      </c>
      <c r="W14" s="209"/>
      <c r="X14" s="209"/>
      <c r="Y14" s="209">
        <v>3.0</v>
      </c>
      <c r="Z14" s="222"/>
      <c r="AA14" s="225"/>
      <c r="AB14" s="225"/>
      <c r="AC14" s="222"/>
      <c r="AD14" s="222"/>
      <c r="AE14" s="222"/>
      <c r="AF14" s="222"/>
      <c r="AG14" s="70">
        <f t="shared" si="4"/>
        <v>5.53</v>
      </c>
      <c r="AH14" s="58"/>
      <c r="AI14" s="38"/>
      <c r="AJ14" s="38"/>
      <c r="AK14" s="38"/>
      <c r="AL14" s="38"/>
      <c r="AM14" s="38"/>
      <c r="AN14" s="38"/>
      <c r="AO14" s="226"/>
    </row>
    <row r="15" ht="28.5" customHeight="1">
      <c r="A15" s="193" t="s">
        <v>31</v>
      </c>
      <c r="B15" s="296"/>
      <c r="C15" s="297"/>
      <c r="D15" s="296"/>
      <c r="E15" s="296"/>
      <c r="F15" s="296"/>
      <c r="G15" s="298">
        <v>3.0</v>
      </c>
      <c r="H15" s="298">
        <v>1.5</v>
      </c>
      <c r="I15" s="296"/>
      <c r="J15" s="296"/>
      <c r="K15" s="296"/>
      <c r="L15" s="299"/>
      <c r="M15" s="299"/>
      <c r="N15" s="299"/>
      <c r="O15" s="299"/>
      <c r="P15" s="300"/>
      <c r="Q15" s="300"/>
      <c r="R15" s="300"/>
      <c r="S15" s="300"/>
      <c r="T15" s="300"/>
      <c r="U15" s="300"/>
      <c r="V15" s="300"/>
      <c r="W15" s="300"/>
      <c r="X15" s="301">
        <v>9.37</v>
      </c>
      <c r="Y15" s="301">
        <v>5.3</v>
      </c>
      <c r="Z15" s="301">
        <v>0.12</v>
      </c>
      <c r="AA15" s="300"/>
      <c r="AB15" s="300"/>
      <c r="AC15" s="300"/>
      <c r="AD15" s="299"/>
      <c r="AE15" s="299"/>
      <c r="AF15" s="299"/>
      <c r="AG15" s="70">
        <f t="shared" si="4"/>
        <v>19.29</v>
      </c>
      <c r="AH15" s="58"/>
      <c r="AI15" s="38"/>
      <c r="AJ15" s="38"/>
      <c r="AK15" s="38"/>
      <c r="AL15" s="38"/>
      <c r="AM15" s="38"/>
      <c r="AN15" s="38"/>
      <c r="AO15" s="226"/>
      <c r="AP15" s="226"/>
      <c r="AQ15" s="226"/>
    </row>
    <row r="16" ht="28.5" customHeight="1">
      <c r="A16" s="302" t="s">
        <v>46</v>
      </c>
      <c r="B16" s="303"/>
      <c r="C16" s="304"/>
      <c r="D16" s="303"/>
      <c r="E16" s="303"/>
      <c r="F16" s="303"/>
      <c r="G16" s="303"/>
      <c r="H16" s="305">
        <v>20.0</v>
      </c>
      <c r="I16" s="305">
        <v>11.4</v>
      </c>
      <c r="J16" s="305">
        <v>75.0</v>
      </c>
      <c r="K16" s="305">
        <v>20.5</v>
      </c>
      <c r="L16" s="306">
        <v>1.5</v>
      </c>
      <c r="M16" s="306">
        <v>0.0</v>
      </c>
      <c r="N16" s="306">
        <v>31.65</v>
      </c>
      <c r="O16" s="306">
        <v>6.36</v>
      </c>
      <c r="P16" s="307">
        <v>71.97</v>
      </c>
      <c r="Q16" s="307">
        <v>43.65</v>
      </c>
      <c r="R16" s="307">
        <v>17.1</v>
      </c>
      <c r="S16" s="307">
        <v>1.5</v>
      </c>
      <c r="T16" s="307">
        <v>0.0</v>
      </c>
      <c r="U16" s="307">
        <v>0.0</v>
      </c>
      <c r="V16" s="307">
        <v>28.05</v>
      </c>
      <c r="W16" s="307">
        <v>4.65</v>
      </c>
      <c r="X16" s="307">
        <v>9.9</v>
      </c>
      <c r="Y16" s="307">
        <v>28.45</v>
      </c>
      <c r="Z16" s="307">
        <v>7.8</v>
      </c>
      <c r="AA16" s="307">
        <v>3.0</v>
      </c>
      <c r="AB16" s="307">
        <v>0.0</v>
      </c>
      <c r="AC16" s="307">
        <v>0.0</v>
      </c>
      <c r="AD16" s="307">
        <v>0.0</v>
      </c>
      <c r="AE16" s="307">
        <v>9.15</v>
      </c>
      <c r="AF16" s="308"/>
      <c r="AG16" s="285">
        <f>SUM(B17:AF17,H16:AF16)</f>
        <v>1182.08</v>
      </c>
      <c r="AH16" s="58"/>
      <c r="AI16" s="38"/>
      <c r="AJ16" s="38"/>
      <c r="AK16" s="38"/>
      <c r="AL16" s="38"/>
      <c r="AM16" s="38"/>
      <c r="AN16" s="38"/>
      <c r="AO16" s="226"/>
      <c r="AP16" s="226"/>
      <c r="AQ16" s="226"/>
    </row>
    <row r="17" ht="28.5" customHeight="1">
      <c r="A17" s="309" t="s">
        <v>47</v>
      </c>
      <c r="B17" s="310">
        <v>28.05</v>
      </c>
      <c r="C17" s="311">
        <v>62.75</v>
      </c>
      <c r="D17" s="310">
        <v>24.0</v>
      </c>
      <c r="E17" s="312">
        <v>1.5</v>
      </c>
      <c r="F17" s="310">
        <v>52.2</v>
      </c>
      <c r="G17" s="310">
        <v>52.3</v>
      </c>
      <c r="H17" s="310">
        <v>8.25</v>
      </c>
      <c r="I17" s="310">
        <v>19.5</v>
      </c>
      <c r="J17" s="310">
        <v>41.05</v>
      </c>
      <c r="K17" s="310">
        <v>22.0</v>
      </c>
      <c r="L17" s="311">
        <v>28.95</v>
      </c>
      <c r="M17" s="311">
        <v>24.25</v>
      </c>
      <c r="N17" s="311">
        <v>17.1</v>
      </c>
      <c r="O17" s="311">
        <v>5.7</v>
      </c>
      <c r="P17" s="313"/>
      <c r="Q17" s="314">
        <v>10.0</v>
      </c>
      <c r="R17" s="314">
        <v>38.9</v>
      </c>
      <c r="S17" s="314">
        <v>30.9</v>
      </c>
      <c r="T17" s="314">
        <v>34.35</v>
      </c>
      <c r="U17" s="314">
        <v>11.25</v>
      </c>
      <c r="V17" s="314">
        <v>28.65</v>
      </c>
      <c r="W17" s="314">
        <v>26.4</v>
      </c>
      <c r="X17" s="314">
        <v>34.25</v>
      </c>
      <c r="Y17" s="315"/>
      <c r="Z17" s="314">
        <v>38.55</v>
      </c>
      <c r="AA17" s="314">
        <v>20.55</v>
      </c>
      <c r="AB17" s="314">
        <v>25.35</v>
      </c>
      <c r="AC17" s="314">
        <v>25.0</v>
      </c>
      <c r="AD17" s="314">
        <v>37.9</v>
      </c>
      <c r="AE17" s="314">
        <v>40.8</v>
      </c>
      <c r="AF17" s="316"/>
      <c r="AG17" s="317"/>
      <c r="AH17" s="58"/>
      <c r="AI17" s="38"/>
      <c r="AJ17" s="38"/>
      <c r="AK17" s="38"/>
      <c r="AL17" s="38"/>
      <c r="AM17" s="38"/>
      <c r="AN17" s="38"/>
      <c r="AO17" s="226"/>
    </row>
    <row r="18" ht="16.5" customHeight="1">
      <c r="A18" s="318" t="s">
        <v>48</v>
      </c>
      <c r="B18" s="319">
        <f t="shared" ref="B18:AF18" si="5">SUM(B16:B17)</f>
        <v>28.05</v>
      </c>
      <c r="C18" s="319">
        <f t="shared" si="5"/>
        <v>62.75</v>
      </c>
      <c r="D18" s="319">
        <f t="shared" si="5"/>
        <v>24</v>
      </c>
      <c r="E18" s="319">
        <f t="shared" si="5"/>
        <v>1.5</v>
      </c>
      <c r="F18" s="319">
        <f t="shared" si="5"/>
        <v>52.2</v>
      </c>
      <c r="G18" s="319">
        <f t="shared" si="5"/>
        <v>52.3</v>
      </c>
      <c r="H18" s="319">
        <f t="shared" si="5"/>
        <v>28.25</v>
      </c>
      <c r="I18" s="319">
        <f t="shared" si="5"/>
        <v>30.9</v>
      </c>
      <c r="J18" s="319">
        <f t="shared" si="5"/>
        <v>116.05</v>
      </c>
      <c r="K18" s="319">
        <f t="shared" si="5"/>
        <v>42.5</v>
      </c>
      <c r="L18" s="319">
        <f t="shared" si="5"/>
        <v>30.45</v>
      </c>
      <c r="M18" s="319">
        <f t="shared" si="5"/>
        <v>24.25</v>
      </c>
      <c r="N18" s="319">
        <f t="shared" si="5"/>
        <v>48.75</v>
      </c>
      <c r="O18" s="319">
        <f t="shared" si="5"/>
        <v>12.06</v>
      </c>
      <c r="P18" s="319">
        <f t="shared" si="5"/>
        <v>71.97</v>
      </c>
      <c r="Q18" s="319">
        <f t="shared" si="5"/>
        <v>53.65</v>
      </c>
      <c r="R18" s="319">
        <f t="shared" si="5"/>
        <v>56</v>
      </c>
      <c r="S18" s="319">
        <f t="shared" si="5"/>
        <v>32.4</v>
      </c>
      <c r="T18" s="319">
        <f t="shared" si="5"/>
        <v>34.35</v>
      </c>
      <c r="U18" s="319">
        <f t="shared" si="5"/>
        <v>11.25</v>
      </c>
      <c r="V18" s="319">
        <f t="shared" si="5"/>
        <v>56.7</v>
      </c>
      <c r="W18" s="319">
        <f t="shared" si="5"/>
        <v>31.05</v>
      </c>
      <c r="X18" s="319">
        <f t="shared" si="5"/>
        <v>44.15</v>
      </c>
      <c r="Y18" s="319">
        <f t="shared" si="5"/>
        <v>28.45</v>
      </c>
      <c r="Z18" s="319">
        <f t="shared" si="5"/>
        <v>46.35</v>
      </c>
      <c r="AA18" s="319">
        <f t="shared" si="5"/>
        <v>23.55</v>
      </c>
      <c r="AB18" s="319">
        <f t="shared" si="5"/>
        <v>25.35</v>
      </c>
      <c r="AC18" s="319">
        <f t="shared" si="5"/>
        <v>25</v>
      </c>
      <c r="AD18" s="319">
        <f t="shared" si="5"/>
        <v>37.9</v>
      </c>
      <c r="AE18" s="319">
        <f t="shared" si="5"/>
        <v>49.95</v>
      </c>
      <c r="AF18" s="320">
        <f t="shared" si="5"/>
        <v>0</v>
      </c>
      <c r="AG18" s="292"/>
      <c r="AH18" s="58"/>
      <c r="AI18" s="38"/>
      <c r="AJ18" s="38"/>
      <c r="AK18" s="38"/>
      <c r="AL18" s="38"/>
      <c r="AM18" s="38"/>
      <c r="AN18" s="38"/>
      <c r="AO18" s="226"/>
      <c r="AP18" s="226"/>
      <c r="AQ18" s="226"/>
    </row>
    <row r="19" ht="28.5" customHeight="1">
      <c r="A19" s="321" t="s">
        <v>49</v>
      </c>
      <c r="B19" s="322"/>
      <c r="C19" s="323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3"/>
      <c r="T19" s="323"/>
      <c r="U19" s="322"/>
      <c r="V19" s="322"/>
      <c r="W19" s="324">
        <v>24.05</v>
      </c>
      <c r="X19" s="324">
        <v>18.55</v>
      </c>
      <c r="Y19" s="325">
        <v>2.85</v>
      </c>
      <c r="Z19" s="324">
        <v>7.35</v>
      </c>
      <c r="AA19" s="324">
        <v>4.5</v>
      </c>
      <c r="AB19" s="324">
        <v>0.0</v>
      </c>
      <c r="AC19" s="324">
        <v>0.0</v>
      </c>
      <c r="AD19" s="324">
        <v>9.0</v>
      </c>
      <c r="AE19" s="324"/>
      <c r="AF19" s="326"/>
      <c r="AG19" s="285">
        <f>SUM(U21:AF21)</f>
        <v>378.65</v>
      </c>
      <c r="AH19" s="58"/>
      <c r="AI19" s="38"/>
      <c r="AJ19" s="38"/>
      <c r="AK19" s="38"/>
      <c r="AL19" s="38"/>
      <c r="AM19" s="38"/>
      <c r="AN19" s="38"/>
      <c r="AO19" s="226"/>
      <c r="AP19" s="226"/>
      <c r="AQ19" s="226"/>
    </row>
    <row r="20" ht="28.5" customHeight="1">
      <c r="A20" s="321" t="s">
        <v>50</v>
      </c>
      <c r="B20" s="222"/>
      <c r="C20" s="235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35"/>
      <c r="T20" s="235"/>
      <c r="U20" s="295">
        <v>64.18</v>
      </c>
      <c r="V20" s="295">
        <v>23.08</v>
      </c>
      <c r="W20" s="295">
        <v>54.0</v>
      </c>
      <c r="X20" s="295">
        <v>26.57</v>
      </c>
      <c r="Y20" s="327">
        <v>23.25</v>
      </c>
      <c r="Z20" s="295">
        <v>6.33</v>
      </c>
      <c r="AA20" s="295">
        <v>34.13</v>
      </c>
      <c r="AB20" s="295">
        <v>33.84</v>
      </c>
      <c r="AC20" s="295">
        <v>13.95</v>
      </c>
      <c r="AD20" s="295">
        <v>10.41</v>
      </c>
      <c r="AE20" s="295">
        <v>22.61</v>
      </c>
      <c r="AF20" s="328"/>
      <c r="AG20" s="317"/>
      <c r="AH20" s="58"/>
      <c r="AI20" s="38"/>
      <c r="AJ20" s="38"/>
      <c r="AK20" s="38"/>
      <c r="AL20" s="38"/>
      <c r="AM20" s="38"/>
      <c r="AN20" s="38"/>
      <c r="AO20" s="226"/>
    </row>
    <row r="21" ht="26.25" customHeight="1">
      <c r="A21" s="329" t="s">
        <v>51</v>
      </c>
      <c r="B21" s="330"/>
      <c r="C21" s="331"/>
      <c r="D21" s="330"/>
      <c r="E21" s="330"/>
      <c r="F21" s="330"/>
      <c r="G21" s="331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2"/>
      <c r="U21" s="332">
        <f t="shared" ref="U21:AF21" si="6">sum(U19:U20)</f>
        <v>64.18</v>
      </c>
      <c r="V21" s="332">
        <f t="shared" si="6"/>
        <v>23.08</v>
      </c>
      <c r="W21" s="332">
        <f t="shared" si="6"/>
        <v>78.05</v>
      </c>
      <c r="X21" s="332">
        <f t="shared" si="6"/>
        <v>45.12</v>
      </c>
      <c r="Y21" s="332">
        <f t="shared" si="6"/>
        <v>26.1</v>
      </c>
      <c r="Z21" s="332">
        <f t="shared" si="6"/>
        <v>13.68</v>
      </c>
      <c r="AA21" s="332">
        <f t="shared" si="6"/>
        <v>38.63</v>
      </c>
      <c r="AB21" s="332">
        <f t="shared" si="6"/>
        <v>33.84</v>
      </c>
      <c r="AC21" s="332">
        <f t="shared" si="6"/>
        <v>13.95</v>
      </c>
      <c r="AD21" s="332">
        <f t="shared" si="6"/>
        <v>19.41</v>
      </c>
      <c r="AE21" s="332">
        <f t="shared" si="6"/>
        <v>22.61</v>
      </c>
      <c r="AF21" s="333">
        <f t="shared" si="6"/>
        <v>0</v>
      </c>
      <c r="AG21" s="292"/>
      <c r="AH21" s="58"/>
      <c r="AI21" s="38"/>
      <c r="AJ21" s="38"/>
      <c r="AK21" s="38"/>
      <c r="AL21" s="38"/>
      <c r="AM21" s="38"/>
      <c r="AN21" s="38"/>
      <c r="AO21" s="226"/>
      <c r="AP21" s="226"/>
      <c r="AQ21" s="226"/>
    </row>
    <row r="22" ht="26.25" customHeight="1">
      <c r="A22" s="190" t="s">
        <v>10</v>
      </c>
      <c r="B22" s="322"/>
      <c r="C22" s="334"/>
      <c r="D22" s="322"/>
      <c r="E22" s="322"/>
      <c r="F22" s="322"/>
      <c r="G22" s="334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35">
        <v>49.79</v>
      </c>
      <c r="U22" s="335">
        <v>8.85</v>
      </c>
      <c r="V22" s="335">
        <v>7.48</v>
      </c>
      <c r="W22" s="335">
        <v>13.72</v>
      </c>
      <c r="X22" s="335">
        <v>1.5</v>
      </c>
      <c r="Y22" s="335">
        <v>0.14</v>
      </c>
      <c r="Z22" s="335">
        <v>19.84</v>
      </c>
      <c r="AA22" s="335">
        <v>0.12</v>
      </c>
      <c r="AB22" s="335">
        <v>0.0</v>
      </c>
      <c r="AC22" s="335"/>
      <c r="AD22" s="335">
        <v>1.5</v>
      </c>
      <c r="AE22" s="335">
        <v>4.94</v>
      </c>
      <c r="AF22" s="335"/>
      <c r="AG22" s="70">
        <f t="shared" ref="AG22:AG25" si="7">SUM(B22:AF22)</f>
        <v>107.88</v>
      </c>
      <c r="AH22" s="58"/>
      <c r="AI22" s="38"/>
      <c r="AJ22" s="38"/>
      <c r="AK22" s="38"/>
      <c r="AL22" s="38"/>
      <c r="AM22" s="38"/>
      <c r="AN22" s="38"/>
      <c r="AO22" s="226"/>
    </row>
    <row r="23" ht="25.5" customHeight="1">
      <c r="A23" s="190" t="s">
        <v>11</v>
      </c>
      <c r="B23" s="238">
        <v>24.0</v>
      </c>
      <c r="C23" s="238">
        <v>45.0</v>
      </c>
      <c r="D23" s="238">
        <v>24.12</v>
      </c>
      <c r="E23" s="238">
        <v>40.5</v>
      </c>
      <c r="F23" s="238">
        <v>52.62</v>
      </c>
      <c r="G23" s="238">
        <v>24.12</v>
      </c>
      <c r="H23" s="238">
        <v>57.1</v>
      </c>
      <c r="I23" s="238">
        <v>47.2</v>
      </c>
      <c r="J23" s="238">
        <v>21.0</v>
      </c>
      <c r="K23" s="238">
        <v>75.12</v>
      </c>
      <c r="L23" s="238">
        <v>78.0</v>
      </c>
      <c r="M23" s="238">
        <v>96.12</v>
      </c>
      <c r="N23" s="238">
        <v>73.5</v>
      </c>
      <c r="O23" s="238">
        <v>52.5</v>
      </c>
      <c r="P23" s="238">
        <v>123.0</v>
      </c>
      <c r="Q23" s="238">
        <v>125.62</v>
      </c>
      <c r="R23" s="238">
        <v>71.0</v>
      </c>
      <c r="S23" s="238">
        <v>75.0</v>
      </c>
      <c r="T23" s="238">
        <v>97.62</v>
      </c>
      <c r="U23" s="238">
        <v>69.18</v>
      </c>
      <c r="V23" s="238">
        <v>97.12</v>
      </c>
      <c r="W23" s="238">
        <v>86.62</v>
      </c>
      <c r="X23" s="238">
        <v>94.74</v>
      </c>
      <c r="Y23" s="238">
        <v>90.08</v>
      </c>
      <c r="Z23" s="238">
        <v>72.12</v>
      </c>
      <c r="AA23" s="238">
        <v>48.36</v>
      </c>
      <c r="AB23" s="238">
        <v>59.5</v>
      </c>
      <c r="AC23" s="239">
        <v>38.0</v>
      </c>
      <c r="AD23" s="239">
        <v>40.5</v>
      </c>
      <c r="AE23" s="239">
        <v>19.5</v>
      </c>
      <c r="AF23" s="239"/>
      <c r="AG23" s="70">
        <f t="shared" si="7"/>
        <v>1918.86</v>
      </c>
      <c r="AH23" s="58" t="s">
        <v>52</v>
      </c>
      <c r="AI23" s="38"/>
      <c r="AJ23" s="38"/>
      <c r="AK23" s="38"/>
      <c r="AL23" s="38"/>
      <c r="AM23" s="38"/>
      <c r="AN23" s="38"/>
      <c r="AO23" s="226"/>
    </row>
    <row r="24" ht="29.25" customHeight="1">
      <c r="A24" s="193" t="s">
        <v>53</v>
      </c>
      <c r="B24" s="230"/>
      <c r="C24" s="231"/>
      <c r="D24" s="231"/>
      <c r="E24" s="231"/>
      <c r="F24" s="230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83">
        <v>65.51</v>
      </c>
      <c r="T24" s="283">
        <v>30.35</v>
      </c>
      <c r="U24" s="283">
        <v>67.28</v>
      </c>
      <c r="V24" s="283">
        <v>12.45</v>
      </c>
      <c r="W24" s="231"/>
      <c r="X24" s="231"/>
      <c r="Y24" s="231"/>
      <c r="Z24" s="231"/>
      <c r="AA24" s="231"/>
      <c r="AB24" s="231"/>
      <c r="AC24" s="230"/>
      <c r="AD24" s="230"/>
      <c r="AE24" s="230"/>
      <c r="AF24" s="230"/>
      <c r="AG24" s="70">
        <f t="shared" si="7"/>
        <v>175.59</v>
      </c>
      <c r="AH24" s="58"/>
      <c r="AI24" s="38"/>
      <c r="AJ24" s="38"/>
      <c r="AK24" s="38"/>
      <c r="AL24" s="38"/>
      <c r="AM24" s="38"/>
      <c r="AN24" s="38"/>
      <c r="AO24" s="226"/>
      <c r="AP24" s="226"/>
      <c r="AQ24" s="226"/>
    </row>
    <row r="25" ht="29.25" customHeight="1">
      <c r="A25" s="193" t="s">
        <v>54</v>
      </c>
      <c r="B25" s="230">
        <v>18.84</v>
      </c>
      <c r="C25" s="231"/>
      <c r="D25" s="231"/>
      <c r="E25" s="231"/>
      <c r="F25" s="230"/>
      <c r="G25" s="231"/>
      <c r="H25" s="231"/>
      <c r="I25" s="231"/>
      <c r="J25" s="231"/>
      <c r="K25" s="231"/>
      <c r="L25" s="336"/>
      <c r="M25" s="336"/>
      <c r="N25" s="336"/>
      <c r="O25" s="336"/>
      <c r="P25" s="336">
        <v>3.0</v>
      </c>
      <c r="Q25" s="336"/>
      <c r="R25" s="336"/>
      <c r="S25" s="336">
        <v>1.5</v>
      </c>
      <c r="T25" s="336"/>
      <c r="U25" s="336"/>
      <c r="V25" s="337">
        <v>0.0</v>
      </c>
      <c r="W25" s="337">
        <v>24.66</v>
      </c>
      <c r="X25" s="337">
        <v>12.6</v>
      </c>
      <c r="Y25" s="337">
        <v>7.17</v>
      </c>
      <c r="Z25" s="337">
        <v>0.0</v>
      </c>
      <c r="AA25" s="337"/>
      <c r="AB25" s="337"/>
      <c r="AC25" s="338">
        <v>1.62</v>
      </c>
      <c r="AD25" s="338"/>
      <c r="AE25" s="338">
        <v>1.5</v>
      </c>
      <c r="AF25" s="338"/>
      <c r="AG25" s="70">
        <f t="shared" si="7"/>
        <v>70.89</v>
      </c>
      <c r="AH25" s="58"/>
      <c r="AI25" s="38"/>
      <c r="AJ25" s="38"/>
      <c r="AK25" s="38"/>
      <c r="AL25" s="38"/>
      <c r="AM25" s="38"/>
      <c r="AN25" s="38"/>
      <c r="AO25" s="226"/>
    </row>
    <row r="26" ht="24.75" customHeight="1">
      <c r="A26" s="47" t="s">
        <v>14</v>
      </c>
      <c r="B26" s="167">
        <f t="shared" ref="B26:AF26" si="8">SUM(B3:B17,B19:B20,B22:B25)</f>
        <v>163.49</v>
      </c>
      <c r="C26" s="167">
        <f t="shared" si="8"/>
        <v>244.3</v>
      </c>
      <c r="D26" s="167">
        <f t="shared" si="8"/>
        <v>208.76</v>
      </c>
      <c r="E26" s="167">
        <f t="shared" si="8"/>
        <v>191.14</v>
      </c>
      <c r="F26" s="167">
        <f t="shared" si="8"/>
        <v>300.39</v>
      </c>
      <c r="G26" s="167">
        <f t="shared" si="8"/>
        <v>264.8</v>
      </c>
      <c r="H26" s="167">
        <f t="shared" si="8"/>
        <v>244.92</v>
      </c>
      <c r="I26" s="167">
        <f t="shared" si="8"/>
        <v>311.04</v>
      </c>
      <c r="J26" s="167">
        <f t="shared" si="8"/>
        <v>378.71</v>
      </c>
      <c r="K26" s="167">
        <f t="shared" si="8"/>
        <v>290.85</v>
      </c>
      <c r="L26" s="167">
        <f t="shared" si="8"/>
        <v>263.5</v>
      </c>
      <c r="M26" s="167">
        <f t="shared" si="8"/>
        <v>296.2</v>
      </c>
      <c r="N26" s="167">
        <f t="shared" si="8"/>
        <v>227.43</v>
      </c>
      <c r="O26" s="167">
        <f t="shared" si="8"/>
        <v>185.97</v>
      </c>
      <c r="P26" s="167">
        <f t="shared" si="8"/>
        <v>281.82</v>
      </c>
      <c r="Q26" s="167">
        <f t="shared" si="8"/>
        <v>358.16</v>
      </c>
      <c r="R26" s="167">
        <f t="shared" si="8"/>
        <v>306.37</v>
      </c>
      <c r="S26" s="167">
        <f t="shared" si="8"/>
        <v>365.21</v>
      </c>
      <c r="T26" s="167">
        <f t="shared" si="8"/>
        <v>382.61</v>
      </c>
      <c r="U26" s="167">
        <f t="shared" si="8"/>
        <v>331.56</v>
      </c>
      <c r="V26" s="167">
        <f t="shared" si="8"/>
        <v>346.38</v>
      </c>
      <c r="W26" s="167">
        <f t="shared" si="8"/>
        <v>355.72</v>
      </c>
      <c r="X26" s="167">
        <f t="shared" si="8"/>
        <v>326.81</v>
      </c>
      <c r="Y26" s="167">
        <f t="shared" si="8"/>
        <v>336.19</v>
      </c>
      <c r="Z26" s="167">
        <f t="shared" si="8"/>
        <v>288.61</v>
      </c>
      <c r="AA26" s="167">
        <f t="shared" si="8"/>
        <v>273.91</v>
      </c>
      <c r="AB26" s="167">
        <f t="shared" si="8"/>
        <v>198.31</v>
      </c>
      <c r="AC26" s="167">
        <f t="shared" si="8"/>
        <v>210.15</v>
      </c>
      <c r="AD26" s="167">
        <f t="shared" si="8"/>
        <v>212.63</v>
      </c>
      <c r="AE26" s="167">
        <f t="shared" si="8"/>
        <v>248.7</v>
      </c>
      <c r="AF26" s="167">
        <f t="shared" si="8"/>
        <v>0</v>
      </c>
      <c r="AG26" s="38"/>
      <c r="AH26" s="58"/>
      <c r="AI26" s="38"/>
      <c r="AJ26" s="38"/>
      <c r="AK26" s="38"/>
      <c r="AL26" s="38"/>
      <c r="AM26" s="38"/>
      <c r="AN26" s="38"/>
      <c r="AO26" s="226"/>
    </row>
    <row r="27" ht="15.75" customHeight="1">
      <c r="A27" s="66"/>
      <c r="B27" s="66"/>
      <c r="C27" s="66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58"/>
      <c r="AI27" s="38"/>
      <c r="AJ27" s="38"/>
      <c r="AK27" s="38"/>
      <c r="AL27" s="38"/>
      <c r="AM27" s="38"/>
      <c r="AN27" s="38"/>
      <c r="AO27" s="38"/>
      <c r="AP27" s="38"/>
      <c r="AQ27" s="38"/>
    </row>
    <row r="28" ht="99.75" customHeight="1">
      <c r="A28" s="168"/>
      <c r="B28" s="169"/>
      <c r="C28" s="170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58"/>
      <c r="AI28" s="38"/>
      <c r="AJ28" s="38"/>
      <c r="AK28" s="38"/>
      <c r="AL28" s="38"/>
      <c r="AM28" s="38"/>
      <c r="AN28" s="38"/>
      <c r="AO28" s="38"/>
      <c r="AP28" s="38"/>
      <c r="AQ28" s="38"/>
    </row>
    <row r="29" ht="15.75" customHeight="1">
      <c r="AG29" s="49"/>
      <c r="AH29" s="8"/>
    </row>
    <row r="30" ht="15.75" customHeight="1">
      <c r="AG30" s="49"/>
      <c r="AH30" s="8"/>
    </row>
    <row r="31" ht="15.75" customHeight="1">
      <c r="AG31" s="49"/>
      <c r="AH31" s="8"/>
    </row>
    <row r="32" ht="15.75" customHeight="1">
      <c r="AG32" s="49"/>
      <c r="AH32" s="8"/>
    </row>
    <row r="33" ht="15.75" customHeight="1">
      <c r="AG33" s="49"/>
      <c r="AH33" s="8"/>
    </row>
    <row r="34" ht="15.75" customHeight="1">
      <c r="AG34" s="49"/>
      <c r="AH34" s="8"/>
    </row>
    <row r="35" ht="15.75" customHeight="1">
      <c r="AG35" s="49"/>
      <c r="AH35" s="8"/>
    </row>
    <row r="36" ht="15.75" customHeight="1">
      <c r="AG36" s="49"/>
      <c r="AH36" s="8"/>
    </row>
    <row r="37" ht="15.75" customHeight="1">
      <c r="AG37" s="49"/>
      <c r="AH37" s="8"/>
    </row>
    <row r="38" ht="15.75" customHeight="1">
      <c r="AG38" s="49"/>
      <c r="AH38" s="8"/>
    </row>
    <row r="39" ht="15.75" customHeight="1">
      <c r="AG39" s="49"/>
      <c r="AH39" s="8"/>
    </row>
    <row r="40" ht="15.75" customHeight="1">
      <c r="AG40" s="49"/>
      <c r="AH40" s="8"/>
    </row>
    <row r="41" ht="15.75" customHeight="1">
      <c r="AG41" s="49"/>
      <c r="AH41" s="8"/>
    </row>
    <row r="42" ht="15.75" customHeight="1">
      <c r="AG42" s="49"/>
      <c r="AH42" s="8"/>
    </row>
    <row r="43" ht="15.75" customHeight="1">
      <c r="AG43" s="49"/>
      <c r="AH43" s="8"/>
    </row>
    <row r="44" ht="15.75" customHeight="1">
      <c r="AG44" s="49"/>
      <c r="AH44" s="8"/>
    </row>
    <row r="45" ht="15.75" customHeight="1">
      <c r="AG45" s="49"/>
      <c r="AH45" s="8"/>
    </row>
    <row r="46" ht="15.75" customHeight="1">
      <c r="AG46" s="49"/>
      <c r="AH46" s="8"/>
    </row>
    <row r="47" ht="15.75" customHeight="1">
      <c r="AG47" s="49"/>
      <c r="AH47" s="8"/>
    </row>
    <row r="48" ht="15.75" customHeight="1">
      <c r="AG48" s="49"/>
      <c r="AH48" s="8"/>
    </row>
    <row r="49" ht="15.75" customHeight="1">
      <c r="AG49" s="49"/>
      <c r="AH49" s="8"/>
    </row>
    <row r="50" ht="15.75" customHeight="1">
      <c r="AG50" s="49"/>
      <c r="AH50" s="8"/>
    </row>
    <row r="51" ht="15.75" customHeight="1">
      <c r="AG51" s="49"/>
      <c r="AH51" s="8"/>
    </row>
    <row r="52" ht="15.75" customHeight="1">
      <c r="AG52" s="49"/>
      <c r="AH52" s="8"/>
    </row>
    <row r="53" ht="15.75" customHeight="1">
      <c r="AG53" s="49"/>
      <c r="AH53" s="8"/>
    </row>
    <row r="54" ht="15.75" customHeight="1">
      <c r="AG54" s="49"/>
      <c r="AH54" s="8"/>
    </row>
    <row r="55" ht="15.75" customHeight="1">
      <c r="AG55" s="49"/>
      <c r="AH55" s="8"/>
    </row>
    <row r="56" ht="15.75" customHeight="1">
      <c r="AG56" s="49"/>
      <c r="AH56" s="8"/>
    </row>
    <row r="57" ht="15.75" customHeight="1">
      <c r="AG57" s="49"/>
      <c r="AH57" s="8"/>
    </row>
    <row r="58" ht="15.75" customHeight="1">
      <c r="AG58" s="49"/>
      <c r="AH58" s="8"/>
    </row>
    <row r="59" ht="15.75" customHeight="1">
      <c r="AG59" s="49"/>
      <c r="AH59" s="8"/>
    </row>
    <row r="60" ht="15.75" customHeight="1">
      <c r="AG60" s="49"/>
      <c r="AH60" s="8"/>
    </row>
    <row r="61" ht="15.75" customHeight="1">
      <c r="AG61" s="49"/>
      <c r="AH61" s="8"/>
    </row>
    <row r="62" ht="15.75" customHeight="1">
      <c r="AG62" s="49"/>
      <c r="AH62" s="8"/>
    </row>
    <row r="63" ht="15.75" customHeight="1">
      <c r="AG63" s="49"/>
      <c r="AH63" s="8"/>
    </row>
    <row r="64" ht="15.75" customHeight="1">
      <c r="AG64" s="49"/>
      <c r="AH64" s="8"/>
    </row>
    <row r="65" ht="15.75" customHeight="1">
      <c r="AG65" s="49"/>
      <c r="AH65" s="8"/>
    </row>
    <row r="66" ht="15.75" customHeight="1">
      <c r="AG66" s="49"/>
      <c r="AH66" s="8"/>
    </row>
    <row r="67" ht="15.75" customHeight="1">
      <c r="AG67" s="49"/>
      <c r="AH67" s="8"/>
    </row>
    <row r="68" ht="15.75" customHeight="1">
      <c r="AG68" s="49"/>
      <c r="AH68" s="8"/>
    </row>
    <row r="69" ht="15.75" customHeight="1">
      <c r="AG69" s="49"/>
      <c r="AH69" s="8"/>
    </row>
    <row r="70" ht="15.75" customHeight="1">
      <c r="AG70" s="49"/>
      <c r="AH70" s="8"/>
    </row>
    <row r="71" ht="15.75" customHeight="1"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K3:AM3"/>
    <mergeCell ref="AK4:AM4"/>
    <mergeCell ref="AK5:AM5"/>
    <mergeCell ref="AK6:AM6"/>
    <mergeCell ref="AK7:AM7"/>
    <mergeCell ref="AK8:AM8"/>
    <mergeCell ref="AK9:AM9"/>
    <mergeCell ref="AO22:AQ22"/>
    <mergeCell ref="AO23:AQ23"/>
    <mergeCell ref="AO25:AQ25"/>
    <mergeCell ref="AO26:AQ26"/>
    <mergeCell ref="AK10:AM10"/>
    <mergeCell ref="AG11:AG12"/>
    <mergeCell ref="AO14:AQ14"/>
    <mergeCell ref="AG16:AG18"/>
    <mergeCell ref="AO17:AQ17"/>
    <mergeCell ref="AG19:AG21"/>
    <mergeCell ref="AO20:AQ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3.43"/>
    <col customWidth="1" min="36" max="36" width="9.43"/>
  </cols>
  <sheetData>
    <row r="1" ht="36.75" customHeight="1">
      <c r="A1" s="1" t="s">
        <v>55</v>
      </c>
      <c r="B1" s="52"/>
      <c r="C1" s="53"/>
      <c r="D1" s="54"/>
      <c r="E1" s="55"/>
      <c r="F1" s="55"/>
      <c r="G1" s="55"/>
      <c r="H1" s="55"/>
      <c r="I1" s="55"/>
      <c r="J1" s="55"/>
      <c r="K1" s="55"/>
      <c r="L1" s="55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1</v>
      </c>
      <c r="AH1" s="58"/>
      <c r="AI1" s="38"/>
      <c r="AJ1" s="38"/>
      <c r="AM1" s="38"/>
      <c r="AN1" s="38"/>
      <c r="AO1" s="38"/>
      <c r="AP1" s="173">
        <v>1.0</v>
      </c>
      <c r="AQ1" s="174" t="s">
        <v>16</v>
      </c>
      <c r="AR1" s="173">
        <v>0.05</v>
      </c>
      <c r="AS1" s="246" t="s">
        <v>34</v>
      </c>
    </row>
    <row r="2" ht="33.0" customHeight="1">
      <c r="A2" s="339" t="s">
        <v>2</v>
      </c>
      <c r="B2" s="340">
        <v>1.0</v>
      </c>
      <c r="C2" s="340">
        <v>2.0</v>
      </c>
      <c r="D2" s="341">
        <v>3.0</v>
      </c>
      <c r="E2" s="340">
        <v>4.0</v>
      </c>
      <c r="F2" s="340">
        <v>5.0</v>
      </c>
      <c r="G2" s="340">
        <v>6.0</v>
      </c>
      <c r="H2" s="340">
        <v>7.0</v>
      </c>
      <c r="I2" s="340">
        <v>8.0</v>
      </c>
      <c r="J2" s="340">
        <v>9.0</v>
      </c>
      <c r="K2" s="340">
        <v>10.0</v>
      </c>
      <c r="L2" s="340">
        <v>11.0</v>
      </c>
      <c r="M2" s="340">
        <v>12.0</v>
      </c>
      <c r="N2" s="342">
        <v>13.0</v>
      </c>
      <c r="O2" s="342">
        <v>14.0</v>
      </c>
      <c r="P2" s="342">
        <v>15.0</v>
      </c>
      <c r="Q2" s="342">
        <v>16.0</v>
      </c>
      <c r="R2" s="342">
        <v>17.0</v>
      </c>
      <c r="S2" s="342">
        <v>18.0</v>
      </c>
      <c r="T2" s="342">
        <v>19.0</v>
      </c>
      <c r="U2" s="342">
        <v>20.0</v>
      </c>
      <c r="V2" s="342">
        <v>21.0</v>
      </c>
      <c r="W2" s="342">
        <v>22.0</v>
      </c>
      <c r="X2" s="342">
        <v>23.0</v>
      </c>
      <c r="Y2" s="342">
        <v>24.0</v>
      </c>
      <c r="Z2" s="342">
        <v>25.0</v>
      </c>
      <c r="AA2" s="342">
        <v>26.0</v>
      </c>
      <c r="AB2" s="342">
        <v>27.0</v>
      </c>
      <c r="AC2" s="342">
        <v>28.0</v>
      </c>
      <c r="AD2" s="342">
        <v>29.0</v>
      </c>
      <c r="AE2" s="342">
        <v>30.0</v>
      </c>
      <c r="AF2" s="343">
        <v>31.0</v>
      </c>
      <c r="AG2" s="64">
        <f>SUM(AG3:AG31)</f>
        <v>9964.31</v>
      </c>
      <c r="AH2" s="58"/>
      <c r="AI2" s="38"/>
      <c r="AM2" s="344" t="s">
        <v>56</v>
      </c>
      <c r="AN2" s="176"/>
      <c r="AO2" s="177"/>
      <c r="AP2" s="345">
        <f>SUM(Q6:AF6,M6:O6,E10:R10,B19:E19,E28:I28)</f>
        <v>260.62</v>
      </c>
      <c r="AQ2" s="345">
        <f t="shared" ref="AQ2:AQ11" si="1">((AP2*(1-0.05))*(1-0.6))</f>
        <v>99.0356</v>
      </c>
      <c r="AR2" s="346">
        <f t="shared" ref="AR2:AR11" si="2">(AP2*(1-0.05))*(1-0.95)</f>
        <v>12.37945</v>
      </c>
      <c r="AS2" s="347"/>
    </row>
    <row r="3" ht="32.25" customHeight="1">
      <c r="A3" s="348" t="s">
        <v>36</v>
      </c>
      <c r="B3" s="349"/>
      <c r="C3" s="350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2">
        <v>8.9</v>
      </c>
      <c r="T3" s="352">
        <v>0.0</v>
      </c>
      <c r="U3" s="352">
        <v>0.0</v>
      </c>
      <c r="V3" s="352">
        <v>0.0</v>
      </c>
      <c r="W3" s="352">
        <v>0.0</v>
      </c>
      <c r="X3" s="352">
        <v>0.0</v>
      </c>
      <c r="Y3" s="352">
        <v>0.0</v>
      </c>
      <c r="Z3" s="352">
        <v>0.0</v>
      </c>
      <c r="AA3" s="352">
        <v>0.0</v>
      </c>
      <c r="AB3" s="352">
        <v>0.0</v>
      </c>
      <c r="AC3" s="352">
        <v>0.0</v>
      </c>
      <c r="AD3" s="352">
        <v>0.0</v>
      </c>
      <c r="AE3" s="352">
        <v>0.0</v>
      </c>
      <c r="AF3" s="353">
        <v>0.0</v>
      </c>
      <c r="AG3" s="285">
        <f>SUM(B5:AF5)</f>
        <v>479.74</v>
      </c>
      <c r="AH3" s="58"/>
      <c r="AI3" s="38"/>
      <c r="AM3" s="175" t="s">
        <v>35</v>
      </c>
      <c r="AN3" s="176"/>
      <c r="AO3" s="177"/>
      <c r="AP3" s="178">
        <f>SUM(V12:AF12,B27:AF27,B11:I11,J19:K19)</f>
        <v>2142.76</v>
      </c>
      <c r="AQ3" s="178">
        <f t="shared" si="1"/>
        <v>814.2488</v>
      </c>
      <c r="AR3" s="248">
        <f t="shared" si="2"/>
        <v>101.7811</v>
      </c>
      <c r="AS3" s="249"/>
    </row>
    <row r="4" ht="33.0" customHeight="1">
      <c r="A4" s="354" t="s">
        <v>57</v>
      </c>
      <c r="B4" s="355">
        <v>2.44</v>
      </c>
      <c r="C4" s="356">
        <v>4.32</v>
      </c>
      <c r="D4" s="251">
        <v>12.4</v>
      </c>
      <c r="E4" s="251">
        <v>16.44</v>
      </c>
      <c r="F4" s="251">
        <v>48.82</v>
      </c>
      <c r="G4" s="251">
        <v>18.26</v>
      </c>
      <c r="H4" s="251">
        <v>25.82</v>
      </c>
      <c r="I4" s="251">
        <v>31.44</v>
      </c>
      <c r="J4" s="251">
        <v>20.78</v>
      </c>
      <c r="K4" s="251">
        <v>3.28</v>
      </c>
      <c r="L4" s="251">
        <v>18.4</v>
      </c>
      <c r="M4" s="251">
        <v>5.62</v>
      </c>
      <c r="N4" s="251">
        <v>32.52</v>
      </c>
      <c r="O4" s="251">
        <v>11.64</v>
      </c>
      <c r="P4" s="251">
        <v>21.54</v>
      </c>
      <c r="Q4" s="251">
        <v>17.08</v>
      </c>
      <c r="R4" s="251">
        <v>7.56</v>
      </c>
      <c r="S4" s="251">
        <v>14.28</v>
      </c>
      <c r="T4" s="251">
        <v>21.54</v>
      </c>
      <c r="U4" s="251">
        <v>15.56</v>
      </c>
      <c r="V4" s="251">
        <v>7.0</v>
      </c>
      <c r="W4" s="251">
        <v>16.82</v>
      </c>
      <c r="X4" s="251">
        <v>22.22</v>
      </c>
      <c r="Y4" s="251">
        <v>17.94</v>
      </c>
      <c r="Z4" s="251">
        <v>13.96</v>
      </c>
      <c r="AA4" s="251">
        <v>15.0</v>
      </c>
      <c r="AB4" s="251">
        <v>2.16</v>
      </c>
      <c r="AC4" s="357"/>
      <c r="AD4" s="251">
        <v>9.0</v>
      </c>
      <c r="AE4" s="251">
        <v>3.0</v>
      </c>
      <c r="AF4" s="358">
        <v>14.0</v>
      </c>
      <c r="AG4" s="317"/>
      <c r="AH4" s="359"/>
      <c r="AI4" s="38"/>
      <c r="AM4" s="252" t="s">
        <v>37</v>
      </c>
      <c r="AN4" s="176"/>
      <c r="AO4" s="177"/>
      <c r="AP4" s="253">
        <f>SUM(B24:AF24)</f>
        <v>553.86</v>
      </c>
      <c r="AQ4" s="253">
        <f t="shared" si="1"/>
        <v>210.4668</v>
      </c>
      <c r="AR4" s="254">
        <f t="shared" si="2"/>
        <v>26.30835</v>
      </c>
      <c r="AS4" s="255"/>
    </row>
    <row r="5" ht="33.75" customHeight="1">
      <c r="A5" s="360" t="s">
        <v>58</v>
      </c>
      <c r="B5" s="361">
        <f t="shared" ref="B5:AF5" si="3">SUM(B3:B4)</f>
        <v>2.44</v>
      </c>
      <c r="C5" s="361">
        <f t="shared" si="3"/>
        <v>4.32</v>
      </c>
      <c r="D5" s="361">
        <f t="shared" si="3"/>
        <v>12.4</v>
      </c>
      <c r="E5" s="361">
        <f t="shared" si="3"/>
        <v>16.44</v>
      </c>
      <c r="F5" s="361">
        <f t="shared" si="3"/>
        <v>48.82</v>
      </c>
      <c r="G5" s="361">
        <f t="shared" si="3"/>
        <v>18.26</v>
      </c>
      <c r="H5" s="361">
        <f t="shared" si="3"/>
        <v>25.82</v>
      </c>
      <c r="I5" s="361">
        <f t="shared" si="3"/>
        <v>31.44</v>
      </c>
      <c r="J5" s="361">
        <f t="shared" si="3"/>
        <v>20.78</v>
      </c>
      <c r="K5" s="361">
        <f t="shared" si="3"/>
        <v>3.28</v>
      </c>
      <c r="L5" s="361">
        <f t="shared" si="3"/>
        <v>18.4</v>
      </c>
      <c r="M5" s="361">
        <f t="shared" si="3"/>
        <v>5.62</v>
      </c>
      <c r="N5" s="361">
        <f t="shared" si="3"/>
        <v>32.52</v>
      </c>
      <c r="O5" s="361">
        <f t="shared" si="3"/>
        <v>11.64</v>
      </c>
      <c r="P5" s="361">
        <f t="shared" si="3"/>
        <v>21.54</v>
      </c>
      <c r="Q5" s="361">
        <f t="shared" si="3"/>
        <v>17.08</v>
      </c>
      <c r="R5" s="361">
        <f t="shared" si="3"/>
        <v>7.56</v>
      </c>
      <c r="S5" s="361">
        <f t="shared" si="3"/>
        <v>23.18</v>
      </c>
      <c r="T5" s="361">
        <f t="shared" si="3"/>
        <v>21.54</v>
      </c>
      <c r="U5" s="361">
        <f t="shared" si="3"/>
        <v>15.56</v>
      </c>
      <c r="V5" s="361">
        <f t="shared" si="3"/>
        <v>7</v>
      </c>
      <c r="W5" s="361">
        <f t="shared" si="3"/>
        <v>16.82</v>
      </c>
      <c r="X5" s="361">
        <f t="shared" si="3"/>
        <v>22.22</v>
      </c>
      <c r="Y5" s="361">
        <f t="shared" si="3"/>
        <v>17.94</v>
      </c>
      <c r="Z5" s="361">
        <f t="shared" si="3"/>
        <v>13.96</v>
      </c>
      <c r="AA5" s="361">
        <f t="shared" si="3"/>
        <v>15</v>
      </c>
      <c r="AB5" s="361">
        <f t="shared" si="3"/>
        <v>2.16</v>
      </c>
      <c r="AC5" s="361">
        <f t="shared" si="3"/>
        <v>0</v>
      </c>
      <c r="AD5" s="361">
        <f t="shared" si="3"/>
        <v>9</v>
      </c>
      <c r="AE5" s="361">
        <f t="shared" si="3"/>
        <v>3</v>
      </c>
      <c r="AF5" s="362">
        <f t="shared" si="3"/>
        <v>14</v>
      </c>
      <c r="AG5" s="292"/>
      <c r="AH5" s="58"/>
      <c r="AI5" s="38"/>
      <c r="AM5" s="188" t="s">
        <v>38</v>
      </c>
      <c r="AN5" s="176"/>
      <c r="AO5" s="177"/>
      <c r="AP5" s="189">
        <f>SUM(B17:AF17)</f>
        <v>1776.39</v>
      </c>
      <c r="AQ5" s="189">
        <f t="shared" si="1"/>
        <v>675.0282</v>
      </c>
      <c r="AR5" s="256">
        <f t="shared" si="2"/>
        <v>84.378525</v>
      </c>
      <c r="AS5" s="257"/>
    </row>
    <row r="6" ht="36.75" customHeight="1">
      <c r="A6" s="193" t="s">
        <v>59</v>
      </c>
      <c r="B6" s="363"/>
      <c r="C6" s="363"/>
      <c r="D6" s="172"/>
      <c r="E6" s="172"/>
      <c r="F6" s="172"/>
      <c r="G6" s="172"/>
      <c r="H6" s="172"/>
      <c r="I6" s="172"/>
      <c r="J6" s="172"/>
      <c r="K6" s="172"/>
      <c r="L6" s="172"/>
      <c r="M6" s="364">
        <v>7.12</v>
      </c>
      <c r="N6" s="364">
        <v>0.68</v>
      </c>
      <c r="O6" s="364">
        <v>12.24</v>
      </c>
      <c r="P6" s="194">
        <v>9.76</v>
      </c>
      <c r="Q6" s="364">
        <v>6.36</v>
      </c>
      <c r="R6" s="364">
        <v>3.0</v>
      </c>
      <c r="S6" s="364">
        <v>5.58</v>
      </c>
      <c r="T6" s="364">
        <v>45.12</v>
      </c>
      <c r="U6" s="364">
        <v>30.24</v>
      </c>
      <c r="V6" s="364">
        <v>10.74</v>
      </c>
      <c r="W6" s="198">
        <v>5.2</v>
      </c>
      <c r="X6" s="364">
        <v>18.0</v>
      </c>
      <c r="Y6" s="364">
        <v>9.24</v>
      </c>
      <c r="Z6" s="364">
        <v>13.08</v>
      </c>
      <c r="AA6" s="364">
        <v>7.4</v>
      </c>
      <c r="AB6" s="364">
        <v>9.76</v>
      </c>
      <c r="AC6" s="364">
        <v>10.62</v>
      </c>
      <c r="AD6" s="364">
        <v>0.0</v>
      </c>
      <c r="AE6" s="364">
        <v>4.82</v>
      </c>
      <c r="AF6" s="364">
        <v>0.0</v>
      </c>
      <c r="AG6" s="70">
        <f t="shared" ref="AG6:AG10" si="4">SUM(B6:AF6)</f>
        <v>208.96</v>
      </c>
      <c r="AH6" s="365"/>
      <c r="AI6" s="38"/>
      <c r="AM6" s="263" t="s">
        <v>60</v>
      </c>
      <c r="AN6" s="176"/>
      <c r="AO6" s="177"/>
      <c r="AP6" s="264">
        <f>SUM(X19:AF19,J9:AF9,X26:AA26)</f>
        <v>28.65</v>
      </c>
      <c r="AQ6" s="264">
        <f t="shared" si="1"/>
        <v>10.887</v>
      </c>
      <c r="AR6" s="265">
        <f t="shared" si="2"/>
        <v>1.360875</v>
      </c>
      <c r="AS6" s="266"/>
    </row>
    <row r="7" ht="31.5" customHeight="1">
      <c r="A7" s="81" t="s">
        <v>5</v>
      </c>
      <c r="B7" s="366">
        <v>10.77</v>
      </c>
      <c r="C7" s="367">
        <v>6.24</v>
      </c>
      <c r="D7" s="368">
        <v>15.15</v>
      </c>
      <c r="E7" s="369">
        <v>39.25</v>
      </c>
      <c r="F7" s="338">
        <v>4.5</v>
      </c>
      <c r="G7" s="337">
        <v>41.92</v>
      </c>
      <c r="H7" s="337">
        <v>6.0</v>
      </c>
      <c r="I7" s="337">
        <v>11.69</v>
      </c>
      <c r="J7" s="337">
        <v>37.04</v>
      </c>
      <c r="K7" s="337">
        <v>4.5</v>
      </c>
      <c r="L7" s="337">
        <v>66.4</v>
      </c>
      <c r="M7" s="337">
        <v>8.92</v>
      </c>
      <c r="N7" s="337">
        <v>10.02</v>
      </c>
      <c r="O7" s="337">
        <v>48.3</v>
      </c>
      <c r="P7" s="337">
        <v>13.95</v>
      </c>
      <c r="Q7" s="337">
        <v>21.75</v>
      </c>
      <c r="R7" s="337">
        <v>21.75</v>
      </c>
      <c r="S7" s="337">
        <v>41.16</v>
      </c>
      <c r="T7" s="337">
        <v>19.95</v>
      </c>
      <c r="U7" s="337">
        <v>38.12</v>
      </c>
      <c r="V7" s="337">
        <v>82.29</v>
      </c>
      <c r="W7" s="337">
        <v>59.14</v>
      </c>
      <c r="X7" s="337">
        <v>33.97</v>
      </c>
      <c r="Y7" s="337">
        <v>28.02</v>
      </c>
      <c r="Z7" s="337">
        <v>25.2</v>
      </c>
      <c r="AA7" s="337">
        <v>9.0</v>
      </c>
      <c r="AB7" s="206">
        <v>1.5</v>
      </c>
      <c r="AC7" s="338">
        <v>30.0</v>
      </c>
      <c r="AD7" s="338">
        <v>77.5</v>
      </c>
      <c r="AE7" s="338">
        <v>26.1</v>
      </c>
      <c r="AF7" s="338">
        <v>24.99</v>
      </c>
      <c r="AG7" s="70">
        <f t="shared" si="4"/>
        <v>865.09</v>
      </c>
      <c r="AH7" s="365"/>
      <c r="AI7" s="38"/>
      <c r="AM7" s="195" t="s">
        <v>40</v>
      </c>
      <c r="AN7" s="176"/>
      <c r="AO7" s="177"/>
      <c r="AP7" s="196">
        <f>SUM(E15:AF15,B21:AF21,AE29:AF29)</f>
        <v>958</v>
      </c>
      <c r="AQ7" s="196">
        <f t="shared" si="1"/>
        <v>364.04</v>
      </c>
      <c r="AR7" s="267">
        <f t="shared" si="2"/>
        <v>45.505</v>
      </c>
      <c r="AS7" s="268"/>
    </row>
    <row r="8" ht="33.75" customHeight="1">
      <c r="A8" s="88" t="s">
        <v>6</v>
      </c>
      <c r="B8" s="185">
        <v>48.12</v>
      </c>
      <c r="C8" s="185">
        <v>69.36</v>
      </c>
      <c r="D8" s="186">
        <v>85.74</v>
      </c>
      <c r="E8" s="187">
        <v>64.5</v>
      </c>
      <c r="F8" s="187">
        <v>102.0</v>
      </c>
      <c r="G8" s="187">
        <v>121.5</v>
      </c>
      <c r="H8" s="187">
        <v>70.5</v>
      </c>
      <c r="I8" s="187">
        <v>93.12</v>
      </c>
      <c r="J8" s="187">
        <v>72.12</v>
      </c>
      <c r="K8" s="187">
        <v>76.12</v>
      </c>
      <c r="L8" s="370">
        <v>75.12</v>
      </c>
      <c r="M8" s="187">
        <v>78.0</v>
      </c>
      <c r="N8" s="186">
        <v>105.12</v>
      </c>
      <c r="O8" s="186">
        <v>86.5</v>
      </c>
      <c r="P8" s="186">
        <v>70.12</v>
      </c>
      <c r="Q8" s="186">
        <v>102.0</v>
      </c>
      <c r="R8" s="186">
        <v>96.5</v>
      </c>
      <c r="S8" s="186">
        <v>91.62</v>
      </c>
      <c r="T8" s="186">
        <v>70.74</v>
      </c>
      <c r="U8" s="186">
        <v>47.62</v>
      </c>
      <c r="V8" s="186">
        <v>151.62</v>
      </c>
      <c r="W8" s="186">
        <v>76.62</v>
      </c>
      <c r="X8" s="186">
        <v>90.12</v>
      </c>
      <c r="Y8" s="186">
        <v>67.5</v>
      </c>
      <c r="Z8" s="186">
        <v>40.62</v>
      </c>
      <c r="AA8" s="186">
        <v>66.12</v>
      </c>
      <c r="AB8" s="186">
        <v>75.12</v>
      </c>
      <c r="AC8" s="186">
        <v>86.74</v>
      </c>
      <c r="AD8" s="186">
        <v>96.0</v>
      </c>
      <c r="AE8" s="186">
        <v>49.5</v>
      </c>
      <c r="AF8" s="186">
        <v>76.5</v>
      </c>
      <c r="AG8" s="70">
        <f t="shared" si="4"/>
        <v>2502.88</v>
      </c>
      <c r="AH8" s="58"/>
      <c r="AI8" s="38"/>
      <c r="AJ8" s="38"/>
      <c r="AM8" s="201" t="s">
        <v>23</v>
      </c>
      <c r="AN8" s="176"/>
      <c r="AO8" s="177"/>
      <c r="AP8" s="202">
        <f>SUM(AF30,AE30,T28:W28,B23:AF23,O28:P28,B20:AF20,W18,B14:AF14,L11:AF11,P6,S3:AF3)</f>
        <v>341.52</v>
      </c>
      <c r="AQ8" s="202">
        <f t="shared" si="1"/>
        <v>129.7776</v>
      </c>
      <c r="AR8" s="269">
        <f t="shared" si="2"/>
        <v>16.2222</v>
      </c>
      <c r="AS8" s="270"/>
    </row>
    <row r="9" ht="31.5" customHeight="1">
      <c r="A9" s="190" t="s">
        <v>8</v>
      </c>
      <c r="B9" s="234"/>
      <c r="C9" s="222"/>
      <c r="D9" s="172"/>
      <c r="E9" s="172"/>
      <c r="F9" s="172"/>
      <c r="G9" s="172"/>
      <c r="H9" s="172"/>
      <c r="I9" s="172"/>
      <c r="J9" s="371">
        <v>4.5</v>
      </c>
      <c r="K9" s="371">
        <v>3.0</v>
      </c>
      <c r="L9" s="372">
        <v>0.0</v>
      </c>
      <c r="M9" s="371">
        <v>0.0</v>
      </c>
      <c r="N9" s="371"/>
      <c r="O9" s="371"/>
      <c r="P9" s="371"/>
      <c r="Q9" s="371"/>
      <c r="R9" s="371">
        <v>1.5</v>
      </c>
      <c r="S9" s="371"/>
      <c r="T9" s="371">
        <v>1.5</v>
      </c>
      <c r="U9" s="371">
        <v>3.0</v>
      </c>
      <c r="V9" s="371">
        <v>0.0</v>
      </c>
      <c r="W9" s="371">
        <v>0.0</v>
      </c>
      <c r="X9" s="371">
        <v>1.65</v>
      </c>
      <c r="Y9" s="371">
        <v>0.0</v>
      </c>
      <c r="Z9" s="371">
        <v>0.0</v>
      </c>
      <c r="AA9" s="371">
        <v>0.0</v>
      </c>
      <c r="AB9" s="371">
        <v>0.0</v>
      </c>
      <c r="AC9" s="371">
        <v>0.0</v>
      </c>
      <c r="AD9" s="371">
        <v>0.0</v>
      </c>
      <c r="AE9" s="371">
        <v>1.5</v>
      </c>
      <c r="AF9" s="371">
        <v>0.0</v>
      </c>
      <c r="AG9" s="70">
        <f t="shared" si="4"/>
        <v>16.65</v>
      </c>
      <c r="AH9" s="365"/>
      <c r="AI9" s="38"/>
      <c r="AJ9" s="38"/>
      <c r="AM9" s="271" t="s">
        <v>42</v>
      </c>
      <c r="AN9" s="176"/>
      <c r="AO9" s="177"/>
      <c r="AP9" s="272">
        <f>SUM(B4:AF4)</f>
        <v>470.84</v>
      </c>
      <c r="AQ9" s="272">
        <f t="shared" si="1"/>
        <v>178.9192</v>
      </c>
      <c r="AR9" s="273">
        <f t="shared" si="2"/>
        <v>22.3649</v>
      </c>
      <c r="AS9" s="274"/>
    </row>
    <row r="10" ht="29.25" customHeight="1">
      <c r="A10" s="190" t="s">
        <v>41</v>
      </c>
      <c r="B10" s="373"/>
      <c r="C10" s="296"/>
      <c r="D10" s="67"/>
      <c r="E10" s="374">
        <v>1.24</v>
      </c>
      <c r="F10" s="374">
        <v>16.8</v>
      </c>
      <c r="G10" s="374">
        <v>10.3</v>
      </c>
      <c r="H10" s="374">
        <v>5.18</v>
      </c>
      <c r="I10" s="375">
        <v>0.0</v>
      </c>
      <c r="J10" s="374">
        <v>14.86</v>
      </c>
      <c r="K10" s="374">
        <v>3.08</v>
      </c>
      <c r="L10" s="374">
        <v>0.0</v>
      </c>
      <c r="M10" s="374">
        <v>0.0</v>
      </c>
      <c r="N10" s="374">
        <v>0.82</v>
      </c>
      <c r="O10" s="374">
        <v>1.24</v>
      </c>
      <c r="P10" s="375">
        <v>0.0</v>
      </c>
      <c r="Q10" s="374">
        <v>0.0</v>
      </c>
      <c r="R10" s="374">
        <v>0.0</v>
      </c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70">
        <f t="shared" si="4"/>
        <v>53.52</v>
      </c>
      <c r="AH10" s="359"/>
      <c r="AI10" s="38"/>
      <c r="AJ10" s="38"/>
      <c r="AM10" s="277" t="s">
        <v>43</v>
      </c>
      <c r="AN10" s="176"/>
      <c r="AO10" s="177"/>
      <c r="AP10" s="278">
        <f>SUM(B7:AF7)</f>
        <v>865.09</v>
      </c>
      <c r="AQ10" s="278">
        <f t="shared" si="1"/>
        <v>328.7342</v>
      </c>
      <c r="AR10" s="279">
        <f t="shared" si="2"/>
        <v>41.091775</v>
      </c>
      <c r="AS10" s="280"/>
    </row>
    <row r="11" ht="29.25" customHeight="1">
      <c r="A11" s="376" t="s">
        <v>61</v>
      </c>
      <c r="B11" s="377">
        <v>6.12</v>
      </c>
      <c r="C11" s="378">
        <v>4.5</v>
      </c>
      <c r="D11" s="378">
        <v>4.5</v>
      </c>
      <c r="E11" s="378">
        <v>3.0</v>
      </c>
      <c r="F11" s="378">
        <v>1.5</v>
      </c>
      <c r="G11" s="379">
        <v>0.0</v>
      </c>
      <c r="H11" s="378">
        <v>0.0</v>
      </c>
      <c r="I11" s="378">
        <v>0.0</v>
      </c>
      <c r="J11" s="380"/>
      <c r="K11" s="380"/>
      <c r="L11" s="381">
        <v>0.14</v>
      </c>
      <c r="M11" s="381">
        <v>8.14</v>
      </c>
      <c r="N11" s="381">
        <v>8.44</v>
      </c>
      <c r="O11" s="381">
        <v>3.46</v>
      </c>
      <c r="P11" s="381">
        <v>8.36</v>
      </c>
      <c r="Q11" s="381">
        <v>11.5</v>
      </c>
      <c r="R11" s="381">
        <v>21.8</v>
      </c>
      <c r="S11" s="381">
        <v>5.8</v>
      </c>
      <c r="T11" s="381">
        <v>0.0</v>
      </c>
      <c r="U11" s="382">
        <v>0.0</v>
      </c>
      <c r="V11" s="382">
        <v>0.0</v>
      </c>
      <c r="W11" s="382">
        <v>0.0</v>
      </c>
      <c r="X11" s="382">
        <v>0.0</v>
      </c>
      <c r="Y11" s="382">
        <v>0.0</v>
      </c>
      <c r="Z11" s="382">
        <v>0.0</v>
      </c>
      <c r="AA11" s="382">
        <v>0.0</v>
      </c>
      <c r="AB11" s="382">
        <v>0.0</v>
      </c>
      <c r="AC11" s="382">
        <v>0.0</v>
      </c>
      <c r="AD11" s="382">
        <v>0.0</v>
      </c>
      <c r="AE11" s="382">
        <v>0.0</v>
      </c>
      <c r="AF11" s="383">
        <v>0.0</v>
      </c>
      <c r="AG11" s="285">
        <f>SUM(B13:AF13)</f>
        <v>120.04</v>
      </c>
      <c r="AH11" s="58"/>
      <c r="AI11" s="38"/>
      <c r="AJ11" s="38"/>
      <c r="AM11" s="384" t="s">
        <v>62</v>
      </c>
      <c r="AN11" s="176"/>
      <c r="AO11" s="177"/>
      <c r="AP11" s="385">
        <f>sum(AB26:AF26,W31:X31)</f>
        <v>51.88</v>
      </c>
      <c r="AQ11" s="385">
        <f t="shared" si="1"/>
        <v>19.7144</v>
      </c>
      <c r="AR11" s="386">
        <f t="shared" si="2"/>
        <v>2.4643</v>
      </c>
      <c r="AS11" s="387"/>
    </row>
    <row r="12" ht="29.25" customHeight="1">
      <c r="A12" s="388" t="s">
        <v>63</v>
      </c>
      <c r="B12" s="389"/>
      <c r="C12" s="390"/>
      <c r="D12" s="390"/>
      <c r="E12" s="390"/>
      <c r="F12" s="390"/>
      <c r="G12" s="391"/>
      <c r="H12" s="390"/>
      <c r="I12" s="390"/>
      <c r="J12" s="390"/>
      <c r="K12" s="390"/>
      <c r="L12" s="390"/>
      <c r="M12" s="390"/>
      <c r="N12" s="390"/>
      <c r="O12" s="390"/>
      <c r="P12" s="390"/>
      <c r="Q12" s="392"/>
      <c r="R12" s="392">
        <v>3.72</v>
      </c>
      <c r="S12" s="392">
        <v>0.7</v>
      </c>
      <c r="T12" s="392">
        <v>1.26</v>
      </c>
      <c r="U12" s="393">
        <v>1.64</v>
      </c>
      <c r="V12" s="394">
        <v>2.04</v>
      </c>
      <c r="W12" s="394">
        <v>0.0</v>
      </c>
      <c r="X12" s="394">
        <v>3.24</v>
      </c>
      <c r="Y12" s="394">
        <v>11.06</v>
      </c>
      <c r="Z12" s="394">
        <v>1.5</v>
      </c>
      <c r="AA12" s="394">
        <v>1.5</v>
      </c>
      <c r="AB12" s="394">
        <v>0.0</v>
      </c>
      <c r="AC12" s="394">
        <v>0.12</v>
      </c>
      <c r="AD12" s="394">
        <v>4.5</v>
      </c>
      <c r="AE12" s="394">
        <v>0.0</v>
      </c>
      <c r="AF12" s="395">
        <v>1.5</v>
      </c>
      <c r="AG12" s="317"/>
      <c r="AH12" s="359"/>
      <c r="AI12" s="38"/>
      <c r="AJ12" s="38"/>
      <c r="AP12" s="220">
        <f>SUM(AP2:AP11)</f>
        <v>7449.61</v>
      </c>
      <c r="AQ12" s="38"/>
      <c r="AR12" s="220">
        <f>SUM(AR2:AR11)</f>
        <v>353.856475</v>
      </c>
    </row>
    <row r="13" ht="18.0" customHeight="1">
      <c r="A13" s="396" t="s">
        <v>64</v>
      </c>
      <c r="B13" s="397">
        <f t="shared" ref="B13:AF13" si="5">SUM(B11,B12)</f>
        <v>6.12</v>
      </c>
      <c r="C13" s="397">
        <f t="shared" si="5"/>
        <v>4.5</v>
      </c>
      <c r="D13" s="397">
        <f t="shared" si="5"/>
        <v>4.5</v>
      </c>
      <c r="E13" s="397">
        <f t="shared" si="5"/>
        <v>3</v>
      </c>
      <c r="F13" s="397">
        <f t="shared" si="5"/>
        <v>1.5</v>
      </c>
      <c r="G13" s="397">
        <f t="shared" si="5"/>
        <v>0</v>
      </c>
      <c r="H13" s="397">
        <f t="shared" si="5"/>
        <v>0</v>
      </c>
      <c r="I13" s="397">
        <f t="shared" si="5"/>
        <v>0</v>
      </c>
      <c r="J13" s="397">
        <f t="shared" si="5"/>
        <v>0</v>
      </c>
      <c r="K13" s="397">
        <f t="shared" si="5"/>
        <v>0</v>
      </c>
      <c r="L13" s="397">
        <f t="shared" si="5"/>
        <v>0.14</v>
      </c>
      <c r="M13" s="397">
        <f t="shared" si="5"/>
        <v>8.14</v>
      </c>
      <c r="N13" s="397">
        <f t="shared" si="5"/>
        <v>8.44</v>
      </c>
      <c r="O13" s="397">
        <f t="shared" si="5"/>
        <v>3.46</v>
      </c>
      <c r="P13" s="397">
        <f t="shared" si="5"/>
        <v>8.36</v>
      </c>
      <c r="Q13" s="397">
        <f t="shared" si="5"/>
        <v>11.5</v>
      </c>
      <c r="R13" s="397">
        <f t="shared" si="5"/>
        <v>25.52</v>
      </c>
      <c r="S13" s="397">
        <f t="shared" si="5"/>
        <v>6.5</v>
      </c>
      <c r="T13" s="397">
        <f t="shared" si="5"/>
        <v>1.26</v>
      </c>
      <c r="U13" s="397">
        <f t="shared" si="5"/>
        <v>1.64</v>
      </c>
      <c r="V13" s="397">
        <f t="shared" si="5"/>
        <v>2.04</v>
      </c>
      <c r="W13" s="397">
        <f t="shared" si="5"/>
        <v>0</v>
      </c>
      <c r="X13" s="397">
        <f t="shared" si="5"/>
        <v>3.24</v>
      </c>
      <c r="Y13" s="397">
        <f t="shared" si="5"/>
        <v>11.06</v>
      </c>
      <c r="Z13" s="397">
        <f t="shared" si="5"/>
        <v>1.5</v>
      </c>
      <c r="AA13" s="397">
        <f t="shared" si="5"/>
        <v>1.5</v>
      </c>
      <c r="AB13" s="397">
        <f t="shared" si="5"/>
        <v>0</v>
      </c>
      <c r="AC13" s="397">
        <f t="shared" si="5"/>
        <v>0.12</v>
      </c>
      <c r="AD13" s="397">
        <f t="shared" si="5"/>
        <v>4.5</v>
      </c>
      <c r="AE13" s="397">
        <f t="shared" si="5"/>
        <v>0</v>
      </c>
      <c r="AF13" s="398">
        <f t="shared" si="5"/>
        <v>1.5</v>
      </c>
      <c r="AG13" s="292"/>
      <c r="AH13" s="58"/>
      <c r="AI13" s="38"/>
      <c r="AJ13" s="38"/>
    </row>
    <row r="14" ht="27.0" customHeight="1">
      <c r="A14" s="399" t="s">
        <v>3</v>
      </c>
      <c r="B14" s="400">
        <v>14.4</v>
      </c>
      <c r="C14" s="400">
        <v>18.6</v>
      </c>
      <c r="D14" s="400">
        <v>0.0</v>
      </c>
      <c r="E14" s="400">
        <v>0.0</v>
      </c>
      <c r="F14" s="324">
        <v>0.0</v>
      </c>
      <c r="G14" s="401">
        <v>0.0</v>
      </c>
      <c r="H14" s="400">
        <v>0.0</v>
      </c>
      <c r="I14" s="400">
        <v>0.0</v>
      </c>
      <c r="J14" s="400">
        <v>0.0</v>
      </c>
      <c r="K14" s="400">
        <v>0.0</v>
      </c>
      <c r="L14" s="400">
        <v>0.0</v>
      </c>
      <c r="M14" s="400">
        <v>24.0</v>
      </c>
      <c r="N14" s="400">
        <v>10.2</v>
      </c>
      <c r="O14" s="324">
        <v>0.0</v>
      </c>
      <c r="P14" s="400">
        <v>0.0</v>
      </c>
      <c r="Q14" s="400">
        <v>0.0</v>
      </c>
      <c r="R14" s="400">
        <v>0.0</v>
      </c>
      <c r="S14" s="400">
        <v>0.0</v>
      </c>
      <c r="T14" s="400">
        <v>22.04</v>
      </c>
      <c r="U14" s="401">
        <v>33.7</v>
      </c>
      <c r="V14" s="401">
        <v>0.0</v>
      </c>
      <c r="W14" s="401">
        <v>0.0</v>
      </c>
      <c r="X14" s="401">
        <v>0.0</v>
      </c>
      <c r="Y14" s="401">
        <v>0.0</v>
      </c>
      <c r="Z14" s="402">
        <v>0.0</v>
      </c>
      <c r="AA14" s="401">
        <v>0.0</v>
      </c>
      <c r="AB14" s="401">
        <v>0.0</v>
      </c>
      <c r="AC14" s="402">
        <v>0.0</v>
      </c>
      <c r="AD14" s="402">
        <v>0.0</v>
      </c>
      <c r="AE14" s="402">
        <v>0.0</v>
      </c>
      <c r="AF14" s="403">
        <v>0.0</v>
      </c>
      <c r="AG14" s="285">
        <f>SUM(B16:AF16)</f>
        <v>435.57</v>
      </c>
      <c r="AH14" s="58"/>
      <c r="AI14" s="38"/>
      <c r="AJ14" s="38"/>
    </row>
    <row r="15" ht="27.0" customHeight="1">
      <c r="A15" s="404" t="s">
        <v>44</v>
      </c>
      <c r="B15" s="405"/>
      <c r="C15" s="405"/>
      <c r="D15" s="405"/>
      <c r="E15" s="406">
        <v>33.56</v>
      </c>
      <c r="F15" s="406">
        <v>14.85</v>
      </c>
      <c r="G15" s="406">
        <v>18.45</v>
      </c>
      <c r="H15" s="407">
        <v>28.65</v>
      </c>
      <c r="I15" s="407">
        <v>12.45</v>
      </c>
      <c r="J15" s="407">
        <v>10.8</v>
      </c>
      <c r="K15" s="407">
        <v>18.6</v>
      </c>
      <c r="L15" s="407">
        <v>6.9</v>
      </c>
      <c r="M15" s="408">
        <v>0.0</v>
      </c>
      <c r="N15" s="409">
        <v>6.63</v>
      </c>
      <c r="O15" s="409">
        <v>12.6</v>
      </c>
      <c r="P15" s="409">
        <v>6.0</v>
      </c>
      <c r="Q15" s="409">
        <v>6.0</v>
      </c>
      <c r="R15" s="409">
        <v>3.45</v>
      </c>
      <c r="S15" s="407">
        <v>4.5</v>
      </c>
      <c r="T15" s="410"/>
      <c r="U15" s="410"/>
      <c r="V15" s="407">
        <v>6.0</v>
      </c>
      <c r="W15" s="411">
        <v>25.2</v>
      </c>
      <c r="X15" s="407">
        <v>13.89</v>
      </c>
      <c r="Y15" s="407">
        <v>4.5</v>
      </c>
      <c r="Z15" s="407">
        <v>0.9</v>
      </c>
      <c r="AA15" s="407">
        <v>16.7</v>
      </c>
      <c r="AB15" s="407">
        <v>3.0</v>
      </c>
      <c r="AC15" s="411">
        <v>13.5</v>
      </c>
      <c r="AD15" s="411">
        <v>4.5</v>
      </c>
      <c r="AE15" s="411">
        <v>27.5</v>
      </c>
      <c r="AF15" s="412">
        <v>13.5</v>
      </c>
      <c r="AG15" s="317"/>
      <c r="AH15" s="365"/>
      <c r="AI15" s="38"/>
      <c r="AJ15" s="38"/>
      <c r="AK15" s="38"/>
    </row>
    <row r="16" ht="18.75" customHeight="1">
      <c r="A16" s="413" t="s">
        <v>65</v>
      </c>
      <c r="B16" s="414">
        <f t="shared" ref="B16:AF16" si="6">SUM(B14:B15)</f>
        <v>14.4</v>
      </c>
      <c r="C16" s="414">
        <f t="shared" si="6"/>
        <v>18.6</v>
      </c>
      <c r="D16" s="414">
        <f t="shared" si="6"/>
        <v>0</v>
      </c>
      <c r="E16" s="414">
        <f t="shared" si="6"/>
        <v>33.56</v>
      </c>
      <c r="F16" s="414">
        <f t="shared" si="6"/>
        <v>14.85</v>
      </c>
      <c r="G16" s="414">
        <f t="shared" si="6"/>
        <v>18.45</v>
      </c>
      <c r="H16" s="414">
        <f t="shared" si="6"/>
        <v>28.65</v>
      </c>
      <c r="I16" s="414">
        <f t="shared" si="6"/>
        <v>12.45</v>
      </c>
      <c r="J16" s="414">
        <f t="shared" si="6"/>
        <v>10.8</v>
      </c>
      <c r="K16" s="414">
        <f t="shared" si="6"/>
        <v>18.6</v>
      </c>
      <c r="L16" s="414">
        <f t="shared" si="6"/>
        <v>6.9</v>
      </c>
      <c r="M16" s="414">
        <f t="shared" si="6"/>
        <v>24</v>
      </c>
      <c r="N16" s="414">
        <f t="shared" si="6"/>
        <v>16.83</v>
      </c>
      <c r="O16" s="414">
        <f t="shared" si="6"/>
        <v>12.6</v>
      </c>
      <c r="P16" s="414">
        <f t="shared" si="6"/>
        <v>6</v>
      </c>
      <c r="Q16" s="414">
        <f t="shared" si="6"/>
        <v>6</v>
      </c>
      <c r="R16" s="414">
        <f t="shared" si="6"/>
        <v>3.45</v>
      </c>
      <c r="S16" s="414">
        <f t="shared" si="6"/>
        <v>4.5</v>
      </c>
      <c r="T16" s="414">
        <f t="shared" si="6"/>
        <v>22.04</v>
      </c>
      <c r="U16" s="414">
        <f t="shared" si="6"/>
        <v>33.7</v>
      </c>
      <c r="V16" s="414">
        <f t="shared" si="6"/>
        <v>6</v>
      </c>
      <c r="W16" s="414">
        <f t="shared" si="6"/>
        <v>25.2</v>
      </c>
      <c r="X16" s="414">
        <f t="shared" si="6"/>
        <v>13.89</v>
      </c>
      <c r="Y16" s="414">
        <f t="shared" si="6"/>
        <v>4.5</v>
      </c>
      <c r="Z16" s="414">
        <f t="shared" si="6"/>
        <v>0.9</v>
      </c>
      <c r="AA16" s="414">
        <f t="shared" si="6"/>
        <v>16.7</v>
      </c>
      <c r="AB16" s="414">
        <f t="shared" si="6"/>
        <v>3</v>
      </c>
      <c r="AC16" s="414">
        <f t="shared" si="6"/>
        <v>13.5</v>
      </c>
      <c r="AD16" s="414">
        <f t="shared" si="6"/>
        <v>4.5</v>
      </c>
      <c r="AE16" s="414">
        <f t="shared" si="6"/>
        <v>27.5</v>
      </c>
      <c r="AF16" s="415">
        <f t="shared" si="6"/>
        <v>13.5</v>
      </c>
      <c r="AG16" s="292"/>
      <c r="AH16" s="58"/>
      <c r="AI16" s="38"/>
      <c r="AJ16" s="38"/>
      <c r="AK16" s="38"/>
      <c r="AL16" s="38"/>
      <c r="AM16" s="38"/>
      <c r="AN16" s="38"/>
    </row>
    <row r="17" ht="27.0" customHeight="1">
      <c r="A17" s="213" t="s">
        <v>4</v>
      </c>
      <c r="B17" s="416">
        <v>100.42</v>
      </c>
      <c r="C17" s="416">
        <v>37.02</v>
      </c>
      <c r="D17" s="416">
        <v>46.88</v>
      </c>
      <c r="E17" s="416">
        <v>73.8</v>
      </c>
      <c r="F17" s="416">
        <v>44.76</v>
      </c>
      <c r="G17" s="416">
        <v>55.32</v>
      </c>
      <c r="H17" s="416">
        <v>63.34</v>
      </c>
      <c r="I17" s="416">
        <v>27.0</v>
      </c>
      <c r="J17" s="416">
        <v>52.68</v>
      </c>
      <c r="K17" s="416">
        <v>75.6</v>
      </c>
      <c r="L17" s="416">
        <v>53.3</v>
      </c>
      <c r="M17" s="417">
        <v>64.68</v>
      </c>
      <c r="N17" s="418">
        <v>0.0</v>
      </c>
      <c r="O17" s="417">
        <v>25.5</v>
      </c>
      <c r="P17" s="417">
        <v>22.5</v>
      </c>
      <c r="Q17" s="417">
        <v>85.27</v>
      </c>
      <c r="R17" s="417">
        <v>65.66</v>
      </c>
      <c r="S17" s="416">
        <v>112.47</v>
      </c>
      <c r="T17" s="416">
        <v>31.5</v>
      </c>
      <c r="U17" s="416">
        <v>68.74</v>
      </c>
      <c r="V17" s="416">
        <v>63.14</v>
      </c>
      <c r="W17" s="419">
        <v>45.78</v>
      </c>
      <c r="X17" s="416">
        <v>83.06</v>
      </c>
      <c r="Y17" s="416">
        <v>85.64</v>
      </c>
      <c r="Z17" s="416">
        <v>70.16</v>
      </c>
      <c r="AA17" s="416">
        <v>70.02</v>
      </c>
      <c r="AB17" s="416">
        <v>57.0</v>
      </c>
      <c r="AC17" s="419">
        <v>45.71</v>
      </c>
      <c r="AD17" s="419">
        <v>41.94</v>
      </c>
      <c r="AE17" s="419">
        <v>52.5</v>
      </c>
      <c r="AF17" s="419">
        <v>55.0</v>
      </c>
      <c r="AG17" s="70">
        <f t="shared" ref="AG17:AG19" si="7">SUM(B17:AF17)</f>
        <v>1776.39</v>
      </c>
      <c r="AH17" s="359"/>
      <c r="AI17" s="38"/>
      <c r="AJ17" s="38"/>
      <c r="AK17" s="38"/>
      <c r="AL17" s="38"/>
      <c r="AM17" s="38"/>
      <c r="AN17" s="38"/>
    </row>
    <row r="18" ht="28.5" customHeight="1">
      <c r="A18" s="221" t="s">
        <v>30</v>
      </c>
      <c r="B18" s="222"/>
      <c r="C18" s="222"/>
      <c r="D18" s="222"/>
      <c r="E18" s="222"/>
      <c r="F18" s="222"/>
      <c r="G18" s="294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09">
        <v>1.5</v>
      </c>
      <c r="X18" s="222"/>
      <c r="Y18" s="222"/>
      <c r="Z18" s="222"/>
      <c r="AA18" s="225"/>
      <c r="AB18" s="225"/>
      <c r="AC18" s="222"/>
      <c r="AD18" s="222"/>
      <c r="AE18" s="222"/>
      <c r="AF18" s="222"/>
      <c r="AG18" s="70">
        <f t="shared" si="7"/>
        <v>1.5</v>
      </c>
      <c r="AH18" s="359"/>
      <c r="AI18" s="38"/>
      <c r="AJ18" s="38"/>
      <c r="AK18" s="38"/>
      <c r="AL18" s="38"/>
      <c r="AM18" s="38"/>
      <c r="AN18" s="38"/>
      <c r="AO18" s="226"/>
    </row>
    <row r="19" ht="28.5" customHeight="1">
      <c r="A19" s="193" t="s">
        <v>31</v>
      </c>
      <c r="B19" s="420">
        <v>1.5</v>
      </c>
      <c r="C19" s="421">
        <v>1.5</v>
      </c>
      <c r="D19" s="420">
        <v>2.3</v>
      </c>
      <c r="E19" s="420">
        <v>1.5</v>
      </c>
      <c r="F19" s="296"/>
      <c r="G19" s="296"/>
      <c r="H19" s="296"/>
      <c r="I19" s="296"/>
      <c r="J19" s="422">
        <v>1.5</v>
      </c>
      <c r="K19" s="422">
        <v>6.42</v>
      </c>
      <c r="L19" s="299"/>
      <c r="M19" s="299"/>
      <c r="N19" s="299"/>
      <c r="O19" s="299"/>
      <c r="P19" s="300"/>
      <c r="Q19" s="300"/>
      <c r="R19" s="300"/>
      <c r="S19" s="300"/>
      <c r="T19" s="300"/>
      <c r="U19" s="300"/>
      <c r="V19" s="300"/>
      <c r="W19" s="300"/>
      <c r="X19" s="423">
        <v>3.0</v>
      </c>
      <c r="Y19" s="423">
        <v>0.0</v>
      </c>
      <c r="Z19" s="423">
        <v>0.0</v>
      </c>
      <c r="AA19" s="423">
        <v>0.0</v>
      </c>
      <c r="AB19" s="423">
        <v>0.0</v>
      </c>
      <c r="AC19" s="423">
        <v>0.0</v>
      </c>
      <c r="AD19" s="424">
        <v>1.5</v>
      </c>
      <c r="AE19" s="424">
        <v>0.0</v>
      </c>
      <c r="AF19" s="424">
        <v>0.0</v>
      </c>
      <c r="AG19" s="70">
        <f t="shared" si="7"/>
        <v>19.22</v>
      </c>
      <c r="AH19" s="359"/>
      <c r="AI19" s="38"/>
      <c r="AJ19" s="38"/>
      <c r="AK19" s="38"/>
      <c r="AL19" s="38"/>
      <c r="AM19" s="38"/>
      <c r="AN19" s="38"/>
      <c r="AO19" s="226"/>
      <c r="AP19" s="425"/>
      <c r="AQ19" s="425"/>
    </row>
    <row r="20" ht="28.5" customHeight="1">
      <c r="A20" s="426" t="s">
        <v>46</v>
      </c>
      <c r="B20" s="305">
        <v>0.0</v>
      </c>
      <c r="C20" s="306">
        <v>46.8</v>
      </c>
      <c r="D20" s="305">
        <v>0.0</v>
      </c>
      <c r="E20" s="305">
        <v>0.0</v>
      </c>
      <c r="F20" s="305">
        <v>0.0</v>
      </c>
      <c r="G20" s="305">
        <v>0.0</v>
      </c>
      <c r="H20" s="305">
        <v>0.0</v>
      </c>
      <c r="I20" s="305">
        <v>0.0</v>
      </c>
      <c r="J20" s="305">
        <v>0.0</v>
      </c>
      <c r="K20" s="305">
        <v>0.0</v>
      </c>
      <c r="L20" s="306">
        <v>0.0</v>
      </c>
      <c r="M20" s="306">
        <v>19.95</v>
      </c>
      <c r="N20" s="306">
        <v>16.65</v>
      </c>
      <c r="O20" s="306">
        <v>0.0</v>
      </c>
      <c r="P20" s="307">
        <v>0.0</v>
      </c>
      <c r="Q20" s="307">
        <v>0.0</v>
      </c>
      <c r="R20" s="307">
        <v>0.0</v>
      </c>
      <c r="S20" s="307">
        <v>0.0</v>
      </c>
      <c r="T20" s="307">
        <v>9.09</v>
      </c>
      <c r="U20" s="307">
        <v>7.95</v>
      </c>
      <c r="V20" s="307">
        <v>0.0</v>
      </c>
      <c r="W20" s="307">
        <v>0.0</v>
      </c>
      <c r="X20" s="307">
        <v>0.0</v>
      </c>
      <c r="Y20" s="307">
        <v>0.0</v>
      </c>
      <c r="Z20" s="307">
        <v>0.0</v>
      </c>
      <c r="AA20" s="307">
        <v>0.0</v>
      </c>
      <c r="AB20" s="307">
        <v>0.0</v>
      </c>
      <c r="AC20" s="307">
        <v>0.0</v>
      </c>
      <c r="AD20" s="307">
        <v>0.0</v>
      </c>
      <c r="AE20" s="307">
        <v>0.0</v>
      </c>
      <c r="AF20" s="308">
        <v>0.0</v>
      </c>
      <c r="AG20" s="285">
        <f>SUM(B22:AF22)</f>
        <v>717.16</v>
      </c>
      <c r="AH20" s="58"/>
      <c r="AI20" s="38"/>
      <c r="AJ20" s="38"/>
      <c r="AK20" s="38"/>
      <c r="AL20" s="38"/>
      <c r="AM20" s="38"/>
      <c r="AN20" s="38"/>
      <c r="AO20" s="226"/>
      <c r="AP20" s="226"/>
      <c r="AQ20" s="427"/>
      <c r="AR20" s="428"/>
    </row>
    <row r="21" ht="28.5" customHeight="1">
      <c r="A21" s="429" t="s">
        <v>47</v>
      </c>
      <c r="B21" s="310">
        <v>7.5</v>
      </c>
      <c r="C21" s="430">
        <v>0.0</v>
      </c>
      <c r="D21" s="310">
        <v>16.95</v>
      </c>
      <c r="E21" s="431">
        <v>20.55</v>
      </c>
      <c r="F21" s="432">
        <v>51.85</v>
      </c>
      <c r="G21" s="432">
        <v>22.5</v>
      </c>
      <c r="H21" s="432">
        <v>19.2</v>
      </c>
      <c r="I21" s="432">
        <v>8.4</v>
      </c>
      <c r="J21" s="432">
        <v>29.4</v>
      </c>
      <c r="K21" s="432">
        <v>15.0</v>
      </c>
      <c r="L21" s="433">
        <v>24.0</v>
      </c>
      <c r="M21" s="430">
        <v>0.0</v>
      </c>
      <c r="N21" s="433">
        <v>15.0</v>
      </c>
      <c r="O21" s="433">
        <v>26.85</v>
      </c>
      <c r="P21" s="431">
        <v>32.4</v>
      </c>
      <c r="Q21" s="431">
        <v>9.0</v>
      </c>
      <c r="R21" s="431">
        <v>6.0</v>
      </c>
      <c r="S21" s="431">
        <v>15.75</v>
      </c>
      <c r="T21" s="313"/>
      <c r="U21" s="313"/>
      <c r="V21" s="431">
        <v>39.3</v>
      </c>
      <c r="W21" s="431">
        <v>26.0</v>
      </c>
      <c r="X21" s="431">
        <v>16.35</v>
      </c>
      <c r="Y21" s="431">
        <v>9.0</v>
      </c>
      <c r="Z21" s="431">
        <v>8.55</v>
      </c>
      <c r="AA21" s="431">
        <v>42.57</v>
      </c>
      <c r="AB21" s="431">
        <v>86.35</v>
      </c>
      <c r="AC21" s="431">
        <v>16.5</v>
      </c>
      <c r="AD21" s="431">
        <v>7.95</v>
      </c>
      <c r="AE21" s="431">
        <v>24.3</v>
      </c>
      <c r="AF21" s="316">
        <v>19.5</v>
      </c>
      <c r="AG21" s="317"/>
      <c r="AH21" s="359"/>
      <c r="AI21" s="38"/>
      <c r="AJ21" s="38"/>
      <c r="AK21" s="38"/>
      <c r="AL21" s="38"/>
      <c r="AM21" s="38"/>
      <c r="AN21" s="38"/>
      <c r="AO21" s="226"/>
    </row>
    <row r="22" ht="17.25" customHeight="1">
      <c r="A22" s="318" t="s">
        <v>48</v>
      </c>
      <c r="B22" s="319">
        <f t="shared" ref="B22:AF22" si="8">sum(B20:B21)</f>
        <v>7.5</v>
      </c>
      <c r="C22" s="319">
        <f t="shared" si="8"/>
        <v>46.8</v>
      </c>
      <c r="D22" s="319">
        <f t="shared" si="8"/>
        <v>16.95</v>
      </c>
      <c r="E22" s="319">
        <f t="shared" si="8"/>
        <v>20.55</v>
      </c>
      <c r="F22" s="319">
        <f t="shared" si="8"/>
        <v>51.85</v>
      </c>
      <c r="G22" s="319">
        <f t="shared" si="8"/>
        <v>22.5</v>
      </c>
      <c r="H22" s="319">
        <f t="shared" si="8"/>
        <v>19.2</v>
      </c>
      <c r="I22" s="319">
        <f t="shared" si="8"/>
        <v>8.4</v>
      </c>
      <c r="J22" s="319">
        <f t="shared" si="8"/>
        <v>29.4</v>
      </c>
      <c r="K22" s="319">
        <f t="shared" si="8"/>
        <v>15</v>
      </c>
      <c r="L22" s="319">
        <f t="shared" si="8"/>
        <v>24</v>
      </c>
      <c r="M22" s="319">
        <f t="shared" si="8"/>
        <v>19.95</v>
      </c>
      <c r="N22" s="319">
        <f t="shared" si="8"/>
        <v>31.65</v>
      </c>
      <c r="O22" s="319">
        <f t="shared" si="8"/>
        <v>26.85</v>
      </c>
      <c r="P22" s="319">
        <f t="shared" si="8"/>
        <v>32.4</v>
      </c>
      <c r="Q22" s="319">
        <f t="shared" si="8"/>
        <v>9</v>
      </c>
      <c r="R22" s="319">
        <f t="shared" si="8"/>
        <v>6</v>
      </c>
      <c r="S22" s="319">
        <f t="shared" si="8"/>
        <v>15.75</v>
      </c>
      <c r="T22" s="319">
        <f t="shared" si="8"/>
        <v>9.09</v>
      </c>
      <c r="U22" s="319">
        <f t="shared" si="8"/>
        <v>7.95</v>
      </c>
      <c r="V22" s="319">
        <f t="shared" si="8"/>
        <v>39.3</v>
      </c>
      <c r="W22" s="319">
        <f t="shared" si="8"/>
        <v>26</v>
      </c>
      <c r="X22" s="319">
        <f t="shared" si="8"/>
        <v>16.35</v>
      </c>
      <c r="Y22" s="319">
        <f t="shared" si="8"/>
        <v>9</v>
      </c>
      <c r="Z22" s="319">
        <f t="shared" si="8"/>
        <v>8.55</v>
      </c>
      <c r="AA22" s="319">
        <f t="shared" si="8"/>
        <v>42.57</v>
      </c>
      <c r="AB22" s="319">
        <f t="shared" si="8"/>
        <v>86.35</v>
      </c>
      <c r="AC22" s="319">
        <f t="shared" si="8"/>
        <v>16.5</v>
      </c>
      <c r="AD22" s="319">
        <f t="shared" si="8"/>
        <v>7.95</v>
      </c>
      <c r="AE22" s="319">
        <f t="shared" si="8"/>
        <v>24.3</v>
      </c>
      <c r="AF22" s="320">
        <f t="shared" si="8"/>
        <v>19.5</v>
      </c>
      <c r="AG22" s="292"/>
      <c r="AH22" s="58"/>
      <c r="AI22" s="38"/>
      <c r="AJ22" s="38"/>
      <c r="AK22" s="38"/>
      <c r="AL22" s="38"/>
      <c r="AM22" s="38"/>
      <c r="AN22" s="38"/>
      <c r="AO22" s="226"/>
      <c r="AP22" s="226"/>
      <c r="AQ22" s="226"/>
    </row>
    <row r="23" ht="28.5" customHeight="1">
      <c r="A23" s="434" t="s">
        <v>49</v>
      </c>
      <c r="B23" s="324">
        <v>0.0</v>
      </c>
      <c r="C23" s="401">
        <v>0.0</v>
      </c>
      <c r="D23" s="324">
        <v>0.0</v>
      </c>
      <c r="E23" s="324">
        <v>0.0</v>
      </c>
      <c r="F23" s="324">
        <v>0.0</v>
      </c>
      <c r="G23" s="324">
        <v>0.0</v>
      </c>
      <c r="H23" s="324">
        <v>0.0</v>
      </c>
      <c r="I23" s="324">
        <v>0.0</v>
      </c>
      <c r="J23" s="324">
        <v>0.0</v>
      </c>
      <c r="K23" s="324">
        <v>0.0</v>
      </c>
      <c r="L23" s="324">
        <v>0.0</v>
      </c>
      <c r="M23" s="324">
        <v>0.0</v>
      </c>
      <c r="N23" s="324">
        <v>5.1</v>
      </c>
      <c r="O23" s="324">
        <v>0.0</v>
      </c>
      <c r="P23" s="324">
        <v>0.0</v>
      </c>
      <c r="Q23" s="324">
        <v>0.0</v>
      </c>
      <c r="R23" s="324">
        <v>0.0</v>
      </c>
      <c r="S23" s="325">
        <v>0.0</v>
      </c>
      <c r="T23" s="325">
        <v>0.0</v>
      </c>
      <c r="U23" s="324">
        <v>0.0</v>
      </c>
      <c r="V23" s="324">
        <v>0.0</v>
      </c>
      <c r="W23" s="324">
        <v>0.0</v>
      </c>
      <c r="X23" s="324">
        <v>0.0</v>
      </c>
      <c r="Y23" s="325">
        <v>0.0</v>
      </c>
      <c r="Z23" s="324">
        <v>0.0</v>
      </c>
      <c r="AA23" s="324">
        <v>0.0</v>
      </c>
      <c r="AB23" s="324">
        <v>0.0</v>
      </c>
      <c r="AC23" s="324">
        <v>0.0</v>
      </c>
      <c r="AD23" s="324">
        <v>0.0</v>
      </c>
      <c r="AE23" s="324">
        <v>0.0</v>
      </c>
      <c r="AF23" s="326">
        <v>0.0</v>
      </c>
      <c r="AG23" s="285">
        <f>SUM(B25:AF25)</f>
        <v>558.96</v>
      </c>
      <c r="AH23" s="359"/>
      <c r="AI23" s="38"/>
      <c r="AJ23" s="38"/>
      <c r="AK23" s="38"/>
      <c r="AL23" s="38"/>
      <c r="AM23" s="38"/>
      <c r="AN23" s="38"/>
      <c r="AO23" s="226"/>
      <c r="AP23" s="226"/>
      <c r="AQ23" s="226"/>
    </row>
    <row r="24" ht="28.5" customHeight="1">
      <c r="A24" s="434" t="s">
        <v>50</v>
      </c>
      <c r="B24" s="295">
        <v>13.14</v>
      </c>
      <c r="C24" s="206">
        <v>0.0</v>
      </c>
      <c r="D24" s="295">
        <v>30.62</v>
      </c>
      <c r="E24" s="295">
        <v>5.25</v>
      </c>
      <c r="F24" s="295">
        <v>12.06</v>
      </c>
      <c r="G24" s="295">
        <v>6.15</v>
      </c>
      <c r="H24" s="295">
        <v>76.12</v>
      </c>
      <c r="I24" s="295">
        <v>11.75</v>
      </c>
      <c r="J24" s="295">
        <v>13.65</v>
      </c>
      <c r="K24" s="295">
        <v>23.07</v>
      </c>
      <c r="L24" s="295">
        <v>25.97</v>
      </c>
      <c r="M24" s="295">
        <v>10.95</v>
      </c>
      <c r="N24" s="224">
        <v>0.0</v>
      </c>
      <c r="O24" s="295">
        <v>18.5</v>
      </c>
      <c r="P24" s="295">
        <v>1.8</v>
      </c>
      <c r="Q24" s="295">
        <v>9.0</v>
      </c>
      <c r="R24" s="295">
        <v>10.92</v>
      </c>
      <c r="S24" s="327">
        <v>18.42</v>
      </c>
      <c r="T24" s="327">
        <v>24.9</v>
      </c>
      <c r="U24" s="295">
        <v>6.87</v>
      </c>
      <c r="V24" s="295">
        <v>2.67</v>
      </c>
      <c r="W24" s="295">
        <v>41.05</v>
      </c>
      <c r="X24" s="224">
        <v>9.12</v>
      </c>
      <c r="Y24" s="327">
        <v>21.75</v>
      </c>
      <c r="Z24" s="295">
        <v>50.1</v>
      </c>
      <c r="AA24" s="295">
        <v>9.39</v>
      </c>
      <c r="AB24" s="295">
        <v>31.95</v>
      </c>
      <c r="AC24" s="295">
        <v>13.52</v>
      </c>
      <c r="AD24" s="295">
        <v>31.05</v>
      </c>
      <c r="AE24" s="295">
        <v>9.75</v>
      </c>
      <c r="AF24" s="328">
        <v>14.37</v>
      </c>
      <c r="AG24" s="317"/>
      <c r="AH24" s="58"/>
      <c r="AI24" s="38"/>
      <c r="AJ24" s="38"/>
      <c r="AK24" s="38"/>
      <c r="AL24" s="38"/>
      <c r="AM24" s="38"/>
      <c r="AN24" s="38"/>
      <c r="AO24" s="226"/>
    </row>
    <row r="25" ht="16.5" customHeight="1">
      <c r="A25" s="329" t="s">
        <v>51</v>
      </c>
      <c r="B25" s="330">
        <f t="shared" ref="B25:AF25" si="9">SUM(B23:B24)</f>
        <v>13.14</v>
      </c>
      <c r="C25" s="330">
        <f t="shared" si="9"/>
        <v>0</v>
      </c>
      <c r="D25" s="330">
        <f t="shared" si="9"/>
        <v>30.62</v>
      </c>
      <c r="E25" s="330">
        <f t="shared" si="9"/>
        <v>5.25</v>
      </c>
      <c r="F25" s="330">
        <f t="shared" si="9"/>
        <v>12.06</v>
      </c>
      <c r="G25" s="330">
        <f t="shared" si="9"/>
        <v>6.15</v>
      </c>
      <c r="H25" s="330">
        <f t="shared" si="9"/>
        <v>76.12</v>
      </c>
      <c r="I25" s="330">
        <f t="shared" si="9"/>
        <v>11.75</v>
      </c>
      <c r="J25" s="330">
        <f t="shared" si="9"/>
        <v>13.65</v>
      </c>
      <c r="K25" s="330">
        <f t="shared" si="9"/>
        <v>23.07</v>
      </c>
      <c r="L25" s="330">
        <f t="shared" si="9"/>
        <v>25.97</v>
      </c>
      <c r="M25" s="330">
        <f t="shared" si="9"/>
        <v>10.95</v>
      </c>
      <c r="N25" s="330">
        <f t="shared" si="9"/>
        <v>5.1</v>
      </c>
      <c r="O25" s="330">
        <f t="shared" si="9"/>
        <v>18.5</v>
      </c>
      <c r="P25" s="330">
        <f t="shared" si="9"/>
        <v>1.8</v>
      </c>
      <c r="Q25" s="330">
        <f t="shared" si="9"/>
        <v>9</v>
      </c>
      <c r="R25" s="330">
        <f t="shared" si="9"/>
        <v>10.92</v>
      </c>
      <c r="S25" s="330">
        <f t="shared" si="9"/>
        <v>18.42</v>
      </c>
      <c r="T25" s="330">
        <f t="shared" si="9"/>
        <v>24.9</v>
      </c>
      <c r="U25" s="330">
        <f t="shared" si="9"/>
        <v>6.87</v>
      </c>
      <c r="V25" s="330">
        <f t="shared" si="9"/>
        <v>2.67</v>
      </c>
      <c r="W25" s="330">
        <f t="shared" si="9"/>
        <v>41.05</v>
      </c>
      <c r="X25" s="330">
        <f t="shared" si="9"/>
        <v>9.12</v>
      </c>
      <c r="Y25" s="330">
        <f t="shared" si="9"/>
        <v>21.75</v>
      </c>
      <c r="Z25" s="330">
        <f t="shared" si="9"/>
        <v>50.1</v>
      </c>
      <c r="AA25" s="330">
        <f t="shared" si="9"/>
        <v>9.39</v>
      </c>
      <c r="AB25" s="330">
        <f t="shared" si="9"/>
        <v>31.95</v>
      </c>
      <c r="AC25" s="330">
        <f t="shared" si="9"/>
        <v>13.52</v>
      </c>
      <c r="AD25" s="330">
        <f t="shared" si="9"/>
        <v>31.05</v>
      </c>
      <c r="AE25" s="330">
        <f t="shared" si="9"/>
        <v>9.75</v>
      </c>
      <c r="AF25" s="435">
        <f t="shared" si="9"/>
        <v>14.37</v>
      </c>
      <c r="AG25" s="292"/>
      <c r="AH25" s="58"/>
      <c r="AI25" s="38"/>
      <c r="AJ25" s="38" t="s">
        <v>66</v>
      </c>
      <c r="AK25" s="38"/>
      <c r="AL25" s="38"/>
      <c r="AM25" s="38"/>
      <c r="AN25" s="38"/>
      <c r="AO25" s="226"/>
      <c r="AP25" s="226"/>
      <c r="AQ25" s="226"/>
    </row>
    <row r="26" ht="26.25" customHeight="1">
      <c r="A26" s="190" t="s">
        <v>10</v>
      </c>
      <c r="B26" s="436">
        <v>0.0</v>
      </c>
      <c r="C26" s="437">
        <v>0.0</v>
      </c>
      <c r="D26" s="436">
        <v>0.0</v>
      </c>
      <c r="E26" s="436">
        <v>0.0</v>
      </c>
      <c r="F26" s="436">
        <v>0.0</v>
      </c>
      <c r="G26" s="437">
        <v>4.5</v>
      </c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438"/>
      <c r="U26" s="438"/>
      <c r="V26" s="438"/>
      <c r="W26" s="438"/>
      <c r="X26" s="439">
        <v>6.0</v>
      </c>
      <c r="Y26" s="439">
        <v>0.0</v>
      </c>
      <c r="Z26" s="439">
        <v>0.0</v>
      </c>
      <c r="AA26" s="439">
        <v>1.5</v>
      </c>
      <c r="AB26" s="440">
        <v>0.0</v>
      </c>
      <c r="AC26" s="440">
        <v>18.52</v>
      </c>
      <c r="AD26" s="440">
        <v>4.62</v>
      </c>
      <c r="AE26" s="440">
        <v>22.6</v>
      </c>
      <c r="AF26" s="440">
        <v>3.14</v>
      </c>
      <c r="AG26" s="70">
        <f t="shared" ref="AG26:AG31" si="10">SUM(B26:AF26)</f>
        <v>60.88</v>
      </c>
      <c r="AH26" s="365"/>
      <c r="AI26" s="38"/>
      <c r="AJ26" s="38"/>
      <c r="AK26" s="38"/>
      <c r="AL26" s="38"/>
      <c r="AM26" s="38"/>
      <c r="AN26" s="38"/>
      <c r="AO26" s="226"/>
    </row>
    <row r="27" ht="25.5" customHeight="1">
      <c r="A27" s="190" t="s">
        <v>11</v>
      </c>
      <c r="B27" s="238">
        <v>36.12</v>
      </c>
      <c r="C27" s="238">
        <v>26.1</v>
      </c>
      <c r="D27" s="238">
        <v>44.2</v>
      </c>
      <c r="E27" s="238">
        <v>50.74</v>
      </c>
      <c r="F27" s="238">
        <v>36.12</v>
      </c>
      <c r="G27" s="238">
        <v>36.0</v>
      </c>
      <c r="H27" s="238">
        <v>37.62</v>
      </c>
      <c r="I27" s="238">
        <v>47.5</v>
      </c>
      <c r="J27" s="238">
        <v>34.5</v>
      </c>
      <c r="K27" s="238">
        <v>53.78</v>
      </c>
      <c r="L27" s="238">
        <v>46.62</v>
      </c>
      <c r="M27" s="238">
        <v>67.62</v>
      </c>
      <c r="N27" s="238">
        <v>36.12</v>
      </c>
      <c r="O27" s="238">
        <v>52.5</v>
      </c>
      <c r="P27" s="238">
        <v>77.64</v>
      </c>
      <c r="Q27" s="238">
        <v>215.0</v>
      </c>
      <c r="R27" s="238">
        <v>67.0</v>
      </c>
      <c r="S27" s="238">
        <v>23.32</v>
      </c>
      <c r="T27" s="238">
        <v>104.56</v>
      </c>
      <c r="U27" s="238">
        <v>215.0</v>
      </c>
      <c r="V27" s="238">
        <v>61.62</v>
      </c>
      <c r="W27" s="238">
        <v>33.12</v>
      </c>
      <c r="X27" s="238">
        <v>103.92</v>
      </c>
      <c r="Y27" s="238">
        <v>82.86</v>
      </c>
      <c r="Z27" s="238">
        <v>91.0</v>
      </c>
      <c r="AA27" s="238">
        <v>82.86</v>
      </c>
      <c r="AB27" s="238">
        <v>63.58</v>
      </c>
      <c r="AC27" s="239">
        <v>109.74</v>
      </c>
      <c r="AD27" s="239">
        <v>60.0</v>
      </c>
      <c r="AE27" s="239">
        <v>57.0</v>
      </c>
      <c r="AF27" s="239">
        <v>36.0</v>
      </c>
      <c r="AG27" s="70">
        <f t="shared" si="10"/>
        <v>2089.76</v>
      </c>
      <c r="AH27" s="58" t="s">
        <v>67</v>
      </c>
      <c r="AI27" s="38"/>
      <c r="AJ27" s="441"/>
      <c r="AK27" s="38"/>
      <c r="AL27" s="38"/>
      <c r="AM27" s="38"/>
      <c r="AN27" s="38"/>
      <c r="AO27" s="226"/>
    </row>
    <row r="28" ht="29.25" customHeight="1">
      <c r="A28" s="190" t="s">
        <v>28</v>
      </c>
      <c r="B28" s="230"/>
      <c r="C28" s="231"/>
      <c r="D28" s="231"/>
      <c r="E28" s="442">
        <v>0.12</v>
      </c>
      <c r="F28" s="443">
        <v>0.0</v>
      </c>
      <c r="G28" s="442">
        <v>0.56</v>
      </c>
      <c r="H28" s="442">
        <v>0.42</v>
      </c>
      <c r="I28" s="206">
        <v>0.0</v>
      </c>
      <c r="J28" s="231"/>
      <c r="K28" s="231"/>
      <c r="L28" s="231"/>
      <c r="M28" s="231"/>
      <c r="N28" s="231"/>
      <c r="O28" s="283">
        <v>1.64</v>
      </c>
      <c r="P28" s="283">
        <v>2.3</v>
      </c>
      <c r="Q28" s="231"/>
      <c r="R28" s="231"/>
      <c r="S28" s="231"/>
      <c r="T28" s="283">
        <v>0.12</v>
      </c>
      <c r="U28" s="283">
        <v>5.32</v>
      </c>
      <c r="V28" s="283">
        <v>1.96</v>
      </c>
      <c r="W28" s="283">
        <v>0.0</v>
      </c>
      <c r="X28" s="231"/>
      <c r="Y28" s="231"/>
      <c r="Z28" s="231"/>
      <c r="AA28" s="231"/>
      <c r="AB28" s="231"/>
      <c r="AC28" s="230"/>
      <c r="AD28" s="230"/>
      <c r="AE28" s="230"/>
      <c r="AF28" s="230"/>
      <c r="AG28" s="70">
        <f t="shared" si="10"/>
        <v>12.44</v>
      </c>
      <c r="AH28" s="359"/>
      <c r="AI28" s="38"/>
      <c r="AJ28" s="38"/>
      <c r="AK28" s="38"/>
      <c r="AL28" s="38"/>
      <c r="AM28" s="38"/>
      <c r="AN28" s="38"/>
      <c r="AO28" s="226"/>
      <c r="AP28" s="226"/>
      <c r="AQ28" s="226"/>
    </row>
    <row r="29" ht="29.25" customHeight="1">
      <c r="A29" s="190" t="s">
        <v>68</v>
      </c>
      <c r="B29" s="444"/>
      <c r="C29" s="445"/>
      <c r="D29" s="445"/>
      <c r="E29" s="445"/>
      <c r="F29" s="444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  <c r="Z29" s="445"/>
      <c r="AA29" s="445"/>
      <c r="AB29" s="445"/>
      <c r="AC29" s="444"/>
      <c r="AD29" s="444"/>
      <c r="AE29" s="446">
        <v>19.75</v>
      </c>
      <c r="AF29" s="446">
        <v>8.9</v>
      </c>
      <c r="AG29" s="70">
        <f t="shared" si="10"/>
        <v>28.65</v>
      </c>
      <c r="AH29" s="359"/>
      <c r="AI29" s="38"/>
      <c r="AJ29" s="38"/>
      <c r="AK29" s="38"/>
      <c r="AL29" s="38"/>
      <c r="AM29" s="38"/>
      <c r="AN29" s="38"/>
      <c r="AO29" s="226"/>
      <c r="AP29" s="226"/>
      <c r="AQ29" s="226"/>
    </row>
    <row r="30" ht="29.25" customHeight="1">
      <c r="A30" s="190" t="s">
        <v>69</v>
      </c>
      <c r="B30" s="444"/>
      <c r="C30" s="445"/>
      <c r="D30" s="445"/>
      <c r="E30" s="445"/>
      <c r="F30" s="444"/>
      <c r="G30" s="445"/>
      <c r="H30" s="445"/>
      <c r="I30" s="445"/>
      <c r="J30" s="445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  <c r="V30" s="445"/>
      <c r="W30" s="445"/>
      <c r="X30" s="445"/>
      <c r="Y30" s="445"/>
      <c r="Z30" s="445"/>
      <c r="AA30" s="445"/>
      <c r="AB30" s="445"/>
      <c r="AC30" s="444"/>
      <c r="AD30" s="444"/>
      <c r="AE30" s="284">
        <v>13.75</v>
      </c>
      <c r="AF30" s="284">
        <v>0.15</v>
      </c>
      <c r="AG30" s="70">
        <f t="shared" si="10"/>
        <v>13.9</v>
      </c>
      <c r="AH30" s="359"/>
      <c r="AI30" s="38"/>
      <c r="AJ30" s="38"/>
      <c r="AK30" s="38"/>
      <c r="AL30" s="38"/>
      <c r="AM30" s="38"/>
      <c r="AN30" s="38"/>
      <c r="AO30" s="226"/>
      <c r="AP30" s="226"/>
      <c r="AQ30" s="226"/>
    </row>
    <row r="31" ht="29.25" customHeight="1">
      <c r="A31" s="190" t="s">
        <v>9</v>
      </c>
      <c r="B31" s="230"/>
      <c r="C31" s="231"/>
      <c r="D31" s="231"/>
      <c r="E31" s="231"/>
      <c r="F31" s="230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447">
        <v>1.5</v>
      </c>
      <c r="X31" s="447">
        <v>1.5</v>
      </c>
      <c r="Y31" s="231"/>
      <c r="Z31" s="231"/>
      <c r="AA31" s="231"/>
      <c r="AB31" s="231"/>
      <c r="AC31" s="230"/>
      <c r="AD31" s="230"/>
      <c r="AE31" s="230"/>
      <c r="AF31" s="230"/>
      <c r="AG31" s="70">
        <f t="shared" si="10"/>
        <v>3</v>
      </c>
      <c r="AH31" s="359"/>
      <c r="AI31" s="38"/>
      <c r="AJ31" s="38"/>
      <c r="AK31" s="38"/>
      <c r="AL31" s="38"/>
      <c r="AM31" s="38"/>
      <c r="AN31" s="38"/>
      <c r="AO31" s="226"/>
    </row>
    <row r="32" ht="24.75" customHeight="1">
      <c r="A32" s="47" t="s">
        <v>14</v>
      </c>
      <c r="B32" s="167">
        <f t="shared" ref="B32:AF32" si="11">SUM(B3:B4,B6:B12,B14:B15,B17:B19,B20:B21,B23:B24,B26:B31)</f>
        <v>240.53</v>
      </c>
      <c r="C32" s="167">
        <f t="shared" si="11"/>
        <v>214.44</v>
      </c>
      <c r="D32" s="167">
        <f t="shared" si="11"/>
        <v>258.74</v>
      </c>
      <c r="E32" s="167">
        <f t="shared" si="11"/>
        <v>309.95</v>
      </c>
      <c r="F32" s="167">
        <f t="shared" si="11"/>
        <v>333.26</v>
      </c>
      <c r="G32" s="167">
        <f t="shared" si="11"/>
        <v>335.46</v>
      </c>
      <c r="H32" s="167">
        <f t="shared" si="11"/>
        <v>332.85</v>
      </c>
      <c r="I32" s="167">
        <f t="shared" si="11"/>
        <v>243.35</v>
      </c>
      <c r="J32" s="167">
        <f t="shared" si="11"/>
        <v>291.83</v>
      </c>
      <c r="K32" s="167">
        <f t="shared" si="11"/>
        <v>282.45</v>
      </c>
      <c r="L32" s="167">
        <f t="shared" si="11"/>
        <v>316.85</v>
      </c>
      <c r="M32" s="167">
        <f t="shared" si="11"/>
        <v>295</v>
      </c>
      <c r="N32" s="167">
        <f t="shared" si="11"/>
        <v>247.3</v>
      </c>
      <c r="O32" s="167">
        <f t="shared" si="11"/>
        <v>300.97</v>
      </c>
      <c r="P32" s="167">
        <f t="shared" si="11"/>
        <v>266.37</v>
      </c>
      <c r="Q32" s="167">
        <f t="shared" si="11"/>
        <v>482.96</v>
      </c>
      <c r="R32" s="167">
        <f t="shared" si="11"/>
        <v>308.86</v>
      </c>
      <c r="S32" s="167">
        <f t="shared" si="11"/>
        <v>342.5</v>
      </c>
      <c r="T32" s="167">
        <f t="shared" si="11"/>
        <v>352.32</v>
      </c>
      <c r="U32" s="167">
        <f t="shared" si="11"/>
        <v>473.76</v>
      </c>
      <c r="V32" s="167">
        <f t="shared" si="11"/>
        <v>428.38</v>
      </c>
      <c r="W32" s="167">
        <f t="shared" si="11"/>
        <v>331.93</v>
      </c>
      <c r="X32" s="167">
        <f t="shared" si="11"/>
        <v>406.04</v>
      </c>
      <c r="Y32" s="167">
        <f t="shared" si="11"/>
        <v>337.51</v>
      </c>
      <c r="Z32" s="167">
        <f t="shared" si="11"/>
        <v>315.07</v>
      </c>
      <c r="AA32" s="167">
        <f t="shared" si="11"/>
        <v>322.06</v>
      </c>
      <c r="AB32" s="167">
        <f t="shared" si="11"/>
        <v>330.42</v>
      </c>
      <c r="AC32" s="167">
        <f t="shared" si="11"/>
        <v>344.97</v>
      </c>
      <c r="AD32" s="167">
        <f t="shared" si="11"/>
        <v>338.56</v>
      </c>
      <c r="AE32" s="167">
        <f t="shared" si="11"/>
        <v>312.07</v>
      </c>
      <c r="AF32" s="167">
        <f t="shared" si="11"/>
        <v>267.55</v>
      </c>
      <c r="AG32" s="38"/>
      <c r="AH32" s="58"/>
      <c r="AI32" s="38"/>
      <c r="AJ32" s="38"/>
      <c r="AK32" s="38"/>
      <c r="AL32" s="38"/>
      <c r="AM32" s="38"/>
      <c r="AN32" s="38"/>
      <c r="AO32" s="226"/>
    </row>
    <row r="33" ht="15.75" customHeight="1">
      <c r="A33" s="66"/>
      <c r="B33" s="66"/>
      <c r="C33" s="6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58"/>
      <c r="AI33" s="38"/>
      <c r="AJ33" s="38"/>
      <c r="AK33" s="38"/>
      <c r="AL33" s="38"/>
      <c r="AM33" s="38"/>
      <c r="AN33" s="38"/>
      <c r="AO33" s="38"/>
      <c r="AP33" s="38"/>
      <c r="AQ33" s="38"/>
    </row>
    <row r="34" ht="99.75" customHeight="1">
      <c r="A34" s="448"/>
      <c r="B34" s="169"/>
      <c r="C34" s="17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58"/>
      <c r="AI34" s="38"/>
      <c r="AJ34" s="38"/>
      <c r="AK34" s="38"/>
      <c r="AL34" s="38"/>
      <c r="AM34" s="38"/>
      <c r="AN34" s="38"/>
      <c r="AO34" s="38"/>
      <c r="AP34" s="38"/>
      <c r="AQ34" s="38"/>
    </row>
    <row r="35" ht="15.75" customHeight="1">
      <c r="AG35" s="49"/>
      <c r="AH35" s="8"/>
    </row>
    <row r="36" ht="15.75" customHeight="1">
      <c r="AG36" s="49"/>
      <c r="AH36" s="8"/>
    </row>
    <row r="37" ht="15.75" customHeight="1">
      <c r="AG37" s="49"/>
      <c r="AH37" s="8"/>
    </row>
    <row r="38" ht="15.75" customHeight="1">
      <c r="AG38" s="49"/>
      <c r="AH38" s="8"/>
    </row>
    <row r="39" ht="15.75" customHeight="1">
      <c r="AG39" s="49"/>
      <c r="AH39" s="8"/>
    </row>
    <row r="40" ht="15.75" customHeight="1">
      <c r="AG40" s="49"/>
      <c r="AH40" s="8"/>
    </row>
    <row r="41" ht="15.75" customHeight="1">
      <c r="AG41" s="49"/>
      <c r="AH41" s="8"/>
    </row>
    <row r="42" ht="15.75" customHeight="1">
      <c r="AG42" s="49"/>
      <c r="AH42" s="8"/>
    </row>
    <row r="43" ht="15.75" customHeight="1">
      <c r="AG43" s="49"/>
      <c r="AH43" s="8"/>
    </row>
    <row r="44" ht="15.75" customHeight="1">
      <c r="AG44" s="49"/>
      <c r="AH44" s="8"/>
    </row>
    <row r="45" ht="15.75" customHeight="1">
      <c r="AG45" s="49"/>
      <c r="AH45" s="8"/>
    </row>
    <row r="46" ht="15.75" customHeight="1">
      <c r="AG46" s="49"/>
      <c r="AH46" s="8"/>
    </row>
    <row r="47" ht="15.75" customHeight="1">
      <c r="AG47" s="49"/>
      <c r="AH47" s="8"/>
    </row>
    <row r="48" ht="15.75" customHeight="1">
      <c r="AG48" s="49"/>
      <c r="AH48" s="8"/>
    </row>
    <row r="49" ht="15.75" customHeight="1">
      <c r="AG49" s="49"/>
      <c r="AH49" s="8"/>
    </row>
    <row r="50" ht="15.75" customHeight="1">
      <c r="AG50" s="49"/>
      <c r="AH50" s="8"/>
    </row>
    <row r="51" ht="15.75" customHeight="1">
      <c r="AG51" s="49"/>
      <c r="AH51" s="8"/>
    </row>
    <row r="52" ht="15.75" customHeight="1">
      <c r="AG52" s="49"/>
      <c r="AH52" s="8"/>
    </row>
    <row r="53" ht="15.75" customHeight="1">
      <c r="AG53" s="49"/>
      <c r="AH53" s="8"/>
    </row>
    <row r="54" ht="15.75" customHeight="1">
      <c r="AG54" s="49"/>
      <c r="AH54" s="8"/>
    </row>
    <row r="55" ht="15.75" customHeight="1">
      <c r="AG55" s="49"/>
      <c r="AH55" s="8"/>
    </row>
    <row r="56" ht="15.75" customHeight="1">
      <c r="AG56" s="49"/>
      <c r="AH56" s="8"/>
    </row>
    <row r="57" ht="15.75" customHeight="1">
      <c r="AG57" s="49"/>
      <c r="AH57" s="8"/>
    </row>
    <row r="58" ht="15.75" customHeight="1">
      <c r="AG58" s="49"/>
      <c r="AH58" s="8"/>
    </row>
    <row r="59" ht="15.75" customHeight="1">
      <c r="AG59" s="49"/>
      <c r="AH59" s="8"/>
    </row>
    <row r="60" ht="15.75" customHeight="1">
      <c r="AG60" s="49"/>
      <c r="AH60" s="8"/>
    </row>
    <row r="61" ht="15.75" customHeight="1">
      <c r="AG61" s="49"/>
      <c r="AH61" s="8"/>
    </row>
    <row r="62" ht="15.75" customHeight="1">
      <c r="AG62" s="49"/>
      <c r="AH62" s="8"/>
    </row>
    <row r="63" ht="15.75" customHeight="1">
      <c r="AG63" s="49"/>
      <c r="AH63" s="8"/>
    </row>
    <row r="64" ht="15.75" customHeight="1">
      <c r="AG64" s="49"/>
      <c r="AH64" s="8"/>
    </row>
    <row r="65" ht="15.75" customHeight="1">
      <c r="AG65" s="49"/>
      <c r="AH65" s="8"/>
    </row>
    <row r="66" ht="15.75" customHeight="1">
      <c r="AG66" s="49"/>
      <c r="AH66" s="8"/>
    </row>
    <row r="67" ht="15.75" customHeight="1">
      <c r="AG67" s="49"/>
      <c r="AH67" s="8"/>
    </row>
    <row r="68" ht="15.75" customHeight="1">
      <c r="AG68" s="49"/>
      <c r="AH68" s="8"/>
    </row>
    <row r="69" ht="15.75" customHeight="1">
      <c r="AG69" s="49"/>
      <c r="AH69" s="8"/>
    </row>
    <row r="70" ht="15.75" customHeight="1">
      <c r="AG70" s="49"/>
      <c r="AH70" s="8"/>
    </row>
    <row r="71" ht="15.75" customHeight="1"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M2:AO2"/>
    <mergeCell ref="AG3:AG5"/>
    <mergeCell ref="AM3:AO3"/>
    <mergeCell ref="AM4:AO4"/>
    <mergeCell ref="AM5:AO5"/>
    <mergeCell ref="AM6:AO6"/>
    <mergeCell ref="AM7:AO7"/>
    <mergeCell ref="AO18:AQ18"/>
    <mergeCell ref="AO21:AQ21"/>
    <mergeCell ref="AO24:AQ24"/>
    <mergeCell ref="AO26:AQ26"/>
    <mergeCell ref="AO27:AQ27"/>
    <mergeCell ref="AO31:AQ31"/>
    <mergeCell ref="AO32:AQ32"/>
    <mergeCell ref="AM8:AO8"/>
    <mergeCell ref="AM9:AO9"/>
    <mergeCell ref="AM10:AO10"/>
    <mergeCell ref="AG11:AG13"/>
    <mergeCell ref="AM11:AO11"/>
    <mergeCell ref="AG14:AG16"/>
    <mergeCell ref="AG20:AG22"/>
    <mergeCell ref="AG23:AG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3.71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6" max="46" width="20.0"/>
    <col customWidth="1" min="47" max="47" width="19.14"/>
  </cols>
  <sheetData>
    <row r="1" ht="36.75" customHeight="1">
      <c r="A1" s="1" t="s">
        <v>70</v>
      </c>
      <c r="B1" s="52"/>
      <c r="C1" s="53"/>
      <c r="D1" s="54"/>
      <c r="E1" s="55"/>
      <c r="F1" s="55"/>
      <c r="G1" s="55"/>
      <c r="H1" s="55"/>
      <c r="I1" s="55"/>
      <c r="J1" s="55"/>
      <c r="K1" s="55"/>
      <c r="L1" s="55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1</v>
      </c>
      <c r="AH1" s="58"/>
      <c r="AI1" s="38"/>
      <c r="AJ1" s="38"/>
    </row>
    <row r="2" ht="33.0" customHeight="1">
      <c r="A2" s="339" t="s">
        <v>2</v>
      </c>
      <c r="B2" s="340">
        <v>1.0</v>
      </c>
      <c r="C2" s="340">
        <v>2.0</v>
      </c>
      <c r="D2" s="340">
        <v>3.0</v>
      </c>
      <c r="E2" s="340">
        <v>4.0</v>
      </c>
      <c r="F2" s="340">
        <v>5.0</v>
      </c>
      <c r="G2" s="340">
        <v>6.0</v>
      </c>
      <c r="H2" s="340">
        <v>7.0</v>
      </c>
      <c r="I2" s="340">
        <v>8.0</v>
      </c>
      <c r="J2" s="340">
        <v>9.0</v>
      </c>
      <c r="K2" s="340">
        <v>10.0</v>
      </c>
      <c r="L2" s="340">
        <v>11.0</v>
      </c>
      <c r="M2" s="340">
        <v>12.0</v>
      </c>
      <c r="N2" s="342">
        <v>13.0</v>
      </c>
      <c r="O2" s="342">
        <v>14.0</v>
      </c>
      <c r="P2" s="342">
        <v>15.0</v>
      </c>
      <c r="Q2" s="342">
        <v>16.0</v>
      </c>
      <c r="R2" s="342">
        <v>17.0</v>
      </c>
      <c r="S2" s="342">
        <v>18.0</v>
      </c>
      <c r="T2" s="342">
        <v>19.0</v>
      </c>
      <c r="U2" s="342">
        <v>20.0</v>
      </c>
      <c r="V2" s="342">
        <v>21.0</v>
      </c>
      <c r="W2" s="342">
        <v>22.0</v>
      </c>
      <c r="X2" s="342">
        <v>23.0</v>
      </c>
      <c r="Y2" s="342">
        <v>24.0</v>
      </c>
      <c r="Z2" s="342">
        <v>25.0</v>
      </c>
      <c r="AA2" s="342">
        <v>26.0</v>
      </c>
      <c r="AB2" s="342">
        <v>27.0</v>
      </c>
      <c r="AC2" s="342">
        <v>28.0</v>
      </c>
      <c r="AD2" s="342">
        <v>29.0</v>
      </c>
      <c r="AE2" s="342">
        <v>30.0</v>
      </c>
      <c r="AF2" s="343">
        <v>31.0</v>
      </c>
      <c r="AG2" s="64">
        <f>SUM(AG3:AG36,AS4:AS13,AS18:AS27)</f>
        <v>10156.56</v>
      </c>
      <c r="AH2" s="58"/>
      <c r="AI2" s="38"/>
    </row>
    <row r="3" ht="32.25" customHeight="1">
      <c r="A3" s="449" t="s">
        <v>36</v>
      </c>
      <c r="B3" s="450"/>
      <c r="C3" s="451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3"/>
      <c r="AG3" s="454">
        <f>SUM(B5:AF5)</f>
        <v>290.8</v>
      </c>
      <c r="AH3" s="455"/>
      <c r="AI3" s="38"/>
      <c r="AM3" s="38"/>
      <c r="AN3" s="38"/>
      <c r="AO3" s="38"/>
      <c r="AP3" s="173">
        <v>1.0</v>
      </c>
      <c r="AQ3" s="174" t="s">
        <v>16</v>
      </c>
      <c r="AR3" s="173">
        <v>0.05</v>
      </c>
      <c r="AS3" s="456" t="s">
        <v>71</v>
      </c>
      <c r="AT3" s="456" t="s">
        <v>72</v>
      </c>
      <c r="AU3" s="456" t="s">
        <v>73</v>
      </c>
      <c r="AV3" s="246" t="s">
        <v>34</v>
      </c>
    </row>
    <row r="4" ht="33.0" customHeight="1">
      <c r="A4" s="457" t="s">
        <v>57</v>
      </c>
      <c r="B4" s="458"/>
      <c r="C4" s="459">
        <v>13.5</v>
      </c>
      <c r="D4" s="460">
        <v>24.58</v>
      </c>
      <c r="E4" s="460">
        <v>12.64</v>
      </c>
      <c r="F4" s="460">
        <v>6.0</v>
      </c>
      <c r="G4" s="460">
        <v>15.12</v>
      </c>
      <c r="H4" s="460">
        <v>12.54</v>
      </c>
      <c r="I4" s="460">
        <v>8.06</v>
      </c>
      <c r="J4" s="460">
        <v>1.5</v>
      </c>
      <c r="K4" s="460">
        <v>4.5</v>
      </c>
      <c r="L4" s="460">
        <v>21.48</v>
      </c>
      <c r="M4" s="460">
        <v>5.2</v>
      </c>
      <c r="N4" s="460">
        <v>13.5</v>
      </c>
      <c r="O4" s="460">
        <v>3.0</v>
      </c>
      <c r="P4" s="460">
        <v>3.0</v>
      </c>
      <c r="Q4" s="460">
        <v>8.12</v>
      </c>
      <c r="R4" s="460">
        <v>3.0</v>
      </c>
      <c r="S4" s="460">
        <v>9.0</v>
      </c>
      <c r="T4" s="460">
        <v>8.62</v>
      </c>
      <c r="U4" s="460">
        <v>27.06</v>
      </c>
      <c r="V4" s="460">
        <v>6.0</v>
      </c>
      <c r="W4" s="460">
        <v>12.04</v>
      </c>
      <c r="X4" s="460">
        <v>7.62</v>
      </c>
      <c r="Y4" s="460">
        <v>4.5</v>
      </c>
      <c r="Z4" s="460">
        <v>13.5</v>
      </c>
      <c r="AA4" s="460">
        <v>16.92</v>
      </c>
      <c r="AB4" s="460">
        <v>10.5</v>
      </c>
      <c r="AC4" s="460">
        <v>6.0</v>
      </c>
      <c r="AD4" s="460">
        <v>8.76</v>
      </c>
      <c r="AE4" s="461">
        <v>4.54</v>
      </c>
      <c r="AF4" s="462"/>
      <c r="AH4" s="463"/>
      <c r="AI4" s="38"/>
      <c r="AM4" s="344" t="s">
        <v>74</v>
      </c>
      <c r="AN4" s="176"/>
      <c r="AO4" s="177"/>
      <c r="AP4" s="464">
        <f>SUM(valuesByColor("red berry", "", B3:AF36))</f>
        <v>375.13</v>
      </c>
      <c r="AQ4" s="345">
        <f t="shared" ref="AQ4:AQ13" si="2">((AP4*(1-0.05))*(1-0.6))+AT4</f>
        <v>142.5494</v>
      </c>
      <c r="AR4" s="346">
        <f t="shared" ref="AR4:AR13" si="3">(AP4*(1-0.05))*(1-0.95)+AU4</f>
        <v>17.818675</v>
      </c>
      <c r="AS4" s="346"/>
      <c r="AT4" s="346">
        <f t="shared" ref="AT4:AT13" si="4">(AS4*(1-0.05))*(1-0.9)</f>
        <v>0</v>
      </c>
      <c r="AU4" s="346">
        <f t="shared" ref="AU4:AU13" si="5">(AS4*(1-0.05))*(1-0.95)</f>
        <v>0</v>
      </c>
      <c r="AV4" s="347"/>
    </row>
    <row r="5" ht="33.75" customHeight="1">
      <c r="A5" s="360" t="s">
        <v>58</v>
      </c>
      <c r="B5" s="465">
        <f t="shared" ref="B5:AF5" si="1">sum(B3:B4)</f>
        <v>0</v>
      </c>
      <c r="C5" s="465">
        <f t="shared" si="1"/>
        <v>13.5</v>
      </c>
      <c r="D5" s="465">
        <f t="shared" si="1"/>
        <v>24.58</v>
      </c>
      <c r="E5" s="465">
        <f t="shared" si="1"/>
        <v>12.64</v>
      </c>
      <c r="F5" s="465">
        <f t="shared" si="1"/>
        <v>6</v>
      </c>
      <c r="G5" s="465">
        <f t="shared" si="1"/>
        <v>15.12</v>
      </c>
      <c r="H5" s="465">
        <f t="shared" si="1"/>
        <v>12.54</v>
      </c>
      <c r="I5" s="465">
        <f t="shared" si="1"/>
        <v>8.06</v>
      </c>
      <c r="J5" s="465">
        <f t="shared" si="1"/>
        <v>1.5</v>
      </c>
      <c r="K5" s="465">
        <f t="shared" si="1"/>
        <v>4.5</v>
      </c>
      <c r="L5" s="465">
        <f t="shared" si="1"/>
        <v>21.48</v>
      </c>
      <c r="M5" s="465">
        <f t="shared" si="1"/>
        <v>5.2</v>
      </c>
      <c r="N5" s="465">
        <f t="shared" si="1"/>
        <v>13.5</v>
      </c>
      <c r="O5" s="465">
        <f t="shared" si="1"/>
        <v>3</v>
      </c>
      <c r="P5" s="465">
        <f t="shared" si="1"/>
        <v>3</v>
      </c>
      <c r="Q5" s="465">
        <f t="shared" si="1"/>
        <v>8.12</v>
      </c>
      <c r="R5" s="465">
        <f t="shared" si="1"/>
        <v>3</v>
      </c>
      <c r="S5" s="465">
        <f t="shared" si="1"/>
        <v>9</v>
      </c>
      <c r="T5" s="465">
        <f t="shared" si="1"/>
        <v>8.62</v>
      </c>
      <c r="U5" s="465">
        <f t="shared" si="1"/>
        <v>27.06</v>
      </c>
      <c r="V5" s="465">
        <f t="shared" si="1"/>
        <v>6</v>
      </c>
      <c r="W5" s="465">
        <f t="shared" si="1"/>
        <v>12.04</v>
      </c>
      <c r="X5" s="465">
        <f t="shared" si="1"/>
        <v>7.62</v>
      </c>
      <c r="Y5" s="465">
        <f t="shared" si="1"/>
        <v>4.5</v>
      </c>
      <c r="Z5" s="465">
        <f t="shared" si="1"/>
        <v>13.5</v>
      </c>
      <c r="AA5" s="465">
        <f t="shared" si="1"/>
        <v>16.92</v>
      </c>
      <c r="AB5" s="465">
        <f t="shared" si="1"/>
        <v>10.5</v>
      </c>
      <c r="AC5" s="465">
        <f t="shared" si="1"/>
        <v>6</v>
      </c>
      <c r="AD5" s="465">
        <f t="shared" si="1"/>
        <v>8.76</v>
      </c>
      <c r="AE5" s="465">
        <f t="shared" si="1"/>
        <v>4.54</v>
      </c>
      <c r="AF5" s="465">
        <f t="shared" si="1"/>
        <v>0</v>
      </c>
      <c r="AG5" s="466"/>
      <c r="AH5" s="463"/>
      <c r="AI5" s="38"/>
      <c r="AM5" s="175" t="s">
        <v>35</v>
      </c>
      <c r="AN5" s="176"/>
      <c r="AO5" s="177"/>
      <c r="AP5" s="467">
        <f>SUM(valuesByColor("yellow", "", B3:AF36))</f>
        <v>1885.17</v>
      </c>
      <c r="AQ5" s="178">
        <f t="shared" si="2"/>
        <v>724.9146</v>
      </c>
      <c r="AR5" s="248">
        <f t="shared" si="3"/>
        <v>93.820575</v>
      </c>
      <c r="AS5" s="248">
        <v>90.0</v>
      </c>
      <c r="AT5" s="248">
        <f t="shared" si="4"/>
        <v>8.55</v>
      </c>
      <c r="AU5" s="248">
        <f t="shared" si="5"/>
        <v>4.275</v>
      </c>
      <c r="AV5" s="249"/>
    </row>
    <row r="6" ht="36.75" customHeight="1">
      <c r="A6" s="193" t="s">
        <v>59</v>
      </c>
      <c r="B6" s="468"/>
      <c r="C6" s="468"/>
      <c r="D6" s="469"/>
      <c r="E6" s="469">
        <v>38.2</v>
      </c>
      <c r="F6" s="469">
        <v>18.0</v>
      </c>
      <c r="G6" s="469">
        <v>17.62</v>
      </c>
      <c r="H6" s="469">
        <v>1.5</v>
      </c>
      <c r="I6" s="469"/>
      <c r="J6" s="469">
        <v>0.0</v>
      </c>
      <c r="K6" s="469"/>
      <c r="L6" s="470">
        <v>0.6</v>
      </c>
      <c r="M6" s="470">
        <v>1.5</v>
      </c>
      <c r="N6" s="469"/>
      <c r="O6" s="469"/>
      <c r="P6" s="469"/>
      <c r="Q6" s="469"/>
      <c r="R6" s="469"/>
      <c r="S6" s="469"/>
      <c r="T6" s="469"/>
      <c r="U6" s="469"/>
      <c r="V6" s="469"/>
      <c r="W6" s="471"/>
      <c r="X6" s="469"/>
      <c r="Y6" s="469"/>
      <c r="Z6" s="469"/>
      <c r="AA6" s="469"/>
      <c r="AB6" s="469"/>
      <c r="AC6" s="469"/>
      <c r="AD6" s="472"/>
      <c r="AE6" s="472">
        <v>3.56</v>
      </c>
      <c r="AF6" s="472"/>
      <c r="AG6" s="473">
        <f t="shared" ref="AG6:AG10" si="6">SUM(B6:AF6)</f>
        <v>80.98</v>
      </c>
      <c r="AH6" s="455"/>
      <c r="AI6" s="38"/>
      <c r="AM6" s="252" t="s">
        <v>37</v>
      </c>
      <c r="AN6" s="176"/>
      <c r="AO6" s="177"/>
      <c r="AP6" s="474">
        <f>SUM(valuesByColor("cyan", "", B3:AF36))</f>
        <v>370.78</v>
      </c>
      <c r="AQ6" s="253">
        <f t="shared" si="2"/>
        <v>140.8964</v>
      </c>
      <c r="AR6" s="254">
        <f t="shared" si="3"/>
        <v>17.61205</v>
      </c>
      <c r="AS6" s="254"/>
      <c r="AT6" s="254">
        <f t="shared" si="4"/>
        <v>0</v>
      </c>
      <c r="AU6" s="254">
        <f t="shared" si="5"/>
        <v>0</v>
      </c>
      <c r="AV6" s="255"/>
    </row>
    <row r="7" ht="31.5" customHeight="1">
      <c r="A7" s="81" t="s">
        <v>5</v>
      </c>
      <c r="B7" s="475">
        <v>60.0</v>
      </c>
      <c r="C7" s="476">
        <v>38.35</v>
      </c>
      <c r="D7" s="477">
        <v>45.35</v>
      </c>
      <c r="E7" s="461">
        <v>27.84</v>
      </c>
      <c r="F7" s="478">
        <v>29.85</v>
      </c>
      <c r="G7" s="479">
        <v>54.55</v>
      </c>
      <c r="H7" s="479">
        <v>39.27</v>
      </c>
      <c r="I7" s="480">
        <v>0.0</v>
      </c>
      <c r="J7" s="479">
        <v>36.02</v>
      </c>
      <c r="K7" s="479">
        <v>36.15</v>
      </c>
      <c r="L7" s="479">
        <v>48.3</v>
      </c>
      <c r="M7" s="479">
        <v>35.3</v>
      </c>
      <c r="N7" s="479">
        <v>38.35</v>
      </c>
      <c r="O7" s="479">
        <v>40.15</v>
      </c>
      <c r="P7" s="479">
        <v>44.07</v>
      </c>
      <c r="Q7" s="479">
        <v>6.27</v>
      </c>
      <c r="R7" s="479">
        <v>6.0</v>
      </c>
      <c r="S7" s="479">
        <v>48.12</v>
      </c>
      <c r="T7" s="479">
        <v>20.85</v>
      </c>
      <c r="U7" s="479">
        <v>12.12</v>
      </c>
      <c r="V7" s="479">
        <v>87.75</v>
      </c>
      <c r="W7" s="479">
        <v>59.7</v>
      </c>
      <c r="X7" s="479">
        <v>54.19</v>
      </c>
      <c r="Y7" s="479">
        <v>31.84</v>
      </c>
      <c r="Z7" s="479">
        <v>51.85</v>
      </c>
      <c r="AA7" s="479">
        <v>39.57</v>
      </c>
      <c r="AB7" s="479">
        <v>21.45</v>
      </c>
      <c r="AC7" s="478">
        <v>67.95</v>
      </c>
      <c r="AD7" s="478">
        <v>26.34</v>
      </c>
      <c r="AE7" s="478">
        <v>35.25</v>
      </c>
      <c r="AF7" s="478"/>
      <c r="AG7" s="473">
        <f t="shared" si="6"/>
        <v>1142.8</v>
      </c>
      <c r="AH7" s="455"/>
      <c r="AI7" s="38"/>
      <c r="AM7" s="188" t="s">
        <v>38</v>
      </c>
      <c r="AN7" s="176"/>
      <c r="AO7" s="177"/>
      <c r="AP7" s="481">
        <f>SUM(valuesByColor("#f09090", "", B3:AF36))</f>
        <v>991.24</v>
      </c>
      <c r="AQ7" s="189">
        <f t="shared" si="2"/>
        <v>385.2212</v>
      </c>
      <c r="AR7" s="256">
        <f t="shared" si="3"/>
        <v>51.3589</v>
      </c>
      <c r="AS7" s="256">
        <v>90.0</v>
      </c>
      <c r="AT7" s="482">
        <f t="shared" si="4"/>
        <v>8.55</v>
      </c>
      <c r="AU7" s="482">
        <f t="shared" si="5"/>
        <v>4.275</v>
      </c>
      <c r="AV7" s="257"/>
    </row>
    <row r="8" ht="33.75" customHeight="1">
      <c r="A8" s="88" t="s">
        <v>6</v>
      </c>
      <c r="B8" s="483">
        <v>55.62</v>
      </c>
      <c r="C8" s="483">
        <v>52.62</v>
      </c>
      <c r="D8" s="484">
        <v>55.86</v>
      </c>
      <c r="E8" s="485">
        <v>66.48</v>
      </c>
      <c r="F8" s="485">
        <v>33.12</v>
      </c>
      <c r="G8" s="485">
        <v>52.5</v>
      </c>
      <c r="H8" s="485">
        <v>70.5</v>
      </c>
      <c r="I8" s="485">
        <v>63.0</v>
      </c>
      <c r="J8" s="485">
        <v>84.12</v>
      </c>
      <c r="K8" s="485">
        <v>46.86</v>
      </c>
      <c r="L8" s="486">
        <v>84.12</v>
      </c>
      <c r="M8" s="485">
        <v>63.0</v>
      </c>
      <c r="N8" s="484">
        <v>46.62</v>
      </c>
      <c r="O8" s="484">
        <v>39.0</v>
      </c>
      <c r="P8" s="484">
        <v>58.0</v>
      </c>
      <c r="Q8" s="485">
        <v>61.62</v>
      </c>
      <c r="R8" s="484">
        <v>72.0</v>
      </c>
      <c r="S8" s="484">
        <v>31.5</v>
      </c>
      <c r="T8" s="484">
        <v>66.12</v>
      </c>
      <c r="U8" s="484">
        <v>60.12</v>
      </c>
      <c r="V8" s="484">
        <v>49.5</v>
      </c>
      <c r="W8" s="484">
        <v>42.12</v>
      </c>
      <c r="X8" s="484">
        <v>57.0</v>
      </c>
      <c r="Y8" s="484">
        <v>64.62</v>
      </c>
      <c r="Z8" s="484">
        <v>78.0</v>
      </c>
      <c r="AA8" s="484">
        <v>47.62</v>
      </c>
      <c r="AB8" s="484">
        <v>75.0</v>
      </c>
      <c r="AC8" s="484">
        <v>46.74</v>
      </c>
      <c r="AD8" s="484">
        <v>66.12</v>
      </c>
      <c r="AE8" s="484">
        <v>51.0</v>
      </c>
      <c r="AF8" s="484"/>
      <c r="AG8" s="473">
        <f t="shared" si="6"/>
        <v>1740.5</v>
      </c>
      <c r="AH8" s="487"/>
      <c r="AI8" s="38"/>
      <c r="AJ8" s="38"/>
      <c r="AM8" s="263" t="s">
        <v>60</v>
      </c>
      <c r="AN8" s="176"/>
      <c r="AO8" s="177"/>
      <c r="AP8" s="488">
        <f>SUM(valuesByColor("magenta", "", B3:AF36))</f>
        <v>6</v>
      </c>
      <c r="AQ8" s="264">
        <f t="shared" si="2"/>
        <v>2.28</v>
      </c>
      <c r="AR8" s="265">
        <f t="shared" si="3"/>
        <v>0.285</v>
      </c>
      <c r="AS8" s="265"/>
      <c r="AT8" s="489">
        <f t="shared" si="4"/>
        <v>0</v>
      </c>
      <c r="AU8" s="489">
        <f t="shared" si="5"/>
        <v>0</v>
      </c>
      <c r="AV8" s="266"/>
    </row>
    <row r="9" ht="31.5" customHeight="1">
      <c r="A9" s="190" t="s">
        <v>8</v>
      </c>
      <c r="B9" s="490"/>
      <c r="C9" s="490"/>
      <c r="D9" s="491"/>
      <c r="E9" s="491"/>
      <c r="F9" s="491"/>
      <c r="G9" s="491"/>
      <c r="H9" s="491"/>
      <c r="I9" s="491"/>
      <c r="J9" s="491"/>
      <c r="K9" s="491"/>
      <c r="L9" s="490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2">
        <v>1.5</v>
      </c>
      <c r="AD9" s="491"/>
      <c r="AE9" s="491"/>
      <c r="AF9" s="491"/>
      <c r="AG9" s="473">
        <f t="shared" si="6"/>
        <v>1.5</v>
      </c>
      <c r="AH9" s="455"/>
      <c r="AI9" s="38"/>
      <c r="AJ9" s="38"/>
      <c r="AM9" s="195" t="s">
        <v>40</v>
      </c>
      <c r="AN9" s="176"/>
      <c r="AO9" s="177"/>
      <c r="AP9" s="493">
        <f>SUM(valuesByColor("#0070c0", "", B3:AF36))</f>
        <v>2098.78</v>
      </c>
      <c r="AQ9" s="196">
        <f t="shared" si="2"/>
        <v>797.5364</v>
      </c>
      <c r="AR9" s="267">
        <f t="shared" si="3"/>
        <v>99.69205</v>
      </c>
      <c r="AS9" s="267"/>
      <c r="AT9" s="494">
        <f t="shared" si="4"/>
        <v>0</v>
      </c>
      <c r="AU9" s="494">
        <f t="shared" si="5"/>
        <v>0</v>
      </c>
      <c r="AV9" s="268"/>
    </row>
    <row r="10" ht="29.25" customHeight="1">
      <c r="A10" s="190" t="s">
        <v>41</v>
      </c>
      <c r="B10" s="495"/>
      <c r="C10" s="496"/>
      <c r="D10" s="497"/>
      <c r="E10" s="497"/>
      <c r="F10" s="497"/>
      <c r="G10" s="497"/>
      <c r="H10" s="497"/>
      <c r="I10" s="497"/>
      <c r="J10" s="497"/>
      <c r="K10" s="497"/>
      <c r="L10" s="497"/>
      <c r="M10" s="498">
        <v>7.42</v>
      </c>
      <c r="N10" s="499">
        <v>0.12</v>
      </c>
      <c r="O10" s="500"/>
      <c r="P10" s="500">
        <v>6.41</v>
      </c>
      <c r="Q10" s="500">
        <v>1.5</v>
      </c>
      <c r="R10" s="500">
        <v>0.42</v>
      </c>
      <c r="S10" s="500">
        <v>0.24</v>
      </c>
      <c r="T10" s="500">
        <v>0.12</v>
      </c>
      <c r="U10" s="500">
        <v>1.4</v>
      </c>
      <c r="V10" s="500">
        <v>1.68</v>
      </c>
      <c r="W10" s="500">
        <v>1.96</v>
      </c>
      <c r="X10" s="500">
        <v>0.12</v>
      </c>
      <c r="Y10" s="500">
        <v>25.46</v>
      </c>
      <c r="Z10" s="500">
        <v>1.5</v>
      </c>
      <c r="AA10" s="500">
        <v>9.58</v>
      </c>
      <c r="AB10" s="500">
        <v>1.5</v>
      </c>
      <c r="AC10" s="497"/>
      <c r="AD10" s="501">
        <v>1.5</v>
      </c>
      <c r="AE10" s="502"/>
      <c r="AF10" s="497"/>
      <c r="AG10" s="473">
        <f t="shared" si="6"/>
        <v>60.93</v>
      </c>
      <c r="AH10" s="455"/>
      <c r="AI10" s="38"/>
      <c r="AJ10" s="38"/>
      <c r="AM10" s="201" t="s">
        <v>75</v>
      </c>
      <c r="AN10" s="176"/>
      <c r="AO10" s="177"/>
      <c r="AP10" s="503">
        <f>SUM(valuesByColor("#ec7c31", "", B3:AF36))</f>
        <v>322.14</v>
      </c>
      <c r="AQ10" s="202">
        <f t="shared" si="2"/>
        <v>122.4132</v>
      </c>
      <c r="AR10" s="269">
        <f t="shared" si="3"/>
        <v>15.30165</v>
      </c>
      <c r="AS10" s="269"/>
      <c r="AT10" s="504">
        <f t="shared" si="4"/>
        <v>0</v>
      </c>
      <c r="AU10" s="504">
        <f t="shared" si="5"/>
        <v>0</v>
      </c>
      <c r="AV10" s="270"/>
    </row>
    <row r="11" ht="29.25" customHeight="1">
      <c r="A11" s="376" t="s">
        <v>61</v>
      </c>
      <c r="B11" s="505"/>
      <c r="C11" s="506"/>
      <c r="D11" s="506"/>
      <c r="E11" s="506"/>
      <c r="F11" s="506"/>
      <c r="G11" s="507"/>
      <c r="H11" s="506"/>
      <c r="I11" s="506"/>
      <c r="J11" s="506"/>
      <c r="K11" s="506"/>
      <c r="L11" s="506"/>
      <c r="M11" s="506"/>
      <c r="N11" s="506"/>
      <c r="O11" s="506"/>
      <c r="P11" s="506"/>
      <c r="Q11" s="506"/>
      <c r="R11" s="506"/>
      <c r="S11" s="506"/>
      <c r="T11" s="506"/>
      <c r="U11" s="507"/>
      <c r="V11" s="507"/>
      <c r="W11" s="507"/>
      <c r="X11" s="507"/>
      <c r="Y11" s="507"/>
      <c r="Z11" s="507"/>
      <c r="AA11" s="507"/>
      <c r="AB11" s="507"/>
      <c r="AC11" s="507"/>
      <c r="AD11" s="507"/>
      <c r="AE11" s="507"/>
      <c r="AF11" s="508"/>
      <c r="AG11" s="454">
        <f>SUM(B13:AF13)</f>
        <v>268.32</v>
      </c>
      <c r="AH11" s="455"/>
      <c r="AI11" s="38"/>
      <c r="AJ11" s="38"/>
      <c r="AM11" s="271" t="s">
        <v>42</v>
      </c>
      <c r="AN11" s="176"/>
      <c r="AO11" s="177"/>
      <c r="AP11" s="509">
        <f>SUM(valuesByColor("dark magenta 1", "", B3:AF36))</f>
        <v>286.26</v>
      </c>
      <c r="AQ11" s="272">
        <f t="shared" si="2"/>
        <v>108.7788</v>
      </c>
      <c r="AR11" s="273">
        <f t="shared" si="3"/>
        <v>13.59735</v>
      </c>
      <c r="AS11" s="273"/>
      <c r="AT11" s="510">
        <f t="shared" si="4"/>
        <v>0</v>
      </c>
      <c r="AU11" s="510">
        <f t="shared" si="5"/>
        <v>0</v>
      </c>
      <c r="AV11" s="274"/>
    </row>
    <row r="12" ht="29.25" customHeight="1">
      <c r="A12" s="388" t="s">
        <v>63</v>
      </c>
      <c r="B12" s="511">
        <v>0.12</v>
      </c>
      <c r="C12" s="512">
        <v>1.5</v>
      </c>
      <c r="D12" s="512"/>
      <c r="E12" s="512"/>
      <c r="F12" s="512">
        <v>4.62</v>
      </c>
      <c r="G12" s="513">
        <v>1.5</v>
      </c>
      <c r="H12" s="512">
        <v>19.7</v>
      </c>
      <c r="I12" s="512">
        <v>1.5</v>
      </c>
      <c r="J12" s="512">
        <v>0.0</v>
      </c>
      <c r="K12" s="512"/>
      <c r="L12" s="512">
        <v>6.6</v>
      </c>
      <c r="M12" s="512"/>
      <c r="N12" s="512"/>
      <c r="O12" s="512">
        <v>4.5</v>
      </c>
      <c r="P12" s="512">
        <v>1.5</v>
      </c>
      <c r="Q12" s="512"/>
      <c r="R12" s="514">
        <v>29.88</v>
      </c>
      <c r="S12" s="514">
        <v>32.78</v>
      </c>
      <c r="T12" s="514">
        <v>22.72</v>
      </c>
      <c r="U12" s="515">
        <v>4.2</v>
      </c>
      <c r="V12" s="515"/>
      <c r="W12" s="515">
        <v>14.8</v>
      </c>
      <c r="X12" s="515">
        <v>24.84</v>
      </c>
      <c r="Y12" s="515">
        <v>3.42</v>
      </c>
      <c r="Z12" s="515">
        <v>5.52</v>
      </c>
      <c r="AA12" s="515">
        <v>21.96</v>
      </c>
      <c r="AB12" s="516">
        <v>0.0</v>
      </c>
      <c r="AC12" s="515">
        <v>20.58</v>
      </c>
      <c r="AD12" s="515">
        <v>8.74</v>
      </c>
      <c r="AE12" s="515">
        <v>37.34</v>
      </c>
      <c r="AF12" s="517"/>
      <c r="AH12" s="463"/>
      <c r="AI12" s="38"/>
      <c r="AJ12" s="38"/>
      <c r="AM12" s="277" t="s">
        <v>43</v>
      </c>
      <c r="AN12" s="176"/>
      <c r="AO12" s="177"/>
      <c r="AP12" s="518">
        <f>SUM(valuesByColor("lime", "", B3:AF36))</f>
        <v>1171.06</v>
      </c>
      <c r="AQ12" s="278">
        <f t="shared" si="2"/>
        <v>445.0028</v>
      </c>
      <c r="AR12" s="279">
        <f t="shared" si="3"/>
        <v>55.62535</v>
      </c>
      <c r="AS12" s="279"/>
      <c r="AT12" s="519">
        <f t="shared" si="4"/>
        <v>0</v>
      </c>
      <c r="AU12" s="519">
        <f t="shared" si="5"/>
        <v>0</v>
      </c>
      <c r="AV12" s="280"/>
    </row>
    <row r="13" ht="18.0" customHeight="1">
      <c r="A13" s="396" t="s">
        <v>64</v>
      </c>
      <c r="B13" s="520">
        <f t="shared" ref="B13:AF13" si="7">SUM(B11:B12)</f>
        <v>0.12</v>
      </c>
      <c r="C13" s="520">
        <f t="shared" si="7"/>
        <v>1.5</v>
      </c>
      <c r="D13" s="520">
        <f t="shared" si="7"/>
        <v>0</v>
      </c>
      <c r="E13" s="520">
        <f t="shared" si="7"/>
        <v>0</v>
      </c>
      <c r="F13" s="520">
        <f t="shared" si="7"/>
        <v>4.62</v>
      </c>
      <c r="G13" s="520">
        <f t="shared" si="7"/>
        <v>1.5</v>
      </c>
      <c r="H13" s="520">
        <f t="shared" si="7"/>
        <v>19.7</v>
      </c>
      <c r="I13" s="520">
        <f t="shared" si="7"/>
        <v>1.5</v>
      </c>
      <c r="J13" s="520">
        <f t="shared" si="7"/>
        <v>0</v>
      </c>
      <c r="K13" s="520">
        <f t="shared" si="7"/>
        <v>0</v>
      </c>
      <c r="L13" s="520">
        <f t="shared" si="7"/>
        <v>6.6</v>
      </c>
      <c r="M13" s="520">
        <f t="shared" si="7"/>
        <v>0</v>
      </c>
      <c r="N13" s="520">
        <f t="shared" si="7"/>
        <v>0</v>
      </c>
      <c r="O13" s="520">
        <f t="shared" si="7"/>
        <v>4.5</v>
      </c>
      <c r="P13" s="520">
        <f t="shared" si="7"/>
        <v>1.5</v>
      </c>
      <c r="Q13" s="520">
        <f t="shared" si="7"/>
        <v>0</v>
      </c>
      <c r="R13" s="520">
        <f t="shared" si="7"/>
        <v>29.88</v>
      </c>
      <c r="S13" s="520">
        <f t="shared" si="7"/>
        <v>32.78</v>
      </c>
      <c r="T13" s="520">
        <f t="shared" si="7"/>
        <v>22.72</v>
      </c>
      <c r="U13" s="520">
        <f t="shared" si="7"/>
        <v>4.2</v>
      </c>
      <c r="V13" s="520">
        <f t="shared" si="7"/>
        <v>0</v>
      </c>
      <c r="W13" s="520">
        <f t="shared" si="7"/>
        <v>14.8</v>
      </c>
      <c r="X13" s="520">
        <f t="shared" si="7"/>
        <v>24.84</v>
      </c>
      <c r="Y13" s="520">
        <f t="shared" si="7"/>
        <v>3.42</v>
      </c>
      <c r="Z13" s="520">
        <f t="shared" si="7"/>
        <v>5.52</v>
      </c>
      <c r="AA13" s="520">
        <f t="shared" si="7"/>
        <v>21.96</v>
      </c>
      <c r="AB13" s="520">
        <f t="shared" si="7"/>
        <v>0</v>
      </c>
      <c r="AC13" s="520">
        <f t="shared" si="7"/>
        <v>20.58</v>
      </c>
      <c r="AD13" s="520">
        <f t="shared" si="7"/>
        <v>8.74</v>
      </c>
      <c r="AE13" s="520">
        <f t="shared" si="7"/>
        <v>37.34</v>
      </c>
      <c r="AF13" s="520">
        <f t="shared" si="7"/>
        <v>0</v>
      </c>
      <c r="AG13" s="466"/>
      <c r="AH13" s="463"/>
      <c r="AI13" s="38"/>
      <c r="AJ13" s="38"/>
      <c r="AM13" s="384" t="s">
        <v>62</v>
      </c>
      <c r="AN13" s="176"/>
      <c r="AO13" s="177"/>
      <c r="AP13" s="521">
        <f>SUM(valuesByColor("dark yellow 3", "", B3:AF36))</f>
        <v>590.38</v>
      </c>
      <c r="AQ13" s="385">
        <f t="shared" si="2"/>
        <v>224.3444</v>
      </c>
      <c r="AR13" s="386">
        <f t="shared" si="3"/>
        <v>28.04305</v>
      </c>
      <c r="AS13" s="386"/>
      <c r="AT13" s="522">
        <f t="shared" si="4"/>
        <v>0</v>
      </c>
      <c r="AU13" s="522">
        <f t="shared" si="5"/>
        <v>0</v>
      </c>
      <c r="AV13" s="387"/>
    </row>
    <row r="14" ht="27.0" customHeight="1">
      <c r="A14" s="399" t="s">
        <v>3</v>
      </c>
      <c r="B14" s="523"/>
      <c r="C14" s="523"/>
      <c r="D14" s="523"/>
      <c r="E14" s="523"/>
      <c r="F14" s="468"/>
      <c r="G14" s="524"/>
      <c r="H14" s="523"/>
      <c r="I14" s="523"/>
      <c r="J14" s="523"/>
      <c r="K14" s="523"/>
      <c r="L14" s="523"/>
      <c r="M14" s="523"/>
      <c r="N14" s="523"/>
      <c r="O14" s="468"/>
      <c r="P14" s="523"/>
      <c r="Q14" s="523"/>
      <c r="R14" s="523"/>
      <c r="S14" s="523"/>
      <c r="T14" s="523"/>
      <c r="U14" s="524"/>
      <c r="V14" s="524"/>
      <c r="W14" s="524"/>
      <c r="X14" s="524"/>
      <c r="Y14" s="524"/>
      <c r="Z14" s="525"/>
      <c r="AA14" s="524"/>
      <c r="AB14" s="524"/>
      <c r="AC14" s="525"/>
      <c r="AD14" s="525"/>
      <c r="AE14" s="525"/>
      <c r="AF14" s="526"/>
      <c r="AG14" s="454">
        <f>SUM(B16:AF16)</f>
        <v>611.15</v>
      </c>
      <c r="AH14" s="487"/>
      <c r="AI14" s="38"/>
      <c r="AJ14" s="38"/>
      <c r="AP14" s="527">
        <f>SUM(AP4:AP13)</f>
        <v>8096.94</v>
      </c>
      <c r="AQ14" s="38"/>
      <c r="AR14" s="220">
        <f>SUM(AR4:AR13)</f>
        <v>393.15465</v>
      </c>
    </row>
    <row r="15" ht="27.0" customHeight="1">
      <c r="A15" s="404" t="s">
        <v>44</v>
      </c>
      <c r="B15" s="528">
        <v>28.65</v>
      </c>
      <c r="C15" s="528">
        <v>28.2</v>
      </c>
      <c r="D15" s="529">
        <v>6.09</v>
      </c>
      <c r="E15" s="529">
        <v>14.1</v>
      </c>
      <c r="F15" s="530">
        <v>0.0</v>
      </c>
      <c r="G15" s="529">
        <v>10.17</v>
      </c>
      <c r="H15" s="528">
        <v>23.7</v>
      </c>
      <c r="I15" s="528">
        <v>26.25</v>
      </c>
      <c r="J15" s="528">
        <v>18.3</v>
      </c>
      <c r="K15" s="528">
        <v>8.85</v>
      </c>
      <c r="L15" s="528">
        <v>8.55</v>
      </c>
      <c r="M15" s="531">
        <v>6.0</v>
      </c>
      <c r="N15" s="532">
        <v>0.6</v>
      </c>
      <c r="O15" s="532">
        <v>28.34</v>
      </c>
      <c r="P15" s="532">
        <v>16.5</v>
      </c>
      <c r="Q15" s="532">
        <v>21.0</v>
      </c>
      <c r="R15" s="532">
        <v>41.9</v>
      </c>
      <c r="S15" s="528">
        <v>21.0</v>
      </c>
      <c r="T15" s="533">
        <v>22.5</v>
      </c>
      <c r="U15" s="533">
        <v>32.25</v>
      </c>
      <c r="V15" s="528">
        <v>25.8</v>
      </c>
      <c r="W15" s="534">
        <v>11.25</v>
      </c>
      <c r="X15" s="528">
        <v>7.95</v>
      </c>
      <c r="Y15" s="528">
        <v>27.3</v>
      </c>
      <c r="Z15" s="528">
        <v>11.7</v>
      </c>
      <c r="AA15" s="528">
        <v>29.1</v>
      </c>
      <c r="AB15" s="528">
        <v>19.05</v>
      </c>
      <c r="AC15" s="534">
        <v>23.25</v>
      </c>
      <c r="AD15" s="534">
        <v>26.15</v>
      </c>
      <c r="AE15" s="534">
        <v>66.65</v>
      </c>
      <c r="AF15" s="535"/>
      <c r="AH15" s="463"/>
      <c r="AI15" s="38"/>
      <c r="AJ15" s="38"/>
      <c r="AK15" s="38"/>
    </row>
    <row r="16" ht="18.75" customHeight="1">
      <c r="A16" s="413" t="s">
        <v>65</v>
      </c>
      <c r="B16" s="536">
        <f t="shared" ref="B16:AF16" si="8">SUM(B14:B15)</f>
        <v>28.65</v>
      </c>
      <c r="C16" s="536">
        <f t="shared" si="8"/>
        <v>28.2</v>
      </c>
      <c r="D16" s="536">
        <f t="shared" si="8"/>
        <v>6.09</v>
      </c>
      <c r="E16" s="536">
        <f t="shared" si="8"/>
        <v>14.1</v>
      </c>
      <c r="F16" s="536">
        <f t="shared" si="8"/>
        <v>0</v>
      </c>
      <c r="G16" s="536">
        <f t="shared" si="8"/>
        <v>10.17</v>
      </c>
      <c r="H16" s="536">
        <f t="shared" si="8"/>
        <v>23.7</v>
      </c>
      <c r="I16" s="536">
        <f t="shared" si="8"/>
        <v>26.25</v>
      </c>
      <c r="J16" s="536">
        <f t="shared" si="8"/>
        <v>18.3</v>
      </c>
      <c r="K16" s="536">
        <f t="shared" si="8"/>
        <v>8.85</v>
      </c>
      <c r="L16" s="536">
        <f t="shared" si="8"/>
        <v>8.55</v>
      </c>
      <c r="M16" s="536">
        <f t="shared" si="8"/>
        <v>6</v>
      </c>
      <c r="N16" s="536">
        <f t="shared" si="8"/>
        <v>0.6</v>
      </c>
      <c r="O16" s="536">
        <f t="shared" si="8"/>
        <v>28.34</v>
      </c>
      <c r="P16" s="536">
        <f t="shared" si="8"/>
        <v>16.5</v>
      </c>
      <c r="Q16" s="536">
        <f t="shared" si="8"/>
        <v>21</v>
      </c>
      <c r="R16" s="536">
        <f t="shared" si="8"/>
        <v>41.9</v>
      </c>
      <c r="S16" s="536">
        <f t="shared" si="8"/>
        <v>21</v>
      </c>
      <c r="T16" s="536">
        <f t="shared" si="8"/>
        <v>22.5</v>
      </c>
      <c r="U16" s="536">
        <f t="shared" si="8"/>
        <v>32.25</v>
      </c>
      <c r="V16" s="536">
        <f t="shared" si="8"/>
        <v>25.8</v>
      </c>
      <c r="W16" s="536">
        <f t="shared" si="8"/>
        <v>11.25</v>
      </c>
      <c r="X16" s="536">
        <f t="shared" si="8"/>
        <v>7.95</v>
      </c>
      <c r="Y16" s="536">
        <f t="shared" si="8"/>
        <v>27.3</v>
      </c>
      <c r="Z16" s="536">
        <f t="shared" si="8"/>
        <v>11.7</v>
      </c>
      <c r="AA16" s="536">
        <f t="shared" si="8"/>
        <v>29.1</v>
      </c>
      <c r="AB16" s="536">
        <f t="shared" si="8"/>
        <v>19.05</v>
      </c>
      <c r="AC16" s="536">
        <f t="shared" si="8"/>
        <v>23.25</v>
      </c>
      <c r="AD16" s="536">
        <f t="shared" si="8"/>
        <v>26.15</v>
      </c>
      <c r="AE16" s="536">
        <f t="shared" si="8"/>
        <v>66.65</v>
      </c>
      <c r="AF16" s="537">
        <f t="shared" si="8"/>
        <v>0</v>
      </c>
      <c r="AG16" s="466"/>
      <c r="AH16" s="463"/>
      <c r="AI16" s="38"/>
      <c r="AJ16" s="38"/>
      <c r="AK16" s="38"/>
      <c r="AL16" s="38"/>
      <c r="AM16" s="38"/>
      <c r="AN16" s="38"/>
    </row>
    <row r="17" ht="27.0" customHeight="1">
      <c r="A17" s="213" t="s">
        <v>4</v>
      </c>
      <c r="B17" s="538">
        <v>21.26</v>
      </c>
      <c r="C17" s="538">
        <v>45.42</v>
      </c>
      <c r="D17" s="538">
        <v>30.6</v>
      </c>
      <c r="E17" s="538">
        <f>(134.74-90)</f>
        <v>44.74</v>
      </c>
      <c r="F17" s="539">
        <v>0.0</v>
      </c>
      <c r="G17" s="538">
        <v>39.64</v>
      </c>
      <c r="H17" s="538">
        <v>17.28</v>
      </c>
      <c r="I17" s="538">
        <v>52.98</v>
      </c>
      <c r="J17" s="538">
        <v>28.0</v>
      </c>
      <c r="K17" s="538">
        <v>78.86</v>
      </c>
      <c r="L17" s="538">
        <v>78.26</v>
      </c>
      <c r="M17" s="540">
        <v>33.62</v>
      </c>
      <c r="N17" s="539">
        <v>17.3</v>
      </c>
      <c r="O17" s="540">
        <v>24.54</v>
      </c>
      <c r="P17" s="540">
        <v>25.48</v>
      </c>
      <c r="Q17" s="540">
        <v>21.0</v>
      </c>
      <c r="R17" s="539">
        <v>0.0</v>
      </c>
      <c r="S17" s="538">
        <v>45.36</v>
      </c>
      <c r="T17" s="538">
        <v>65.42</v>
      </c>
      <c r="U17" s="538">
        <v>31.9</v>
      </c>
      <c r="V17" s="538">
        <v>16.5</v>
      </c>
      <c r="W17" s="541">
        <v>10.5</v>
      </c>
      <c r="X17" s="538">
        <v>27.0</v>
      </c>
      <c r="Y17" s="538">
        <v>34.12</v>
      </c>
      <c r="Z17" s="538">
        <v>34.9</v>
      </c>
      <c r="AA17" s="538">
        <v>41.74</v>
      </c>
      <c r="AB17" s="538">
        <v>35.92</v>
      </c>
      <c r="AC17" s="541">
        <v>23.3</v>
      </c>
      <c r="AD17" s="541">
        <v>28.96</v>
      </c>
      <c r="AE17" s="541">
        <v>36.64</v>
      </c>
      <c r="AF17" s="541"/>
      <c r="AG17" s="473">
        <f t="shared" ref="AG17:AG19" si="9">SUM(B17:AF17)</f>
        <v>991.24</v>
      </c>
      <c r="AH17" s="487"/>
      <c r="AI17" s="38"/>
      <c r="AJ17" s="38"/>
      <c r="AK17" s="38"/>
      <c r="AL17" s="38"/>
      <c r="AM17" s="38"/>
      <c r="AN17" s="38"/>
      <c r="AO17" s="38"/>
      <c r="AP17" s="173">
        <v>1.0</v>
      </c>
      <c r="AQ17" s="174" t="s">
        <v>16</v>
      </c>
      <c r="AR17" s="173">
        <v>0.05</v>
      </c>
      <c r="AS17" s="456" t="s">
        <v>71</v>
      </c>
      <c r="AT17" s="456" t="s">
        <v>72</v>
      </c>
      <c r="AU17" s="456" t="s">
        <v>73</v>
      </c>
      <c r="AV17" s="246" t="s">
        <v>34</v>
      </c>
    </row>
    <row r="18" ht="28.5" customHeight="1">
      <c r="A18" s="221" t="s">
        <v>30</v>
      </c>
      <c r="B18" s="490"/>
      <c r="C18" s="490"/>
      <c r="D18" s="490"/>
      <c r="E18" s="490"/>
      <c r="F18" s="490"/>
      <c r="G18" s="542"/>
      <c r="H18" s="490"/>
      <c r="I18" s="490"/>
      <c r="J18" s="490"/>
      <c r="K18" s="490"/>
      <c r="L18" s="490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  <c r="Z18" s="490"/>
      <c r="AA18" s="543"/>
      <c r="AB18" s="543"/>
      <c r="AC18" s="490"/>
      <c r="AD18" s="490"/>
      <c r="AE18" s="490"/>
      <c r="AF18" s="490"/>
      <c r="AG18" s="473">
        <f t="shared" si="9"/>
        <v>0</v>
      </c>
      <c r="AH18" s="455"/>
      <c r="AI18" s="38"/>
      <c r="AJ18" s="38"/>
      <c r="AK18" s="38"/>
      <c r="AL18" s="38"/>
      <c r="AM18" s="544" t="s">
        <v>76</v>
      </c>
      <c r="AN18" s="176"/>
      <c r="AO18" s="177"/>
      <c r="AP18" s="545">
        <f>SUM(valuesByColor("#ffc4d5", "", B3:AF36))</f>
        <v>1.5</v>
      </c>
      <c r="AQ18" s="545">
        <f t="shared" ref="AQ18:AQ27" si="10">((AP18*(1-0.05))*(1-0.6))+AT18</f>
        <v>0.57</v>
      </c>
      <c r="AR18" s="546">
        <f t="shared" ref="AR18:AR27" si="11">(AP18*(1-0.05))*(1-0.95)+AU18</f>
        <v>0.07125</v>
      </c>
      <c r="AS18" s="546"/>
      <c r="AT18" s="546">
        <f t="shared" ref="AT18:AT27" si="12">(AS18*(1-0.05))*(1-0.9)</f>
        <v>0</v>
      </c>
      <c r="AU18" s="546">
        <f t="shared" ref="AU18:AU27" si="13">(AS18*(1-0.05))*(1-0.95)</f>
        <v>0</v>
      </c>
      <c r="AV18" s="547"/>
    </row>
    <row r="19" ht="28.5" customHeight="1">
      <c r="A19" s="193" t="s">
        <v>31</v>
      </c>
      <c r="B19" s="548">
        <v>1.5</v>
      </c>
      <c r="C19" s="549"/>
      <c r="D19" s="548">
        <v>4.5</v>
      </c>
      <c r="E19" s="550"/>
      <c r="F19" s="550"/>
      <c r="G19" s="550"/>
      <c r="H19" s="550"/>
      <c r="I19" s="550"/>
      <c r="J19" s="550"/>
      <c r="K19" s="550"/>
      <c r="L19" s="551"/>
      <c r="M19" s="551"/>
      <c r="N19" s="551"/>
      <c r="O19" s="551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3"/>
      <c r="AC19" s="553">
        <v>0.12</v>
      </c>
      <c r="AD19" s="554">
        <v>7.74</v>
      </c>
      <c r="AE19" s="554">
        <v>2.32</v>
      </c>
      <c r="AF19" s="551"/>
      <c r="AG19" s="473">
        <f t="shared" si="9"/>
        <v>16.18</v>
      </c>
      <c r="AH19" s="455"/>
      <c r="AI19" s="38"/>
      <c r="AJ19" s="38"/>
      <c r="AK19" s="38"/>
      <c r="AL19" s="38"/>
      <c r="AM19" s="555" t="s">
        <v>77</v>
      </c>
      <c r="AN19" s="176"/>
      <c r="AO19" s="177"/>
      <c r="AP19" s="556">
        <f>SUM(valuesByColor("#636212", "", B3:AF36))</f>
        <v>4.11</v>
      </c>
      <c r="AQ19" s="556">
        <f t="shared" si="10"/>
        <v>1.5618</v>
      </c>
      <c r="AR19" s="557">
        <f t="shared" si="11"/>
        <v>0.195225</v>
      </c>
      <c r="AS19" s="557"/>
      <c r="AT19" s="557">
        <f t="shared" si="12"/>
        <v>0</v>
      </c>
      <c r="AU19" s="557">
        <f t="shared" si="13"/>
        <v>0</v>
      </c>
      <c r="AV19" s="558"/>
    </row>
    <row r="20" ht="28.5" customHeight="1">
      <c r="A20" s="426" t="s">
        <v>46</v>
      </c>
      <c r="B20" s="559"/>
      <c r="C20" s="560"/>
      <c r="D20" s="559"/>
      <c r="E20" s="559"/>
      <c r="F20" s="559"/>
      <c r="G20" s="559"/>
      <c r="H20" s="559"/>
      <c r="I20" s="559"/>
      <c r="J20" s="559"/>
      <c r="K20" s="559"/>
      <c r="L20" s="560"/>
      <c r="M20" s="560"/>
      <c r="N20" s="560"/>
      <c r="O20" s="560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61"/>
      <c r="AB20" s="561"/>
      <c r="AC20" s="561"/>
      <c r="AD20" s="561"/>
      <c r="AE20" s="561"/>
      <c r="AF20" s="562"/>
      <c r="AG20" s="454">
        <f>SUM(B22:AF22)</f>
        <v>501.29</v>
      </c>
      <c r="AH20" s="455"/>
      <c r="AI20" s="38"/>
      <c r="AJ20" s="38"/>
      <c r="AK20" s="38"/>
      <c r="AL20" s="38"/>
      <c r="AM20" s="563" t="s">
        <v>78</v>
      </c>
      <c r="AN20" s="176"/>
      <c r="AO20" s="177"/>
      <c r="AP20" s="564">
        <f>SUM(valuesByColor("#00b572", "", B3:AF36))</f>
        <v>10.18</v>
      </c>
      <c r="AQ20" s="564">
        <f t="shared" si="10"/>
        <v>3.8684</v>
      </c>
      <c r="AR20" s="565">
        <f t="shared" si="11"/>
        <v>0.48355</v>
      </c>
      <c r="AS20" s="565"/>
      <c r="AT20" s="565">
        <f t="shared" si="12"/>
        <v>0</v>
      </c>
      <c r="AU20" s="565">
        <f t="shared" si="13"/>
        <v>0</v>
      </c>
      <c r="AV20" s="566"/>
    </row>
    <row r="21" ht="28.5" customHeight="1">
      <c r="A21" s="429" t="s">
        <v>47</v>
      </c>
      <c r="B21" s="567">
        <v>7.5</v>
      </c>
      <c r="C21" s="568">
        <v>34.35</v>
      </c>
      <c r="D21" s="569">
        <v>0.0</v>
      </c>
      <c r="E21" s="570">
        <v>24.45</v>
      </c>
      <c r="F21" s="567">
        <v>11.1</v>
      </c>
      <c r="G21" s="567">
        <v>19.5</v>
      </c>
      <c r="H21" s="567">
        <v>34.35</v>
      </c>
      <c r="I21" s="567">
        <v>18.0</v>
      </c>
      <c r="J21" s="567">
        <v>7.5</v>
      </c>
      <c r="K21" s="567">
        <v>19.8</v>
      </c>
      <c r="L21" s="568">
        <v>43.75</v>
      </c>
      <c r="M21" s="571">
        <v>24.0</v>
      </c>
      <c r="N21" s="568">
        <v>30.45</v>
      </c>
      <c r="O21" s="568">
        <v>6.6</v>
      </c>
      <c r="P21" s="570">
        <v>21.3</v>
      </c>
      <c r="Q21" s="570">
        <v>19.0</v>
      </c>
      <c r="R21" s="570">
        <v>9.0</v>
      </c>
      <c r="S21" s="570">
        <v>4.5</v>
      </c>
      <c r="T21" s="572">
        <v>9.0</v>
      </c>
      <c r="U21" s="572">
        <v>5.25</v>
      </c>
      <c r="V21" s="570">
        <v>6.9</v>
      </c>
      <c r="W21" s="570">
        <v>16.5</v>
      </c>
      <c r="X21" s="570">
        <v>12.0</v>
      </c>
      <c r="Y21" s="570">
        <v>28.35</v>
      </c>
      <c r="Z21" s="570">
        <v>12.0</v>
      </c>
      <c r="AA21" s="572">
        <v>10.05</v>
      </c>
      <c r="AB21" s="570">
        <v>9.0</v>
      </c>
      <c r="AC21" s="573">
        <v>10.02</v>
      </c>
      <c r="AD21" s="573">
        <v>18.57</v>
      </c>
      <c r="AE21" s="573">
        <v>28.5</v>
      </c>
      <c r="AF21" s="574"/>
      <c r="AH21" s="463"/>
      <c r="AI21" s="38"/>
      <c r="AJ21" s="38"/>
      <c r="AK21" s="38"/>
      <c r="AL21" s="38"/>
      <c r="AM21" s="575" t="s">
        <v>79</v>
      </c>
      <c r="AN21" s="176"/>
      <c r="AO21" s="177"/>
      <c r="AP21" s="576">
        <f>SUM(valuesByColor("#7030a0", "", B3:AF36))</f>
        <v>55.57</v>
      </c>
      <c r="AQ21" s="576">
        <f t="shared" si="10"/>
        <v>21.1166</v>
      </c>
      <c r="AR21" s="577">
        <f t="shared" si="11"/>
        <v>2.639575</v>
      </c>
      <c r="AS21" s="577"/>
      <c r="AT21" s="577">
        <f t="shared" si="12"/>
        <v>0</v>
      </c>
      <c r="AU21" s="577">
        <f t="shared" si="13"/>
        <v>0</v>
      </c>
      <c r="AV21" s="578"/>
    </row>
    <row r="22" ht="29.25" customHeight="1">
      <c r="A22" s="318" t="s">
        <v>48</v>
      </c>
      <c r="B22" s="579">
        <f t="shared" ref="B22:AF22" si="14">SUM(B20:B21)</f>
        <v>7.5</v>
      </c>
      <c r="C22" s="579">
        <f t="shared" si="14"/>
        <v>34.35</v>
      </c>
      <c r="D22" s="579">
        <f t="shared" si="14"/>
        <v>0</v>
      </c>
      <c r="E22" s="579">
        <f t="shared" si="14"/>
        <v>24.45</v>
      </c>
      <c r="F22" s="579">
        <f t="shared" si="14"/>
        <v>11.1</v>
      </c>
      <c r="G22" s="579">
        <f t="shared" si="14"/>
        <v>19.5</v>
      </c>
      <c r="H22" s="579">
        <f t="shared" si="14"/>
        <v>34.35</v>
      </c>
      <c r="I22" s="579">
        <f t="shared" si="14"/>
        <v>18</v>
      </c>
      <c r="J22" s="579">
        <f t="shared" si="14"/>
        <v>7.5</v>
      </c>
      <c r="K22" s="579">
        <f t="shared" si="14"/>
        <v>19.8</v>
      </c>
      <c r="L22" s="579">
        <f t="shared" si="14"/>
        <v>43.75</v>
      </c>
      <c r="M22" s="579">
        <f t="shared" si="14"/>
        <v>24</v>
      </c>
      <c r="N22" s="579">
        <f t="shared" si="14"/>
        <v>30.45</v>
      </c>
      <c r="O22" s="579">
        <f t="shared" si="14"/>
        <v>6.6</v>
      </c>
      <c r="P22" s="579">
        <f t="shared" si="14"/>
        <v>21.3</v>
      </c>
      <c r="Q22" s="579">
        <f t="shared" si="14"/>
        <v>19</v>
      </c>
      <c r="R22" s="579">
        <f t="shared" si="14"/>
        <v>9</v>
      </c>
      <c r="S22" s="579">
        <f t="shared" si="14"/>
        <v>4.5</v>
      </c>
      <c r="T22" s="579">
        <f t="shared" si="14"/>
        <v>9</v>
      </c>
      <c r="U22" s="579">
        <f t="shared" si="14"/>
        <v>5.25</v>
      </c>
      <c r="V22" s="579">
        <f t="shared" si="14"/>
        <v>6.9</v>
      </c>
      <c r="W22" s="579">
        <f t="shared" si="14"/>
        <v>16.5</v>
      </c>
      <c r="X22" s="579">
        <f t="shared" si="14"/>
        <v>12</v>
      </c>
      <c r="Y22" s="579">
        <f t="shared" si="14"/>
        <v>28.35</v>
      </c>
      <c r="Z22" s="579">
        <f t="shared" si="14"/>
        <v>12</v>
      </c>
      <c r="AA22" s="579">
        <f t="shared" si="14"/>
        <v>10.05</v>
      </c>
      <c r="AB22" s="579">
        <f t="shared" si="14"/>
        <v>9</v>
      </c>
      <c r="AC22" s="579">
        <f t="shared" si="14"/>
        <v>10.02</v>
      </c>
      <c r="AD22" s="579">
        <f t="shared" si="14"/>
        <v>18.57</v>
      </c>
      <c r="AE22" s="579">
        <f t="shared" si="14"/>
        <v>28.5</v>
      </c>
      <c r="AF22" s="579">
        <f t="shared" si="14"/>
        <v>0</v>
      </c>
      <c r="AG22" s="466"/>
      <c r="AH22" s="463"/>
      <c r="AI22" s="38"/>
      <c r="AJ22" s="38"/>
      <c r="AK22" s="38"/>
      <c r="AL22" s="38"/>
      <c r="AM22" s="580" t="s">
        <v>80</v>
      </c>
      <c r="AN22" s="176"/>
      <c r="AO22" s="177"/>
      <c r="AP22" s="581">
        <f>SUM(valuesByColor("#9bbb59", "", B3:AF36))</f>
        <v>49.78</v>
      </c>
      <c r="AQ22" s="582">
        <f t="shared" si="10"/>
        <v>18.9164</v>
      </c>
      <c r="AR22" s="583">
        <f t="shared" si="11"/>
        <v>2.36455</v>
      </c>
      <c r="AS22" s="584"/>
      <c r="AT22" s="583">
        <f t="shared" si="12"/>
        <v>0</v>
      </c>
      <c r="AU22" s="583">
        <f t="shared" si="13"/>
        <v>0</v>
      </c>
      <c r="AV22" s="585"/>
    </row>
    <row r="23" ht="28.5" customHeight="1">
      <c r="A23" s="434" t="s">
        <v>49</v>
      </c>
      <c r="B23" s="468"/>
      <c r="C23" s="524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  <c r="P23" s="468"/>
      <c r="Q23" s="468"/>
      <c r="R23" s="468"/>
      <c r="S23" s="586"/>
      <c r="T23" s="586"/>
      <c r="U23" s="468"/>
      <c r="V23" s="468"/>
      <c r="W23" s="468"/>
      <c r="X23" s="468"/>
      <c r="Y23" s="586"/>
      <c r="Z23" s="468"/>
      <c r="AA23" s="468"/>
      <c r="AB23" s="468"/>
      <c r="AC23" s="468"/>
      <c r="AD23" s="468"/>
      <c r="AE23" s="468"/>
      <c r="AF23" s="587"/>
      <c r="AG23" s="454">
        <f>SUM(B25:AF25)</f>
        <v>362.47</v>
      </c>
      <c r="AH23" s="455"/>
      <c r="AI23" s="38"/>
      <c r="AJ23" s="38"/>
      <c r="AK23" s="38"/>
      <c r="AL23" s="38"/>
      <c r="AM23" s="588"/>
      <c r="AN23" s="176"/>
      <c r="AO23" s="177"/>
      <c r="AP23" s="589"/>
      <c r="AQ23" s="590">
        <f t="shared" si="10"/>
        <v>0</v>
      </c>
      <c r="AR23" s="591">
        <f t="shared" si="11"/>
        <v>0</v>
      </c>
      <c r="AS23" s="592"/>
      <c r="AT23" s="591">
        <f t="shared" si="12"/>
        <v>0</v>
      </c>
      <c r="AU23" s="591">
        <f t="shared" si="13"/>
        <v>0</v>
      </c>
      <c r="AV23" s="268"/>
    </row>
    <row r="24" ht="28.5" customHeight="1">
      <c r="A24" s="434" t="s">
        <v>50</v>
      </c>
      <c r="B24" s="593">
        <v>13.1</v>
      </c>
      <c r="C24" s="594">
        <v>7.5</v>
      </c>
      <c r="D24" s="593">
        <v>7.32</v>
      </c>
      <c r="E24" s="593">
        <v>31.92</v>
      </c>
      <c r="F24" s="593">
        <v>15.69</v>
      </c>
      <c r="G24" s="593">
        <v>9.9</v>
      </c>
      <c r="H24" s="593">
        <v>1.95</v>
      </c>
      <c r="I24" s="593">
        <v>8.7</v>
      </c>
      <c r="J24" s="593">
        <v>23.67</v>
      </c>
      <c r="K24" s="593">
        <v>7.92</v>
      </c>
      <c r="L24" s="593"/>
      <c r="M24" s="593">
        <v>4.5</v>
      </c>
      <c r="N24" s="595">
        <v>18.21</v>
      </c>
      <c r="O24" s="593">
        <v>11.1</v>
      </c>
      <c r="P24" s="593">
        <v>7.05</v>
      </c>
      <c r="Q24" s="593">
        <v>9.42</v>
      </c>
      <c r="R24" s="593">
        <v>24.6</v>
      </c>
      <c r="S24" s="596">
        <v>11.55</v>
      </c>
      <c r="T24" s="596">
        <v>15.15</v>
      </c>
      <c r="U24" s="593">
        <v>21.75</v>
      </c>
      <c r="V24" s="593">
        <v>10.97</v>
      </c>
      <c r="W24" s="593">
        <v>25.67</v>
      </c>
      <c r="X24" s="595">
        <v>9.0</v>
      </c>
      <c r="Y24" s="594">
        <v>13.55</v>
      </c>
      <c r="Z24" s="593">
        <v>4.5</v>
      </c>
      <c r="AA24" s="597">
        <v>0.0</v>
      </c>
      <c r="AB24" s="593">
        <v>18.39</v>
      </c>
      <c r="AC24" s="593">
        <v>5.25</v>
      </c>
      <c r="AD24" s="593">
        <v>13.02</v>
      </c>
      <c r="AE24" s="593">
        <v>11.12</v>
      </c>
      <c r="AF24" s="598"/>
      <c r="AH24" s="463"/>
      <c r="AI24" s="38"/>
      <c r="AJ24" s="38"/>
      <c r="AK24" s="38"/>
      <c r="AL24" s="38"/>
      <c r="AM24" s="588"/>
      <c r="AN24" s="176"/>
      <c r="AO24" s="177"/>
      <c r="AP24" s="589"/>
      <c r="AQ24" s="590">
        <f t="shared" si="10"/>
        <v>0</v>
      </c>
      <c r="AR24" s="591">
        <f t="shared" si="11"/>
        <v>0</v>
      </c>
      <c r="AS24" s="592"/>
      <c r="AT24" s="591">
        <f t="shared" si="12"/>
        <v>0</v>
      </c>
      <c r="AU24" s="591">
        <f t="shared" si="13"/>
        <v>0</v>
      </c>
      <c r="AV24" s="270"/>
    </row>
    <row r="25" ht="24.75" customHeight="1">
      <c r="A25" s="329" t="s">
        <v>51</v>
      </c>
      <c r="B25" s="599">
        <f t="shared" ref="B25:AF25" si="15">SUM(B23:B24)</f>
        <v>13.1</v>
      </c>
      <c r="C25" s="599">
        <f t="shared" si="15"/>
        <v>7.5</v>
      </c>
      <c r="D25" s="599">
        <f t="shared" si="15"/>
        <v>7.32</v>
      </c>
      <c r="E25" s="599">
        <f t="shared" si="15"/>
        <v>31.92</v>
      </c>
      <c r="F25" s="599">
        <f t="shared" si="15"/>
        <v>15.69</v>
      </c>
      <c r="G25" s="599">
        <f t="shared" si="15"/>
        <v>9.9</v>
      </c>
      <c r="H25" s="599">
        <f t="shared" si="15"/>
        <v>1.95</v>
      </c>
      <c r="I25" s="599">
        <f t="shared" si="15"/>
        <v>8.7</v>
      </c>
      <c r="J25" s="599">
        <f t="shared" si="15"/>
        <v>23.67</v>
      </c>
      <c r="K25" s="599">
        <f t="shared" si="15"/>
        <v>7.92</v>
      </c>
      <c r="L25" s="599">
        <f t="shared" si="15"/>
        <v>0</v>
      </c>
      <c r="M25" s="599">
        <f t="shared" si="15"/>
        <v>4.5</v>
      </c>
      <c r="N25" s="599">
        <f t="shared" si="15"/>
        <v>18.21</v>
      </c>
      <c r="O25" s="599">
        <f t="shared" si="15"/>
        <v>11.1</v>
      </c>
      <c r="P25" s="599">
        <f t="shared" si="15"/>
        <v>7.05</v>
      </c>
      <c r="Q25" s="599">
        <f t="shared" si="15"/>
        <v>9.42</v>
      </c>
      <c r="R25" s="599">
        <f t="shared" si="15"/>
        <v>24.6</v>
      </c>
      <c r="S25" s="599">
        <f t="shared" si="15"/>
        <v>11.55</v>
      </c>
      <c r="T25" s="599">
        <f t="shared" si="15"/>
        <v>15.15</v>
      </c>
      <c r="U25" s="599">
        <f t="shared" si="15"/>
        <v>21.75</v>
      </c>
      <c r="V25" s="599">
        <f t="shared" si="15"/>
        <v>10.97</v>
      </c>
      <c r="W25" s="599">
        <f t="shared" si="15"/>
        <v>25.67</v>
      </c>
      <c r="X25" s="599">
        <f t="shared" si="15"/>
        <v>9</v>
      </c>
      <c r="Y25" s="599">
        <f t="shared" si="15"/>
        <v>13.55</v>
      </c>
      <c r="Z25" s="599">
        <f t="shared" si="15"/>
        <v>4.5</v>
      </c>
      <c r="AA25" s="599">
        <f t="shared" si="15"/>
        <v>0</v>
      </c>
      <c r="AB25" s="599">
        <f t="shared" si="15"/>
        <v>18.39</v>
      </c>
      <c r="AC25" s="599">
        <f t="shared" si="15"/>
        <v>5.25</v>
      </c>
      <c r="AD25" s="599">
        <f t="shared" si="15"/>
        <v>13.02</v>
      </c>
      <c r="AE25" s="599">
        <f t="shared" si="15"/>
        <v>11.12</v>
      </c>
      <c r="AF25" s="599">
        <f t="shared" si="15"/>
        <v>0</v>
      </c>
      <c r="AG25" s="466"/>
      <c r="AH25" s="463"/>
      <c r="AI25" s="38"/>
      <c r="AJ25" s="38"/>
      <c r="AK25" s="38"/>
      <c r="AL25" s="38"/>
      <c r="AM25" s="588"/>
      <c r="AN25" s="176"/>
      <c r="AO25" s="177"/>
      <c r="AP25" s="589"/>
      <c r="AQ25" s="590">
        <f t="shared" si="10"/>
        <v>0</v>
      </c>
      <c r="AR25" s="591">
        <f t="shared" si="11"/>
        <v>0</v>
      </c>
      <c r="AS25" s="600"/>
      <c r="AT25" s="591">
        <f t="shared" si="12"/>
        <v>0</v>
      </c>
      <c r="AU25" s="591">
        <f t="shared" si="13"/>
        <v>0</v>
      </c>
      <c r="AV25" s="274"/>
    </row>
    <row r="26" ht="26.25" customHeight="1">
      <c r="A26" s="190" t="s">
        <v>10</v>
      </c>
      <c r="B26" s="601">
        <v>10.86</v>
      </c>
      <c r="C26" s="602">
        <v>40.51</v>
      </c>
      <c r="D26" s="601">
        <v>5.76</v>
      </c>
      <c r="E26" s="601">
        <v>16.84</v>
      </c>
      <c r="F26" s="603">
        <v>0.0</v>
      </c>
      <c r="G26" s="602">
        <v>8.04</v>
      </c>
      <c r="H26" s="601">
        <v>43.67</v>
      </c>
      <c r="I26" s="601">
        <v>39.92</v>
      </c>
      <c r="J26" s="603">
        <v>0.0</v>
      </c>
      <c r="K26" s="601">
        <v>14.88</v>
      </c>
      <c r="L26" s="601">
        <v>33.13</v>
      </c>
      <c r="M26" s="601">
        <v>0.68</v>
      </c>
      <c r="N26" s="601">
        <v>15.44</v>
      </c>
      <c r="O26" s="601">
        <v>14.32</v>
      </c>
      <c r="P26" s="601">
        <v>20.74</v>
      </c>
      <c r="Q26" s="601">
        <v>15.64</v>
      </c>
      <c r="R26" s="603">
        <v>0.0</v>
      </c>
      <c r="S26" s="601">
        <v>7.5</v>
      </c>
      <c r="T26" s="604">
        <v>29.78</v>
      </c>
      <c r="U26" s="604">
        <v>26.52</v>
      </c>
      <c r="V26" s="604">
        <v>26.4</v>
      </c>
      <c r="W26" s="604">
        <v>20.9</v>
      </c>
      <c r="X26" s="604">
        <v>1.5</v>
      </c>
      <c r="Y26" s="604"/>
      <c r="Z26" s="604">
        <v>11.96</v>
      </c>
      <c r="AA26" s="604">
        <v>8.6</v>
      </c>
      <c r="AB26" s="604">
        <v>44.1</v>
      </c>
      <c r="AC26" s="604">
        <v>20.26</v>
      </c>
      <c r="AD26" s="604">
        <v>20.44</v>
      </c>
      <c r="AE26" s="604">
        <v>4.54</v>
      </c>
      <c r="AF26" s="604"/>
      <c r="AG26" s="473">
        <f t="shared" ref="AG26:AG36" si="16">SUM(B26:AF26)</f>
        <v>502.93</v>
      </c>
      <c r="AH26" s="455"/>
      <c r="AI26" s="38"/>
      <c r="AJ26" s="38"/>
      <c r="AK26" s="38"/>
      <c r="AL26" s="38"/>
      <c r="AM26" s="588"/>
      <c r="AN26" s="176"/>
      <c r="AO26" s="177"/>
      <c r="AP26" s="589"/>
      <c r="AQ26" s="590">
        <f t="shared" si="10"/>
        <v>0</v>
      </c>
      <c r="AR26" s="591">
        <f t="shared" si="11"/>
        <v>0</v>
      </c>
      <c r="AS26" s="600"/>
      <c r="AT26" s="591">
        <f t="shared" si="12"/>
        <v>0</v>
      </c>
      <c r="AU26" s="591">
        <f t="shared" si="13"/>
        <v>0</v>
      </c>
      <c r="AV26" s="280"/>
    </row>
    <row r="27" ht="25.5" customHeight="1">
      <c r="A27" s="190" t="s">
        <v>11</v>
      </c>
      <c r="B27" s="605">
        <v>40.62</v>
      </c>
      <c r="C27" s="605">
        <v>37.56</v>
      </c>
      <c r="D27" s="605">
        <v>87.0</v>
      </c>
      <c r="E27" s="605">
        <v>55.62</v>
      </c>
      <c r="F27" s="605">
        <v>58.5</v>
      </c>
      <c r="G27" s="605">
        <v>65.62</v>
      </c>
      <c r="H27" s="605">
        <v>82.5</v>
      </c>
      <c r="I27" s="605">
        <v>30.68</v>
      </c>
      <c r="J27" s="605">
        <v>87.0</v>
      </c>
      <c r="K27" s="605">
        <v>76.5</v>
      </c>
      <c r="L27" s="605">
        <v>84.98</v>
      </c>
      <c r="M27" s="605">
        <v>52.5</v>
      </c>
      <c r="N27" s="605">
        <v>36.36</v>
      </c>
      <c r="O27" s="605">
        <v>55.5</v>
      </c>
      <c r="P27" s="605">
        <v>7.5</v>
      </c>
      <c r="Q27" s="605">
        <v>64.5</v>
      </c>
      <c r="R27" s="605">
        <v>64.5</v>
      </c>
      <c r="S27" s="605">
        <v>95.06</v>
      </c>
      <c r="T27" s="605">
        <v>74.43</v>
      </c>
      <c r="U27" s="605">
        <v>21.0</v>
      </c>
      <c r="V27" s="605">
        <v>79.5</v>
      </c>
      <c r="W27" s="605">
        <v>88.62</v>
      </c>
      <c r="X27" s="605">
        <v>54.0</v>
      </c>
      <c r="Y27" s="605">
        <v>81.04</v>
      </c>
      <c r="Z27" s="605">
        <v>94.48</v>
      </c>
      <c r="AA27" s="605">
        <v>55.5</v>
      </c>
      <c r="AB27" s="605">
        <v>54.24</v>
      </c>
      <c r="AC27" s="606">
        <v>13.9</v>
      </c>
      <c r="AD27" s="606">
        <v>99.0</v>
      </c>
      <c r="AE27" s="606">
        <v>4.5</v>
      </c>
      <c r="AF27" s="606"/>
      <c r="AG27" s="473">
        <f t="shared" si="16"/>
        <v>1802.71</v>
      </c>
      <c r="AH27" s="455"/>
      <c r="AI27" s="38"/>
      <c r="AJ27" s="441"/>
      <c r="AK27" s="38"/>
      <c r="AL27" s="38"/>
      <c r="AM27" s="588"/>
      <c r="AN27" s="176"/>
      <c r="AO27" s="177"/>
      <c r="AP27" s="589"/>
      <c r="AQ27" s="590">
        <f t="shared" si="10"/>
        <v>0</v>
      </c>
      <c r="AR27" s="591">
        <f t="shared" si="11"/>
        <v>0</v>
      </c>
      <c r="AS27" s="600"/>
      <c r="AT27" s="591">
        <f t="shared" si="12"/>
        <v>0</v>
      </c>
      <c r="AU27" s="591">
        <f t="shared" si="13"/>
        <v>0</v>
      </c>
      <c r="AV27" s="387"/>
    </row>
    <row r="28" ht="29.25" customHeight="1">
      <c r="A28" s="190" t="s">
        <v>28</v>
      </c>
      <c r="B28" s="607"/>
      <c r="C28" s="608"/>
      <c r="D28" s="608"/>
      <c r="E28" s="608"/>
      <c r="F28" s="607"/>
      <c r="G28" s="608"/>
      <c r="H28" s="608"/>
      <c r="I28" s="609"/>
      <c r="J28" s="608"/>
      <c r="K28" s="608"/>
      <c r="L28" s="608"/>
      <c r="M28" s="608"/>
      <c r="N28" s="608"/>
      <c r="O28" s="608"/>
      <c r="P28" s="608"/>
      <c r="Q28" s="608"/>
      <c r="R28" s="608"/>
      <c r="S28" s="608"/>
      <c r="T28" s="608"/>
      <c r="U28" s="608"/>
      <c r="V28" s="608"/>
      <c r="W28" s="608"/>
      <c r="X28" s="608"/>
      <c r="Y28" s="610">
        <v>8.4</v>
      </c>
      <c r="Z28" s="610">
        <v>14.3</v>
      </c>
      <c r="AA28" s="610">
        <v>23.3</v>
      </c>
      <c r="AB28" s="610">
        <v>3.78</v>
      </c>
      <c r="AC28" s="611"/>
      <c r="AD28" s="611"/>
      <c r="AE28" s="611"/>
      <c r="AF28" s="607"/>
      <c r="AG28" s="473">
        <f t="shared" si="16"/>
        <v>49.78</v>
      </c>
      <c r="AH28" s="455"/>
      <c r="AI28" s="38"/>
      <c r="AJ28" s="38"/>
      <c r="AK28" s="38"/>
      <c r="AL28" s="38"/>
      <c r="AP28" s="220">
        <f>SUM(AP18:AP27)</f>
        <v>121.14</v>
      </c>
      <c r="AQ28" s="38"/>
      <c r="AR28" s="220">
        <f>SUM(AR18:AR27)</f>
        <v>5.75415</v>
      </c>
    </row>
    <row r="29" ht="29.25" customHeight="1">
      <c r="A29" s="190" t="s">
        <v>68</v>
      </c>
      <c r="B29" s="612">
        <v>54.8</v>
      </c>
      <c r="C29" s="613">
        <v>90.35</v>
      </c>
      <c r="D29" s="613">
        <v>35.25</v>
      </c>
      <c r="E29" s="613">
        <v>87.95</v>
      </c>
      <c r="F29" s="612">
        <v>77.2</v>
      </c>
      <c r="G29" s="613">
        <v>122.15</v>
      </c>
      <c r="H29" s="613">
        <v>70.8</v>
      </c>
      <c r="I29" s="613">
        <v>39.75</v>
      </c>
      <c r="J29" s="613">
        <v>45.3</v>
      </c>
      <c r="K29" s="613">
        <v>9.9</v>
      </c>
      <c r="L29" s="613">
        <v>45.35</v>
      </c>
      <c r="M29" s="614">
        <v>17.25</v>
      </c>
      <c r="N29" s="613">
        <v>25.5</v>
      </c>
      <c r="O29" s="613">
        <v>47.79</v>
      </c>
      <c r="P29" s="613">
        <v>17.85</v>
      </c>
      <c r="Q29" s="613">
        <v>49.2</v>
      </c>
      <c r="R29" s="613">
        <v>23.85</v>
      </c>
      <c r="S29" s="613">
        <v>20.85</v>
      </c>
      <c r="T29" s="615">
        <v>11.85</v>
      </c>
      <c r="U29" s="615">
        <v>37.35</v>
      </c>
      <c r="V29" s="613">
        <v>42.15</v>
      </c>
      <c r="W29" s="613">
        <v>26.7</v>
      </c>
      <c r="X29" s="613">
        <v>27.45</v>
      </c>
      <c r="Y29" s="613">
        <v>44.4</v>
      </c>
      <c r="Z29" s="613">
        <v>15.45</v>
      </c>
      <c r="AA29" s="615">
        <v>43.65</v>
      </c>
      <c r="AB29" s="613">
        <v>11.5</v>
      </c>
      <c r="AC29" s="612">
        <v>5.4</v>
      </c>
      <c r="AD29" s="612">
        <v>45.0</v>
      </c>
      <c r="AE29" s="612">
        <v>22.2</v>
      </c>
      <c r="AF29" s="612"/>
      <c r="AG29" s="473">
        <f t="shared" si="16"/>
        <v>1214.19</v>
      </c>
      <c r="AH29" s="455"/>
      <c r="AI29" s="38"/>
      <c r="AJ29" s="38"/>
      <c r="AK29" s="38"/>
      <c r="AL29" s="38"/>
      <c r="AM29" s="38"/>
      <c r="AN29" s="38"/>
      <c r="AO29" s="226"/>
      <c r="AP29" s="226"/>
      <c r="AQ29" s="226"/>
    </row>
    <row r="30" ht="29.25" customHeight="1">
      <c r="A30" s="190" t="s">
        <v>69</v>
      </c>
      <c r="B30" s="616">
        <v>8.15</v>
      </c>
      <c r="C30" s="615"/>
      <c r="D30" s="615"/>
      <c r="E30" s="615">
        <v>6.65</v>
      </c>
      <c r="F30" s="616">
        <v>3.0</v>
      </c>
      <c r="G30" s="615">
        <v>0.9</v>
      </c>
      <c r="H30" s="615">
        <v>0.0</v>
      </c>
      <c r="I30" s="615">
        <v>1.5</v>
      </c>
      <c r="J30" s="615">
        <v>3.75</v>
      </c>
      <c r="K30" s="615"/>
      <c r="L30" s="615"/>
      <c r="M30" s="615">
        <v>1.5</v>
      </c>
      <c r="N30" s="479">
        <v>5.7</v>
      </c>
      <c r="O30" s="479">
        <v>2.19</v>
      </c>
      <c r="P30" s="479">
        <v>5.22</v>
      </c>
      <c r="Q30" s="479">
        <v>0.0</v>
      </c>
      <c r="R30" s="479">
        <v>0.0</v>
      </c>
      <c r="S30" s="479">
        <v>3.0</v>
      </c>
      <c r="T30" s="479">
        <v>0.12</v>
      </c>
      <c r="U30" s="479">
        <v>1.65</v>
      </c>
      <c r="V30" s="479">
        <v>2.3</v>
      </c>
      <c r="W30" s="479">
        <v>0.0</v>
      </c>
      <c r="X30" s="479">
        <v>0.0</v>
      </c>
      <c r="Y30" s="479">
        <v>0.12</v>
      </c>
      <c r="Z30" s="479">
        <v>1.5</v>
      </c>
      <c r="AA30" s="479">
        <v>0.42</v>
      </c>
      <c r="AB30" s="479"/>
      <c r="AC30" s="478">
        <v>1.5</v>
      </c>
      <c r="AD30" s="478"/>
      <c r="AE30" s="607"/>
      <c r="AF30" s="607"/>
      <c r="AG30" s="473">
        <f t="shared" si="16"/>
        <v>49.17</v>
      </c>
      <c r="AH30" s="455"/>
      <c r="AI30" s="38"/>
      <c r="AJ30" s="38"/>
      <c r="AK30" s="38"/>
      <c r="AL30" s="38"/>
      <c r="AM30" s="38"/>
      <c r="AN30" s="38"/>
      <c r="AO30" s="226"/>
      <c r="AP30" s="226"/>
      <c r="AQ30" s="226"/>
    </row>
    <row r="31" ht="29.25" customHeight="1">
      <c r="A31" s="193" t="s">
        <v>81</v>
      </c>
      <c r="B31" s="617">
        <v>30.9</v>
      </c>
      <c r="C31" s="618">
        <v>29.07</v>
      </c>
      <c r="D31" s="618">
        <v>6.15</v>
      </c>
      <c r="E31" s="618">
        <v>6.0</v>
      </c>
      <c r="F31" s="619">
        <v>0.0</v>
      </c>
      <c r="G31" s="618">
        <v>5.67</v>
      </c>
      <c r="H31" s="618">
        <v>22.47</v>
      </c>
      <c r="I31" s="618">
        <v>6.12</v>
      </c>
      <c r="J31" s="618">
        <v>2.7</v>
      </c>
      <c r="K31" s="618">
        <v>3.0</v>
      </c>
      <c r="L31" s="618">
        <v>13.65</v>
      </c>
      <c r="M31" s="615">
        <v>22.85</v>
      </c>
      <c r="N31" s="618">
        <v>10.2</v>
      </c>
      <c r="O31" s="618">
        <v>12.42</v>
      </c>
      <c r="P31" s="615">
        <v>4.5</v>
      </c>
      <c r="Q31" s="615">
        <v>10.2</v>
      </c>
      <c r="R31" s="620">
        <v>1.5</v>
      </c>
      <c r="S31" s="620">
        <v>5.1</v>
      </c>
      <c r="T31" s="620">
        <v>4.5</v>
      </c>
      <c r="U31" s="620">
        <v>3.0</v>
      </c>
      <c r="V31" s="620">
        <v>1.5</v>
      </c>
      <c r="W31" s="620">
        <v>0.0</v>
      </c>
      <c r="X31" s="620">
        <v>1.5</v>
      </c>
      <c r="Y31" s="620">
        <v>6.48</v>
      </c>
      <c r="Z31" s="620">
        <v>3.36</v>
      </c>
      <c r="AA31" s="620">
        <v>0.0</v>
      </c>
      <c r="AB31" s="620">
        <v>1.62</v>
      </c>
      <c r="AC31" s="621">
        <v>6.12</v>
      </c>
      <c r="AD31" s="621">
        <v>0.24</v>
      </c>
      <c r="AE31" s="621">
        <v>3.0</v>
      </c>
      <c r="AF31" s="621"/>
      <c r="AG31" s="473">
        <f t="shared" si="16"/>
        <v>223.82</v>
      </c>
      <c r="AH31" s="455"/>
      <c r="AI31" s="38"/>
      <c r="AJ31" s="38"/>
      <c r="AK31" s="38"/>
      <c r="AL31" s="38"/>
      <c r="AM31" s="38"/>
      <c r="AN31" s="38"/>
      <c r="AO31" s="226"/>
      <c r="AP31" s="226"/>
      <c r="AQ31" s="226"/>
    </row>
    <row r="32" ht="29.25" customHeight="1">
      <c r="A32" s="193" t="s">
        <v>82</v>
      </c>
      <c r="B32" s="607"/>
      <c r="C32" s="608"/>
      <c r="D32" s="608"/>
      <c r="E32" s="608"/>
      <c r="F32" s="607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8"/>
      <c r="S32" s="608"/>
      <c r="T32" s="608"/>
      <c r="U32" s="608"/>
      <c r="V32" s="615">
        <v>1.5</v>
      </c>
      <c r="W32" s="615">
        <v>3.0</v>
      </c>
      <c r="X32" s="608"/>
      <c r="Y32" s="608"/>
      <c r="Z32" s="608"/>
      <c r="AA32" s="608"/>
      <c r="AB32" s="608"/>
      <c r="AC32" s="595">
        <v>1.62</v>
      </c>
      <c r="AD32" s="595">
        <v>1.62</v>
      </c>
      <c r="AE32" s="595">
        <v>2.97</v>
      </c>
      <c r="AF32" s="607"/>
      <c r="AG32" s="473">
        <f t="shared" si="16"/>
        <v>10.71</v>
      </c>
      <c r="AH32" s="455"/>
      <c r="AI32" s="38"/>
      <c r="AJ32" s="38"/>
      <c r="AK32" s="38"/>
      <c r="AL32" s="38"/>
      <c r="AM32" s="38"/>
      <c r="AN32" s="38"/>
      <c r="AO32" s="226"/>
      <c r="AP32" s="226"/>
      <c r="AQ32" s="226"/>
    </row>
    <row r="33" ht="29.25" customHeight="1">
      <c r="A33" s="622" t="s">
        <v>83</v>
      </c>
      <c r="B33" s="607"/>
      <c r="C33" s="608"/>
      <c r="D33" s="608"/>
      <c r="E33" s="608"/>
      <c r="F33" s="607"/>
      <c r="G33" s="608"/>
      <c r="H33" s="608"/>
      <c r="I33" s="608"/>
      <c r="J33" s="608"/>
      <c r="K33" s="608"/>
      <c r="L33" s="608"/>
      <c r="M33" s="608"/>
      <c r="N33" s="608"/>
      <c r="O33" s="608"/>
      <c r="P33" s="608"/>
      <c r="Q33" s="608"/>
      <c r="R33" s="608"/>
      <c r="S33" s="608"/>
      <c r="T33" s="608"/>
      <c r="U33" s="608"/>
      <c r="V33" s="608"/>
      <c r="W33" s="608"/>
      <c r="X33" s="608"/>
      <c r="Y33" s="608"/>
      <c r="Z33" s="608"/>
      <c r="AA33" s="608"/>
      <c r="AB33" s="623">
        <v>7.24</v>
      </c>
      <c r="AC33" s="624">
        <v>6.12</v>
      </c>
      <c r="AD33" s="624">
        <v>1.5</v>
      </c>
      <c r="AE33" s="624">
        <v>3.12</v>
      </c>
      <c r="AF33" s="607"/>
      <c r="AG33" s="473">
        <f t="shared" si="16"/>
        <v>17.98</v>
      </c>
      <c r="AH33" s="455"/>
      <c r="AI33" s="38"/>
      <c r="AJ33" s="38"/>
      <c r="AK33" s="38"/>
      <c r="AL33" s="38"/>
      <c r="AM33" s="38"/>
      <c r="AN33" s="38"/>
      <c r="AO33" s="226"/>
      <c r="AP33" s="226"/>
      <c r="AQ33" s="226"/>
    </row>
    <row r="34" ht="29.25" customHeight="1">
      <c r="A34" s="622" t="s">
        <v>84</v>
      </c>
      <c r="B34" s="607"/>
      <c r="C34" s="608"/>
      <c r="D34" s="608"/>
      <c r="E34" s="608"/>
      <c r="F34" s="607"/>
      <c r="G34" s="608"/>
      <c r="H34" s="608"/>
      <c r="I34" s="608"/>
      <c r="J34" s="608"/>
      <c r="K34" s="608"/>
      <c r="L34" s="608"/>
      <c r="M34" s="608"/>
      <c r="N34" s="608"/>
      <c r="O34" s="608"/>
      <c r="P34" s="608"/>
      <c r="Q34" s="608"/>
      <c r="R34" s="608"/>
      <c r="S34" s="608"/>
      <c r="T34" s="608"/>
      <c r="U34" s="608"/>
      <c r="V34" s="608"/>
      <c r="W34" s="608"/>
      <c r="X34" s="608"/>
      <c r="Y34" s="608"/>
      <c r="Z34" s="608"/>
      <c r="AA34" s="608"/>
      <c r="AB34" s="608"/>
      <c r="AC34" s="607"/>
      <c r="AD34" s="612">
        <v>7.0</v>
      </c>
      <c r="AE34" s="612">
        <v>24.5</v>
      </c>
      <c r="AF34" s="607"/>
      <c r="AG34" s="473">
        <f t="shared" si="16"/>
        <v>31.5</v>
      </c>
      <c r="AH34" s="455"/>
      <c r="AI34" s="38"/>
      <c r="AJ34" s="38"/>
      <c r="AK34" s="38"/>
      <c r="AL34" s="38"/>
      <c r="AM34" s="38"/>
      <c r="AN34" s="38"/>
      <c r="AO34" s="226"/>
      <c r="AP34" s="226"/>
      <c r="AQ34" s="226"/>
    </row>
    <row r="35" ht="29.25" customHeight="1">
      <c r="A35" s="622" t="s">
        <v>85</v>
      </c>
      <c r="B35" s="607"/>
      <c r="C35" s="608"/>
      <c r="D35" s="608"/>
      <c r="E35" s="608"/>
      <c r="F35" s="607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608"/>
      <c r="X35" s="608"/>
      <c r="Y35" s="608"/>
      <c r="Z35" s="608"/>
      <c r="AA35" s="625"/>
      <c r="AB35" s="608"/>
      <c r="AC35" s="626"/>
      <c r="AD35" s="627">
        <v>1.5</v>
      </c>
      <c r="AE35" s="627">
        <v>2.61</v>
      </c>
      <c r="AF35" s="607"/>
      <c r="AG35" s="473">
        <f t="shared" si="16"/>
        <v>4.11</v>
      </c>
      <c r="AH35" s="455"/>
      <c r="AI35" s="38"/>
      <c r="AJ35" s="38"/>
      <c r="AK35" s="38"/>
      <c r="AL35" s="38"/>
      <c r="AM35" s="38"/>
      <c r="AN35" s="38"/>
      <c r="AO35" s="226"/>
      <c r="AP35" s="226"/>
      <c r="AQ35" s="226"/>
    </row>
    <row r="36" ht="29.25" customHeight="1">
      <c r="A36" s="190" t="s">
        <v>9</v>
      </c>
      <c r="B36" s="607"/>
      <c r="C36" s="608"/>
      <c r="D36" s="608"/>
      <c r="E36" s="608"/>
      <c r="F36" s="607"/>
      <c r="G36" s="608"/>
      <c r="H36" s="608"/>
      <c r="I36" s="608"/>
      <c r="J36" s="608"/>
      <c r="K36" s="608"/>
      <c r="L36" s="608"/>
      <c r="M36" s="608"/>
      <c r="N36" s="608"/>
      <c r="O36" s="608"/>
      <c r="P36" s="608"/>
      <c r="Q36" s="608"/>
      <c r="R36" s="608"/>
      <c r="S36" s="608"/>
      <c r="T36" s="608"/>
      <c r="U36" s="608"/>
      <c r="V36" s="608"/>
      <c r="W36" s="608"/>
      <c r="X36" s="608"/>
      <c r="Y36" s="608"/>
      <c r="Z36" s="608"/>
      <c r="AA36" s="608"/>
      <c r="AB36" s="628"/>
      <c r="AC36" s="621">
        <v>1.5</v>
      </c>
      <c r="AD36" s="629"/>
      <c r="AE36" s="629"/>
      <c r="AF36" s="607"/>
      <c r="AG36" s="473">
        <f t="shared" si="16"/>
        <v>1.5</v>
      </c>
      <c r="AH36" s="455"/>
      <c r="AI36" s="38"/>
      <c r="AJ36" s="38"/>
      <c r="AK36" s="38"/>
      <c r="AL36" s="38"/>
      <c r="AM36" s="38"/>
      <c r="AN36" s="38"/>
      <c r="AO36" s="226"/>
    </row>
    <row r="37" ht="24.75" customHeight="1">
      <c r="A37" s="47" t="s">
        <v>14</v>
      </c>
      <c r="B37" s="167">
        <f t="shared" ref="B37:AF37" si="17">SUM(B3:B4,B6:B12,B14:B15,B17:B19,B20:B21,B23:B24,B26:B36)</f>
        <v>333.08</v>
      </c>
      <c r="C37" s="167">
        <f t="shared" si="17"/>
        <v>418.93</v>
      </c>
      <c r="D37" s="167">
        <f t="shared" si="17"/>
        <v>308.46</v>
      </c>
      <c r="E37" s="167">
        <f t="shared" si="17"/>
        <v>433.43</v>
      </c>
      <c r="F37" s="167">
        <f t="shared" si="17"/>
        <v>257.08</v>
      </c>
      <c r="G37" s="167">
        <f t="shared" si="17"/>
        <v>422.88</v>
      </c>
      <c r="H37" s="167">
        <f t="shared" si="17"/>
        <v>440.23</v>
      </c>
      <c r="I37" s="167">
        <f t="shared" si="17"/>
        <v>296.46</v>
      </c>
      <c r="J37" s="167">
        <f t="shared" si="17"/>
        <v>337.86</v>
      </c>
      <c r="K37" s="167">
        <f t="shared" si="17"/>
        <v>307.22</v>
      </c>
      <c r="L37" s="167">
        <f t="shared" si="17"/>
        <v>468.77</v>
      </c>
      <c r="M37" s="167">
        <f t="shared" si="17"/>
        <v>275.32</v>
      </c>
      <c r="N37" s="167">
        <f t="shared" si="17"/>
        <v>258.35</v>
      </c>
      <c r="O37" s="167">
        <f t="shared" si="17"/>
        <v>289.45</v>
      </c>
      <c r="P37" s="167">
        <f t="shared" si="17"/>
        <v>239.12</v>
      </c>
      <c r="Q37" s="167">
        <f t="shared" si="17"/>
        <v>287.47</v>
      </c>
      <c r="R37" s="167">
        <f t="shared" si="17"/>
        <v>276.65</v>
      </c>
      <c r="S37" s="167">
        <f t="shared" si="17"/>
        <v>335.56</v>
      </c>
      <c r="T37" s="167">
        <f t="shared" si="17"/>
        <v>351.18</v>
      </c>
      <c r="U37" s="167">
        <f t="shared" si="17"/>
        <v>285.57</v>
      </c>
      <c r="V37" s="167">
        <f t="shared" si="17"/>
        <v>358.45</v>
      </c>
      <c r="W37" s="167">
        <f t="shared" si="17"/>
        <v>333.76</v>
      </c>
      <c r="X37" s="167">
        <f t="shared" si="17"/>
        <v>284.17</v>
      </c>
      <c r="Y37" s="167">
        <f t="shared" si="17"/>
        <v>373.6</v>
      </c>
      <c r="Z37" s="167">
        <f t="shared" si="17"/>
        <v>354.52</v>
      </c>
      <c r="AA37" s="167">
        <f t="shared" si="17"/>
        <v>348.01</v>
      </c>
      <c r="AB37" s="167">
        <f t="shared" si="17"/>
        <v>313.29</v>
      </c>
      <c r="AC37" s="167">
        <f t="shared" si="17"/>
        <v>261.13</v>
      </c>
      <c r="AD37" s="167">
        <f t="shared" si="17"/>
        <v>382.2</v>
      </c>
      <c r="AE37" s="167">
        <f t="shared" si="17"/>
        <v>344.36</v>
      </c>
      <c r="AF37" s="167">
        <f t="shared" si="17"/>
        <v>0</v>
      </c>
      <c r="AG37" s="38"/>
      <c r="AH37" s="58"/>
      <c r="AI37" s="38"/>
      <c r="AJ37" s="38"/>
      <c r="AK37" s="38"/>
      <c r="AL37" s="38"/>
      <c r="AM37" s="38"/>
      <c r="AN37" s="38"/>
      <c r="AO37" s="226"/>
    </row>
    <row r="38" ht="15.75" customHeight="1">
      <c r="A38" s="630"/>
      <c r="B38" s="630"/>
      <c r="C38" s="630"/>
      <c r="D38" s="630"/>
      <c r="E38" s="630"/>
      <c r="F38" s="630"/>
      <c r="G38" s="630"/>
      <c r="H38" s="630"/>
      <c r="I38" s="630"/>
      <c r="J38" s="630"/>
      <c r="K38" s="630"/>
      <c r="L38" s="630"/>
      <c r="M38" s="630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631"/>
      <c r="AB38" s="631"/>
      <c r="AC38" s="631"/>
      <c r="AD38" s="631"/>
      <c r="AE38" s="631"/>
      <c r="AF38" s="632"/>
      <c r="AG38" s="38"/>
      <c r="AH38" s="58"/>
      <c r="AI38" s="38"/>
      <c r="AJ38" s="38"/>
      <c r="AK38" s="38"/>
      <c r="AL38" s="38"/>
      <c r="AM38" s="38"/>
      <c r="AN38" s="38"/>
      <c r="AO38" s="38"/>
      <c r="AP38" s="38"/>
      <c r="AQ38" s="38"/>
    </row>
    <row r="39" ht="14.25" customHeight="1">
      <c r="A39" s="38"/>
      <c r="B39" s="38"/>
      <c r="C39" s="38"/>
      <c r="D39" s="38"/>
      <c r="E39" s="633"/>
      <c r="F39" s="633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58"/>
      <c r="AI39" s="38"/>
      <c r="AJ39" s="38"/>
      <c r="AK39" s="38"/>
      <c r="AL39" s="38"/>
      <c r="AM39" s="38"/>
      <c r="AN39" s="38"/>
      <c r="AO39" s="38"/>
      <c r="AP39" s="38"/>
      <c r="AQ39" s="38"/>
    </row>
    <row r="40" ht="15.75" customHeight="1">
      <c r="A40" s="38"/>
      <c r="B40" s="38"/>
      <c r="C40" s="38"/>
      <c r="D40" s="38"/>
      <c r="E40" s="633"/>
      <c r="F40" s="633"/>
      <c r="AG40" s="49"/>
      <c r="AH40" s="8"/>
    </row>
    <row r="41" ht="15.75" customHeight="1">
      <c r="A41" s="38"/>
      <c r="B41" s="38"/>
      <c r="C41" s="38"/>
      <c r="D41" s="38"/>
      <c r="E41" s="38"/>
      <c r="F41" s="633"/>
      <c r="AG41" s="49"/>
      <c r="AH41" s="8"/>
    </row>
    <row r="42" ht="15.75" customHeight="1">
      <c r="A42" s="38"/>
      <c r="B42" s="38"/>
      <c r="C42" s="38"/>
      <c r="D42" s="38"/>
      <c r="E42" s="38"/>
      <c r="AG42" s="49"/>
      <c r="AH42" s="8"/>
    </row>
    <row r="43" ht="15.75" customHeight="1">
      <c r="A43" s="38"/>
      <c r="B43" s="38"/>
      <c r="C43" s="38"/>
      <c r="D43" s="38"/>
      <c r="E43" s="38"/>
      <c r="AG43" s="49"/>
      <c r="AH43" s="8"/>
    </row>
    <row r="44" ht="15.75" customHeight="1">
      <c r="A44" s="38"/>
      <c r="B44" s="38"/>
      <c r="C44" s="38"/>
      <c r="D44" s="38"/>
      <c r="E44" s="38"/>
      <c r="AG44" s="49"/>
      <c r="AH44" s="8"/>
    </row>
    <row r="45" ht="15.75" customHeight="1">
      <c r="A45" s="38"/>
      <c r="B45" s="38"/>
      <c r="C45" s="38"/>
      <c r="D45" s="38"/>
      <c r="E45" s="38"/>
      <c r="AG45" s="49"/>
      <c r="AH45" s="8"/>
    </row>
    <row r="46" ht="15.75" customHeight="1">
      <c r="A46" s="38"/>
      <c r="B46" s="38"/>
      <c r="C46" s="38"/>
      <c r="D46" s="38"/>
      <c r="E46" s="38"/>
      <c r="AG46" s="49"/>
      <c r="AH46" s="8"/>
    </row>
    <row r="47" ht="15.75" customHeight="1">
      <c r="AG47" s="49"/>
      <c r="AH47" s="8"/>
    </row>
    <row r="48" ht="15.75" customHeight="1">
      <c r="AG48" s="49"/>
      <c r="AH48" s="8"/>
    </row>
    <row r="49" ht="15.75" customHeight="1">
      <c r="AG49" s="49"/>
      <c r="AH49" s="8"/>
    </row>
    <row r="50" ht="15.75" customHeight="1">
      <c r="AG50" s="49"/>
      <c r="AH50" s="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</row>
    <row r="55" ht="15.75" customHeight="1">
      <c r="A55" s="634"/>
      <c r="B55" s="635"/>
      <c r="C55" s="636"/>
      <c r="D55" s="636"/>
      <c r="E55" s="636"/>
      <c r="F55" s="636"/>
      <c r="G55" s="636"/>
      <c r="H55" s="636"/>
      <c r="M55" s="38"/>
      <c r="N55" s="635"/>
      <c r="O55" s="38"/>
      <c r="P55" s="635"/>
      <c r="Q55" s="635"/>
      <c r="R55" s="38"/>
      <c r="AG55" s="49"/>
      <c r="AH55" s="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M61" s="38"/>
      <c r="N61" s="38"/>
      <c r="O61" s="38"/>
      <c r="P61" s="38"/>
      <c r="Q61" s="38"/>
      <c r="R61" s="38"/>
      <c r="AG61" s="49"/>
      <c r="AH61" s="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M62" s="38"/>
      <c r="N62" s="38"/>
      <c r="O62" s="38"/>
      <c r="P62" s="38"/>
      <c r="Q62" s="38"/>
      <c r="R62" s="38"/>
      <c r="AG62" s="49"/>
      <c r="AH62" s="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M63" s="38"/>
      <c r="N63" s="38"/>
      <c r="O63" s="38"/>
      <c r="P63" s="38"/>
      <c r="Q63" s="38"/>
      <c r="R63" s="38"/>
      <c r="AG63" s="49"/>
      <c r="AH63" s="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M64" s="38"/>
      <c r="N64" s="38"/>
      <c r="O64" s="38"/>
      <c r="P64" s="38"/>
      <c r="Q64" s="38"/>
      <c r="R64" s="38"/>
      <c r="AG64" s="49"/>
      <c r="AH64" s="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M65" s="38"/>
      <c r="N65" s="38"/>
      <c r="O65" s="38"/>
      <c r="P65" s="38"/>
      <c r="Q65" s="38"/>
      <c r="R65" s="38"/>
      <c r="AG65" s="49"/>
      <c r="AH65" s="8"/>
    </row>
    <row r="66" ht="15.75" customHeight="1">
      <c r="AG66" s="49"/>
      <c r="AH66" s="8"/>
    </row>
    <row r="67" ht="15.75" customHeight="1">
      <c r="AG67" s="49"/>
      <c r="AH67" s="8"/>
    </row>
    <row r="68" ht="15.75" customHeight="1">
      <c r="AG68" s="49"/>
      <c r="AH68" s="8"/>
    </row>
    <row r="69" ht="15.75" customHeight="1">
      <c r="AG69" s="49"/>
      <c r="AH69" s="8"/>
    </row>
    <row r="70" ht="15.75" customHeight="1">
      <c r="AG70" s="49"/>
      <c r="AH70" s="8"/>
    </row>
    <row r="71" ht="15.75" customHeight="1">
      <c r="AG71" s="49"/>
      <c r="AH71" s="8"/>
    </row>
    <row r="72" ht="15.75" customHeight="1">
      <c r="AG72" s="49"/>
      <c r="AH72" s="8"/>
    </row>
    <row r="73" ht="15.75" customHeight="1">
      <c r="AG73" s="49"/>
      <c r="AH73" s="8"/>
    </row>
    <row r="74" ht="15.75" customHeight="1">
      <c r="AG74" s="49"/>
      <c r="AH74" s="8"/>
    </row>
    <row r="75" ht="15.75" customHeight="1">
      <c r="AG75" s="49"/>
      <c r="AH75" s="8"/>
    </row>
    <row r="76" ht="15.75" customHeight="1"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G3:AG5"/>
    <mergeCell ref="AH3:AH5"/>
    <mergeCell ref="AM4:AO4"/>
    <mergeCell ref="AM5:AO5"/>
    <mergeCell ref="AM6:AO6"/>
    <mergeCell ref="AM7:AO7"/>
    <mergeCell ref="AM8:AO8"/>
    <mergeCell ref="AM9:AO9"/>
    <mergeCell ref="AM10:AO10"/>
    <mergeCell ref="AG11:AG13"/>
    <mergeCell ref="AH11:AH13"/>
    <mergeCell ref="AM11:AO11"/>
    <mergeCell ref="AM12:AO12"/>
    <mergeCell ref="AM13:AO13"/>
    <mergeCell ref="AG23:AG25"/>
    <mergeCell ref="AH23:AH25"/>
    <mergeCell ref="AG14:AG16"/>
    <mergeCell ref="AH14:AH16"/>
    <mergeCell ref="AM18:AO18"/>
    <mergeCell ref="AM19:AO19"/>
    <mergeCell ref="AG20:AG22"/>
    <mergeCell ref="AH20:AH22"/>
    <mergeCell ref="AM20:AO20"/>
    <mergeCell ref="AO36:AQ36"/>
    <mergeCell ref="AO37:AQ37"/>
    <mergeCell ref="I51:I53"/>
    <mergeCell ref="I54:I56"/>
    <mergeCell ref="I57:I59"/>
    <mergeCell ref="I60:I62"/>
    <mergeCell ref="I63:I65"/>
    <mergeCell ref="AM21:AO21"/>
    <mergeCell ref="AM22:AO22"/>
    <mergeCell ref="AM23:AO23"/>
    <mergeCell ref="AM24:AO24"/>
    <mergeCell ref="AM25:AO25"/>
    <mergeCell ref="AM26:AO26"/>
    <mergeCell ref="AM27:AO2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6" max="46" width="20.0"/>
    <col customWidth="1" min="47" max="47" width="19.14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637"/>
      <c r="AZ1" s="588"/>
      <c r="BA1" s="588"/>
      <c r="BB1" s="588"/>
      <c r="BC1" s="588"/>
      <c r="BD1" s="588"/>
      <c r="BE1" s="588"/>
      <c r="BF1" s="588"/>
      <c r="BG1" s="637"/>
      <c r="BH1" s="588"/>
      <c r="BI1" s="588"/>
      <c r="BJ1" s="638"/>
      <c r="BK1" s="588"/>
      <c r="BL1" s="639"/>
      <c r="BM1" s="640"/>
    </row>
    <row r="2" ht="33.0" customHeight="1">
      <c r="A2" s="641" t="s">
        <v>86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SUM(AG3:AG48,AS4:AS14,AS18:AS27)</f>
        <v>11856.52</v>
      </c>
      <c r="AH2" s="58"/>
      <c r="AI2" s="38"/>
    </row>
    <row r="3" ht="32.25" customHeight="1">
      <c r="A3" s="457" t="s">
        <v>36</v>
      </c>
      <c r="B3" s="607">
        <v>0.0</v>
      </c>
      <c r="C3" s="608">
        <v>0.0</v>
      </c>
      <c r="D3" s="608">
        <v>0.0</v>
      </c>
      <c r="E3" s="608">
        <v>0.0</v>
      </c>
      <c r="F3" s="607">
        <v>0.0</v>
      </c>
      <c r="G3" s="608">
        <v>0.0</v>
      </c>
      <c r="H3" s="608">
        <v>0.0</v>
      </c>
      <c r="I3" s="608">
        <v>0.0</v>
      </c>
      <c r="J3" s="608">
        <v>0.0</v>
      </c>
      <c r="K3" s="608">
        <v>0.0</v>
      </c>
      <c r="L3" s="608">
        <v>0.0</v>
      </c>
      <c r="M3" s="608">
        <v>0.0</v>
      </c>
      <c r="N3" s="608">
        <v>0.0</v>
      </c>
      <c r="O3" s="608">
        <v>0.0</v>
      </c>
      <c r="P3" s="608">
        <v>0.0</v>
      </c>
      <c r="Q3" s="607">
        <v>0.0</v>
      </c>
      <c r="R3" s="608">
        <v>0.0</v>
      </c>
      <c r="S3" s="608">
        <v>0.0</v>
      </c>
      <c r="T3" s="608">
        <v>0.0</v>
      </c>
      <c r="U3" s="607">
        <v>0.0</v>
      </c>
      <c r="V3" s="608">
        <v>0.0</v>
      </c>
      <c r="W3" s="608">
        <v>0.0</v>
      </c>
      <c r="X3" s="608">
        <v>0.0</v>
      </c>
      <c r="Y3" s="608">
        <v>0.0</v>
      </c>
      <c r="Z3" s="608">
        <v>0.0</v>
      </c>
      <c r="AA3" s="608">
        <v>0.0</v>
      </c>
      <c r="AB3" s="608">
        <v>0.0</v>
      </c>
      <c r="AC3" s="608">
        <v>0.0</v>
      </c>
      <c r="AD3" s="608">
        <v>0.0</v>
      </c>
      <c r="AE3" s="608">
        <v>0.0</v>
      </c>
      <c r="AF3" s="608">
        <v>0.0</v>
      </c>
      <c r="AG3" s="454">
        <f>SUM(B5:AF5)</f>
        <v>138.77</v>
      </c>
      <c r="AH3" s="455"/>
      <c r="AI3" s="38"/>
      <c r="AM3" s="38"/>
      <c r="AN3" s="38"/>
      <c r="AO3" s="38"/>
      <c r="AP3" s="173">
        <v>1.0</v>
      </c>
      <c r="AQ3" s="174" t="s">
        <v>16</v>
      </c>
      <c r="AR3" s="173">
        <v>0.05</v>
      </c>
      <c r="AS3" s="456" t="s">
        <v>71</v>
      </c>
      <c r="AT3" s="456" t="s">
        <v>72</v>
      </c>
      <c r="AU3" s="456" t="s">
        <v>73</v>
      </c>
      <c r="AV3" s="246" t="s">
        <v>34</v>
      </c>
    </row>
    <row r="4" ht="33.0" customHeight="1">
      <c r="A4" s="457" t="s">
        <v>57</v>
      </c>
      <c r="B4" s="643">
        <v>11.94</v>
      </c>
      <c r="C4" s="644">
        <v>0.0</v>
      </c>
      <c r="D4" s="461">
        <v>6.0</v>
      </c>
      <c r="E4" s="461">
        <v>8.8</v>
      </c>
      <c r="F4" s="461">
        <v>9.0</v>
      </c>
      <c r="G4" s="461">
        <v>12.0</v>
      </c>
      <c r="H4" s="461">
        <v>6.8</v>
      </c>
      <c r="I4" s="461">
        <v>7.5</v>
      </c>
      <c r="J4" s="461">
        <v>1.5</v>
      </c>
      <c r="K4" s="461">
        <v>1.5</v>
      </c>
      <c r="L4" s="461">
        <v>0.0</v>
      </c>
      <c r="M4" s="461">
        <v>1.62</v>
      </c>
      <c r="N4" s="461">
        <v>7.5</v>
      </c>
      <c r="O4" s="461">
        <v>6.0</v>
      </c>
      <c r="P4" s="461">
        <v>0.0</v>
      </c>
      <c r="Q4" s="461">
        <v>0.0</v>
      </c>
      <c r="R4" s="461">
        <v>6.4</v>
      </c>
      <c r="S4" s="461">
        <v>4.21</v>
      </c>
      <c r="T4" s="461">
        <v>4.5</v>
      </c>
      <c r="U4" s="491">
        <v>0.0</v>
      </c>
      <c r="V4" s="469">
        <v>0.0</v>
      </c>
      <c r="W4" s="469">
        <v>1.5</v>
      </c>
      <c r="X4" s="469">
        <v>1.5</v>
      </c>
      <c r="Y4" s="469">
        <v>9.0</v>
      </c>
      <c r="Z4" s="469">
        <v>4.5</v>
      </c>
      <c r="AA4" s="469">
        <v>9.0</v>
      </c>
      <c r="AB4" s="469">
        <v>3.0</v>
      </c>
      <c r="AC4" s="469">
        <v>7.5</v>
      </c>
      <c r="AD4" s="469">
        <v>3.0</v>
      </c>
      <c r="AE4" s="469">
        <v>0.0</v>
      </c>
      <c r="AF4" s="645">
        <v>4.5</v>
      </c>
      <c r="AH4" s="463"/>
      <c r="AI4" s="38"/>
      <c r="AM4" s="344" t="s">
        <v>74</v>
      </c>
      <c r="AN4" s="176"/>
      <c r="AO4" s="177"/>
      <c r="AP4" s="464">
        <f>SUM(valuesByColor("red berry", "", B3:AF48))</f>
        <v>537.27</v>
      </c>
      <c r="AQ4" s="345">
        <f t="shared" ref="AQ4:AQ12" si="2">((AP4*(1-0.05))*(1-0.6))+AT4</f>
        <v>204.1626</v>
      </c>
      <c r="AR4" s="346">
        <f t="shared" ref="AR4:AR12" si="3">(AP4*(1-0.05))*(1-0.95)+AU4</f>
        <v>25.520325</v>
      </c>
      <c r="AS4" s="346"/>
      <c r="AT4" s="346">
        <f t="shared" ref="AT4:AT12" si="4">(AS4*(1-0.05))*(1-0.9)</f>
        <v>0</v>
      </c>
      <c r="AU4" s="346">
        <f t="shared" ref="AU4:AU12" si="5">(AS4*(1-0.05))*(1-0.95)</f>
        <v>0</v>
      </c>
      <c r="AV4" s="347"/>
    </row>
    <row r="5" ht="33.75" customHeight="1">
      <c r="A5" s="360" t="s">
        <v>58</v>
      </c>
      <c r="B5" s="465">
        <f t="shared" ref="B5:AF5" si="1">SUM(B3:B4)</f>
        <v>11.94</v>
      </c>
      <c r="C5" s="465">
        <f t="shared" si="1"/>
        <v>0</v>
      </c>
      <c r="D5" s="465">
        <f t="shared" si="1"/>
        <v>6</v>
      </c>
      <c r="E5" s="465">
        <f t="shared" si="1"/>
        <v>8.8</v>
      </c>
      <c r="F5" s="465">
        <f t="shared" si="1"/>
        <v>9</v>
      </c>
      <c r="G5" s="465">
        <f t="shared" si="1"/>
        <v>12</v>
      </c>
      <c r="H5" s="465">
        <f t="shared" si="1"/>
        <v>6.8</v>
      </c>
      <c r="I5" s="465">
        <f t="shared" si="1"/>
        <v>7.5</v>
      </c>
      <c r="J5" s="465">
        <f t="shared" si="1"/>
        <v>1.5</v>
      </c>
      <c r="K5" s="465">
        <f t="shared" si="1"/>
        <v>1.5</v>
      </c>
      <c r="L5" s="465">
        <f t="shared" si="1"/>
        <v>0</v>
      </c>
      <c r="M5" s="465">
        <f t="shared" si="1"/>
        <v>1.62</v>
      </c>
      <c r="N5" s="465">
        <f t="shared" si="1"/>
        <v>7.5</v>
      </c>
      <c r="O5" s="465">
        <f t="shared" si="1"/>
        <v>6</v>
      </c>
      <c r="P5" s="465">
        <f t="shared" si="1"/>
        <v>0</v>
      </c>
      <c r="Q5" s="465">
        <f t="shared" si="1"/>
        <v>0</v>
      </c>
      <c r="R5" s="465">
        <f t="shared" si="1"/>
        <v>6.4</v>
      </c>
      <c r="S5" s="465">
        <f t="shared" si="1"/>
        <v>4.21</v>
      </c>
      <c r="T5" s="465">
        <f t="shared" si="1"/>
        <v>4.5</v>
      </c>
      <c r="U5" s="465">
        <f t="shared" si="1"/>
        <v>0</v>
      </c>
      <c r="V5" s="465">
        <f t="shared" si="1"/>
        <v>0</v>
      </c>
      <c r="W5" s="465">
        <f t="shared" si="1"/>
        <v>1.5</v>
      </c>
      <c r="X5" s="465">
        <f t="shared" si="1"/>
        <v>1.5</v>
      </c>
      <c r="Y5" s="465">
        <f t="shared" si="1"/>
        <v>9</v>
      </c>
      <c r="Z5" s="465">
        <f t="shared" si="1"/>
        <v>4.5</v>
      </c>
      <c r="AA5" s="465">
        <f t="shared" si="1"/>
        <v>9</v>
      </c>
      <c r="AB5" s="465">
        <f t="shared" si="1"/>
        <v>3</v>
      </c>
      <c r="AC5" s="465">
        <f t="shared" si="1"/>
        <v>7.5</v>
      </c>
      <c r="AD5" s="465">
        <f t="shared" si="1"/>
        <v>3</v>
      </c>
      <c r="AE5" s="465">
        <f t="shared" si="1"/>
        <v>0</v>
      </c>
      <c r="AF5" s="465">
        <f t="shared" si="1"/>
        <v>4.5</v>
      </c>
      <c r="AG5" s="466"/>
      <c r="AH5" s="463"/>
      <c r="AI5" s="38"/>
      <c r="AL5" s="428"/>
      <c r="AM5" s="175" t="s">
        <v>35</v>
      </c>
      <c r="AN5" s="176"/>
      <c r="AO5" s="177"/>
      <c r="AP5" s="467">
        <f>SUM(valuesByColor("yellow", "", B3:AF48))</f>
        <v>2836.55</v>
      </c>
      <c r="AQ5" s="178">
        <f t="shared" si="2"/>
        <v>1077.889</v>
      </c>
      <c r="AR5" s="248">
        <f t="shared" si="3"/>
        <v>134.736125</v>
      </c>
      <c r="AS5" s="248"/>
      <c r="AT5" s="248">
        <f t="shared" si="4"/>
        <v>0</v>
      </c>
      <c r="AU5" s="248">
        <f t="shared" si="5"/>
        <v>0</v>
      </c>
      <c r="AV5" s="249"/>
    </row>
    <row r="6" ht="36.75" customHeight="1">
      <c r="A6" s="193" t="s">
        <v>59</v>
      </c>
      <c r="B6" s="468">
        <v>9.2</v>
      </c>
      <c r="C6" s="468">
        <v>0.0</v>
      </c>
      <c r="D6" s="469">
        <v>3.0</v>
      </c>
      <c r="E6" s="469">
        <v>1.5</v>
      </c>
      <c r="F6" s="469">
        <v>0.0</v>
      </c>
      <c r="G6" s="469">
        <v>0.0</v>
      </c>
      <c r="H6" s="469">
        <v>0.0</v>
      </c>
      <c r="I6" s="646">
        <v>0.0</v>
      </c>
      <c r="J6" s="646">
        <v>0.0</v>
      </c>
      <c r="K6" s="646">
        <v>0.0</v>
      </c>
      <c r="L6" s="646">
        <v>0.0</v>
      </c>
      <c r="M6" s="646">
        <v>0.0</v>
      </c>
      <c r="N6" s="646">
        <v>0.0</v>
      </c>
      <c r="O6" s="646">
        <v>0.0</v>
      </c>
      <c r="P6" s="646">
        <v>0.0</v>
      </c>
      <c r="Q6" s="646">
        <v>0.0</v>
      </c>
      <c r="R6" s="646">
        <v>0.0</v>
      </c>
      <c r="S6" s="646">
        <v>0.0</v>
      </c>
      <c r="T6" s="646">
        <v>0.0</v>
      </c>
      <c r="U6" s="646">
        <v>0.0</v>
      </c>
      <c r="V6" s="646">
        <v>0.0</v>
      </c>
      <c r="W6" s="647">
        <v>3.36</v>
      </c>
      <c r="X6" s="648">
        <v>1.62</v>
      </c>
      <c r="Y6" s="648">
        <v>0.0</v>
      </c>
      <c r="Z6" s="648">
        <v>1.5</v>
      </c>
      <c r="AA6" s="648">
        <v>4.74</v>
      </c>
      <c r="AB6" s="648">
        <v>0.0</v>
      </c>
      <c r="AC6" s="648">
        <v>2.38</v>
      </c>
      <c r="AD6" s="648">
        <v>0.0</v>
      </c>
      <c r="AE6" s="648">
        <v>4.62</v>
      </c>
      <c r="AF6" s="648">
        <v>1.5</v>
      </c>
      <c r="AG6" s="473">
        <f t="shared" ref="AG6:AG10" si="6">SUM(B6:AF6)</f>
        <v>33.42</v>
      </c>
      <c r="AH6" s="455"/>
      <c r="AI6" s="38"/>
      <c r="AM6" s="252" t="s">
        <v>37</v>
      </c>
      <c r="AN6" s="176"/>
      <c r="AO6" s="177"/>
      <c r="AP6" s="474">
        <f>SUM(valuesByColor("cyan", "", B3:AF48))</f>
        <v>732.1</v>
      </c>
      <c r="AQ6" s="253">
        <f t="shared" si="2"/>
        <v>278.198</v>
      </c>
      <c r="AR6" s="254">
        <f t="shared" si="3"/>
        <v>34.77475</v>
      </c>
      <c r="AS6" s="254"/>
      <c r="AT6" s="254">
        <f t="shared" si="4"/>
        <v>0</v>
      </c>
      <c r="AU6" s="254">
        <f t="shared" si="5"/>
        <v>0</v>
      </c>
      <c r="AV6" s="255"/>
    </row>
    <row r="7" ht="31.5" customHeight="1">
      <c r="A7" s="81" t="s">
        <v>5</v>
      </c>
      <c r="B7" s="475">
        <v>28.17</v>
      </c>
      <c r="C7" s="476">
        <v>5.0</v>
      </c>
      <c r="D7" s="477">
        <v>3.24</v>
      </c>
      <c r="E7" s="461">
        <v>41.4</v>
      </c>
      <c r="F7" s="478">
        <v>47.1</v>
      </c>
      <c r="G7" s="479">
        <v>42.1</v>
      </c>
      <c r="H7" s="479">
        <v>60.0</v>
      </c>
      <c r="I7" s="479">
        <v>18.3</v>
      </c>
      <c r="J7" s="479">
        <v>29.07</v>
      </c>
      <c r="K7" s="479">
        <v>43.7</v>
      </c>
      <c r="L7" s="479">
        <v>3.0</v>
      </c>
      <c r="M7" s="479">
        <v>46.34</v>
      </c>
      <c r="N7" s="479">
        <v>49.92</v>
      </c>
      <c r="O7" s="479">
        <v>3.45</v>
      </c>
      <c r="P7" s="479">
        <v>38.05</v>
      </c>
      <c r="Q7" s="479">
        <v>62.1</v>
      </c>
      <c r="R7" s="479">
        <v>45.0</v>
      </c>
      <c r="S7" s="479">
        <v>13.74</v>
      </c>
      <c r="T7" s="479">
        <v>12.72</v>
      </c>
      <c r="U7" s="479">
        <v>38.28</v>
      </c>
      <c r="V7" s="479">
        <v>48.21</v>
      </c>
      <c r="W7" s="479">
        <v>57.49</v>
      </c>
      <c r="X7" s="479">
        <v>13.5</v>
      </c>
      <c r="Y7" s="479">
        <v>66.65</v>
      </c>
      <c r="Z7" s="479">
        <v>0.0</v>
      </c>
      <c r="AA7" s="479">
        <v>43.25</v>
      </c>
      <c r="AB7" s="479">
        <v>47.97</v>
      </c>
      <c r="AC7" s="478">
        <v>20.7</v>
      </c>
      <c r="AD7" s="478">
        <v>34.35</v>
      </c>
      <c r="AE7" s="478">
        <v>6.3</v>
      </c>
      <c r="AF7" s="478">
        <v>18.3</v>
      </c>
      <c r="AG7" s="473">
        <f t="shared" si="6"/>
        <v>987.4</v>
      </c>
      <c r="AH7" s="455"/>
      <c r="AI7" s="38"/>
      <c r="AM7" s="188" t="s">
        <v>38</v>
      </c>
      <c r="AN7" s="176"/>
      <c r="AO7" s="177"/>
      <c r="AP7" s="481">
        <f>SUM(valuesByColor("#f09090", "", B3:AF48))</f>
        <v>607.97</v>
      </c>
      <c r="AQ7" s="189">
        <f t="shared" si="2"/>
        <v>231.0286</v>
      </c>
      <c r="AR7" s="256">
        <f t="shared" si="3"/>
        <v>28.878575</v>
      </c>
      <c r="AS7" s="256"/>
      <c r="AT7" s="482">
        <f t="shared" si="4"/>
        <v>0</v>
      </c>
      <c r="AU7" s="482">
        <f t="shared" si="5"/>
        <v>0</v>
      </c>
      <c r="AV7" s="257">
        <v>10.0</v>
      </c>
    </row>
    <row r="8" ht="40.5" customHeight="1">
      <c r="A8" s="88" t="s">
        <v>6</v>
      </c>
      <c r="B8" s="483">
        <v>75.24</v>
      </c>
      <c r="C8" s="483">
        <v>88.5</v>
      </c>
      <c r="D8" s="484">
        <v>49.5</v>
      </c>
      <c r="E8" s="485">
        <v>64.62</v>
      </c>
      <c r="F8" s="485">
        <v>51.12</v>
      </c>
      <c r="G8" s="485">
        <v>54.12</v>
      </c>
      <c r="H8" s="485">
        <v>49.5</v>
      </c>
      <c r="I8" s="485">
        <v>76.5</v>
      </c>
      <c r="J8" s="485">
        <v>69.0</v>
      </c>
      <c r="K8" s="485">
        <v>43.5</v>
      </c>
      <c r="L8" s="486">
        <v>28.62</v>
      </c>
      <c r="M8" s="485">
        <v>48.0</v>
      </c>
      <c r="N8" s="484">
        <v>37.5</v>
      </c>
      <c r="O8" s="484">
        <v>39.12</v>
      </c>
      <c r="P8" s="484">
        <v>37.62</v>
      </c>
      <c r="Q8" s="485">
        <v>48.24</v>
      </c>
      <c r="R8" s="484">
        <v>34.5</v>
      </c>
      <c r="S8" s="484">
        <v>69.24</v>
      </c>
      <c r="T8" s="484">
        <v>108.5</v>
      </c>
      <c r="U8" s="484">
        <v>130.5</v>
      </c>
      <c r="V8" s="484">
        <v>61.5</v>
      </c>
      <c r="W8" s="484">
        <v>25.5</v>
      </c>
      <c r="X8" s="484">
        <v>0.0</v>
      </c>
      <c r="Y8" s="484">
        <v>54.12</v>
      </c>
      <c r="Z8" s="484">
        <v>71.62</v>
      </c>
      <c r="AA8" s="484">
        <v>79.24</v>
      </c>
      <c r="AB8" s="484">
        <v>75.0</v>
      </c>
      <c r="AC8" s="484">
        <v>64.12</v>
      </c>
      <c r="AD8" s="484">
        <v>84.12</v>
      </c>
      <c r="AE8" s="484">
        <v>40.5</v>
      </c>
      <c r="AF8" s="484">
        <v>43.62</v>
      </c>
      <c r="AG8" s="473">
        <f t="shared" si="6"/>
        <v>1802.78</v>
      </c>
      <c r="AH8" s="487"/>
      <c r="AI8" s="38"/>
      <c r="AJ8" s="38"/>
      <c r="AM8" s="263" t="s">
        <v>87</v>
      </c>
      <c r="AN8" s="176"/>
      <c r="AO8" s="177"/>
      <c r="AP8" s="488">
        <f>SUM(valuesByColor("magenta", "", B3:AF48))</f>
        <v>330.37</v>
      </c>
      <c r="AQ8" s="264">
        <f t="shared" si="2"/>
        <v>125.5406</v>
      </c>
      <c r="AR8" s="265">
        <f t="shared" si="3"/>
        <v>15.692575</v>
      </c>
      <c r="AS8" s="265"/>
      <c r="AT8" s="489">
        <f t="shared" si="4"/>
        <v>0</v>
      </c>
      <c r="AU8" s="489">
        <f t="shared" si="5"/>
        <v>0</v>
      </c>
      <c r="AV8" s="266"/>
    </row>
    <row r="9" ht="31.5" customHeight="1">
      <c r="A9" s="190" t="s">
        <v>8</v>
      </c>
      <c r="B9" s="649">
        <v>0.0</v>
      </c>
      <c r="C9" s="649">
        <v>0.0</v>
      </c>
      <c r="D9" s="492">
        <v>1.5</v>
      </c>
      <c r="E9" s="650">
        <v>0.0</v>
      </c>
      <c r="F9" s="650">
        <v>0.0</v>
      </c>
      <c r="G9" s="650">
        <v>0.0</v>
      </c>
      <c r="H9" s="492">
        <v>3.0</v>
      </c>
      <c r="I9" s="646">
        <v>0.0</v>
      </c>
      <c r="J9" s="646">
        <v>0.0</v>
      </c>
      <c r="K9" s="492">
        <v>2.94</v>
      </c>
      <c r="L9" s="651">
        <v>0.0</v>
      </c>
      <c r="M9" s="646">
        <v>0.0</v>
      </c>
      <c r="N9" s="646">
        <v>0.0</v>
      </c>
      <c r="O9" s="646">
        <v>0.0</v>
      </c>
      <c r="P9" s="646">
        <v>0.0</v>
      </c>
      <c r="Q9" s="646">
        <v>0.0</v>
      </c>
      <c r="R9" s="646">
        <v>0.0</v>
      </c>
      <c r="S9" s="646">
        <v>0.0</v>
      </c>
      <c r="T9" s="491">
        <v>0.0</v>
      </c>
      <c r="U9" s="491">
        <v>0.0</v>
      </c>
      <c r="V9" s="491">
        <v>0.0</v>
      </c>
      <c r="W9" s="491">
        <v>0.0</v>
      </c>
      <c r="X9" s="491">
        <v>0.0</v>
      </c>
      <c r="Y9" s="491">
        <v>0.0</v>
      </c>
      <c r="Z9" s="491">
        <v>0.0</v>
      </c>
      <c r="AA9" s="491">
        <v>0.0</v>
      </c>
      <c r="AB9" s="491">
        <v>0.0</v>
      </c>
      <c r="AC9" s="491">
        <v>0.0</v>
      </c>
      <c r="AD9" s="491">
        <v>0.0</v>
      </c>
      <c r="AE9" s="491">
        <v>0.0</v>
      </c>
      <c r="AF9" s="491">
        <v>0.0</v>
      </c>
      <c r="AG9" s="473">
        <f t="shared" si="6"/>
        <v>7.44</v>
      </c>
      <c r="AH9" s="455"/>
      <c r="AI9" s="38"/>
      <c r="AJ9" s="38"/>
      <c r="AM9" s="195" t="s">
        <v>40</v>
      </c>
      <c r="AN9" s="176"/>
      <c r="AO9" s="177"/>
      <c r="AP9" s="493">
        <f>SUM(valuesByColor("#0070c0", "", B3:AF48))</f>
        <v>180.9</v>
      </c>
      <c r="AQ9" s="196">
        <f t="shared" si="2"/>
        <v>68.742</v>
      </c>
      <c r="AR9" s="267">
        <f t="shared" si="3"/>
        <v>8.59275</v>
      </c>
      <c r="AS9" s="267"/>
      <c r="AT9" s="494">
        <f t="shared" si="4"/>
        <v>0</v>
      </c>
      <c r="AU9" s="494">
        <f t="shared" si="5"/>
        <v>0</v>
      </c>
      <c r="AV9" s="268"/>
    </row>
    <row r="10" ht="29.25" customHeight="1">
      <c r="A10" s="190" t="s">
        <v>41</v>
      </c>
      <c r="B10" s="652">
        <v>1.5</v>
      </c>
      <c r="C10" s="653">
        <v>0.0</v>
      </c>
      <c r="D10" s="654">
        <v>0.0</v>
      </c>
      <c r="E10" s="655">
        <v>1.5</v>
      </c>
      <c r="F10" s="655">
        <v>0.0</v>
      </c>
      <c r="G10" s="655">
        <v>0.0</v>
      </c>
      <c r="H10" s="655">
        <v>1.12</v>
      </c>
      <c r="I10" s="655">
        <v>5.74</v>
      </c>
      <c r="J10" s="656">
        <v>0.24</v>
      </c>
      <c r="K10" s="656">
        <v>3.0</v>
      </c>
      <c r="L10" s="656">
        <v>4.5</v>
      </c>
      <c r="M10" s="656">
        <v>0.0</v>
      </c>
      <c r="N10" s="656">
        <v>2.2</v>
      </c>
      <c r="O10" s="656">
        <v>1.62</v>
      </c>
      <c r="P10" s="656">
        <v>0.42</v>
      </c>
      <c r="Q10" s="657">
        <v>0.0</v>
      </c>
      <c r="R10" s="657">
        <v>0.0</v>
      </c>
      <c r="S10" s="657">
        <v>0.0</v>
      </c>
      <c r="T10" s="658">
        <v>0.0</v>
      </c>
      <c r="U10" s="658">
        <v>0.0</v>
      </c>
      <c r="V10" s="658">
        <v>0.0</v>
      </c>
      <c r="W10" s="658">
        <v>0.0</v>
      </c>
      <c r="X10" s="658">
        <v>0.0</v>
      </c>
      <c r="Y10" s="513">
        <v>1.5</v>
      </c>
      <c r="Z10" s="513">
        <v>1.5</v>
      </c>
      <c r="AA10" s="513">
        <v>1.5</v>
      </c>
      <c r="AB10" s="513">
        <v>1.5</v>
      </c>
      <c r="AC10" s="659">
        <v>0.0</v>
      </c>
      <c r="AD10" s="659">
        <v>0.0</v>
      </c>
      <c r="AE10" s="659">
        <v>0.0</v>
      </c>
      <c r="AF10" s="659">
        <v>0.0</v>
      </c>
      <c r="AG10" s="473">
        <f t="shared" si="6"/>
        <v>27.84</v>
      </c>
      <c r="AH10" s="455"/>
      <c r="AI10" s="38"/>
      <c r="AJ10" s="38"/>
      <c r="AM10" s="201" t="s">
        <v>75</v>
      </c>
      <c r="AN10" s="176"/>
      <c r="AO10" s="177"/>
      <c r="AP10" s="503">
        <f>SUM(valuesByColor("#ec7c31", "", B3:AF48))</f>
        <v>717.67</v>
      </c>
      <c r="AQ10" s="202">
        <f t="shared" si="2"/>
        <v>272.7146</v>
      </c>
      <c r="AR10" s="269">
        <f t="shared" si="3"/>
        <v>34.089325</v>
      </c>
      <c r="AS10" s="269"/>
      <c r="AT10" s="504">
        <f t="shared" si="4"/>
        <v>0</v>
      </c>
      <c r="AU10" s="504">
        <f t="shared" si="5"/>
        <v>0</v>
      </c>
      <c r="AV10" s="270"/>
    </row>
    <row r="11" ht="29.25" customHeight="1">
      <c r="A11" s="376" t="s">
        <v>61</v>
      </c>
      <c r="B11" s="660">
        <v>0.0</v>
      </c>
      <c r="C11" s="661">
        <v>0.0</v>
      </c>
      <c r="D11" s="661">
        <v>0.0</v>
      </c>
      <c r="E11" s="661">
        <v>0.0</v>
      </c>
      <c r="F11" s="661">
        <v>0.0</v>
      </c>
      <c r="G11" s="662">
        <v>0.0</v>
      </c>
      <c r="H11" s="661">
        <v>0.0</v>
      </c>
      <c r="I11" s="661">
        <v>0.0</v>
      </c>
      <c r="J11" s="661">
        <v>0.0</v>
      </c>
      <c r="K11" s="661">
        <v>0.0</v>
      </c>
      <c r="L11" s="661">
        <v>0.0</v>
      </c>
      <c r="M11" s="661">
        <v>0.0</v>
      </c>
      <c r="N11" s="661">
        <v>0.0</v>
      </c>
      <c r="O11" s="661">
        <v>0.0</v>
      </c>
      <c r="P11" s="661">
        <v>0.0</v>
      </c>
      <c r="Q11" s="661">
        <v>0.0</v>
      </c>
      <c r="R11" s="661">
        <v>0.0</v>
      </c>
      <c r="S11" s="661">
        <v>0.0</v>
      </c>
      <c r="T11" s="661">
        <v>0.0</v>
      </c>
      <c r="U11" s="662">
        <v>0.0</v>
      </c>
      <c r="V11" s="662">
        <v>0.0</v>
      </c>
      <c r="W11" s="662">
        <v>0.0</v>
      </c>
      <c r="X11" s="662">
        <v>0.0</v>
      </c>
      <c r="Y11" s="662">
        <v>0.0</v>
      </c>
      <c r="Z11" s="662">
        <v>0.0</v>
      </c>
      <c r="AA11" s="662">
        <v>0.0</v>
      </c>
      <c r="AB11" s="662">
        <v>0.0</v>
      </c>
      <c r="AC11" s="662">
        <v>0.0</v>
      </c>
      <c r="AD11" s="662">
        <v>0.0</v>
      </c>
      <c r="AE11" s="662">
        <v>0.0</v>
      </c>
      <c r="AF11" s="663">
        <v>0.0</v>
      </c>
      <c r="AG11" s="454">
        <f>SUM(B13:AF13)</f>
        <v>164.36</v>
      </c>
      <c r="AH11" s="455"/>
      <c r="AI11" s="38"/>
      <c r="AJ11" s="38"/>
      <c r="AM11" s="271" t="s">
        <v>88</v>
      </c>
      <c r="AN11" s="176"/>
      <c r="AO11" s="177"/>
      <c r="AP11" s="509">
        <f>SUM(valuesByColor("dark magenta 1", "", B3:AF48))</f>
        <v>25.06</v>
      </c>
      <c r="AQ11" s="272">
        <f t="shared" si="2"/>
        <v>9.5228</v>
      </c>
      <c r="AR11" s="273">
        <f t="shared" si="3"/>
        <v>1.19035</v>
      </c>
      <c r="AS11" s="273"/>
      <c r="AT11" s="510">
        <f t="shared" si="4"/>
        <v>0</v>
      </c>
      <c r="AU11" s="510">
        <f t="shared" si="5"/>
        <v>0</v>
      </c>
      <c r="AV11" s="274">
        <v>50.0</v>
      </c>
    </row>
    <row r="12" ht="29.25" customHeight="1">
      <c r="A12" s="388" t="s">
        <v>63</v>
      </c>
      <c r="B12" s="664">
        <v>21.82</v>
      </c>
      <c r="C12" s="514">
        <v>6.28</v>
      </c>
      <c r="D12" s="514">
        <v>0.0</v>
      </c>
      <c r="E12" s="514">
        <v>21.76</v>
      </c>
      <c r="F12" s="514">
        <v>1.5</v>
      </c>
      <c r="G12" s="515">
        <v>20.3</v>
      </c>
      <c r="H12" s="514">
        <v>10.8</v>
      </c>
      <c r="I12" s="514">
        <v>11.72</v>
      </c>
      <c r="J12" s="514">
        <v>21.18</v>
      </c>
      <c r="K12" s="514">
        <v>0.0</v>
      </c>
      <c r="L12" s="514">
        <v>8.48</v>
      </c>
      <c r="M12" s="514">
        <v>4.58</v>
      </c>
      <c r="N12" s="514">
        <v>1.1</v>
      </c>
      <c r="O12" s="514">
        <v>2.48</v>
      </c>
      <c r="P12" s="514">
        <v>1.5</v>
      </c>
      <c r="Q12" s="514">
        <v>0.82</v>
      </c>
      <c r="R12" s="514">
        <v>0.0</v>
      </c>
      <c r="S12" s="514">
        <v>2.92</v>
      </c>
      <c r="T12" s="665">
        <v>0.0</v>
      </c>
      <c r="U12" s="657">
        <v>0.0</v>
      </c>
      <c r="V12" s="657">
        <v>0.0</v>
      </c>
      <c r="W12" s="657">
        <v>0.0</v>
      </c>
      <c r="X12" s="655">
        <v>0.0</v>
      </c>
      <c r="Y12" s="655">
        <v>1.5</v>
      </c>
      <c r="Z12" s="655">
        <v>1.62</v>
      </c>
      <c r="AA12" s="655">
        <v>1.5</v>
      </c>
      <c r="AB12" s="666">
        <v>4.5</v>
      </c>
      <c r="AC12" s="655">
        <v>10.5</v>
      </c>
      <c r="AD12" s="655">
        <v>3.0</v>
      </c>
      <c r="AE12" s="655">
        <v>3.0</v>
      </c>
      <c r="AF12" s="667">
        <v>1.5</v>
      </c>
      <c r="AH12" s="463"/>
      <c r="AI12" s="38"/>
      <c r="AJ12" s="38"/>
      <c r="AM12" s="277" t="s">
        <v>43</v>
      </c>
      <c r="AN12" s="176"/>
      <c r="AO12" s="177"/>
      <c r="AP12" s="518">
        <f>SUM(valuesByColor("lime", "", B3:AF48))</f>
        <v>1082.67</v>
      </c>
      <c r="AQ12" s="278">
        <f t="shared" si="2"/>
        <v>411.4146</v>
      </c>
      <c r="AR12" s="279">
        <f t="shared" si="3"/>
        <v>51.426825</v>
      </c>
      <c r="AS12" s="279"/>
      <c r="AT12" s="519">
        <f t="shared" si="4"/>
        <v>0</v>
      </c>
      <c r="AU12" s="519">
        <f t="shared" si="5"/>
        <v>0</v>
      </c>
      <c r="AV12" s="280"/>
    </row>
    <row r="13" ht="27.75" customHeight="1">
      <c r="A13" s="396" t="s">
        <v>64</v>
      </c>
      <c r="B13" s="520">
        <f t="shared" ref="B13:AF13" si="7">SUM(B11:B12)</f>
        <v>21.82</v>
      </c>
      <c r="C13" s="520">
        <f t="shared" si="7"/>
        <v>6.28</v>
      </c>
      <c r="D13" s="520">
        <f t="shared" si="7"/>
        <v>0</v>
      </c>
      <c r="E13" s="520">
        <f t="shared" si="7"/>
        <v>21.76</v>
      </c>
      <c r="F13" s="520">
        <f t="shared" si="7"/>
        <v>1.5</v>
      </c>
      <c r="G13" s="520">
        <f t="shared" si="7"/>
        <v>20.3</v>
      </c>
      <c r="H13" s="520">
        <f t="shared" si="7"/>
        <v>10.8</v>
      </c>
      <c r="I13" s="520">
        <f t="shared" si="7"/>
        <v>11.72</v>
      </c>
      <c r="J13" s="520">
        <f t="shared" si="7"/>
        <v>21.18</v>
      </c>
      <c r="K13" s="520">
        <f t="shared" si="7"/>
        <v>0</v>
      </c>
      <c r="L13" s="520">
        <f t="shared" si="7"/>
        <v>8.48</v>
      </c>
      <c r="M13" s="520">
        <f t="shared" si="7"/>
        <v>4.58</v>
      </c>
      <c r="N13" s="520">
        <f t="shared" si="7"/>
        <v>1.1</v>
      </c>
      <c r="O13" s="520">
        <f t="shared" si="7"/>
        <v>2.48</v>
      </c>
      <c r="P13" s="520">
        <f t="shared" si="7"/>
        <v>1.5</v>
      </c>
      <c r="Q13" s="520">
        <f t="shared" si="7"/>
        <v>0.82</v>
      </c>
      <c r="R13" s="520">
        <f t="shared" si="7"/>
        <v>0</v>
      </c>
      <c r="S13" s="520">
        <f t="shared" si="7"/>
        <v>2.92</v>
      </c>
      <c r="T13" s="520">
        <f t="shared" si="7"/>
        <v>0</v>
      </c>
      <c r="U13" s="520">
        <f t="shared" si="7"/>
        <v>0</v>
      </c>
      <c r="V13" s="520">
        <f t="shared" si="7"/>
        <v>0</v>
      </c>
      <c r="W13" s="520">
        <f t="shared" si="7"/>
        <v>0</v>
      </c>
      <c r="X13" s="520">
        <f t="shared" si="7"/>
        <v>0</v>
      </c>
      <c r="Y13" s="520">
        <f t="shared" si="7"/>
        <v>1.5</v>
      </c>
      <c r="Z13" s="520">
        <f t="shared" si="7"/>
        <v>1.62</v>
      </c>
      <c r="AA13" s="520">
        <f t="shared" si="7"/>
        <v>1.5</v>
      </c>
      <c r="AB13" s="520">
        <f t="shared" si="7"/>
        <v>4.5</v>
      </c>
      <c r="AC13" s="520">
        <f t="shared" si="7"/>
        <v>10.5</v>
      </c>
      <c r="AD13" s="520">
        <f t="shared" si="7"/>
        <v>3</v>
      </c>
      <c r="AE13" s="520">
        <f t="shared" si="7"/>
        <v>3</v>
      </c>
      <c r="AF13" s="520">
        <f t="shared" si="7"/>
        <v>1.5</v>
      </c>
      <c r="AG13" s="466"/>
      <c r="AH13" s="463"/>
      <c r="AI13" s="38"/>
      <c r="AJ13" s="38"/>
      <c r="AM13" s="668"/>
      <c r="AN13" s="176"/>
      <c r="AO13" s="177"/>
      <c r="AP13" s="669"/>
      <c r="AQ13" s="670"/>
      <c r="AR13" s="671"/>
      <c r="AS13" s="671"/>
      <c r="AT13" s="672"/>
      <c r="AU13" s="672"/>
      <c r="AV13" s="673"/>
    </row>
    <row r="14" ht="27.0" customHeight="1">
      <c r="A14" s="399" t="s">
        <v>3</v>
      </c>
      <c r="B14" s="674">
        <v>0.0</v>
      </c>
      <c r="C14" s="674">
        <v>0.0</v>
      </c>
      <c r="D14" s="674">
        <v>0.0</v>
      </c>
      <c r="E14" s="674">
        <v>0.0</v>
      </c>
      <c r="F14" s="675">
        <v>0.0</v>
      </c>
      <c r="G14" s="628">
        <v>0.0</v>
      </c>
      <c r="H14" s="674">
        <v>0.0</v>
      </c>
      <c r="I14" s="674">
        <v>0.0</v>
      </c>
      <c r="J14" s="674">
        <v>0.0</v>
      </c>
      <c r="K14" s="674">
        <v>0.0</v>
      </c>
      <c r="L14" s="674">
        <v>0.0</v>
      </c>
      <c r="M14" s="674">
        <v>0.0</v>
      </c>
      <c r="N14" s="674">
        <v>0.0</v>
      </c>
      <c r="O14" s="675">
        <v>0.0</v>
      </c>
      <c r="P14" s="674">
        <v>0.0</v>
      </c>
      <c r="Q14" s="674">
        <v>0.0</v>
      </c>
      <c r="R14" s="674">
        <v>0.0</v>
      </c>
      <c r="S14" s="674">
        <v>0.0</v>
      </c>
      <c r="T14" s="674">
        <v>0.0</v>
      </c>
      <c r="U14" s="628">
        <v>0.0</v>
      </c>
      <c r="V14" s="628">
        <v>0.0</v>
      </c>
      <c r="W14" s="628">
        <v>0.0</v>
      </c>
      <c r="X14" s="628">
        <v>0.0</v>
      </c>
      <c r="Y14" s="628">
        <v>0.0</v>
      </c>
      <c r="Z14" s="676">
        <v>0.0</v>
      </c>
      <c r="AA14" s="628">
        <v>0.0</v>
      </c>
      <c r="AB14" s="628">
        <v>0.0</v>
      </c>
      <c r="AC14" s="676">
        <v>0.0</v>
      </c>
      <c r="AD14" s="676">
        <v>0.0</v>
      </c>
      <c r="AE14" s="676">
        <v>0.0</v>
      </c>
      <c r="AF14" s="677">
        <v>0.0</v>
      </c>
      <c r="AG14" s="454">
        <f>SUM(B16:AF16)</f>
        <v>405.03</v>
      </c>
      <c r="AH14" s="487"/>
      <c r="AI14" s="38"/>
      <c r="AJ14" s="38"/>
      <c r="AM14" s="384" t="s">
        <v>62</v>
      </c>
      <c r="AN14" s="176"/>
      <c r="AO14" s="177"/>
      <c r="AP14" s="521">
        <f>SUM(valuesByColor("dark yellow 3", "", B3:AF48))</f>
        <v>672.74</v>
      </c>
      <c r="AQ14" s="385">
        <f>((AP14*(1-0.05))*(1-0.6))+AT14</f>
        <v>255.6412</v>
      </c>
      <c r="AR14" s="386">
        <f>(AP14*(1-0.05))*(1-0.95)+AU14</f>
        <v>31.95515</v>
      </c>
      <c r="AS14" s="386"/>
      <c r="AT14" s="522">
        <f>(AS14*(1-0.05))*(1-0.9)</f>
        <v>0</v>
      </c>
      <c r="AU14" s="522">
        <f>(AS14*(1-0.05))*(1-0.95)</f>
        <v>0</v>
      </c>
      <c r="AV14" s="387"/>
    </row>
    <row r="15" ht="27.0" customHeight="1">
      <c r="A15" s="404" t="s">
        <v>44</v>
      </c>
      <c r="B15" s="528">
        <v>55.8</v>
      </c>
      <c r="C15" s="528">
        <v>46.95</v>
      </c>
      <c r="D15" s="678">
        <v>20.82</v>
      </c>
      <c r="E15" s="678">
        <v>15.75</v>
      </c>
      <c r="F15" s="679">
        <v>12.45</v>
      </c>
      <c r="G15" s="678">
        <v>31.52</v>
      </c>
      <c r="H15" s="678">
        <v>11.07</v>
      </c>
      <c r="I15" s="679">
        <v>4.74</v>
      </c>
      <c r="J15" s="678">
        <v>7.17</v>
      </c>
      <c r="K15" s="678">
        <v>0.0</v>
      </c>
      <c r="L15" s="678">
        <v>9.42</v>
      </c>
      <c r="M15" s="680">
        <v>7.5</v>
      </c>
      <c r="N15" s="680">
        <v>16.5</v>
      </c>
      <c r="O15" s="680">
        <v>3.0</v>
      </c>
      <c r="P15" s="680">
        <v>4.5</v>
      </c>
      <c r="Q15" s="680">
        <v>9.9</v>
      </c>
      <c r="R15" s="680">
        <v>21.27</v>
      </c>
      <c r="S15" s="681">
        <v>1.5</v>
      </c>
      <c r="T15" s="681">
        <v>3.12</v>
      </c>
      <c r="U15" s="681">
        <v>0.0</v>
      </c>
      <c r="V15" s="681">
        <v>0.0</v>
      </c>
      <c r="W15" s="682">
        <v>21.0</v>
      </c>
      <c r="X15" s="533">
        <v>19.2</v>
      </c>
      <c r="Y15" s="533">
        <v>13.5</v>
      </c>
      <c r="Z15" s="533">
        <v>33.85</v>
      </c>
      <c r="AA15" s="533">
        <v>9.0</v>
      </c>
      <c r="AB15" s="533">
        <v>3.0</v>
      </c>
      <c r="AC15" s="682">
        <v>10.5</v>
      </c>
      <c r="AD15" s="682">
        <v>4.5</v>
      </c>
      <c r="AE15" s="682">
        <v>0.0</v>
      </c>
      <c r="AF15" s="683">
        <v>7.5</v>
      </c>
      <c r="AH15" s="463"/>
      <c r="AI15" s="38"/>
      <c r="AJ15" s="38"/>
      <c r="AK15" s="38"/>
      <c r="AP15" s="527">
        <f>SUM(AP4:AP14)</f>
        <v>7723.3</v>
      </c>
      <c r="AQ15" s="38"/>
      <c r="AR15" s="220">
        <f>SUM(AR4:AR14)</f>
        <v>366.85675</v>
      </c>
    </row>
    <row r="16" ht="18.75" customHeight="1">
      <c r="A16" s="413" t="s">
        <v>65</v>
      </c>
      <c r="B16" s="536">
        <f t="shared" ref="B16:AF16" si="8">sum(B14,B15)</f>
        <v>55.8</v>
      </c>
      <c r="C16" s="536">
        <f t="shared" si="8"/>
        <v>46.95</v>
      </c>
      <c r="D16" s="536">
        <f t="shared" si="8"/>
        <v>20.82</v>
      </c>
      <c r="E16" s="536">
        <f t="shared" si="8"/>
        <v>15.75</v>
      </c>
      <c r="F16" s="536">
        <f t="shared" si="8"/>
        <v>12.45</v>
      </c>
      <c r="G16" s="536">
        <f t="shared" si="8"/>
        <v>31.52</v>
      </c>
      <c r="H16" s="536">
        <f t="shared" si="8"/>
        <v>11.07</v>
      </c>
      <c r="I16" s="536">
        <f t="shared" si="8"/>
        <v>4.74</v>
      </c>
      <c r="J16" s="536">
        <f t="shared" si="8"/>
        <v>7.17</v>
      </c>
      <c r="K16" s="536">
        <f t="shared" si="8"/>
        <v>0</v>
      </c>
      <c r="L16" s="536">
        <f t="shared" si="8"/>
        <v>9.42</v>
      </c>
      <c r="M16" s="536">
        <f t="shared" si="8"/>
        <v>7.5</v>
      </c>
      <c r="N16" s="536">
        <f t="shared" si="8"/>
        <v>16.5</v>
      </c>
      <c r="O16" s="536">
        <f t="shared" si="8"/>
        <v>3</v>
      </c>
      <c r="P16" s="536">
        <f t="shared" si="8"/>
        <v>4.5</v>
      </c>
      <c r="Q16" s="536">
        <f t="shared" si="8"/>
        <v>9.9</v>
      </c>
      <c r="R16" s="536">
        <f t="shared" si="8"/>
        <v>21.27</v>
      </c>
      <c r="S16" s="536">
        <f t="shared" si="8"/>
        <v>1.5</v>
      </c>
      <c r="T16" s="536">
        <f t="shared" si="8"/>
        <v>3.12</v>
      </c>
      <c r="U16" s="536">
        <f t="shared" si="8"/>
        <v>0</v>
      </c>
      <c r="V16" s="536">
        <f t="shared" si="8"/>
        <v>0</v>
      </c>
      <c r="W16" s="536">
        <f t="shared" si="8"/>
        <v>21</v>
      </c>
      <c r="X16" s="536">
        <f t="shared" si="8"/>
        <v>19.2</v>
      </c>
      <c r="Y16" s="536">
        <f t="shared" si="8"/>
        <v>13.5</v>
      </c>
      <c r="Z16" s="536">
        <f t="shared" si="8"/>
        <v>33.85</v>
      </c>
      <c r="AA16" s="536">
        <f t="shared" si="8"/>
        <v>9</v>
      </c>
      <c r="AB16" s="536">
        <f t="shared" si="8"/>
        <v>3</v>
      </c>
      <c r="AC16" s="536">
        <f t="shared" si="8"/>
        <v>10.5</v>
      </c>
      <c r="AD16" s="536">
        <f t="shared" si="8"/>
        <v>4.5</v>
      </c>
      <c r="AE16" s="536">
        <f t="shared" si="8"/>
        <v>0</v>
      </c>
      <c r="AF16" s="536">
        <f t="shared" si="8"/>
        <v>7.5</v>
      </c>
      <c r="AG16" s="466"/>
      <c r="AH16" s="463"/>
      <c r="AI16" s="38"/>
      <c r="AJ16" s="38"/>
      <c r="AK16" s="38"/>
      <c r="AL16" s="38"/>
      <c r="AM16" s="38"/>
      <c r="AN16" s="38"/>
    </row>
    <row r="17" ht="27.0" customHeight="1">
      <c r="A17" s="213" t="s">
        <v>4</v>
      </c>
      <c r="B17" s="538">
        <v>9.56</v>
      </c>
      <c r="C17" s="538">
        <v>0.0</v>
      </c>
      <c r="D17" s="538">
        <v>25.5</v>
      </c>
      <c r="E17" s="538">
        <v>46.34</v>
      </c>
      <c r="F17" s="540">
        <v>42.34</v>
      </c>
      <c r="G17" s="538">
        <v>13.78</v>
      </c>
      <c r="H17" s="538">
        <v>6.12</v>
      </c>
      <c r="I17" s="538">
        <v>79.12</v>
      </c>
      <c r="J17" s="538">
        <v>75.02</v>
      </c>
      <c r="K17" s="538">
        <v>7.5</v>
      </c>
      <c r="L17" s="538">
        <v>0.0</v>
      </c>
      <c r="M17" s="540">
        <v>0.0</v>
      </c>
      <c r="N17" s="540">
        <v>0.0</v>
      </c>
      <c r="O17" s="540">
        <v>0.0</v>
      </c>
      <c r="P17" s="540">
        <v>0.0</v>
      </c>
      <c r="Q17" s="540">
        <v>0.0</v>
      </c>
      <c r="R17" s="540">
        <v>0.0</v>
      </c>
      <c r="S17" s="538">
        <v>0.0</v>
      </c>
      <c r="T17" s="538">
        <v>0.0</v>
      </c>
      <c r="U17" s="538">
        <v>0.0</v>
      </c>
      <c r="V17" s="538">
        <v>0.0</v>
      </c>
      <c r="W17" s="541">
        <v>0.0</v>
      </c>
      <c r="X17" s="538">
        <v>0.0</v>
      </c>
      <c r="Y17" s="538">
        <v>0.0</v>
      </c>
      <c r="Z17" s="538">
        <v>0.0</v>
      </c>
      <c r="AA17" s="538">
        <v>0.0</v>
      </c>
      <c r="AB17" s="538">
        <v>0.0</v>
      </c>
      <c r="AC17" s="541">
        <v>0.0</v>
      </c>
      <c r="AD17" s="541">
        <v>0.0</v>
      </c>
      <c r="AE17" s="541">
        <v>0.0</v>
      </c>
      <c r="AF17" s="541">
        <v>0.0</v>
      </c>
      <c r="AG17" s="473">
        <f t="shared" ref="AG17:AG19" si="9">SUM(B17:AF17)</f>
        <v>305.28</v>
      </c>
      <c r="AH17" s="487"/>
      <c r="AI17" s="38"/>
      <c r="AJ17" s="38"/>
      <c r="AK17" s="38"/>
      <c r="AL17" s="38"/>
      <c r="AM17" s="38"/>
      <c r="AN17" s="38"/>
      <c r="AO17" s="38"/>
      <c r="AP17" s="173">
        <v>1.0</v>
      </c>
      <c r="AQ17" s="174" t="s">
        <v>16</v>
      </c>
      <c r="AR17" s="173">
        <v>0.05</v>
      </c>
      <c r="AS17" s="456" t="s">
        <v>71</v>
      </c>
      <c r="AT17" s="456" t="s">
        <v>72</v>
      </c>
      <c r="AU17" s="456" t="s">
        <v>73</v>
      </c>
      <c r="AV17" s="246" t="s">
        <v>34</v>
      </c>
    </row>
    <row r="18" ht="28.5" customHeight="1">
      <c r="A18" s="221" t="s">
        <v>30</v>
      </c>
      <c r="B18" s="674">
        <v>0.0</v>
      </c>
      <c r="C18" s="674">
        <v>0.0</v>
      </c>
      <c r="D18" s="674">
        <v>0.0</v>
      </c>
      <c r="E18" s="674">
        <v>0.0</v>
      </c>
      <c r="F18" s="675">
        <v>0.0</v>
      </c>
      <c r="G18" s="628">
        <v>0.0</v>
      </c>
      <c r="H18" s="674">
        <v>0.0</v>
      </c>
      <c r="I18" s="674">
        <v>0.0</v>
      </c>
      <c r="J18" s="674">
        <v>0.0</v>
      </c>
      <c r="K18" s="674">
        <v>0.0</v>
      </c>
      <c r="L18" s="674">
        <v>0.0</v>
      </c>
      <c r="M18" s="674">
        <v>0.0</v>
      </c>
      <c r="N18" s="674">
        <v>0.0</v>
      </c>
      <c r="O18" s="675">
        <v>0.0</v>
      </c>
      <c r="P18" s="674">
        <v>0.0</v>
      </c>
      <c r="Q18" s="674">
        <v>0.0</v>
      </c>
      <c r="R18" s="674">
        <v>0.0</v>
      </c>
      <c r="S18" s="674">
        <v>0.0</v>
      </c>
      <c r="T18" s="674">
        <v>0.0</v>
      </c>
      <c r="U18" s="628">
        <v>0.0</v>
      </c>
      <c r="V18" s="628">
        <v>0.0</v>
      </c>
      <c r="W18" s="628">
        <v>0.0</v>
      </c>
      <c r="X18" s="628">
        <v>0.0</v>
      </c>
      <c r="Y18" s="628">
        <v>0.0</v>
      </c>
      <c r="Z18" s="676">
        <v>0.0</v>
      </c>
      <c r="AA18" s="628">
        <v>0.0</v>
      </c>
      <c r="AB18" s="628">
        <v>0.0</v>
      </c>
      <c r="AC18" s="676">
        <v>0.0</v>
      </c>
      <c r="AD18" s="676">
        <v>0.0</v>
      </c>
      <c r="AE18" s="676">
        <v>0.0</v>
      </c>
      <c r="AF18" s="677">
        <v>0.0</v>
      </c>
      <c r="AG18" s="473">
        <f t="shared" si="9"/>
        <v>0</v>
      </c>
      <c r="AH18" s="455"/>
      <c r="AI18" s="38"/>
      <c r="AJ18" s="38"/>
      <c r="AK18" s="38"/>
      <c r="AL18" s="38"/>
      <c r="AM18" s="684">
        <f>AP18
</f>
        <v>0</v>
      </c>
      <c r="AN18" s="176"/>
      <c r="AO18" s="177"/>
      <c r="AP18" s="545">
        <f>SUM(valuesByColor("#ffc4d5", "", B3:AF48))</f>
        <v>0</v>
      </c>
      <c r="AQ18" s="545">
        <f t="shared" ref="AQ18:AQ27" si="10">((AP18*(1-0.05))*(1-0.6))+AT18</f>
        <v>0</v>
      </c>
      <c r="AR18" s="546">
        <f t="shared" ref="AR18:AR27" si="11">(AP18*(1-0.05))*(1-0.95)+AU18</f>
        <v>0</v>
      </c>
      <c r="AS18" s="546"/>
      <c r="AT18" s="546">
        <f t="shared" ref="AT18:AT27" si="12">(AS18*(1-0.05))*(1-0.9)</f>
        <v>0</v>
      </c>
      <c r="AU18" s="546">
        <f t="shared" ref="AU18:AU27" si="13">(AS18*(1-0.05))*(1-0.95)</f>
        <v>0</v>
      </c>
      <c r="AV18" s="547"/>
    </row>
    <row r="19" ht="28.5" customHeight="1">
      <c r="A19" s="193" t="s">
        <v>31</v>
      </c>
      <c r="B19" s="685">
        <v>10.74</v>
      </c>
      <c r="C19" s="554">
        <v>0.0</v>
      </c>
      <c r="D19" s="685">
        <v>7.5</v>
      </c>
      <c r="E19" s="685">
        <v>4.62</v>
      </c>
      <c r="F19" s="685">
        <v>6.0</v>
      </c>
      <c r="G19" s="685">
        <v>5.06</v>
      </c>
      <c r="H19" s="685">
        <v>13.5</v>
      </c>
      <c r="I19" s="685">
        <v>1.62</v>
      </c>
      <c r="J19" s="685">
        <v>1.5</v>
      </c>
      <c r="K19" s="685">
        <v>0.0</v>
      </c>
      <c r="L19" s="554">
        <v>3.88</v>
      </c>
      <c r="M19" s="554">
        <v>0.0</v>
      </c>
      <c r="N19" s="554">
        <v>0.0</v>
      </c>
      <c r="O19" s="554">
        <v>0.0</v>
      </c>
      <c r="P19" s="553">
        <v>6.24</v>
      </c>
      <c r="Q19" s="553">
        <v>5.34</v>
      </c>
      <c r="R19" s="553">
        <v>1.12</v>
      </c>
      <c r="S19" s="553">
        <v>3.0</v>
      </c>
      <c r="T19" s="686">
        <v>0.0</v>
      </c>
      <c r="U19" s="686">
        <v>0.0</v>
      </c>
      <c r="V19" s="686">
        <v>0.0</v>
      </c>
      <c r="W19" s="686">
        <v>0.0</v>
      </c>
      <c r="X19" s="686">
        <v>0.0</v>
      </c>
      <c r="Y19" s="686">
        <v>0.0</v>
      </c>
      <c r="Z19" s="686">
        <v>0.0</v>
      </c>
      <c r="AA19" s="686">
        <v>0.0</v>
      </c>
      <c r="AB19" s="687">
        <v>7.5</v>
      </c>
      <c r="AC19" s="687">
        <v>0.4</v>
      </c>
      <c r="AD19" s="688">
        <v>1.5</v>
      </c>
      <c r="AE19" s="688">
        <v>0.24</v>
      </c>
      <c r="AF19" s="689">
        <v>0.0</v>
      </c>
      <c r="AG19" s="473">
        <f t="shared" si="9"/>
        <v>79.76</v>
      </c>
      <c r="AH19" s="455"/>
      <c r="AI19" s="38"/>
      <c r="AJ19" s="38"/>
      <c r="AK19" s="38"/>
      <c r="AL19" s="38"/>
      <c r="AM19" s="555" t="s">
        <v>77</v>
      </c>
      <c r="AN19" s="176"/>
      <c r="AO19" s="177"/>
      <c r="AP19" s="556">
        <f>SUM(valuesByColor("#636212", "", B3:AF48))</f>
        <v>366.73</v>
      </c>
      <c r="AQ19" s="556">
        <f t="shared" si="10"/>
        <v>139.3574</v>
      </c>
      <c r="AR19" s="557">
        <f t="shared" si="11"/>
        <v>17.419675</v>
      </c>
      <c r="AS19" s="557"/>
      <c r="AT19" s="557">
        <f t="shared" si="12"/>
        <v>0</v>
      </c>
      <c r="AU19" s="557">
        <f t="shared" si="13"/>
        <v>0</v>
      </c>
      <c r="AV19" s="558"/>
    </row>
    <row r="20" ht="28.5" customHeight="1">
      <c r="A20" s="426" t="s">
        <v>46</v>
      </c>
      <c r="B20" s="674">
        <v>0.0</v>
      </c>
      <c r="C20" s="674">
        <v>0.0</v>
      </c>
      <c r="D20" s="674">
        <v>0.0</v>
      </c>
      <c r="E20" s="674">
        <v>0.0</v>
      </c>
      <c r="F20" s="675">
        <v>0.0</v>
      </c>
      <c r="G20" s="628">
        <v>0.0</v>
      </c>
      <c r="H20" s="674">
        <v>0.0</v>
      </c>
      <c r="I20" s="674">
        <v>0.0</v>
      </c>
      <c r="J20" s="674">
        <v>0.0</v>
      </c>
      <c r="K20" s="674">
        <v>0.0</v>
      </c>
      <c r="L20" s="674">
        <v>0.0</v>
      </c>
      <c r="M20" s="674">
        <v>0.0</v>
      </c>
      <c r="N20" s="674">
        <v>0.0</v>
      </c>
      <c r="O20" s="675">
        <v>0.0</v>
      </c>
      <c r="P20" s="674">
        <v>0.0</v>
      </c>
      <c r="Q20" s="674">
        <v>0.0</v>
      </c>
      <c r="R20" s="674">
        <v>0.0</v>
      </c>
      <c r="S20" s="674">
        <v>0.0</v>
      </c>
      <c r="T20" s="674">
        <v>0.0</v>
      </c>
      <c r="U20" s="628">
        <v>0.0</v>
      </c>
      <c r="V20" s="628">
        <v>0.0</v>
      </c>
      <c r="W20" s="628">
        <v>0.0</v>
      </c>
      <c r="X20" s="628">
        <v>0.0</v>
      </c>
      <c r="Y20" s="628">
        <v>0.0</v>
      </c>
      <c r="Z20" s="676">
        <v>0.0</v>
      </c>
      <c r="AA20" s="628">
        <v>0.0</v>
      </c>
      <c r="AB20" s="628">
        <v>0.0</v>
      </c>
      <c r="AC20" s="676">
        <v>0.0</v>
      </c>
      <c r="AD20" s="676">
        <v>0.0</v>
      </c>
      <c r="AE20" s="676">
        <v>0.0</v>
      </c>
      <c r="AF20" s="677">
        <v>0.0</v>
      </c>
      <c r="AG20" s="454">
        <f>SUM(B22:AF22)</f>
        <v>174.84</v>
      </c>
      <c r="AH20" s="455"/>
      <c r="AI20" s="38"/>
      <c r="AJ20" s="38"/>
      <c r="AK20" s="38"/>
      <c r="AL20" s="38"/>
      <c r="AM20" s="563" t="s">
        <v>78</v>
      </c>
      <c r="AN20" s="176"/>
      <c r="AO20" s="177"/>
      <c r="AP20" s="564">
        <f>SUM(valuesByColor("#00b572", "", B3:AF48))</f>
        <v>386.29</v>
      </c>
      <c r="AQ20" s="564">
        <f t="shared" si="10"/>
        <v>146.7902</v>
      </c>
      <c r="AR20" s="565">
        <f t="shared" si="11"/>
        <v>18.348775</v>
      </c>
      <c r="AS20" s="565"/>
      <c r="AT20" s="565">
        <f t="shared" si="12"/>
        <v>0</v>
      </c>
      <c r="AU20" s="565">
        <f t="shared" si="13"/>
        <v>0</v>
      </c>
      <c r="AV20" s="566"/>
    </row>
    <row r="21" ht="28.5" customHeight="1">
      <c r="A21" s="429" t="s">
        <v>47</v>
      </c>
      <c r="B21" s="690">
        <v>6.45</v>
      </c>
      <c r="C21" s="691">
        <v>0.0</v>
      </c>
      <c r="D21" s="573">
        <v>10.74</v>
      </c>
      <c r="E21" s="573">
        <v>18.87</v>
      </c>
      <c r="F21" s="690">
        <v>54.72</v>
      </c>
      <c r="G21" s="690">
        <v>8.25</v>
      </c>
      <c r="H21" s="690">
        <v>6.6</v>
      </c>
      <c r="I21" s="690">
        <v>11.22</v>
      </c>
      <c r="J21" s="690">
        <v>7.65</v>
      </c>
      <c r="K21" s="690">
        <v>0.0</v>
      </c>
      <c r="L21" s="691">
        <v>1.95</v>
      </c>
      <c r="M21" s="692">
        <v>0.12</v>
      </c>
      <c r="N21" s="551">
        <v>0.0</v>
      </c>
      <c r="O21" s="551">
        <v>0.0</v>
      </c>
      <c r="P21" s="552">
        <v>0.0</v>
      </c>
      <c r="Q21" s="552">
        <v>0.0</v>
      </c>
      <c r="R21" s="552">
        <v>0.0</v>
      </c>
      <c r="S21" s="552">
        <v>0.0</v>
      </c>
      <c r="T21" s="553">
        <v>10.8</v>
      </c>
      <c r="U21" s="553">
        <v>0.0</v>
      </c>
      <c r="V21" s="553">
        <v>12.1</v>
      </c>
      <c r="W21" s="553">
        <v>10.1</v>
      </c>
      <c r="X21" s="553">
        <v>1.62</v>
      </c>
      <c r="Y21" s="553">
        <v>1.5</v>
      </c>
      <c r="Z21" s="553">
        <v>0.15</v>
      </c>
      <c r="AA21" s="553">
        <v>4.5</v>
      </c>
      <c r="AB21" s="553">
        <v>1.5</v>
      </c>
      <c r="AC21" s="553">
        <v>1.5</v>
      </c>
      <c r="AD21" s="553">
        <v>1.5</v>
      </c>
      <c r="AE21" s="553">
        <v>3.0</v>
      </c>
      <c r="AF21" s="693">
        <v>0.0</v>
      </c>
      <c r="AH21" s="463"/>
      <c r="AI21" s="38"/>
      <c r="AJ21" s="38"/>
      <c r="AK21" s="38"/>
      <c r="AL21" s="38"/>
      <c r="AM21" s="575" t="s">
        <v>89</v>
      </c>
      <c r="AN21" s="176"/>
      <c r="AO21" s="177"/>
      <c r="AP21" s="576">
        <f>SUM(valuesByColor("#7030a0", "", B3:AF48))</f>
        <v>0</v>
      </c>
      <c r="AQ21" s="576">
        <f t="shared" si="10"/>
        <v>0</v>
      </c>
      <c r="AR21" s="577">
        <f t="shared" si="11"/>
        <v>0</v>
      </c>
      <c r="AS21" s="577"/>
      <c r="AT21" s="577">
        <f t="shared" si="12"/>
        <v>0</v>
      </c>
      <c r="AU21" s="577">
        <f t="shared" si="13"/>
        <v>0</v>
      </c>
      <c r="AV21" s="578"/>
    </row>
    <row r="22" ht="29.25" customHeight="1">
      <c r="A22" s="318" t="s">
        <v>48</v>
      </c>
      <c r="B22" s="579">
        <f t="shared" ref="B22:AF22" si="14">SUM(B20,B21)</f>
        <v>6.45</v>
      </c>
      <c r="C22" s="579">
        <f t="shared" si="14"/>
        <v>0</v>
      </c>
      <c r="D22" s="579">
        <f t="shared" si="14"/>
        <v>10.74</v>
      </c>
      <c r="E22" s="579">
        <f t="shared" si="14"/>
        <v>18.87</v>
      </c>
      <c r="F22" s="579">
        <f t="shared" si="14"/>
        <v>54.72</v>
      </c>
      <c r="G22" s="579">
        <f t="shared" si="14"/>
        <v>8.25</v>
      </c>
      <c r="H22" s="579">
        <f t="shared" si="14"/>
        <v>6.6</v>
      </c>
      <c r="I22" s="579">
        <f t="shared" si="14"/>
        <v>11.22</v>
      </c>
      <c r="J22" s="579">
        <f t="shared" si="14"/>
        <v>7.65</v>
      </c>
      <c r="K22" s="579">
        <f t="shared" si="14"/>
        <v>0</v>
      </c>
      <c r="L22" s="579">
        <f t="shared" si="14"/>
        <v>1.95</v>
      </c>
      <c r="M22" s="579">
        <f t="shared" si="14"/>
        <v>0.12</v>
      </c>
      <c r="N22" s="579">
        <f t="shared" si="14"/>
        <v>0</v>
      </c>
      <c r="O22" s="579">
        <f t="shared" si="14"/>
        <v>0</v>
      </c>
      <c r="P22" s="579">
        <f t="shared" si="14"/>
        <v>0</v>
      </c>
      <c r="Q22" s="579">
        <f t="shared" si="14"/>
        <v>0</v>
      </c>
      <c r="R22" s="579">
        <f t="shared" si="14"/>
        <v>0</v>
      </c>
      <c r="S22" s="579">
        <f t="shared" si="14"/>
        <v>0</v>
      </c>
      <c r="T22" s="579">
        <f t="shared" si="14"/>
        <v>10.8</v>
      </c>
      <c r="U22" s="579">
        <f t="shared" si="14"/>
        <v>0</v>
      </c>
      <c r="V22" s="579">
        <f t="shared" si="14"/>
        <v>12.1</v>
      </c>
      <c r="W22" s="579">
        <f t="shared" si="14"/>
        <v>10.1</v>
      </c>
      <c r="X22" s="579">
        <f t="shared" si="14"/>
        <v>1.62</v>
      </c>
      <c r="Y22" s="579">
        <f t="shared" si="14"/>
        <v>1.5</v>
      </c>
      <c r="Z22" s="579">
        <f t="shared" si="14"/>
        <v>0.15</v>
      </c>
      <c r="AA22" s="579">
        <f t="shared" si="14"/>
        <v>4.5</v>
      </c>
      <c r="AB22" s="579">
        <f t="shared" si="14"/>
        <v>1.5</v>
      </c>
      <c r="AC22" s="579">
        <f t="shared" si="14"/>
        <v>1.5</v>
      </c>
      <c r="AD22" s="579">
        <f t="shared" si="14"/>
        <v>1.5</v>
      </c>
      <c r="AE22" s="579">
        <f t="shared" si="14"/>
        <v>3</v>
      </c>
      <c r="AF22" s="579">
        <f t="shared" si="14"/>
        <v>0</v>
      </c>
      <c r="AG22" s="466"/>
      <c r="AH22" s="463"/>
      <c r="AI22" s="38"/>
      <c r="AJ22" s="38"/>
      <c r="AK22" s="38"/>
      <c r="AL22" s="38"/>
      <c r="AM22" s="580"/>
      <c r="AN22" s="176"/>
      <c r="AO22" s="177"/>
      <c r="AP22" s="581"/>
      <c r="AQ22" s="582">
        <f t="shared" si="10"/>
        <v>0</v>
      </c>
      <c r="AR22" s="583">
        <f t="shared" si="11"/>
        <v>0</v>
      </c>
      <c r="AS22" s="584"/>
      <c r="AT22" s="583">
        <f t="shared" si="12"/>
        <v>0</v>
      </c>
      <c r="AU22" s="583">
        <f t="shared" si="13"/>
        <v>0</v>
      </c>
      <c r="AV22" s="585"/>
    </row>
    <row r="23" ht="28.5" customHeight="1">
      <c r="A23" s="434" t="s">
        <v>49</v>
      </c>
      <c r="B23" s="674">
        <v>0.0</v>
      </c>
      <c r="C23" s="674">
        <v>0.0</v>
      </c>
      <c r="D23" s="674">
        <v>0.0</v>
      </c>
      <c r="E23" s="674">
        <v>0.0</v>
      </c>
      <c r="F23" s="675">
        <v>0.0</v>
      </c>
      <c r="G23" s="628">
        <v>0.0</v>
      </c>
      <c r="H23" s="674">
        <v>0.0</v>
      </c>
      <c r="I23" s="674">
        <v>0.0</v>
      </c>
      <c r="J23" s="674">
        <v>0.0</v>
      </c>
      <c r="K23" s="674">
        <v>0.0</v>
      </c>
      <c r="L23" s="674">
        <v>0.0</v>
      </c>
      <c r="M23" s="674">
        <v>0.0</v>
      </c>
      <c r="N23" s="674">
        <v>0.0</v>
      </c>
      <c r="O23" s="675">
        <v>0.0</v>
      </c>
      <c r="P23" s="674">
        <v>0.0</v>
      </c>
      <c r="Q23" s="674">
        <v>0.0</v>
      </c>
      <c r="R23" s="674">
        <v>0.0</v>
      </c>
      <c r="S23" s="674">
        <v>0.0</v>
      </c>
      <c r="T23" s="674">
        <v>0.0</v>
      </c>
      <c r="U23" s="628">
        <v>0.0</v>
      </c>
      <c r="V23" s="628">
        <v>0.0</v>
      </c>
      <c r="W23" s="628">
        <v>0.0</v>
      </c>
      <c r="X23" s="628">
        <v>0.0</v>
      </c>
      <c r="Y23" s="628">
        <v>0.0</v>
      </c>
      <c r="Z23" s="676">
        <v>0.0</v>
      </c>
      <c r="AA23" s="628">
        <v>0.0</v>
      </c>
      <c r="AB23" s="628">
        <v>0.0</v>
      </c>
      <c r="AC23" s="676">
        <v>0.0</v>
      </c>
      <c r="AD23" s="676">
        <v>0.0</v>
      </c>
      <c r="AE23" s="676">
        <v>0.0</v>
      </c>
      <c r="AF23" s="677">
        <v>0.0</v>
      </c>
      <c r="AG23" s="454">
        <f>SUM(B25:AF25)</f>
        <v>512.47</v>
      </c>
      <c r="AH23" s="455"/>
      <c r="AI23" s="38"/>
      <c r="AJ23" s="38"/>
      <c r="AK23" s="38"/>
      <c r="AL23" s="38"/>
      <c r="AM23" s="588"/>
      <c r="AN23" s="176"/>
      <c r="AO23" s="177"/>
      <c r="AP23" s="589"/>
      <c r="AQ23" s="590">
        <f t="shared" si="10"/>
        <v>0</v>
      </c>
      <c r="AR23" s="591">
        <f t="shared" si="11"/>
        <v>0</v>
      </c>
      <c r="AS23" s="592"/>
      <c r="AT23" s="591">
        <f t="shared" si="12"/>
        <v>0</v>
      </c>
      <c r="AU23" s="591">
        <f t="shared" si="13"/>
        <v>0</v>
      </c>
      <c r="AV23" s="268"/>
    </row>
    <row r="24" ht="28.5" customHeight="1">
      <c r="A24" s="434" t="s">
        <v>50</v>
      </c>
      <c r="B24" s="593">
        <v>14.52</v>
      </c>
      <c r="C24" s="594">
        <v>6.75</v>
      </c>
      <c r="D24" s="593">
        <v>13.05</v>
      </c>
      <c r="E24" s="593">
        <v>36.0</v>
      </c>
      <c r="F24" s="593">
        <v>12.72</v>
      </c>
      <c r="G24" s="593">
        <v>15.42</v>
      </c>
      <c r="H24" s="593">
        <v>20.45</v>
      </c>
      <c r="I24" s="593">
        <v>13.65</v>
      </c>
      <c r="J24" s="593">
        <v>26.9</v>
      </c>
      <c r="K24" s="593">
        <v>0.0</v>
      </c>
      <c r="L24" s="593">
        <v>29.14</v>
      </c>
      <c r="M24" s="593">
        <v>3.24</v>
      </c>
      <c r="N24" s="595">
        <v>5.9</v>
      </c>
      <c r="O24" s="593">
        <v>23.1</v>
      </c>
      <c r="P24" s="593">
        <v>29.25</v>
      </c>
      <c r="Q24" s="593">
        <v>46.8</v>
      </c>
      <c r="R24" s="593">
        <v>20.55</v>
      </c>
      <c r="S24" s="594">
        <v>6.0</v>
      </c>
      <c r="T24" s="596">
        <v>2.52</v>
      </c>
      <c r="U24" s="593">
        <v>36.36</v>
      </c>
      <c r="V24" s="593">
        <v>39.54</v>
      </c>
      <c r="W24" s="593">
        <v>21.72</v>
      </c>
      <c r="X24" s="595">
        <v>13.95</v>
      </c>
      <c r="Y24" s="594">
        <v>13.32</v>
      </c>
      <c r="Z24" s="593">
        <v>9.9</v>
      </c>
      <c r="AA24" s="595">
        <v>16.2</v>
      </c>
      <c r="AB24" s="593">
        <v>14.67</v>
      </c>
      <c r="AC24" s="593">
        <v>9.9</v>
      </c>
      <c r="AD24" s="593">
        <v>0.0</v>
      </c>
      <c r="AE24" s="593">
        <v>10.95</v>
      </c>
      <c r="AF24" s="598">
        <v>0.0</v>
      </c>
      <c r="AH24" s="463"/>
      <c r="AI24" s="38"/>
      <c r="AJ24" s="38"/>
      <c r="AK24" s="38"/>
      <c r="AL24" s="38"/>
      <c r="AM24" s="588"/>
      <c r="AN24" s="176"/>
      <c r="AO24" s="177"/>
      <c r="AP24" s="589"/>
      <c r="AQ24" s="590">
        <f t="shared" si="10"/>
        <v>0</v>
      </c>
      <c r="AR24" s="591">
        <f t="shared" si="11"/>
        <v>0</v>
      </c>
      <c r="AS24" s="592"/>
      <c r="AT24" s="591">
        <f t="shared" si="12"/>
        <v>0</v>
      </c>
      <c r="AU24" s="591">
        <f t="shared" si="13"/>
        <v>0</v>
      </c>
      <c r="AV24" s="270"/>
    </row>
    <row r="25" ht="24.75" customHeight="1">
      <c r="A25" s="329" t="s">
        <v>51</v>
      </c>
      <c r="B25" s="694">
        <f t="shared" ref="B25:AF25" si="15">SUM(B23,B24)</f>
        <v>14.52</v>
      </c>
      <c r="C25" s="694">
        <f t="shared" si="15"/>
        <v>6.75</v>
      </c>
      <c r="D25" s="694">
        <f t="shared" si="15"/>
        <v>13.05</v>
      </c>
      <c r="E25" s="694">
        <f t="shared" si="15"/>
        <v>36</v>
      </c>
      <c r="F25" s="694">
        <f t="shared" si="15"/>
        <v>12.72</v>
      </c>
      <c r="G25" s="694">
        <f t="shared" si="15"/>
        <v>15.42</v>
      </c>
      <c r="H25" s="694">
        <f t="shared" si="15"/>
        <v>20.45</v>
      </c>
      <c r="I25" s="694">
        <f t="shared" si="15"/>
        <v>13.65</v>
      </c>
      <c r="J25" s="694">
        <f t="shared" si="15"/>
        <v>26.9</v>
      </c>
      <c r="K25" s="694">
        <f t="shared" si="15"/>
        <v>0</v>
      </c>
      <c r="L25" s="694">
        <f t="shared" si="15"/>
        <v>29.14</v>
      </c>
      <c r="M25" s="694">
        <f t="shared" si="15"/>
        <v>3.24</v>
      </c>
      <c r="N25" s="694">
        <f t="shared" si="15"/>
        <v>5.9</v>
      </c>
      <c r="O25" s="694">
        <f t="shared" si="15"/>
        <v>23.1</v>
      </c>
      <c r="P25" s="694">
        <f t="shared" si="15"/>
        <v>29.25</v>
      </c>
      <c r="Q25" s="694">
        <f t="shared" si="15"/>
        <v>46.8</v>
      </c>
      <c r="R25" s="694">
        <f t="shared" si="15"/>
        <v>20.55</v>
      </c>
      <c r="S25" s="694">
        <f t="shared" si="15"/>
        <v>6</v>
      </c>
      <c r="T25" s="694">
        <f t="shared" si="15"/>
        <v>2.52</v>
      </c>
      <c r="U25" s="694">
        <f t="shared" si="15"/>
        <v>36.36</v>
      </c>
      <c r="V25" s="694">
        <f t="shared" si="15"/>
        <v>39.54</v>
      </c>
      <c r="W25" s="694">
        <f t="shared" si="15"/>
        <v>21.72</v>
      </c>
      <c r="X25" s="694">
        <f t="shared" si="15"/>
        <v>13.95</v>
      </c>
      <c r="Y25" s="694">
        <f t="shared" si="15"/>
        <v>13.32</v>
      </c>
      <c r="Z25" s="694">
        <f t="shared" si="15"/>
        <v>9.9</v>
      </c>
      <c r="AA25" s="694">
        <f t="shared" si="15"/>
        <v>16.2</v>
      </c>
      <c r="AB25" s="694">
        <f t="shared" si="15"/>
        <v>14.67</v>
      </c>
      <c r="AC25" s="694">
        <f t="shared" si="15"/>
        <v>9.9</v>
      </c>
      <c r="AD25" s="694">
        <f t="shared" si="15"/>
        <v>0</v>
      </c>
      <c r="AE25" s="694">
        <f t="shared" si="15"/>
        <v>10.95</v>
      </c>
      <c r="AF25" s="694">
        <f t="shared" si="15"/>
        <v>0</v>
      </c>
      <c r="AG25" s="466"/>
      <c r="AH25" s="463"/>
      <c r="AI25" s="38"/>
      <c r="AJ25" s="38"/>
      <c r="AK25" s="38"/>
      <c r="AL25" s="38"/>
      <c r="AM25" s="588"/>
      <c r="AN25" s="176"/>
      <c r="AO25" s="177"/>
      <c r="AP25" s="589"/>
      <c r="AQ25" s="590">
        <f t="shared" si="10"/>
        <v>0</v>
      </c>
      <c r="AR25" s="591">
        <f t="shared" si="11"/>
        <v>0</v>
      </c>
      <c r="AS25" s="600"/>
      <c r="AT25" s="591">
        <f t="shared" si="12"/>
        <v>0</v>
      </c>
      <c r="AU25" s="591">
        <f t="shared" si="13"/>
        <v>0</v>
      </c>
      <c r="AV25" s="274"/>
    </row>
    <row r="26" ht="26.25" customHeight="1">
      <c r="A26" s="190" t="s">
        <v>10</v>
      </c>
      <c r="B26" s="601">
        <v>14.06</v>
      </c>
      <c r="C26" s="602">
        <v>0.0</v>
      </c>
      <c r="D26" s="601">
        <v>14.86</v>
      </c>
      <c r="E26" s="695">
        <v>0.0</v>
      </c>
      <c r="F26" s="696">
        <v>14.48</v>
      </c>
      <c r="G26" s="697">
        <v>1.54</v>
      </c>
      <c r="H26" s="695">
        <v>4.62</v>
      </c>
      <c r="I26" s="695">
        <v>3.0</v>
      </c>
      <c r="J26" s="696">
        <v>4.5</v>
      </c>
      <c r="K26" s="695">
        <v>1.5</v>
      </c>
      <c r="L26" s="695">
        <v>1.5</v>
      </c>
      <c r="M26" s="695">
        <v>9.76</v>
      </c>
      <c r="N26" s="695">
        <v>8.36</v>
      </c>
      <c r="O26" s="695">
        <v>0.0</v>
      </c>
      <c r="P26" s="695">
        <v>0.0</v>
      </c>
      <c r="Q26" s="695">
        <v>0.0</v>
      </c>
      <c r="R26" s="676">
        <v>0.0</v>
      </c>
      <c r="S26" s="675">
        <v>0.0</v>
      </c>
      <c r="T26" s="676">
        <v>0.0</v>
      </c>
      <c r="U26" s="676">
        <v>0.0</v>
      </c>
      <c r="V26" s="676">
        <v>0.0</v>
      </c>
      <c r="W26" s="698">
        <v>4.5</v>
      </c>
      <c r="X26" s="698">
        <v>0.0</v>
      </c>
      <c r="Y26" s="698">
        <v>1.5</v>
      </c>
      <c r="Z26" s="698">
        <v>0.0</v>
      </c>
      <c r="AA26" s="698">
        <v>0.0</v>
      </c>
      <c r="AB26" s="698">
        <v>0.0</v>
      </c>
      <c r="AC26" s="698">
        <v>7.5</v>
      </c>
      <c r="AD26" s="698">
        <v>0.0</v>
      </c>
      <c r="AE26" s="698">
        <v>1.92</v>
      </c>
      <c r="AF26" s="698">
        <v>0.0</v>
      </c>
      <c r="AG26" s="473">
        <f t="shared" ref="AG26:AG36" si="16">SUM(B26:AF26)</f>
        <v>93.6</v>
      </c>
      <c r="AH26" s="455"/>
      <c r="AI26" s="38"/>
      <c r="AJ26" s="38"/>
      <c r="AK26" s="38"/>
      <c r="AL26" s="38"/>
      <c r="AM26" s="588"/>
      <c r="AN26" s="176"/>
      <c r="AO26" s="177"/>
      <c r="AP26" s="589"/>
      <c r="AQ26" s="590">
        <f t="shared" si="10"/>
        <v>0</v>
      </c>
      <c r="AR26" s="591">
        <f t="shared" si="11"/>
        <v>0</v>
      </c>
      <c r="AS26" s="600"/>
      <c r="AT26" s="591">
        <f t="shared" si="12"/>
        <v>0</v>
      </c>
      <c r="AU26" s="591">
        <f t="shared" si="13"/>
        <v>0</v>
      </c>
      <c r="AV26" s="280"/>
    </row>
    <row r="27" ht="25.5" customHeight="1">
      <c r="A27" s="190" t="s">
        <v>11</v>
      </c>
      <c r="B27" s="605">
        <v>69.0</v>
      </c>
      <c r="C27" s="605">
        <v>25.5</v>
      </c>
      <c r="D27" s="605">
        <v>69.0</v>
      </c>
      <c r="E27" s="605">
        <v>51.0</v>
      </c>
      <c r="F27" s="605">
        <v>6.0</v>
      </c>
      <c r="G27" s="605">
        <v>51.0</v>
      </c>
      <c r="H27" s="605">
        <v>67.5</v>
      </c>
      <c r="I27" s="605">
        <v>99.0</v>
      </c>
      <c r="J27" s="605">
        <v>54.0</v>
      </c>
      <c r="K27" s="605">
        <v>45.12</v>
      </c>
      <c r="L27" s="605">
        <v>46.5</v>
      </c>
      <c r="M27" s="605">
        <v>51.0</v>
      </c>
      <c r="N27" s="605">
        <v>55.5</v>
      </c>
      <c r="O27" s="605">
        <v>24.0</v>
      </c>
      <c r="P27" s="605">
        <v>101.0</v>
      </c>
      <c r="Q27" s="605">
        <v>121.44</v>
      </c>
      <c r="R27" s="605">
        <v>35.52</v>
      </c>
      <c r="S27" s="605">
        <v>125.93</v>
      </c>
      <c r="T27" s="605">
        <v>91.06</v>
      </c>
      <c r="U27" s="605">
        <v>135.0</v>
      </c>
      <c r="V27" s="605">
        <v>153.22</v>
      </c>
      <c r="W27" s="605">
        <v>90.0</v>
      </c>
      <c r="X27" s="605">
        <v>126.58</v>
      </c>
      <c r="Y27" s="605">
        <v>110.76</v>
      </c>
      <c r="Z27" s="605">
        <v>145.8</v>
      </c>
      <c r="AA27" s="605">
        <v>76.5</v>
      </c>
      <c r="AB27" s="605">
        <v>24.0</v>
      </c>
      <c r="AC27" s="606">
        <v>134.44</v>
      </c>
      <c r="AD27" s="606">
        <v>210.76</v>
      </c>
      <c r="AE27" s="606">
        <v>67.5</v>
      </c>
      <c r="AF27" s="606">
        <v>65.8</v>
      </c>
      <c r="AG27" s="473">
        <f t="shared" si="16"/>
        <v>2529.43</v>
      </c>
      <c r="AH27" s="455"/>
      <c r="AI27" s="38"/>
      <c r="AJ27" s="441"/>
      <c r="AK27" s="38"/>
      <c r="AL27" s="38"/>
      <c r="AM27" s="588"/>
      <c r="AN27" s="176"/>
      <c r="AO27" s="177"/>
      <c r="AP27" s="589"/>
      <c r="AQ27" s="590">
        <f t="shared" si="10"/>
        <v>0</v>
      </c>
      <c r="AR27" s="591">
        <f t="shared" si="11"/>
        <v>0</v>
      </c>
      <c r="AS27" s="600"/>
      <c r="AT27" s="591">
        <f t="shared" si="12"/>
        <v>0</v>
      </c>
      <c r="AU27" s="591">
        <f t="shared" si="13"/>
        <v>0</v>
      </c>
      <c r="AV27" s="387"/>
    </row>
    <row r="28" ht="29.25" customHeight="1">
      <c r="A28" s="190" t="s">
        <v>28</v>
      </c>
      <c r="B28" s="699">
        <v>0.12</v>
      </c>
      <c r="C28" s="700">
        <v>0.0</v>
      </c>
      <c r="D28" s="701">
        <v>0.0</v>
      </c>
      <c r="E28" s="701">
        <v>0.0</v>
      </c>
      <c r="F28" s="699">
        <v>0.0</v>
      </c>
      <c r="G28" s="701">
        <v>0.0</v>
      </c>
      <c r="H28" s="701">
        <v>0.0</v>
      </c>
      <c r="I28" s="702">
        <v>0.0</v>
      </c>
      <c r="J28" s="702">
        <v>0.0</v>
      </c>
      <c r="K28" s="702">
        <v>0.0</v>
      </c>
      <c r="L28" s="702">
        <v>0.0</v>
      </c>
      <c r="M28" s="702">
        <v>0.0</v>
      </c>
      <c r="N28" s="702">
        <v>0.0</v>
      </c>
      <c r="O28" s="702">
        <v>0.0</v>
      </c>
      <c r="P28" s="702">
        <v>0.0</v>
      </c>
      <c r="Q28" s="702">
        <v>0.0</v>
      </c>
      <c r="R28" s="702">
        <v>0.0</v>
      </c>
      <c r="S28" s="702">
        <v>0.0</v>
      </c>
      <c r="T28" s="702">
        <v>0.0</v>
      </c>
      <c r="U28" s="702">
        <v>0.0</v>
      </c>
      <c r="V28" s="702">
        <v>0.0</v>
      </c>
      <c r="W28" s="702">
        <v>0.0</v>
      </c>
      <c r="X28" s="702">
        <v>0.0</v>
      </c>
      <c r="Y28" s="702">
        <v>0.0</v>
      </c>
      <c r="Z28" s="702">
        <v>0.0</v>
      </c>
      <c r="AA28" s="702">
        <v>0.0</v>
      </c>
      <c r="AB28" s="702">
        <v>0.0</v>
      </c>
      <c r="AC28" s="629">
        <v>0.0</v>
      </c>
      <c r="AD28" s="629">
        <v>0.0</v>
      </c>
      <c r="AE28" s="629">
        <v>0.0</v>
      </c>
      <c r="AF28" s="629">
        <v>0.0</v>
      </c>
      <c r="AG28" s="473">
        <f t="shared" si="16"/>
        <v>0.12</v>
      </c>
      <c r="AH28" s="455"/>
      <c r="AI28" s="38"/>
      <c r="AJ28" s="38"/>
      <c r="AK28" s="38"/>
      <c r="AL28" s="38"/>
      <c r="AP28" s="220">
        <f>SUM(AP18:AP27)</f>
        <v>753.02</v>
      </c>
      <c r="AQ28" s="38"/>
      <c r="AR28" s="220">
        <f>SUM(AR18:AR27)</f>
        <v>35.76845</v>
      </c>
    </row>
    <row r="29" ht="29.25" customHeight="1">
      <c r="A29" s="190" t="s">
        <v>68</v>
      </c>
      <c r="B29" s="612">
        <v>26.4</v>
      </c>
      <c r="C29" s="613">
        <v>15.75</v>
      </c>
      <c r="D29" s="703">
        <v>10.05</v>
      </c>
      <c r="E29" s="618">
        <v>30.75</v>
      </c>
      <c r="F29" s="617">
        <v>22.5</v>
      </c>
      <c r="G29" s="618">
        <v>14.85</v>
      </c>
      <c r="H29" s="618">
        <v>8.61</v>
      </c>
      <c r="I29" s="618">
        <v>18.6</v>
      </c>
      <c r="J29" s="618">
        <v>51.0</v>
      </c>
      <c r="K29" s="704">
        <v>3.0</v>
      </c>
      <c r="L29" s="618">
        <v>28.8</v>
      </c>
      <c r="M29" s="704">
        <v>3.12</v>
      </c>
      <c r="N29" s="618">
        <v>34.35</v>
      </c>
      <c r="O29" s="618">
        <v>7.05</v>
      </c>
      <c r="P29" s="618">
        <v>23.7</v>
      </c>
      <c r="Q29" s="618">
        <v>10.05</v>
      </c>
      <c r="R29" s="618">
        <v>3.0</v>
      </c>
      <c r="S29" s="618">
        <v>4.5</v>
      </c>
      <c r="T29" s="618">
        <v>13.8</v>
      </c>
      <c r="U29" s="618">
        <v>5.25</v>
      </c>
      <c r="V29" s="618">
        <v>3.0</v>
      </c>
      <c r="W29" s="618">
        <v>6.0</v>
      </c>
      <c r="X29" s="618">
        <v>13.05</v>
      </c>
      <c r="Y29" s="618">
        <v>4.95</v>
      </c>
      <c r="Z29" s="618">
        <v>0.0</v>
      </c>
      <c r="AA29" s="618">
        <v>6.0</v>
      </c>
      <c r="AB29" s="618">
        <v>3.0</v>
      </c>
      <c r="AC29" s="617">
        <v>8.52</v>
      </c>
      <c r="AD29" s="617">
        <v>28.05</v>
      </c>
      <c r="AE29" s="617">
        <v>16.95</v>
      </c>
      <c r="AF29" s="617">
        <v>13.32</v>
      </c>
      <c r="AG29" s="473">
        <f t="shared" si="16"/>
        <v>437.97</v>
      </c>
      <c r="AH29" s="455"/>
      <c r="AI29" s="38"/>
      <c r="AJ29" s="38"/>
      <c r="AK29" s="38"/>
      <c r="AL29" s="38"/>
      <c r="AM29" s="38"/>
      <c r="AN29" s="38"/>
      <c r="AO29" s="226"/>
      <c r="AP29" s="226"/>
      <c r="AQ29" s="226"/>
    </row>
    <row r="30" ht="29.25" customHeight="1">
      <c r="A30" s="190" t="s">
        <v>69</v>
      </c>
      <c r="B30" s="607">
        <v>0.0</v>
      </c>
      <c r="C30" s="705">
        <v>9.74</v>
      </c>
      <c r="D30" s="705">
        <v>6.0</v>
      </c>
      <c r="E30" s="705">
        <v>0.12</v>
      </c>
      <c r="F30" s="706">
        <v>3.0</v>
      </c>
      <c r="G30" s="705">
        <v>6.0</v>
      </c>
      <c r="H30" s="705">
        <v>9.6</v>
      </c>
      <c r="I30" s="705">
        <v>5.37</v>
      </c>
      <c r="J30" s="705">
        <v>2.1</v>
      </c>
      <c r="K30" s="705">
        <v>3.0</v>
      </c>
      <c r="L30" s="705">
        <v>12.12</v>
      </c>
      <c r="M30" s="705">
        <v>3.0</v>
      </c>
      <c r="N30" s="705">
        <v>10.5</v>
      </c>
      <c r="O30" s="705">
        <v>3.0</v>
      </c>
      <c r="P30" s="705">
        <v>9.0</v>
      </c>
      <c r="Q30" s="705">
        <v>15.3</v>
      </c>
      <c r="R30" s="705">
        <v>1.5</v>
      </c>
      <c r="S30" s="705">
        <v>0.0</v>
      </c>
      <c r="T30" s="702">
        <v>0.0</v>
      </c>
      <c r="U30" s="702">
        <v>0.0</v>
      </c>
      <c r="V30" s="702">
        <v>0.0</v>
      </c>
      <c r="W30" s="702">
        <v>0.0</v>
      </c>
      <c r="X30" s="702">
        <v>0.0</v>
      </c>
      <c r="Y30" s="702">
        <v>0.0</v>
      </c>
      <c r="Z30" s="702">
        <v>0.0</v>
      </c>
      <c r="AA30" s="702">
        <v>0.0</v>
      </c>
      <c r="AB30" s="702">
        <v>0.0</v>
      </c>
      <c r="AC30" s="629">
        <v>0.0</v>
      </c>
      <c r="AD30" s="629">
        <v>0.0</v>
      </c>
      <c r="AE30" s="629">
        <v>0.0</v>
      </c>
      <c r="AF30" s="629">
        <v>0.0</v>
      </c>
      <c r="AG30" s="473">
        <f t="shared" si="16"/>
        <v>99.35</v>
      </c>
      <c r="AH30" s="455"/>
      <c r="AI30" s="38"/>
      <c r="AJ30" s="38"/>
      <c r="AK30" s="38"/>
      <c r="AL30" s="38"/>
      <c r="AM30" s="38"/>
      <c r="AN30" s="38"/>
      <c r="AO30" s="226"/>
      <c r="AP30" s="226"/>
      <c r="AQ30" s="226"/>
    </row>
    <row r="31" ht="29.25" customHeight="1">
      <c r="A31" s="193" t="s">
        <v>81</v>
      </c>
      <c r="B31" s="621">
        <v>6.24</v>
      </c>
      <c r="C31" s="620">
        <v>13.5</v>
      </c>
      <c r="D31" s="620">
        <v>16.5</v>
      </c>
      <c r="E31" s="620">
        <v>12.12</v>
      </c>
      <c r="F31" s="621">
        <v>0.0</v>
      </c>
      <c r="G31" s="620">
        <v>3.0</v>
      </c>
      <c r="H31" s="620">
        <v>4.62</v>
      </c>
      <c r="I31" s="620">
        <v>3.12</v>
      </c>
      <c r="J31" s="620">
        <v>7.5</v>
      </c>
      <c r="K31" s="620">
        <v>1.5</v>
      </c>
      <c r="L31" s="620">
        <v>3.0</v>
      </c>
      <c r="M31" s="620">
        <v>4.62</v>
      </c>
      <c r="N31" s="620">
        <v>6.0</v>
      </c>
      <c r="O31" s="620">
        <v>3.0</v>
      </c>
      <c r="P31" s="620">
        <v>3.0</v>
      </c>
      <c r="Q31" s="620">
        <v>0.12</v>
      </c>
      <c r="R31" s="620">
        <v>3.0</v>
      </c>
      <c r="S31" s="620">
        <v>0.0</v>
      </c>
      <c r="T31" s="705">
        <v>25.8</v>
      </c>
      <c r="U31" s="705">
        <v>9.0</v>
      </c>
      <c r="V31" s="705">
        <v>19.5</v>
      </c>
      <c r="W31" s="705">
        <v>16.5</v>
      </c>
      <c r="X31" s="705">
        <v>7.5</v>
      </c>
      <c r="Y31" s="705">
        <v>9.75</v>
      </c>
      <c r="Z31" s="705">
        <v>14.25</v>
      </c>
      <c r="AA31" s="705">
        <v>23.4</v>
      </c>
      <c r="AB31" s="705">
        <v>9.0</v>
      </c>
      <c r="AC31" s="706">
        <v>14.5</v>
      </c>
      <c r="AD31" s="706">
        <v>4.5</v>
      </c>
      <c r="AE31" s="706">
        <v>6.0</v>
      </c>
      <c r="AF31" s="706">
        <v>8.85</v>
      </c>
      <c r="AG31" s="473">
        <f t="shared" si="16"/>
        <v>259.39</v>
      </c>
      <c r="AH31" s="455"/>
      <c r="AI31" s="38"/>
      <c r="AJ31" s="38"/>
      <c r="AK31" s="38"/>
      <c r="AL31" s="38"/>
      <c r="AM31" s="38"/>
      <c r="AN31" s="38"/>
      <c r="AO31" s="226"/>
      <c r="AP31" s="226"/>
      <c r="AQ31" s="226"/>
    </row>
    <row r="32" ht="29.25" customHeight="1">
      <c r="A32" s="193" t="s">
        <v>82</v>
      </c>
      <c r="B32" s="595">
        <v>1.5</v>
      </c>
      <c r="C32" s="594">
        <v>3.0</v>
      </c>
      <c r="D32" s="594">
        <v>0.0</v>
      </c>
      <c r="E32" s="594">
        <v>0.0</v>
      </c>
      <c r="F32" s="595">
        <v>1.5</v>
      </c>
      <c r="G32" s="608">
        <v>0.0</v>
      </c>
      <c r="H32" s="608">
        <v>0.0</v>
      </c>
      <c r="I32" s="608">
        <v>0.0</v>
      </c>
      <c r="J32" s="608">
        <v>0.0</v>
      </c>
      <c r="K32" s="608">
        <v>0.0</v>
      </c>
      <c r="L32" s="608">
        <v>0.0</v>
      </c>
      <c r="M32" s="608">
        <v>0.0</v>
      </c>
      <c r="N32" s="608">
        <v>0.0</v>
      </c>
      <c r="O32" s="608">
        <v>0.0</v>
      </c>
      <c r="P32" s="608">
        <v>0.0</v>
      </c>
      <c r="Q32" s="608">
        <v>0.0</v>
      </c>
      <c r="R32" s="608">
        <v>0.0</v>
      </c>
      <c r="S32" s="608">
        <v>0.0</v>
      </c>
      <c r="T32" s="608">
        <v>0.0</v>
      </c>
      <c r="U32" s="608">
        <v>0.0</v>
      </c>
      <c r="V32" s="608">
        <v>0.0</v>
      </c>
      <c r="W32" s="608">
        <v>0.0</v>
      </c>
      <c r="X32" s="608">
        <v>0.0</v>
      </c>
      <c r="Y32" s="608">
        <v>0.0</v>
      </c>
      <c r="Z32" s="608">
        <v>0.0</v>
      </c>
      <c r="AA32" s="608">
        <v>0.0</v>
      </c>
      <c r="AB32" s="608">
        <v>0.0</v>
      </c>
      <c r="AC32" s="607">
        <v>0.0</v>
      </c>
      <c r="AD32" s="616">
        <v>1.5</v>
      </c>
      <c r="AE32" s="607">
        <v>0.0</v>
      </c>
      <c r="AF32" s="607">
        <v>0.0</v>
      </c>
      <c r="AG32" s="473">
        <f t="shared" si="16"/>
        <v>7.5</v>
      </c>
      <c r="AH32" s="455"/>
      <c r="AI32" s="38"/>
      <c r="AJ32" s="38"/>
      <c r="AK32" s="38"/>
      <c r="AL32" s="38"/>
      <c r="AM32" s="38"/>
      <c r="AN32" s="38"/>
      <c r="AO32" s="226"/>
      <c r="AP32" s="226"/>
      <c r="AQ32" s="226"/>
    </row>
    <row r="33" ht="29.25" customHeight="1">
      <c r="A33" s="622" t="s">
        <v>83</v>
      </c>
      <c r="B33" s="624">
        <v>15.12</v>
      </c>
      <c r="C33" s="623">
        <v>102.12</v>
      </c>
      <c r="D33" s="623">
        <v>46.5</v>
      </c>
      <c r="E33" s="623">
        <v>24.0</v>
      </c>
      <c r="F33" s="624">
        <v>22.5</v>
      </c>
      <c r="G33" s="623">
        <v>19.5</v>
      </c>
      <c r="H33" s="623">
        <v>31.5</v>
      </c>
      <c r="I33" s="623">
        <v>10.5</v>
      </c>
      <c r="J33" s="623">
        <v>43.86</v>
      </c>
      <c r="K33" s="623">
        <v>97.62</v>
      </c>
      <c r="L33" s="623">
        <v>63.0</v>
      </c>
      <c r="M33" s="623">
        <v>63.0</v>
      </c>
      <c r="N33" s="623">
        <v>51.12</v>
      </c>
      <c r="O33" s="623">
        <v>93.0</v>
      </c>
      <c r="P33" s="623">
        <v>67.74</v>
      </c>
      <c r="Q33" s="623">
        <v>96.0</v>
      </c>
      <c r="R33" s="623">
        <v>87.0</v>
      </c>
      <c r="S33" s="623">
        <v>118.74</v>
      </c>
      <c r="T33" s="623">
        <v>34.74</v>
      </c>
      <c r="U33" s="623">
        <v>51.24</v>
      </c>
      <c r="V33" s="623">
        <v>70.5</v>
      </c>
      <c r="W33" s="623">
        <v>58.62</v>
      </c>
      <c r="X33" s="623">
        <v>16.5</v>
      </c>
      <c r="Y33" s="623">
        <v>19.62</v>
      </c>
      <c r="Z33" s="623">
        <v>24.0</v>
      </c>
      <c r="AA33" s="623">
        <v>55.5</v>
      </c>
      <c r="AB33" s="623">
        <v>42.0</v>
      </c>
      <c r="AC33" s="624">
        <v>45.0</v>
      </c>
      <c r="AD33" s="624">
        <v>36.0</v>
      </c>
      <c r="AE33" s="624">
        <v>24.12</v>
      </c>
      <c r="AF33" s="624">
        <v>13.62</v>
      </c>
      <c r="AG33" s="473">
        <f t="shared" si="16"/>
        <v>1544.28</v>
      </c>
      <c r="AH33" s="455"/>
      <c r="AI33" s="38"/>
      <c r="AJ33" s="38"/>
      <c r="AK33" s="38"/>
      <c r="AL33" s="38"/>
      <c r="AM33" s="38"/>
      <c r="AN33" s="38"/>
      <c r="AO33" s="226"/>
      <c r="AP33" s="226"/>
      <c r="AQ33" s="226"/>
    </row>
    <row r="34" ht="29.25" customHeight="1">
      <c r="A34" s="622" t="s">
        <v>84</v>
      </c>
      <c r="B34" s="612">
        <v>9.0</v>
      </c>
      <c r="C34" s="613">
        <v>27.0</v>
      </c>
      <c r="D34" s="707">
        <v>25.8</v>
      </c>
      <c r="E34" s="707">
        <v>18.5</v>
      </c>
      <c r="F34" s="708">
        <v>24.0</v>
      </c>
      <c r="G34" s="707">
        <v>6.12</v>
      </c>
      <c r="H34" s="707">
        <v>6.12</v>
      </c>
      <c r="I34" s="707">
        <v>12.0</v>
      </c>
      <c r="J34" s="707">
        <v>36.0</v>
      </c>
      <c r="K34" s="707">
        <v>0.0</v>
      </c>
      <c r="L34" s="707">
        <v>31.5</v>
      </c>
      <c r="M34" s="707">
        <v>16.5</v>
      </c>
      <c r="N34" s="707">
        <v>19.86</v>
      </c>
      <c r="O34" s="707">
        <v>0.0</v>
      </c>
      <c r="P34" s="615">
        <v>0.0</v>
      </c>
      <c r="Q34" s="615">
        <v>16.5</v>
      </c>
      <c r="R34" s="615">
        <v>0.0</v>
      </c>
      <c r="S34" s="615">
        <v>1.41</v>
      </c>
      <c r="T34" s="615">
        <v>21.42</v>
      </c>
      <c r="U34" s="615">
        <v>0.0</v>
      </c>
      <c r="V34" s="615">
        <v>0.0</v>
      </c>
      <c r="W34" s="707">
        <v>32.64</v>
      </c>
      <c r="X34" s="707">
        <v>49.66</v>
      </c>
      <c r="Y34" s="707">
        <v>27.86</v>
      </c>
      <c r="Z34" s="707">
        <v>27.28</v>
      </c>
      <c r="AA34" s="707">
        <v>32.42</v>
      </c>
      <c r="AB34" s="707">
        <v>37.74</v>
      </c>
      <c r="AC34" s="708">
        <v>6.88</v>
      </c>
      <c r="AD34" s="708">
        <v>49.39</v>
      </c>
      <c r="AE34" s="708">
        <v>33.7</v>
      </c>
      <c r="AF34" s="708">
        <v>23.28</v>
      </c>
      <c r="AG34" s="473">
        <f t="shared" si="16"/>
        <v>592.58</v>
      </c>
      <c r="AH34" s="455"/>
      <c r="AI34" s="38"/>
      <c r="AJ34" s="38"/>
      <c r="AK34" s="38"/>
      <c r="AL34" s="38"/>
      <c r="AM34" s="38"/>
      <c r="AN34" s="38"/>
      <c r="AO34" s="226"/>
      <c r="AP34" s="226"/>
      <c r="AQ34" s="226"/>
    </row>
    <row r="35" ht="29.25" customHeight="1">
      <c r="A35" s="622" t="s">
        <v>85</v>
      </c>
      <c r="B35" s="627">
        <v>1.5</v>
      </c>
      <c r="C35" s="709">
        <v>0.12</v>
      </c>
      <c r="D35" s="709">
        <v>0.0</v>
      </c>
      <c r="E35" s="709">
        <v>4.47</v>
      </c>
      <c r="F35" s="627">
        <v>0.0</v>
      </c>
      <c r="G35" s="709">
        <v>3.0</v>
      </c>
      <c r="H35" s="709">
        <v>0.0</v>
      </c>
      <c r="I35" s="709">
        <v>0.24</v>
      </c>
      <c r="J35" s="710">
        <v>0.0</v>
      </c>
      <c r="K35" s="710">
        <v>0.0</v>
      </c>
      <c r="L35" s="710">
        <v>0.0</v>
      </c>
      <c r="M35" s="615">
        <v>1.5</v>
      </c>
      <c r="N35" s="615">
        <v>22.4</v>
      </c>
      <c r="O35" s="615">
        <v>10.5</v>
      </c>
      <c r="P35" s="615">
        <v>4.5</v>
      </c>
      <c r="Q35" s="620">
        <v>0.0</v>
      </c>
      <c r="R35" s="620">
        <v>0.0</v>
      </c>
      <c r="S35" s="620">
        <v>20.9</v>
      </c>
      <c r="T35" s="620">
        <v>4.5</v>
      </c>
      <c r="U35" s="620">
        <v>4.5</v>
      </c>
      <c r="V35" s="620">
        <v>21.15</v>
      </c>
      <c r="W35" s="620">
        <v>30.75</v>
      </c>
      <c r="X35" s="620">
        <v>1.5</v>
      </c>
      <c r="Y35" s="620">
        <v>0.0</v>
      </c>
      <c r="Z35" s="620">
        <v>0.0</v>
      </c>
      <c r="AA35" s="711">
        <v>15.24</v>
      </c>
      <c r="AB35" s="709">
        <v>17.7</v>
      </c>
      <c r="AC35" s="626">
        <v>16.95</v>
      </c>
      <c r="AD35" s="627">
        <v>23.25</v>
      </c>
      <c r="AE35" s="627">
        <v>18.15</v>
      </c>
      <c r="AF35" s="627">
        <v>0.0</v>
      </c>
      <c r="AG35" s="473">
        <f t="shared" si="16"/>
        <v>222.82</v>
      </c>
      <c r="AH35" s="455"/>
      <c r="AI35" s="38"/>
      <c r="AJ35" s="38"/>
      <c r="AK35" s="38"/>
      <c r="AL35" s="38"/>
      <c r="AM35" s="38"/>
      <c r="AN35" s="38"/>
      <c r="AO35" s="226"/>
      <c r="AP35" s="226"/>
      <c r="AQ35" s="226"/>
    </row>
    <row r="36" ht="29.25" customHeight="1">
      <c r="A36" s="190" t="s">
        <v>90</v>
      </c>
      <c r="B36" s="552">
        <v>0.0</v>
      </c>
      <c r="C36" s="712">
        <v>1.62</v>
      </c>
      <c r="D36" s="712">
        <v>3.12</v>
      </c>
      <c r="E36" s="712">
        <v>0.0</v>
      </c>
      <c r="F36" s="713">
        <v>3.36</v>
      </c>
      <c r="G36" s="712">
        <v>1.62</v>
      </c>
      <c r="H36" s="712">
        <v>0.56</v>
      </c>
      <c r="I36" s="712">
        <v>3.0</v>
      </c>
      <c r="J36" s="712">
        <v>21.68</v>
      </c>
      <c r="K36" s="712">
        <v>3.56</v>
      </c>
      <c r="L36" s="712">
        <v>14.54</v>
      </c>
      <c r="M36" s="712">
        <v>3.0</v>
      </c>
      <c r="N36" s="712">
        <v>2.3</v>
      </c>
      <c r="O36" s="712">
        <v>4.62</v>
      </c>
      <c r="P36" s="712">
        <v>6.82</v>
      </c>
      <c r="Q36" s="712">
        <v>19.78</v>
      </c>
      <c r="R36" s="712">
        <v>2.66</v>
      </c>
      <c r="S36" s="712">
        <v>8.9</v>
      </c>
      <c r="T36" s="712">
        <v>7.66</v>
      </c>
      <c r="U36" s="712">
        <v>12.12</v>
      </c>
      <c r="V36" s="712">
        <v>16.68</v>
      </c>
      <c r="W36" s="712">
        <v>3.98</v>
      </c>
      <c r="X36" s="712">
        <v>31.78</v>
      </c>
      <c r="Y36" s="712">
        <v>12.96</v>
      </c>
      <c r="Z36" s="712">
        <v>9.72</v>
      </c>
      <c r="AA36" s="714">
        <v>4.5</v>
      </c>
      <c r="AB36" s="715">
        <v>6.0</v>
      </c>
      <c r="AC36" s="716">
        <v>3.0</v>
      </c>
      <c r="AD36" s="713">
        <v>0.14</v>
      </c>
      <c r="AE36" s="713">
        <v>8.72</v>
      </c>
      <c r="AF36" s="713">
        <v>3.0</v>
      </c>
      <c r="AG36" s="473">
        <f t="shared" si="16"/>
        <v>221.4</v>
      </c>
      <c r="AH36" s="455"/>
      <c r="AI36" s="38"/>
      <c r="AJ36" s="38"/>
      <c r="AK36" s="38"/>
      <c r="AL36" s="38"/>
      <c r="AM36" s="38"/>
      <c r="AN36" s="38"/>
      <c r="AO36" s="226"/>
      <c r="AP36" s="226"/>
      <c r="AQ36" s="226"/>
    </row>
    <row r="37" ht="29.25" customHeight="1">
      <c r="A37" s="717" t="s">
        <v>91</v>
      </c>
      <c r="B37" s="718">
        <v>0.0</v>
      </c>
      <c r="C37" s="719">
        <v>0.0</v>
      </c>
      <c r="D37" s="719">
        <v>0.0</v>
      </c>
      <c r="E37" s="719">
        <v>0.0</v>
      </c>
      <c r="F37" s="718">
        <v>0.0</v>
      </c>
      <c r="G37" s="719">
        <v>0.0</v>
      </c>
      <c r="H37" s="719">
        <v>0.0</v>
      </c>
      <c r="I37" s="720">
        <v>7.5</v>
      </c>
      <c r="J37" s="720">
        <v>7.5</v>
      </c>
      <c r="K37" s="720">
        <v>34.78</v>
      </c>
      <c r="L37" s="720">
        <v>31.18</v>
      </c>
      <c r="M37" s="720">
        <v>12.78</v>
      </c>
      <c r="N37" s="720">
        <v>9.06</v>
      </c>
      <c r="O37" s="720">
        <v>24.13</v>
      </c>
      <c r="P37" s="720">
        <v>0.0</v>
      </c>
      <c r="Q37" s="721">
        <v>84.1</v>
      </c>
      <c r="R37" s="721">
        <v>0.0</v>
      </c>
      <c r="S37" s="721">
        <v>0.0</v>
      </c>
      <c r="T37" s="721">
        <v>4.62</v>
      </c>
      <c r="U37" s="721">
        <v>6.12</v>
      </c>
      <c r="V37" s="721">
        <v>0.0</v>
      </c>
      <c r="W37" s="721">
        <v>0.0</v>
      </c>
      <c r="X37" s="721">
        <v>22.98</v>
      </c>
      <c r="Y37" s="721">
        <v>20.22</v>
      </c>
      <c r="Z37" s="721">
        <v>0.0</v>
      </c>
      <c r="AA37" s="722">
        <v>38.38</v>
      </c>
      <c r="AB37" s="721">
        <v>29.38</v>
      </c>
      <c r="AC37" s="723">
        <v>39.8</v>
      </c>
      <c r="AD37" s="724">
        <v>22.34</v>
      </c>
      <c r="AE37" s="724">
        <v>0.0</v>
      </c>
      <c r="AF37" s="725">
        <v>27.75</v>
      </c>
      <c r="AG37" s="454">
        <f>SUM(B40:AF40)</f>
        <v>724.06</v>
      </c>
      <c r="AH37" s="455"/>
      <c r="AI37" s="38"/>
      <c r="AJ37" s="38"/>
      <c r="AK37" s="38"/>
      <c r="AL37" s="38"/>
      <c r="AM37" s="38"/>
      <c r="AN37" s="38"/>
      <c r="AO37" s="226"/>
      <c r="AP37" s="226"/>
      <c r="AQ37" s="226"/>
    </row>
    <row r="38" ht="29.25" customHeight="1">
      <c r="A38" s="726" t="s">
        <v>92</v>
      </c>
      <c r="B38" s="607">
        <v>0.0</v>
      </c>
      <c r="C38" s="608">
        <v>0.0</v>
      </c>
      <c r="D38" s="608">
        <v>0.0</v>
      </c>
      <c r="E38" s="608">
        <v>0.0</v>
      </c>
      <c r="F38" s="607">
        <v>0.0</v>
      </c>
      <c r="G38" s="608">
        <v>7.0</v>
      </c>
      <c r="H38" s="703">
        <v>6.78</v>
      </c>
      <c r="I38" s="703">
        <v>8.29</v>
      </c>
      <c r="J38" s="703">
        <v>20.9</v>
      </c>
      <c r="K38" s="703">
        <v>0.0</v>
      </c>
      <c r="L38" s="703">
        <v>10.5</v>
      </c>
      <c r="M38" s="703">
        <v>22.26</v>
      </c>
      <c r="N38" s="703">
        <v>23.86</v>
      </c>
      <c r="O38" s="703">
        <v>0.0</v>
      </c>
      <c r="P38" s="703">
        <v>18.7</v>
      </c>
      <c r="Q38" s="703">
        <v>0.0</v>
      </c>
      <c r="R38" s="703">
        <v>9.12</v>
      </c>
      <c r="S38" s="703">
        <v>22.45</v>
      </c>
      <c r="T38" s="703">
        <v>16.5</v>
      </c>
      <c r="U38" s="703">
        <v>0.0</v>
      </c>
      <c r="V38" s="703">
        <v>18.72</v>
      </c>
      <c r="W38" s="703">
        <v>12.0</v>
      </c>
      <c r="X38" s="703">
        <v>1.5</v>
      </c>
      <c r="Y38" s="703">
        <v>3.0</v>
      </c>
      <c r="Z38" s="703">
        <v>4.26</v>
      </c>
      <c r="AA38" s="727">
        <v>5.02</v>
      </c>
      <c r="AB38" s="728">
        <v>12.0</v>
      </c>
      <c r="AC38" s="729">
        <v>4.96</v>
      </c>
      <c r="AD38" s="730">
        <v>24.56</v>
      </c>
      <c r="AE38" s="730">
        <v>19.68</v>
      </c>
      <c r="AF38" s="731">
        <v>6.0</v>
      </c>
      <c r="AH38" s="455"/>
      <c r="AI38" s="38"/>
      <c r="AJ38" s="38"/>
      <c r="AK38" s="38"/>
      <c r="AL38" s="38"/>
      <c r="AM38" s="38"/>
      <c r="AN38" s="38"/>
      <c r="AO38" s="226"/>
      <c r="AP38" s="226"/>
      <c r="AQ38" s="226"/>
    </row>
    <row r="39" ht="22.5" customHeight="1">
      <c r="A39" s="726" t="s">
        <v>93</v>
      </c>
      <c r="B39" s="552">
        <v>0.0</v>
      </c>
      <c r="C39" s="552">
        <v>0.0</v>
      </c>
      <c r="D39" s="552">
        <v>0.0</v>
      </c>
      <c r="E39" s="552">
        <v>0.0</v>
      </c>
      <c r="F39" s="552">
        <v>0.0</v>
      </c>
      <c r="G39" s="732">
        <v>0.0</v>
      </c>
      <c r="H39" s="732">
        <v>0.0</v>
      </c>
      <c r="I39" s="732">
        <v>0.0</v>
      </c>
      <c r="J39" s="732">
        <v>0.0</v>
      </c>
      <c r="K39" s="732">
        <v>0.0</v>
      </c>
      <c r="L39" s="732">
        <v>0.0</v>
      </c>
      <c r="M39" s="732">
        <v>0.0</v>
      </c>
      <c r="N39" s="732">
        <v>0.0</v>
      </c>
      <c r="O39" s="732">
        <v>0.0</v>
      </c>
      <c r="P39" s="732">
        <v>0.0</v>
      </c>
      <c r="Q39" s="732">
        <v>0.0</v>
      </c>
      <c r="R39" s="732">
        <v>6.24</v>
      </c>
      <c r="S39" s="732">
        <v>0.0</v>
      </c>
      <c r="T39" s="732">
        <v>0.0</v>
      </c>
      <c r="U39" s="732">
        <v>11.68</v>
      </c>
      <c r="V39" s="732">
        <v>5.46</v>
      </c>
      <c r="W39" s="552">
        <v>0.0</v>
      </c>
      <c r="X39" s="552">
        <v>0.0</v>
      </c>
      <c r="Y39" s="552">
        <v>0.0</v>
      </c>
      <c r="Z39" s="552">
        <v>0.0</v>
      </c>
      <c r="AA39" s="733">
        <v>0.0</v>
      </c>
      <c r="AB39" s="734">
        <v>0.0</v>
      </c>
      <c r="AC39" s="735">
        <v>0.0</v>
      </c>
      <c r="AD39" s="552">
        <v>0.0</v>
      </c>
      <c r="AE39" s="552">
        <v>0.0</v>
      </c>
      <c r="AF39" s="733">
        <v>0.0</v>
      </c>
      <c r="AH39" s="455"/>
      <c r="AI39" s="38"/>
      <c r="AJ39" s="38"/>
      <c r="AK39" s="38"/>
      <c r="AL39" s="38"/>
      <c r="AM39" s="38"/>
      <c r="AN39" s="38"/>
      <c r="AO39" s="226"/>
      <c r="AP39" s="226"/>
      <c r="AQ39" s="226"/>
    </row>
    <row r="40" ht="22.5" customHeight="1">
      <c r="A40" s="736" t="s">
        <v>94</v>
      </c>
      <c r="B40" s="737">
        <f t="shared" ref="B40:AF40" si="17">SUM(B37:B38,B39)</f>
        <v>0</v>
      </c>
      <c r="C40" s="737">
        <f t="shared" si="17"/>
        <v>0</v>
      </c>
      <c r="D40" s="737">
        <f t="shared" si="17"/>
        <v>0</v>
      </c>
      <c r="E40" s="737">
        <f t="shared" si="17"/>
        <v>0</v>
      </c>
      <c r="F40" s="737">
        <f t="shared" si="17"/>
        <v>0</v>
      </c>
      <c r="G40" s="737">
        <f t="shared" si="17"/>
        <v>7</v>
      </c>
      <c r="H40" s="737">
        <f t="shared" si="17"/>
        <v>6.78</v>
      </c>
      <c r="I40" s="737">
        <f t="shared" si="17"/>
        <v>15.79</v>
      </c>
      <c r="J40" s="737">
        <f t="shared" si="17"/>
        <v>28.4</v>
      </c>
      <c r="K40" s="737">
        <f t="shared" si="17"/>
        <v>34.78</v>
      </c>
      <c r="L40" s="737">
        <f t="shared" si="17"/>
        <v>41.68</v>
      </c>
      <c r="M40" s="737">
        <f t="shared" si="17"/>
        <v>35.04</v>
      </c>
      <c r="N40" s="737">
        <f t="shared" si="17"/>
        <v>32.92</v>
      </c>
      <c r="O40" s="737">
        <f t="shared" si="17"/>
        <v>24.13</v>
      </c>
      <c r="P40" s="737">
        <f t="shared" si="17"/>
        <v>18.7</v>
      </c>
      <c r="Q40" s="737">
        <f t="shared" si="17"/>
        <v>84.1</v>
      </c>
      <c r="R40" s="737">
        <f t="shared" si="17"/>
        <v>15.36</v>
      </c>
      <c r="S40" s="737">
        <f t="shared" si="17"/>
        <v>22.45</v>
      </c>
      <c r="T40" s="737">
        <f t="shared" si="17"/>
        <v>21.12</v>
      </c>
      <c r="U40" s="737">
        <f t="shared" si="17"/>
        <v>17.8</v>
      </c>
      <c r="V40" s="737">
        <f t="shared" si="17"/>
        <v>24.18</v>
      </c>
      <c r="W40" s="737">
        <f t="shared" si="17"/>
        <v>12</v>
      </c>
      <c r="X40" s="737">
        <f t="shared" si="17"/>
        <v>24.48</v>
      </c>
      <c r="Y40" s="737">
        <f t="shared" si="17"/>
        <v>23.22</v>
      </c>
      <c r="Z40" s="737">
        <f t="shared" si="17"/>
        <v>4.26</v>
      </c>
      <c r="AA40" s="737">
        <f t="shared" si="17"/>
        <v>43.4</v>
      </c>
      <c r="AB40" s="737">
        <f t="shared" si="17"/>
        <v>41.38</v>
      </c>
      <c r="AC40" s="737">
        <f t="shared" si="17"/>
        <v>44.76</v>
      </c>
      <c r="AD40" s="737">
        <f t="shared" si="17"/>
        <v>46.9</v>
      </c>
      <c r="AE40" s="737">
        <f t="shared" si="17"/>
        <v>19.68</v>
      </c>
      <c r="AF40" s="737">
        <f t="shared" si="17"/>
        <v>33.75</v>
      </c>
      <c r="AG40" s="466"/>
      <c r="AH40" s="455"/>
      <c r="AI40" s="38"/>
      <c r="AJ40" s="38"/>
      <c r="AK40" s="38"/>
      <c r="AL40" s="38"/>
      <c r="AM40" s="38"/>
      <c r="AN40" s="38"/>
      <c r="AO40" s="226"/>
      <c r="AP40" s="226"/>
      <c r="AQ40" s="226"/>
    </row>
    <row r="41" ht="29.25" customHeight="1">
      <c r="A41" s="190" t="s">
        <v>95</v>
      </c>
      <c r="B41" s="734">
        <v>0.0</v>
      </c>
      <c r="C41" s="738">
        <v>4.5</v>
      </c>
      <c r="D41" s="738">
        <v>0.0</v>
      </c>
      <c r="E41" s="738">
        <v>0.0</v>
      </c>
      <c r="F41" s="734">
        <v>3.0</v>
      </c>
      <c r="G41" s="738">
        <v>6.12</v>
      </c>
      <c r="H41" s="738">
        <v>3.14</v>
      </c>
      <c r="I41" s="738">
        <v>0.12</v>
      </c>
      <c r="J41" s="738">
        <v>0.0</v>
      </c>
      <c r="K41" s="738">
        <v>0.0</v>
      </c>
      <c r="L41" s="715">
        <v>0.0</v>
      </c>
      <c r="M41" s="715">
        <v>0.0</v>
      </c>
      <c r="N41" s="715">
        <v>0.0</v>
      </c>
      <c r="O41" s="715">
        <v>1.5</v>
      </c>
      <c r="P41" s="715">
        <v>1.78</v>
      </c>
      <c r="Q41" s="715">
        <v>1.5</v>
      </c>
      <c r="R41" s="715">
        <v>7.99</v>
      </c>
      <c r="S41" s="715">
        <v>0.0</v>
      </c>
      <c r="T41" s="715">
        <v>0.0</v>
      </c>
      <c r="U41" s="715">
        <v>0.24</v>
      </c>
      <c r="V41" s="715">
        <v>0.0</v>
      </c>
      <c r="W41" s="739">
        <v>0.0</v>
      </c>
      <c r="X41" s="739">
        <v>0.0</v>
      </c>
      <c r="Y41" s="739">
        <v>0.0</v>
      </c>
      <c r="Z41" s="739">
        <v>0.0</v>
      </c>
      <c r="AA41" s="739">
        <v>0.0</v>
      </c>
      <c r="AB41" s="739">
        <v>0.0</v>
      </c>
      <c r="AC41" s="740">
        <v>0.0</v>
      </c>
      <c r="AD41" s="740">
        <v>0.0</v>
      </c>
      <c r="AE41" s="740">
        <v>0.0</v>
      </c>
      <c r="AF41" s="740">
        <v>0.0</v>
      </c>
      <c r="AG41" s="473">
        <f t="shared" ref="AG41:AG48" si="18">SUM(B41:AF41)</f>
        <v>29.89</v>
      </c>
      <c r="AH41" s="455"/>
      <c r="AI41" s="38"/>
      <c r="AJ41" s="38"/>
      <c r="AK41" s="38"/>
      <c r="AL41" s="38"/>
      <c r="AM41" s="38"/>
      <c r="AN41" s="38"/>
      <c r="AO41" s="226"/>
      <c r="AP41" s="226"/>
      <c r="AQ41" s="226"/>
    </row>
    <row r="42" ht="29.25" customHeight="1">
      <c r="A42" s="190" t="s">
        <v>96</v>
      </c>
      <c r="B42" s="607">
        <v>9.14</v>
      </c>
      <c r="C42" s="608">
        <v>0.0</v>
      </c>
      <c r="D42" s="608">
        <v>0.0</v>
      </c>
      <c r="E42" s="608">
        <v>0.0</v>
      </c>
      <c r="F42" s="607">
        <v>0.0</v>
      </c>
      <c r="G42" s="608">
        <v>0.0</v>
      </c>
      <c r="H42" s="608">
        <v>0.0</v>
      </c>
      <c r="I42" s="608">
        <v>0.0</v>
      </c>
      <c r="J42" s="608">
        <v>0.0</v>
      </c>
      <c r="K42" s="615">
        <v>24.5</v>
      </c>
      <c r="L42" s="615">
        <v>4.62</v>
      </c>
      <c r="M42" s="615">
        <v>0.28</v>
      </c>
      <c r="N42" s="594">
        <v>25.27</v>
      </c>
      <c r="O42" s="594">
        <v>13.2</v>
      </c>
      <c r="P42" s="594">
        <v>19.24</v>
      </c>
      <c r="Q42" s="594">
        <v>0.0</v>
      </c>
      <c r="R42" s="594">
        <v>4.5</v>
      </c>
      <c r="S42" s="594">
        <v>0.0</v>
      </c>
      <c r="T42" s="608">
        <v>0.0</v>
      </c>
      <c r="U42" s="608">
        <v>0.0</v>
      </c>
      <c r="V42" s="615">
        <v>0.0</v>
      </c>
      <c r="W42" s="615">
        <v>9.34</v>
      </c>
      <c r="X42" s="615">
        <v>5.48</v>
      </c>
      <c r="Y42" s="615">
        <v>4.5</v>
      </c>
      <c r="Z42" s="615">
        <v>4.5</v>
      </c>
      <c r="AA42" s="615">
        <v>0.0</v>
      </c>
      <c r="AB42" s="615">
        <v>4.5</v>
      </c>
      <c r="AC42" s="616">
        <v>4.5</v>
      </c>
      <c r="AD42" s="616">
        <v>4.5</v>
      </c>
      <c r="AE42" s="616">
        <v>0.0</v>
      </c>
      <c r="AF42" s="616">
        <v>0.0</v>
      </c>
      <c r="AG42" s="473">
        <f t="shared" si="18"/>
        <v>138.07</v>
      </c>
      <c r="AH42" s="455"/>
      <c r="AI42" s="38"/>
      <c r="AJ42" s="38"/>
      <c r="AK42" s="38"/>
      <c r="AL42" s="38"/>
      <c r="AM42" s="38"/>
      <c r="AN42" s="38"/>
      <c r="AO42" s="226"/>
      <c r="AP42" s="226"/>
      <c r="AQ42" s="226"/>
    </row>
    <row r="43" ht="29.25" customHeight="1">
      <c r="A43" s="190" t="s">
        <v>97</v>
      </c>
      <c r="B43" s="607">
        <v>0.0</v>
      </c>
      <c r="C43" s="608">
        <v>0.0</v>
      </c>
      <c r="D43" s="608">
        <v>0.0</v>
      </c>
      <c r="E43" s="608">
        <v>0.0</v>
      </c>
      <c r="F43" s="607">
        <v>0.0</v>
      </c>
      <c r="G43" s="608">
        <v>0.0</v>
      </c>
      <c r="H43" s="608">
        <v>0.0</v>
      </c>
      <c r="I43" s="608">
        <v>0.0</v>
      </c>
      <c r="J43" s="608">
        <v>0.0</v>
      </c>
      <c r="K43" s="608">
        <v>0.0</v>
      </c>
      <c r="L43" s="608">
        <v>0.0</v>
      </c>
      <c r="M43" s="608">
        <v>0.0</v>
      </c>
      <c r="N43" s="608">
        <v>0.0</v>
      </c>
      <c r="O43" s="608">
        <v>0.0</v>
      </c>
      <c r="P43" s="608">
        <v>0.0</v>
      </c>
      <c r="Q43" s="608">
        <v>0.0</v>
      </c>
      <c r="R43" s="608">
        <v>0.0</v>
      </c>
      <c r="S43" s="615">
        <v>7.0</v>
      </c>
      <c r="T43" s="618">
        <v>0.24</v>
      </c>
      <c r="U43" s="618">
        <v>7.38</v>
      </c>
      <c r="V43" s="618">
        <v>1.62</v>
      </c>
      <c r="W43" s="618">
        <v>0.0</v>
      </c>
      <c r="X43" s="618">
        <v>4.74</v>
      </c>
      <c r="Y43" s="618">
        <v>0.28</v>
      </c>
      <c r="Z43" s="615">
        <v>0.0</v>
      </c>
      <c r="AA43" s="615">
        <v>0.0</v>
      </c>
      <c r="AB43" s="615">
        <v>2.06</v>
      </c>
      <c r="AC43" s="616">
        <v>1.5</v>
      </c>
      <c r="AD43" s="616">
        <v>0.0</v>
      </c>
      <c r="AE43" s="616">
        <v>148.5</v>
      </c>
      <c r="AF43" s="616">
        <v>70.5</v>
      </c>
      <c r="AG43" s="473">
        <f t="shared" si="18"/>
        <v>243.82</v>
      </c>
      <c r="AH43" s="455"/>
      <c r="AI43" s="38"/>
      <c r="AJ43" s="38"/>
      <c r="AK43" s="38"/>
      <c r="AL43" s="38"/>
      <c r="AM43" s="38"/>
      <c r="AN43" s="38"/>
      <c r="AO43" s="226"/>
      <c r="AP43" s="226"/>
      <c r="AQ43" s="226"/>
    </row>
    <row r="44" ht="29.25" customHeight="1">
      <c r="A44" s="190" t="s">
        <v>98</v>
      </c>
      <c r="B44" s="607">
        <v>0.0</v>
      </c>
      <c r="C44" s="608">
        <v>0.0</v>
      </c>
      <c r="D44" s="608">
        <v>0.0</v>
      </c>
      <c r="E44" s="608">
        <v>0.0</v>
      </c>
      <c r="F44" s="607">
        <v>0.0</v>
      </c>
      <c r="G44" s="608">
        <v>0.0</v>
      </c>
      <c r="H44" s="608">
        <v>0.0</v>
      </c>
      <c r="I44" s="608">
        <v>0.0</v>
      </c>
      <c r="J44" s="608">
        <v>0.0</v>
      </c>
      <c r="K44" s="608">
        <v>0.0</v>
      </c>
      <c r="L44" s="608">
        <v>0.0</v>
      </c>
      <c r="M44" s="608">
        <v>0.0</v>
      </c>
      <c r="N44" s="608">
        <v>0.0</v>
      </c>
      <c r="O44" s="608">
        <v>0.0</v>
      </c>
      <c r="P44" s="608">
        <v>0.0</v>
      </c>
      <c r="Q44" s="608">
        <v>0.0</v>
      </c>
      <c r="R44" s="620">
        <v>0.12</v>
      </c>
      <c r="S44" s="620">
        <v>7.12</v>
      </c>
      <c r="T44" s="620">
        <v>1.54</v>
      </c>
      <c r="U44" s="620">
        <v>6.0</v>
      </c>
      <c r="V44" s="620">
        <v>3.0</v>
      </c>
      <c r="W44" s="620">
        <v>5.96</v>
      </c>
      <c r="X44" s="620">
        <v>0.0</v>
      </c>
      <c r="Y44" s="620">
        <v>1.62</v>
      </c>
      <c r="Z44" s="620">
        <v>0.0</v>
      </c>
      <c r="AA44" s="620">
        <v>0.0</v>
      </c>
      <c r="AB44" s="620">
        <v>14.81</v>
      </c>
      <c r="AC44" s="621">
        <v>7.46</v>
      </c>
      <c r="AD44" s="621">
        <v>0.0</v>
      </c>
      <c r="AE44" s="621">
        <v>1.5</v>
      </c>
      <c r="AF44" s="621">
        <v>1.62</v>
      </c>
      <c r="AG44" s="473">
        <f t="shared" si="18"/>
        <v>50.75</v>
      </c>
      <c r="AH44" s="455"/>
      <c r="AI44" s="38"/>
      <c r="AJ44" s="38"/>
      <c r="AK44" s="38"/>
      <c r="AL44" s="38"/>
      <c r="AM44" s="38"/>
      <c r="AN44" s="38"/>
      <c r="AO44" s="226"/>
      <c r="AP44" s="226"/>
      <c r="AQ44" s="226"/>
    </row>
    <row r="45" ht="29.25" customHeight="1">
      <c r="A45" s="190" t="s">
        <v>99</v>
      </c>
      <c r="B45" s="607">
        <v>0.0</v>
      </c>
      <c r="C45" s="608">
        <v>0.0</v>
      </c>
      <c r="D45" s="608">
        <v>0.0</v>
      </c>
      <c r="E45" s="608">
        <v>0.0</v>
      </c>
      <c r="F45" s="607">
        <v>0.0</v>
      </c>
      <c r="G45" s="608">
        <v>0.0</v>
      </c>
      <c r="H45" s="608">
        <v>0.0</v>
      </c>
      <c r="I45" s="608">
        <v>0.0</v>
      </c>
      <c r="J45" s="608">
        <v>0.0</v>
      </c>
      <c r="K45" s="608">
        <v>0.0</v>
      </c>
      <c r="L45" s="608">
        <v>0.0</v>
      </c>
      <c r="M45" s="608">
        <v>0.0</v>
      </c>
      <c r="N45" s="608">
        <v>0.0</v>
      </c>
      <c r="O45" s="608">
        <v>0.0</v>
      </c>
      <c r="P45" s="608">
        <v>0.0</v>
      </c>
      <c r="Q45" s="608">
        <v>0.0</v>
      </c>
      <c r="R45" s="608">
        <v>0.0</v>
      </c>
      <c r="S45" s="608">
        <v>0.0</v>
      </c>
      <c r="T45" s="608">
        <v>0.0</v>
      </c>
      <c r="U45" s="608">
        <v>0.0</v>
      </c>
      <c r="V45" s="608">
        <v>0.0</v>
      </c>
      <c r="W45" s="608">
        <v>0.0</v>
      </c>
      <c r="X45" s="608">
        <v>0.0</v>
      </c>
      <c r="Y45" s="608">
        <v>0.0</v>
      </c>
      <c r="Z45" s="594">
        <v>7.0</v>
      </c>
      <c r="AA45" s="594">
        <v>7.86</v>
      </c>
      <c r="AB45" s="594">
        <v>0.24</v>
      </c>
      <c r="AC45" s="595">
        <v>0.0</v>
      </c>
      <c r="AD45" s="595">
        <v>0.0</v>
      </c>
      <c r="AE45" s="595">
        <v>0.0</v>
      </c>
      <c r="AF45" s="595">
        <v>0.0</v>
      </c>
      <c r="AG45" s="473">
        <f t="shared" si="18"/>
        <v>15.1</v>
      </c>
      <c r="AH45" s="455"/>
      <c r="AI45" s="38"/>
      <c r="AJ45" s="38"/>
      <c r="AK45" s="38"/>
      <c r="AL45" s="38"/>
      <c r="AM45" s="38"/>
      <c r="AN45" s="38"/>
      <c r="AO45" s="226"/>
      <c r="AP45" s="226"/>
      <c r="AQ45" s="226"/>
    </row>
    <row r="46" ht="29.25" customHeight="1">
      <c r="A46" s="190" t="s">
        <v>100</v>
      </c>
      <c r="B46" s="607">
        <v>0.0</v>
      </c>
      <c r="C46" s="608">
        <v>0.0</v>
      </c>
      <c r="D46" s="608">
        <v>0.0</v>
      </c>
      <c r="E46" s="608">
        <v>0.0</v>
      </c>
      <c r="F46" s="607">
        <v>0.0</v>
      </c>
      <c r="G46" s="608">
        <v>0.0</v>
      </c>
      <c r="H46" s="608">
        <v>0.0</v>
      </c>
      <c r="I46" s="608">
        <v>0.0</v>
      </c>
      <c r="J46" s="608">
        <v>0.0</v>
      </c>
      <c r="K46" s="608">
        <v>0.0</v>
      </c>
      <c r="L46" s="608">
        <v>0.0</v>
      </c>
      <c r="M46" s="608">
        <v>0.0</v>
      </c>
      <c r="N46" s="608">
        <v>0.0</v>
      </c>
      <c r="O46" s="608">
        <v>0.0</v>
      </c>
      <c r="P46" s="608">
        <v>0.0</v>
      </c>
      <c r="Q46" s="608">
        <v>0.0</v>
      </c>
      <c r="R46" s="608">
        <v>0.0</v>
      </c>
      <c r="S46" s="608">
        <v>0.0</v>
      </c>
      <c r="T46" s="608">
        <v>0.0</v>
      </c>
      <c r="U46" s="608">
        <v>0.0</v>
      </c>
      <c r="V46" s="608">
        <v>0.0</v>
      </c>
      <c r="W46" s="608">
        <v>0.0</v>
      </c>
      <c r="X46" s="608">
        <v>0.0</v>
      </c>
      <c r="Y46" s="741">
        <v>7.0</v>
      </c>
      <c r="Z46" s="615">
        <v>0.0</v>
      </c>
      <c r="AA46" s="615">
        <v>0.0</v>
      </c>
      <c r="AB46" s="615">
        <v>0.0</v>
      </c>
      <c r="AC46" s="616">
        <v>0.0</v>
      </c>
      <c r="AD46" s="616">
        <v>0.0</v>
      </c>
      <c r="AE46" s="616">
        <v>0.0</v>
      </c>
      <c r="AF46" s="616">
        <v>0.0</v>
      </c>
      <c r="AG46" s="473">
        <f t="shared" si="18"/>
        <v>7</v>
      </c>
      <c r="AH46" s="455"/>
      <c r="AI46" s="38"/>
      <c r="AJ46" s="38"/>
      <c r="AK46" s="38"/>
      <c r="AL46" s="38"/>
      <c r="AM46" s="38"/>
      <c r="AN46" s="38"/>
      <c r="AO46" s="226"/>
      <c r="AP46" s="226"/>
      <c r="AQ46" s="226"/>
    </row>
    <row r="47" ht="29.25" customHeight="1">
      <c r="A47" s="190"/>
      <c r="B47" s="674">
        <v>0.0</v>
      </c>
      <c r="C47" s="674">
        <v>0.0</v>
      </c>
      <c r="D47" s="674">
        <v>0.0</v>
      </c>
      <c r="E47" s="674">
        <v>0.0</v>
      </c>
      <c r="F47" s="675">
        <v>0.0</v>
      </c>
      <c r="G47" s="628">
        <v>0.0</v>
      </c>
      <c r="H47" s="674">
        <v>0.0</v>
      </c>
      <c r="I47" s="674">
        <v>0.0</v>
      </c>
      <c r="J47" s="674">
        <v>0.0</v>
      </c>
      <c r="K47" s="674">
        <v>0.0</v>
      </c>
      <c r="L47" s="674">
        <v>0.0</v>
      </c>
      <c r="M47" s="674">
        <v>0.0</v>
      </c>
      <c r="N47" s="674">
        <v>0.0</v>
      </c>
      <c r="O47" s="675">
        <v>0.0</v>
      </c>
      <c r="P47" s="674">
        <v>0.0</v>
      </c>
      <c r="Q47" s="674">
        <v>0.0</v>
      </c>
      <c r="R47" s="674">
        <v>0.0</v>
      </c>
      <c r="S47" s="674">
        <v>0.0</v>
      </c>
      <c r="T47" s="674">
        <v>0.0</v>
      </c>
      <c r="U47" s="628">
        <v>0.0</v>
      </c>
      <c r="V47" s="628">
        <v>0.0</v>
      </c>
      <c r="W47" s="628">
        <v>0.0</v>
      </c>
      <c r="X47" s="628">
        <v>0.0</v>
      </c>
      <c r="Y47" s="628">
        <v>0.0</v>
      </c>
      <c r="Z47" s="676">
        <v>0.0</v>
      </c>
      <c r="AA47" s="628">
        <v>0.0</v>
      </c>
      <c r="AB47" s="628">
        <v>0.0</v>
      </c>
      <c r="AC47" s="676">
        <v>0.0</v>
      </c>
      <c r="AD47" s="676">
        <v>0.0</v>
      </c>
      <c r="AE47" s="676">
        <v>0.0</v>
      </c>
      <c r="AF47" s="677">
        <v>0.0</v>
      </c>
      <c r="AG47" s="473">
        <f t="shared" si="18"/>
        <v>0</v>
      </c>
      <c r="AH47" s="455"/>
      <c r="AI47" s="38"/>
      <c r="AJ47" s="38"/>
      <c r="AK47" s="38"/>
      <c r="AL47" s="38"/>
      <c r="AM47" s="38"/>
      <c r="AN47" s="38"/>
      <c r="AO47" s="226"/>
      <c r="AP47" s="226"/>
      <c r="AQ47" s="226"/>
    </row>
    <row r="48" ht="29.25" customHeight="1">
      <c r="A48" s="190" t="s">
        <v>9</v>
      </c>
      <c r="B48" s="607">
        <v>0.0</v>
      </c>
      <c r="C48" s="608">
        <v>0.0</v>
      </c>
      <c r="D48" s="608">
        <v>0.0</v>
      </c>
      <c r="E48" s="608">
        <v>0.0</v>
      </c>
      <c r="F48" s="607">
        <v>0.0</v>
      </c>
      <c r="G48" s="608">
        <v>0.0</v>
      </c>
      <c r="H48" s="608">
        <v>0.0</v>
      </c>
      <c r="I48" s="608">
        <v>0.0</v>
      </c>
      <c r="J48" s="608">
        <v>0.0</v>
      </c>
      <c r="K48" s="608">
        <v>0.0</v>
      </c>
      <c r="L48" s="608">
        <v>0.0</v>
      </c>
      <c r="M48" s="608">
        <v>0.0</v>
      </c>
      <c r="N48" s="608">
        <v>0.0</v>
      </c>
      <c r="O48" s="608">
        <v>0.0</v>
      </c>
      <c r="P48" s="608">
        <v>0.0</v>
      </c>
      <c r="Q48" s="608">
        <v>0.0</v>
      </c>
      <c r="R48" s="608">
        <v>0.0</v>
      </c>
      <c r="S48" s="608">
        <v>0.0</v>
      </c>
      <c r="T48" s="608">
        <v>0.0</v>
      </c>
      <c r="U48" s="608">
        <v>0.0</v>
      </c>
      <c r="V48" s="608">
        <v>0.0</v>
      </c>
      <c r="W48" s="608">
        <v>0.0</v>
      </c>
      <c r="X48" s="608">
        <v>0.0</v>
      </c>
      <c r="Y48" s="608">
        <v>0.0</v>
      </c>
      <c r="Z48" s="608">
        <v>0.0</v>
      </c>
      <c r="AA48" s="608">
        <v>0.0</v>
      </c>
      <c r="AB48" s="608">
        <v>0.0</v>
      </c>
      <c r="AC48" s="607">
        <v>0.0</v>
      </c>
      <c r="AD48" s="629">
        <v>0.0</v>
      </c>
      <c r="AE48" s="629">
        <v>0.0</v>
      </c>
      <c r="AF48" s="607">
        <v>0.0</v>
      </c>
      <c r="AG48" s="473">
        <f t="shared" si="18"/>
        <v>0</v>
      </c>
      <c r="AH48" s="455"/>
      <c r="AI48" s="38"/>
      <c r="AJ48" s="38"/>
      <c r="AK48" s="38"/>
      <c r="AL48" s="38"/>
      <c r="AM48" s="38"/>
      <c r="AN48" s="38"/>
      <c r="AO48" s="226"/>
    </row>
    <row r="49" ht="24.75" customHeight="1">
      <c r="A49" s="47" t="s">
        <v>14</v>
      </c>
      <c r="B49" s="167">
        <f t="shared" ref="B49:AF49" si="19">SUM(B3:B4,B6:B12,B14:B15,B17:B19,B20:B21,B23:B24,B26:B48)</f>
        <v>397.02</v>
      </c>
      <c r="C49" s="167">
        <f t="shared" si="19"/>
        <v>356.33</v>
      </c>
      <c r="D49" s="167">
        <f t="shared" si="19"/>
        <v>332.68</v>
      </c>
      <c r="E49" s="167">
        <f t="shared" si="19"/>
        <v>402.12</v>
      </c>
      <c r="F49" s="167">
        <f t="shared" si="19"/>
        <v>337.29</v>
      </c>
      <c r="G49" s="167">
        <f t="shared" si="19"/>
        <v>329.3</v>
      </c>
      <c r="H49" s="167">
        <f t="shared" si="19"/>
        <v>338.79</v>
      </c>
      <c r="I49" s="167">
        <f t="shared" si="19"/>
        <v>416.64</v>
      </c>
      <c r="J49" s="167">
        <f t="shared" si="19"/>
        <v>516.67</v>
      </c>
      <c r="K49" s="167">
        <f t="shared" si="19"/>
        <v>351.5</v>
      </c>
      <c r="L49" s="167">
        <f t="shared" si="19"/>
        <v>377.93</v>
      </c>
      <c r="M49" s="167">
        <f t="shared" si="19"/>
        <v>337.26</v>
      </c>
      <c r="N49" s="167">
        <f t="shared" si="19"/>
        <v>422.12</v>
      </c>
      <c r="O49" s="167">
        <f t="shared" si="19"/>
        <v>286.9</v>
      </c>
      <c r="P49" s="167">
        <f t="shared" si="19"/>
        <v>391.76</v>
      </c>
      <c r="Q49" s="167">
        <f t="shared" si="19"/>
        <v>622.09</v>
      </c>
      <c r="R49" s="167">
        <f t="shared" si="19"/>
        <v>304.85</v>
      </c>
      <c r="S49" s="167">
        <f t="shared" si="19"/>
        <v>440.01</v>
      </c>
      <c r="T49" s="167">
        <f t="shared" si="19"/>
        <v>385.16</v>
      </c>
      <c r="U49" s="167">
        <f t="shared" si="19"/>
        <v>471.47</v>
      </c>
      <c r="V49" s="167">
        <f t="shared" si="19"/>
        <v>498.38</v>
      </c>
      <c r="W49" s="167">
        <f t="shared" si="19"/>
        <v>422.96</v>
      </c>
      <c r="X49" s="167">
        <f t="shared" si="19"/>
        <v>357.14</v>
      </c>
      <c r="Y49" s="167">
        <f t="shared" si="19"/>
        <v>408.33</v>
      </c>
      <c r="Z49" s="167">
        <f t="shared" si="19"/>
        <v>365.71</v>
      </c>
      <c r="AA49" s="167">
        <f t="shared" si="19"/>
        <v>477.15</v>
      </c>
      <c r="AB49" s="167">
        <f t="shared" si="19"/>
        <v>402.45</v>
      </c>
      <c r="AC49" s="167">
        <f t="shared" si="19"/>
        <v>467.27</v>
      </c>
      <c r="AD49" s="167">
        <f t="shared" si="19"/>
        <v>583.86</v>
      </c>
      <c r="AE49" s="167">
        <f t="shared" si="19"/>
        <v>435.03</v>
      </c>
      <c r="AF49" s="167">
        <f t="shared" si="19"/>
        <v>344.41</v>
      </c>
      <c r="AG49" s="38"/>
      <c r="AH49" s="58"/>
      <c r="AI49" s="38"/>
      <c r="AJ49" s="38"/>
      <c r="AK49" s="38"/>
      <c r="AL49" s="38"/>
      <c r="AM49" s="38"/>
      <c r="AN49" s="38"/>
      <c r="AO49" s="226"/>
    </row>
    <row r="50" ht="15.75" customHeight="1">
      <c r="A50" s="630"/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1"/>
      <c r="O50" s="631"/>
      <c r="P50" s="631"/>
      <c r="Q50" s="631"/>
      <c r="R50" s="631"/>
      <c r="S50" s="631"/>
      <c r="T50" s="631"/>
      <c r="U50" s="631"/>
      <c r="V50" s="631"/>
      <c r="W50" s="631"/>
      <c r="X50" s="631"/>
      <c r="Y50" s="631"/>
      <c r="Z50" s="631"/>
      <c r="AA50" s="631"/>
      <c r="AB50" s="631"/>
      <c r="AC50" s="631"/>
      <c r="AD50" s="631"/>
      <c r="AE50" s="631"/>
      <c r="AF50" s="632"/>
      <c r="AG50" s="38"/>
      <c r="AH50" s="58"/>
      <c r="AI50" s="38"/>
      <c r="AJ50" s="38"/>
      <c r="AK50" s="38"/>
      <c r="AL50" s="38"/>
      <c r="AM50" s="38"/>
      <c r="AN50" s="38"/>
      <c r="AO50" s="38"/>
      <c r="AP50" s="38"/>
      <c r="AQ50" s="38"/>
    </row>
    <row r="51" ht="14.25" customHeight="1">
      <c r="A51" s="38"/>
      <c r="B51" s="38"/>
      <c r="C51" s="38"/>
      <c r="D51" s="38"/>
      <c r="E51" s="633"/>
      <c r="F51" s="633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58"/>
      <c r="AI51" s="38"/>
      <c r="AJ51" s="38"/>
      <c r="AK51" s="38"/>
      <c r="AL51" s="38"/>
      <c r="AM51" s="38"/>
      <c r="AN51" s="38"/>
      <c r="AO51" s="38"/>
      <c r="AP51" s="38"/>
      <c r="AQ51" s="38"/>
    </row>
    <row r="52" ht="15.75" customHeight="1">
      <c r="A52" s="38"/>
      <c r="B52" s="38"/>
      <c r="C52" s="38"/>
      <c r="D52" s="38"/>
      <c r="E52" s="633"/>
      <c r="F52" s="633"/>
      <c r="AG52" s="49"/>
      <c r="AH52" s="8"/>
    </row>
    <row r="53" ht="15.75" customHeight="1">
      <c r="A53" s="38"/>
      <c r="B53" s="38"/>
      <c r="C53" s="38"/>
      <c r="D53" s="38"/>
      <c r="E53" s="38"/>
      <c r="F53" s="633"/>
      <c r="G53" s="428"/>
      <c r="AG53" s="49"/>
      <c r="AH53" s="8"/>
    </row>
    <row r="54" ht="15.75" customHeight="1">
      <c r="A54" s="38"/>
      <c r="B54" s="38"/>
      <c r="C54" s="38"/>
      <c r="D54" s="428"/>
      <c r="E54" s="38"/>
      <c r="AG54" s="49"/>
      <c r="AH54" s="8"/>
    </row>
    <row r="55" ht="15.75" customHeight="1">
      <c r="A55" s="38"/>
      <c r="B55" s="38"/>
      <c r="C55" s="38"/>
      <c r="D55" s="38"/>
      <c r="E55" s="38"/>
      <c r="AG55" s="49"/>
      <c r="AH55" s="8"/>
    </row>
    <row r="56" ht="15.75" customHeight="1">
      <c r="A56" s="38"/>
      <c r="B56" s="38"/>
      <c r="C56" s="38"/>
      <c r="D56" s="38"/>
      <c r="E56" s="38"/>
      <c r="AG56" s="49"/>
      <c r="AH56" s="8"/>
    </row>
    <row r="57" ht="15.75" customHeight="1">
      <c r="A57" s="38"/>
      <c r="B57" s="428"/>
      <c r="C57" s="38"/>
      <c r="D57" s="38"/>
      <c r="E57" s="38"/>
      <c r="AG57" s="49"/>
      <c r="AH57" s="8"/>
    </row>
    <row r="58" ht="15.75" customHeight="1">
      <c r="A58" s="38"/>
      <c r="B58" s="38"/>
      <c r="C58" s="58"/>
      <c r="D58" s="38"/>
      <c r="E58" s="38"/>
      <c r="F58" s="58"/>
      <c r="AG58" s="49"/>
      <c r="AH58" s="8"/>
    </row>
    <row r="59" ht="15.75" customHeight="1">
      <c r="B59" s="428"/>
      <c r="D59" s="428"/>
      <c r="AG59" s="49"/>
      <c r="AH59" s="8"/>
    </row>
    <row r="60" ht="15.75" customHeight="1">
      <c r="B60" s="428"/>
      <c r="AG60" s="49"/>
      <c r="AH60" s="8"/>
    </row>
    <row r="61" ht="15.75" customHeight="1">
      <c r="AG61" s="49"/>
      <c r="AH61" s="8"/>
    </row>
    <row r="62" ht="15.75" customHeight="1">
      <c r="AG62" s="49"/>
      <c r="AH62" s="8"/>
    </row>
    <row r="63" ht="15.75" customHeight="1">
      <c r="A63" s="38"/>
      <c r="R63" s="38"/>
      <c r="AG63" s="49"/>
      <c r="AH63" s="8"/>
    </row>
    <row r="64" ht="15.75" customHeight="1">
      <c r="A64" s="38"/>
      <c r="R64" s="38"/>
      <c r="AG64" s="49"/>
      <c r="AH64" s="8"/>
    </row>
    <row r="65" ht="15.75" customHeight="1">
      <c r="A65" s="38"/>
      <c r="B65" s="428"/>
      <c r="R65" s="38"/>
      <c r="AG65" s="49"/>
      <c r="AH65" s="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M66" s="38"/>
      <c r="N66" s="38"/>
      <c r="O66" s="38"/>
      <c r="P66" s="38"/>
      <c r="Q66" s="38"/>
      <c r="R66" s="38"/>
      <c r="AG66" s="49"/>
      <c r="AH66" s="8"/>
    </row>
    <row r="67" ht="15.75" customHeight="1">
      <c r="A67" s="634"/>
      <c r="B67" s="635"/>
      <c r="C67" s="636"/>
      <c r="D67" s="636"/>
      <c r="E67" s="636"/>
      <c r="F67" s="636"/>
      <c r="G67" s="636"/>
      <c r="H67" s="636"/>
      <c r="M67" s="38"/>
      <c r="N67" s="635"/>
      <c r="O67" s="38"/>
      <c r="P67" s="635"/>
      <c r="Q67" s="635"/>
      <c r="R67" s="38"/>
      <c r="AG67" s="49"/>
      <c r="AH67" s="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M68" s="38"/>
      <c r="N68" s="38"/>
      <c r="O68" s="38"/>
      <c r="P68" s="38"/>
      <c r="Q68" s="38"/>
      <c r="R68" s="38"/>
      <c r="AG68" s="49"/>
      <c r="AH68" s="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M69" s="38"/>
      <c r="N69" s="38"/>
      <c r="O69" s="38"/>
      <c r="P69" s="38"/>
      <c r="Q69" s="38"/>
      <c r="R69" s="38"/>
      <c r="AG69" s="49"/>
      <c r="AH69" s="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M70" s="38"/>
      <c r="N70" s="38"/>
      <c r="O70" s="38"/>
      <c r="P70" s="38"/>
      <c r="Q70" s="38"/>
      <c r="R70" s="38"/>
      <c r="AG70" s="49"/>
      <c r="AH70" s="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M71" s="38"/>
      <c r="N71" s="38"/>
      <c r="O71" s="38"/>
      <c r="P71" s="38"/>
      <c r="Q71" s="38"/>
      <c r="R71" s="38"/>
      <c r="AG71" s="49"/>
      <c r="AH71" s="8"/>
    </row>
    <row r="72" ht="15.75" customHeight="1">
      <c r="A72" s="38"/>
      <c r="B72" s="38"/>
      <c r="C72" s="742"/>
      <c r="D72" s="743"/>
      <c r="E72" s="38"/>
      <c r="F72" s="38"/>
      <c r="G72" s="38"/>
      <c r="H72" s="38"/>
      <c r="M72" s="38"/>
      <c r="N72" s="38"/>
      <c r="O72" s="38"/>
      <c r="P72" s="38"/>
      <c r="Q72" s="38"/>
      <c r="R72" s="38"/>
      <c r="AG72" s="49"/>
      <c r="AH72" s="8"/>
    </row>
    <row r="73" ht="15.75" customHeight="1">
      <c r="A73" s="38"/>
      <c r="B73" s="38"/>
      <c r="C73" s="441"/>
      <c r="D73" s="744"/>
      <c r="E73" s="38"/>
      <c r="F73" s="38"/>
      <c r="G73" s="38"/>
      <c r="H73" s="38"/>
      <c r="M73" s="38"/>
      <c r="N73" s="38"/>
      <c r="O73" s="38"/>
      <c r="P73" s="38"/>
      <c r="Q73" s="38"/>
      <c r="R73" s="38"/>
      <c r="AG73" s="49"/>
      <c r="AH73" s="8"/>
    </row>
    <row r="74" ht="15.75" customHeight="1">
      <c r="A74" s="38"/>
      <c r="B74" s="38"/>
      <c r="C74" s="742"/>
      <c r="D74" s="743"/>
      <c r="E74" s="38"/>
      <c r="F74" s="38"/>
      <c r="G74" s="38"/>
      <c r="H74" s="38"/>
      <c r="M74" s="38"/>
      <c r="N74" s="38"/>
      <c r="O74" s="38"/>
      <c r="P74" s="38"/>
      <c r="Q74" s="38"/>
      <c r="R74" s="38"/>
      <c r="AG74" s="49"/>
      <c r="AH74" s="8"/>
    </row>
    <row r="75" ht="15.75" customHeight="1">
      <c r="A75" s="38"/>
      <c r="B75" s="38"/>
      <c r="C75" s="441"/>
      <c r="D75" s="744"/>
      <c r="E75" s="38"/>
      <c r="F75" s="38"/>
      <c r="G75" s="38"/>
      <c r="H75" s="38"/>
      <c r="M75" s="38"/>
      <c r="N75" s="38"/>
      <c r="O75" s="38"/>
      <c r="P75" s="38"/>
      <c r="Q75" s="38"/>
      <c r="R75" s="38"/>
      <c r="AG75" s="49"/>
      <c r="AH75" s="8"/>
    </row>
    <row r="76" ht="15.75" customHeight="1">
      <c r="A76" s="38"/>
      <c r="B76" s="38"/>
      <c r="C76" s="742"/>
      <c r="D76" s="743"/>
      <c r="E76" s="38"/>
      <c r="F76" s="38"/>
      <c r="G76" s="38"/>
      <c r="H76" s="38"/>
      <c r="M76" s="38"/>
      <c r="N76" s="38"/>
      <c r="O76" s="38"/>
      <c r="P76" s="38"/>
      <c r="Q76" s="38"/>
      <c r="R76" s="38"/>
      <c r="AG76" s="49"/>
      <c r="AH76" s="8"/>
    </row>
    <row r="77" ht="15.75" customHeight="1">
      <c r="A77" s="38"/>
      <c r="B77" s="38"/>
      <c r="C77" s="441"/>
      <c r="D77" s="744"/>
      <c r="E77" s="38"/>
      <c r="F77" s="38"/>
      <c r="G77" s="38"/>
      <c r="H77" s="38"/>
      <c r="M77" s="38"/>
      <c r="N77" s="38"/>
      <c r="O77" s="38"/>
      <c r="P77" s="38"/>
      <c r="Q77" s="38"/>
      <c r="R77" s="38"/>
      <c r="AG77" s="49"/>
      <c r="AH77" s="8"/>
    </row>
    <row r="78" ht="15.75" customHeight="1">
      <c r="C78" s="742"/>
      <c r="D78" s="743"/>
      <c r="AG78" s="49"/>
      <c r="AH78" s="8"/>
    </row>
    <row r="79" ht="15.75" customHeight="1">
      <c r="C79" s="441"/>
      <c r="D79" s="744"/>
      <c r="AG79" s="49"/>
      <c r="AH79" s="8"/>
    </row>
    <row r="80" ht="15.75" customHeight="1">
      <c r="C80" s="742"/>
      <c r="D80" s="743"/>
      <c r="AG80" s="49"/>
      <c r="AH80" s="8"/>
    </row>
    <row r="81" ht="15.75" customHeight="1">
      <c r="C81" s="441"/>
      <c r="D81" s="744"/>
      <c r="AG81" s="49"/>
      <c r="AH81" s="8"/>
    </row>
    <row r="82" ht="15.75" customHeight="1">
      <c r="C82" s="742"/>
      <c r="D82" s="743"/>
      <c r="AG82" s="49"/>
      <c r="AH82" s="8"/>
    </row>
    <row r="83" ht="15.75" customHeight="1">
      <c r="C83" s="441"/>
      <c r="D83" s="744"/>
      <c r="AG83" s="49"/>
      <c r="AH83" s="8"/>
    </row>
    <row r="84" ht="15.75" customHeight="1">
      <c r="C84" s="742"/>
      <c r="D84" s="743"/>
      <c r="AG84" s="49"/>
      <c r="AH84" s="8"/>
    </row>
    <row r="85" ht="15.75" customHeight="1">
      <c r="C85" s="742"/>
      <c r="D85" s="743"/>
      <c r="AG85" s="49"/>
      <c r="AH85" s="8"/>
    </row>
    <row r="86" ht="15.75" customHeight="1">
      <c r="C86" s="441"/>
      <c r="D86" s="744"/>
      <c r="AG86" s="49"/>
      <c r="AH86" s="8"/>
    </row>
    <row r="87" ht="15.75" customHeight="1">
      <c r="C87" s="742"/>
      <c r="D87" s="743"/>
      <c r="AG87" s="49"/>
      <c r="AH87" s="8"/>
    </row>
    <row r="88" ht="15.75" customHeight="1">
      <c r="C88" s="441"/>
      <c r="D88" s="744"/>
      <c r="AG88" s="49"/>
      <c r="AH88" s="8"/>
      <c r="AP88" s="38"/>
    </row>
    <row r="89" ht="15.75" customHeight="1">
      <c r="C89" s="742"/>
      <c r="D89" s="743"/>
      <c r="AG89" s="49"/>
      <c r="AH89" s="8"/>
    </row>
    <row r="90" ht="15.75" customHeight="1">
      <c r="C90" s="441"/>
      <c r="D90" s="744"/>
      <c r="AG90" s="49"/>
      <c r="AH90" s="8"/>
    </row>
    <row r="91" ht="15.75" customHeight="1">
      <c r="C91" s="742"/>
      <c r="D91" s="743"/>
      <c r="AG91" s="49"/>
      <c r="AH91" s="8"/>
    </row>
    <row r="92" ht="15.75" customHeight="1">
      <c r="C92" s="441"/>
      <c r="D92" s="744"/>
      <c r="AG92" s="49"/>
      <c r="AH92" s="8"/>
    </row>
    <row r="93" ht="15.75" customHeight="1">
      <c r="C93" s="742"/>
      <c r="D93" s="743"/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>
      <c r="AG238" s="49"/>
      <c r="AH238" s="8"/>
    </row>
    <row r="239" ht="15.75" customHeight="1">
      <c r="AG239" s="49"/>
      <c r="AH239" s="8"/>
    </row>
    <row r="240" ht="15.75" customHeight="1">
      <c r="AG240" s="49"/>
      <c r="AH240" s="8"/>
    </row>
    <row r="241" ht="15.75" customHeight="1">
      <c r="AG241" s="49"/>
      <c r="AH241" s="8"/>
    </row>
    <row r="242" ht="15.75" customHeight="1">
      <c r="AG242" s="49"/>
      <c r="AH242" s="8"/>
    </row>
    <row r="243" ht="15.75" customHeight="1">
      <c r="AG243" s="49"/>
      <c r="AH243" s="8"/>
    </row>
    <row r="244" ht="15.75" customHeight="1">
      <c r="AG244" s="49"/>
      <c r="AH244" s="8"/>
    </row>
    <row r="245" ht="15.75" customHeight="1">
      <c r="AG245" s="49"/>
      <c r="AH245" s="8"/>
    </row>
    <row r="246" ht="15.75" customHeight="1">
      <c r="AG246" s="49"/>
      <c r="AH246" s="8"/>
    </row>
    <row r="247" ht="15.75" customHeight="1">
      <c r="AG247" s="49"/>
      <c r="AH247" s="8"/>
    </row>
    <row r="248" ht="15.75" customHeight="1">
      <c r="AG248" s="49"/>
      <c r="AH248" s="8"/>
    </row>
    <row r="249" ht="15.75" customHeight="1">
      <c r="AG249" s="49"/>
      <c r="AH249" s="8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AG3:AG5"/>
    <mergeCell ref="AH3:AH5"/>
    <mergeCell ref="AM4:AO4"/>
    <mergeCell ref="AM5:AO5"/>
    <mergeCell ref="AM6:AO6"/>
    <mergeCell ref="AM7:AO7"/>
    <mergeCell ref="AM8:AO8"/>
    <mergeCell ref="AM9:AO9"/>
    <mergeCell ref="AM10:AO10"/>
    <mergeCell ref="AG11:AG13"/>
    <mergeCell ref="AH11:AH13"/>
    <mergeCell ref="AM11:AO11"/>
    <mergeCell ref="AM12:AO12"/>
    <mergeCell ref="AM13:AO13"/>
    <mergeCell ref="AM24:AO24"/>
    <mergeCell ref="AM25:AO25"/>
    <mergeCell ref="AM26:AO26"/>
    <mergeCell ref="AM27:AO27"/>
    <mergeCell ref="AO48:AQ48"/>
    <mergeCell ref="AO49:AQ49"/>
    <mergeCell ref="AM14:AO14"/>
    <mergeCell ref="AM18:AO18"/>
    <mergeCell ref="AM19:AO19"/>
    <mergeCell ref="AM20:AO20"/>
    <mergeCell ref="AM21:AO21"/>
    <mergeCell ref="AM22:AO22"/>
    <mergeCell ref="AM23:AO23"/>
    <mergeCell ref="I63:I65"/>
    <mergeCell ref="I66:I68"/>
    <mergeCell ref="I69:I71"/>
    <mergeCell ref="I72:I74"/>
    <mergeCell ref="I75:I77"/>
    <mergeCell ref="AG14:AG16"/>
    <mergeCell ref="AH14:AH16"/>
    <mergeCell ref="AG20:AG22"/>
    <mergeCell ref="AH20:AH22"/>
    <mergeCell ref="AG23:AG25"/>
    <mergeCell ref="AH23:AH25"/>
    <mergeCell ref="AG37:AG4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1" width="18.71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745"/>
      <c r="AZ1" s="226"/>
      <c r="BA1" s="226"/>
      <c r="BB1" s="226"/>
      <c r="BC1" s="226"/>
      <c r="BD1" s="226"/>
      <c r="BE1" s="226"/>
      <c r="BF1" s="226"/>
      <c r="BG1" s="745"/>
      <c r="BH1" s="226"/>
      <c r="BI1" s="226"/>
      <c r="BJ1" s="746"/>
      <c r="BK1" s="226"/>
      <c r="BL1" s="226"/>
      <c r="BM1" s="226"/>
    </row>
    <row r="2" ht="33.0" customHeight="1">
      <c r="A2" s="641" t="s">
        <v>86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SUM(AG3:AG35,AV4:AV14,AV18:AV27)</f>
        <v>13660.47</v>
      </c>
      <c r="AH2" s="58"/>
      <c r="AI2" s="38"/>
    </row>
    <row r="3" ht="32.25" customHeight="1">
      <c r="A3" s="747" t="s">
        <v>36</v>
      </c>
      <c r="B3" s="748">
        <v>1.5</v>
      </c>
      <c r="C3" s="748">
        <v>4.5</v>
      </c>
      <c r="D3" s="748">
        <v>0.0</v>
      </c>
      <c r="E3" s="748">
        <v>1.5</v>
      </c>
      <c r="F3" s="748">
        <v>0.0</v>
      </c>
      <c r="G3" s="748">
        <v>0.0</v>
      </c>
      <c r="H3" s="748">
        <v>0.0</v>
      </c>
      <c r="I3" s="749">
        <v>1.98</v>
      </c>
      <c r="J3" s="749">
        <v>3.0</v>
      </c>
      <c r="K3" s="749">
        <v>1.5</v>
      </c>
      <c r="L3" s="749">
        <v>0.12</v>
      </c>
      <c r="M3" s="750"/>
      <c r="N3" s="750"/>
      <c r="O3" s="750"/>
      <c r="P3" s="750"/>
      <c r="Q3" s="750">
        <v>0.0</v>
      </c>
      <c r="R3" s="750">
        <v>0.0</v>
      </c>
      <c r="S3" s="750">
        <v>0.0</v>
      </c>
      <c r="T3" s="750">
        <v>0.0</v>
      </c>
      <c r="U3" s="750">
        <v>0.0</v>
      </c>
      <c r="V3" s="750">
        <v>0.0</v>
      </c>
      <c r="W3" s="750">
        <v>0.0</v>
      </c>
      <c r="X3" s="750">
        <v>0.0</v>
      </c>
      <c r="Y3" s="750">
        <v>0.0</v>
      </c>
      <c r="Z3" s="750">
        <v>0.0</v>
      </c>
      <c r="AA3" s="750">
        <v>0.0</v>
      </c>
      <c r="AB3" s="750">
        <v>0.0</v>
      </c>
      <c r="AC3" s="750">
        <v>0.0</v>
      </c>
      <c r="AD3" s="750">
        <v>0.0</v>
      </c>
      <c r="AE3" s="750">
        <v>0.0</v>
      </c>
      <c r="AF3" s="750">
        <v>0.0</v>
      </c>
      <c r="AG3" s="751">
        <f t="shared" ref="AG3:AG35" si="1">SUM(B3:AF3)</f>
        <v>14.1</v>
      </c>
      <c r="AH3" s="455"/>
      <c r="AI3" s="38"/>
      <c r="AP3" s="38"/>
      <c r="AQ3" s="38"/>
      <c r="AR3" s="38"/>
      <c r="AS3" s="173">
        <v>1.0</v>
      </c>
      <c r="AT3" s="174" t="s">
        <v>16</v>
      </c>
      <c r="AU3" s="173">
        <v>0.05</v>
      </c>
      <c r="AV3" s="456" t="s">
        <v>71</v>
      </c>
      <c r="AW3" s="456" t="s">
        <v>72</v>
      </c>
      <c r="AX3" s="456" t="s">
        <v>73</v>
      </c>
      <c r="AY3" s="246" t="s">
        <v>34</v>
      </c>
    </row>
    <row r="4" ht="36.75" customHeight="1">
      <c r="A4" s="747" t="s">
        <v>101</v>
      </c>
      <c r="B4" s="752">
        <v>3.0</v>
      </c>
      <c r="C4" s="752">
        <v>18.0</v>
      </c>
      <c r="D4" s="753">
        <v>3.0</v>
      </c>
      <c r="E4" s="753">
        <v>3.0</v>
      </c>
      <c r="F4" s="753">
        <v>12.2</v>
      </c>
      <c r="G4" s="753">
        <v>0.0</v>
      </c>
      <c r="H4" s="753">
        <v>13.0</v>
      </c>
      <c r="I4" s="754">
        <v>0.0</v>
      </c>
      <c r="J4" s="754">
        <v>0.0</v>
      </c>
      <c r="K4" s="754">
        <v>0.0</v>
      </c>
      <c r="L4" s="754">
        <v>0.0</v>
      </c>
      <c r="M4" s="755"/>
      <c r="N4" s="755"/>
      <c r="O4" s="755"/>
      <c r="P4" s="755"/>
      <c r="Q4" s="755">
        <v>0.0</v>
      </c>
      <c r="R4" s="755">
        <v>0.0</v>
      </c>
      <c r="S4" s="755">
        <v>0.0</v>
      </c>
      <c r="T4" s="755">
        <v>0.0</v>
      </c>
      <c r="U4" s="755">
        <v>0.0</v>
      </c>
      <c r="V4" s="753">
        <v>15.12</v>
      </c>
      <c r="W4" s="756">
        <v>3.0</v>
      </c>
      <c r="X4" s="755">
        <v>0.0</v>
      </c>
      <c r="Y4" s="755">
        <v>0.0</v>
      </c>
      <c r="Z4" s="755">
        <v>0.0</v>
      </c>
      <c r="AA4" s="755">
        <v>0.0</v>
      </c>
      <c r="AB4" s="757">
        <v>3.0</v>
      </c>
      <c r="AC4" s="757">
        <v>16.5</v>
      </c>
      <c r="AD4" s="757">
        <v>7.5</v>
      </c>
      <c r="AE4" s="757">
        <v>1.5</v>
      </c>
      <c r="AF4" s="757">
        <v>1.62</v>
      </c>
      <c r="AG4" s="751">
        <f t="shared" si="1"/>
        <v>100.44</v>
      </c>
      <c r="AH4" s="455"/>
      <c r="AI4" s="38"/>
      <c r="AP4" s="344"/>
      <c r="AQ4" s="176"/>
      <c r="AR4" s="177"/>
      <c r="AS4" s="464"/>
      <c r="AT4" s="345"/>
      <c r="AU4" s="346"/>
      <c r="AV4" s="346"/>
      <c r="AW4" s="346">
        <f t="shared" ref="AW4:AW10" si="2">(AV4*(1-0.05))*(1-0.9)</f>
        <v>0</v>
      </c>
      <c r="AX4" s="346">
        <f t="shared" ref="AX4:AX10" si="3">(AV4*(1-0.05))*(1-0.95)</f>
        <v>0</v>
      </c>
      <c r="AY4" s="347"/>
    </row>
    <row r="5" ht="31.5" customHeight="1">
      <c r="A5" s="758" t="s">
        <v>5</v>
      </c>
      <c r="B5" s="759">
        <v>0.0</v>
      </c>
      <c r="C5" s="760">
        <v>40.47</v>
      </c>
      <c r="D5" s="761">
        <v>44.4</v>
      </c>
      <c r="E5" s="762">
        <v>18.0</v>
      </c>
      <c r="F5" s="763">
        <v>35.54</v>
      </c>
      <c r="G5" s="763">
        <v>36.0</v>
      </c>
      <c r="H5" s="763">
        <v>25.25</v>
      </c>
      <c r="I5" s="763">
        <v>44.1</v>
      </c>
      <c r="J5" s="763">
        <v>0.0</v>
      </c>
      <c r="K5" s="763">
        <v>30.0</v>
      </c>
      <c r="L5" s="763">
        <v>25.92</v>
      </c>
      <c r="M5" s="763">
        <v>22.5</v>
      </c>
      <c r="N5" s="763">
        <v>19.5</v>
      </c>
      <c r="O5" s="763">
        <v>0.0</v>
      </c>
      <c r="P5" s="763">
        <v>15.0</v>
      </c>
      <c r="Q5" s="763">
        <v>21.5</v>
      </c>
      <c r="R5" s="763">
        <v>53.2</v>
      </c>
      <c r="S5" s="763">
        <v>24.57</v>
      </c>
      <c r="T5" s="763">
        <v>60.0</v>
      </c>
      <c r="U5" s="763">
        <v>37.75</v>
      </c>
      <c r="V5" s="763">
        <v>24.3</v>
      </c>
      <c r="W5" s="763">
        <v>10.5</v>
      </c>
      <c r="X5" s="763">
        <v>4.0</v>
      </c>
      <c r="Y5" s="763">
        <v>25.68</v>
      </c>
      <c r="Z5" s="763">
        <v>15.54</v>
      </c>
      <c r="AA5" s="763">
        <v>22.35</v>
      </c>
      <c r="AB5" s="763">
        <v>47.75</v>
      </c>
      <c r="AC5" s="763">
        <v>0.0</v>
      </c>
      <c r="AD5" s="763">
        <v>10.5</v>
      </c>
      <c r="AE5" s="763">
        <v>1.5</v>
      </c>
      <c r="AF5" s="763">
        <v>6.0</v>
      </c>
      <c r="AG5" s="751">
        <f t="shared" si="1"/>
        <v>721.82</v>
      </c>
      <c r="AH5" s="455"/>
      <c r="AI5" s="38"/>
      <c r="AP5" s="175" t="s">
        <v>102</v>
      </c>
      <c r="AQ5" s="176"/>
      <c r="AR5" s="177"/>
      <c r="AS5" s="467">
        <f>SUM(valuesByColor("yellow", "", B3:AF35))</f>
        <v>3128.88</v>
      </c>
      <c r="AT5" s="178">
        <f t="shared" ref="AT5:AT10" si="4">((AS5*(1-0.05))*(1-0.6))+AW5</f>
        <v>1246.9244</v>
      </c>
      <c r="AU5" s="248">
        <f t="shared" ref="AU5:AU10" si="5">(AS5*(1-0.05))*(1-0.95)+AX5</f>
        <v>177.5968</v>
      </c>
      <c r="AV5" s="248">
        <v>610.0</v>
      </c>
      <c r="AW5" s="248">
        <f t="shared" si="2"/>
        <v>57.95</v>
      </c>
      <c r="AX5" s="248">
        <f t="shared" si="3"/>
        <v>28.975</v>
      </c>
      <c r="AY5" s="249">
        <v>100.0</v>
      </c>
    </row>
    <row r="6" ht="40.5" customHeight="1">
      <c r="A6" s="764" t="s">
        <v>6</v>
      </c>
      <c r="B6" s="765">
        <v>34.62</v>
      </c>
      <c r="C6" s="765">
        <v>37.5</v>
      </c>
      <c r="D6" s="766">
        <v>72.0</v>
      </c>
      <c r="E6" s="766">
        <v>70.74</v>
      </c>
      <c r="F6" s="766">
        <v>142.62</v>
      </c>
      <c r="G6" s="766">
        <v>67.0</v>
      </c>
      <c r="H6" s="766">
        <v>45.0</v>
      </c>
      <c r="I6" s="766">
        <v>12.0</v>
      </c>
      <c r="J6" s="766">
        <v>73.62</v>
      </c>
      <c r="K6" s="766">
        <v>58.62</v>
      </c>
      <c r="L6" s="767">
        <v>59.5</v>
      </c>
      <c r="M6" s="766">
        <v>67.74</v>
      </c>
      <c r="N6" s="766">
        <v>67.5</v>
      </c>
      <c r="O6" s="766">
        <v>97.5</v>
      </c>
      <c r="P6" s="766">
        <v>59.5</v>
      </c>
      <c r="Q6" s="766">
        <v>43.5</v>
      </c>
      <c r="R6" s="766">
        <v>82.62</v>
      </c>
      <c r="S6" s="766">
        <v>135.0</v>
      </c>
      <c r="T6" s="766">
        <v>73.5</v>
      </c>
      <c r="U6" s="766">
        <v>69.0</v>
      </c>
      <c r="V6" s="766">
        <v>48.36</v>
      </c>
      <c r="W6" s="766">
        <v>52.5</v>
      </c>
      <c r="X6" s="766">
        <v>61.62</v>
      </c>
      <c r="Y6" s="766">
        <v>76.5</v>
      </c>
      <c r="Z6" s="766">
        <v>58.62</v>
      </c>
      <c r="AA6" s="766">
        <v>72.0</v>
      </c>
      <c r="AB6" s="766">
        <v>111.12</v>
      </c>
      <c r="AC6" s="766">
        <v>112.62</v>
      </c>
      <c r="AD6" s="766">
        <v>99.0</v>
      </c>
      <c r="AE6" s="766">
        <v>69.12</v>
      </c>
      <c r="AF6" s="766">
        <v>55.62</v>
      </c>
      <c r="AG6" s="751">
        <f t="shared" si="1"/>
        <v>2186.16</v>
      </c>
      <c r="AH6" s="487"/>
      <c r="AI6" s="38"/>
      <c r="AJ6" s="38"/>
      <c r="AP6" s="252" t="s">
        <v>103</v>
      </c>
      <c r="AQ6" s="176"/>
      <c r="AR6" s="177"/>
      <c r="AS6" s="474">
        <f>SUM(valuesByColor("cyan", "", B3:AF35))</f>
        <v>702.62</v>
      </c>
      <c r="AT6" s="253">
        <f t="shared" si="4"/>
        <v>266.9956</v>
      </c>
      <c r="AU6" s="254">
        <f t="shared" si="5"/>
        <v>33.37445</v>
      </c>
      <c r="AV6" s="254"/>
      <c r="AW6" s="254">
        <f t="shared" si="2"/>
        <v>0</v>
      </c>
      <c r="AX6" s="254">
        <f t="shared" si="3"/>
        <v>0</v>
      </c>
      <c r="AY6" s="255"/>
    </row>
    <row r="7" ht="31.5" customHeight="1">
      <c r="A7" s="758" t="s">
        <v>8</v>
      </c>
      <c r="B7" s="768">
        <v>0.0</v>
      </c>
      <c r="C7" s="768">
        <v>0.0</v>
      </c>
      <c r="D7" s="755">
        <v>0.0</v>
      </c>
      <c r="E7" s="755">
        <v>0.0</v>
      </c>
      <c r="F7" s="755">
        <v>0.0</v>
      </c>
      <c r="G7" s="755">
        <v>0.0</v>
      </c>
      <c r="H7" s="755">
        <v>0.0</v>
      </c>
      <c r="I7" s="755">
        <v>0.0</v>
      </c>
      <c r="J7" s="755">
        <v>0.0</v>
      </c>
      <c r="K7" s="755">
        <v>0.0</v>
      </c>
      <c r="L7" s="768">
        <v>0.0</v>
      </c>
      <c r="M7" s="755"/>
      <c r="N7" s="755"/>
      <c r="O7" s="755"/>
      <c r="P7" s="755"/>
      <c r="Q7" s="755">
        <v>0.0</v>
      </c>
      <c r="R7" s="755">
        <v>0.0</v>
      </c>
      <c r="S7" s="755">
        <v>0.0</v>
      </c>
      <c r="T7" s="755">
        <v>0.0</v>
      </c>
      <c r="U7" s="755">
        <v>0.0</v>
      </c>
      <c r="V7" s="755">
        <v>0.0</v>
      </c>
      <c r="W7" s="755">
        <v>0.0</v>
      </c>
      <c r="X7" s="755">
        <v>0.0</v>
      </c>
      <c r="Y7" s="755">
        <v>0.0</v>
      </c>
      <c r="Z7" s="755">
        <v>0.0</v>
      </c>
      <c r="AA7" s="755">
        <v>0.0</v>
      </c>
      <c r="AB7" s="755">
        <v>0.0</v>
      </c>
      <c r="AC7" s="755">
        <v>0.0</v>
      </c>
      <c r="AD7" s="755">
        <v>0.0</v>
      </c>
      <c r="AE7" s="755">
        <v>0.0</v>
      </c>
      <c r="AF7" s="755">
        <v>0.0</v>
      </c>
      <c r="AG7" s="751">
        <f t="shared" si="1"/>
        <v>0</v>
      </c>
      <c r="AH7" s="455"/>
      <c r="AI7" s="38"/>
      <c r="AJ7" s="38"/>
      <c r="AP7" s="188" t="s">
        <v>38</v>
      </c>
      <c r="AQ7" s="176"/>
      <c r="AR7" s="177"/>
      <c r="AS7" s="481">
        <f>SUM(valuesByColor("#f09090", "", B3:AF35))</f>
        <v>1153.14</v>
      </c>
      <c r="AT7" s="189">
        <f t="shared" si="4"/>
        <v>438.1932</v>
      </c>
      <c r="AU7" s="256">
        <f t="shared" si="5"/>
        <v>54.77415</v>
      </c>
      <c r="AV7" s="256"/>
      <c r="AW7" s="482">
        <f t="shared" si="2"/>
        <v>0</v>
      </c>
      <c r="AX7" s="482">
        <f t="shared" si="3"/>
        <v>0</v>
      </c>
      <c r="AY7" s="257">
        <v>25.0</v>
      </c>
    </row>
    <row r="8" ht="29.25" customHeight="1">
      <c r="A8" s="758" t="s">
        <v>41</v>
      </c>
      <c r="B8" s="769">
        <v>0.0</v>
      </c>
      <c r="C8" s="769">
        <v>0.0</v>
      </c>
      <c r="D8" s="770">
        <v>0.0</v>
      </c>
      <c r="E8" s="770">
        <v>0.0</v>
      </c>
      <c r="F8" s="770">
        <v>0.0</v>
      </c>
      <c r="G8" s="770">
        <v>0.0</v>
      </c>
      <c r="H8" s="770">
        <v>0.0</v>
      </c>
      <c r="I8" s="770">
        <v>0.0</v>
      </c>
      <c r="J8" s="770">
        <v>0.0</v>
      </c>
      <c r="K8" s="770">
        <v>0.0</v>
      </c>
      <c r="L8" s="770">
        <v>0.0</v>
      </c>
      <c r="M8" s="770"/>
      <c r="N8" s="770"/>
      <c r="O8" s="770"/>
      <c r="P8" s="770"/>
      <c r="Q8" s="770">
        <v>0.0</v>
      </c>
      <c r="R8" s="770">
        <v>0.0</v>
      </c>
      <c r="S8" s="770">
        <v>0.0</v>
      </c>
      <c r="T8" s="770">
        <v>0.0</v>
      </c>
      <c r="U8" s="770">
        <v>0.0</v>
      </c>
      <c r="V8" s="770">
        <v>0.0</v>
      </c>
      <c r="W8" s="770">
        <v>0.0</v>
      </c>
      <c r="X8" s="770">
        <v>0.0</v>
      </c>
      <c r="Y8" s="770">
        <v>0.0</v>
      </c>
      <c r="Z8" s="770">
        <v>0.0</v>
      </c>
      <c r="AA8" s="770">
        <v>0.0</v>
      </c>
      <c r="AB8" s="770">
        <v>0.0</v>
      </c>
      <c r="AC8" s="770">
        <v>0.0</v>
      </c>
      <c r="AD8" s="770">
        <v>0.0</v>
      </c>
      <c r="AE8" s="770">
        <v>0.0</v>
      </c>
      <c r="AF8" s="770">
        <v>0.0</v>
      </c>
      <c r="AG8" s="751">
        <f t="shared" si="1"/>
        <v>0</v>
      </c>
      <c r="AH8" s="455"/>
      <c r="AI8" s="38"/>
      <c r="AJ8" s="38"/>
      <c r="AP8" s="263" t="s">
        <v>87</v>
      </c>
      <c r="AQ8" s="176"/>
      <c r="AR8" s="177"/>
      <c r="AS8" s="488">
        <v>51.46</v>
      </c>
      <c r="AT8" s="264">
        <f t="shared" si="4"/>
        <v>19.5548</v>
      </c>
      <c r="AU8" s="265">
        <f t="shared" si="5"/>
        <v>2.44435</v>
      </c>
      <c r="AV8" s="265"/>
      <c r="AW8" s="489">
        <f t="shared" si="2"/>
        <v>0</v>
      </c>
      <c r="AX8" s="489">
        <f t="shared" si="3"/>
        <v>0</v>
      </c>
      <c r="AY8" s="266"/>
    </row>
    <row r="9" ht="29.25" customHeight="1">
      <c r="A9" s="758" t="s">
        <v>29</v>
      </c>
      <c r="B9" s="771">
        <v>0.0</v>
      </c>
      <c r="C9" s="771">
        <v>6.12</v>
      </c>
      <c r="D9" s="771">
        <v>0.0</v>
      </c>
      <c r="E9" s="772">
        <v>24.12</v>
      </c>
      <c r="F9" s="772">
        <v>31.98</v>
      </c>
      <c r="G9" s="763">
        <v>7.5</v>
      </c>
      <c r="H9" s="772">
        <v>1.5</v>
      </c>
      <c r="I9" s="772">
        <v>35.74</v>
      </c>
      <c r="J9" s="772">
        <v>0.0</v>
      </c>
      <c r="K9" s="772">
        <v>3.0</v>
      </c>
      <c r="L9" s="772">
        <v>22.28</v>
      </c>
      <c r="M9" s="772">
        <v>7.5</v>
      </c>
      <c r="N9" s="772">
        <v>7.62</v>
      </c>
      <c r="O9" s="772">
        <v>0.0</v>
      </c>
      <c r="P9" s="772">
        <v>3.0</v>
      </c>
      <c r="Q9" s="772">
        <v>3.0</v>
      </c>
      <c r="R9" s="772">
        <v>6.0</v>
      </c>
      <c r="S9" s="772">
        <v>23.02</v>
      </c>
      <c r="T9" s="772">
        <v>19.05</v>
      </c>
      <c r="U9" s="763">
        <v>4.5</v>
      </c>
      <c r="V9" s="763">
        <v>1.5</v>
      </c>
      <c r="W9" s="763">
        <v>0.0</v>
      </c>
      <c r="X9" s="763">
        <v>1.5</v>
      </c>
      <c r="Y9" s="763">
        <v>10.5</v>
      </c>
      <c r="Z9" s="763">
        <v>15.7</v>
      </c>
      <c r="AA9" s="763">
        <v>4.42</v>
      </c>
      <c r="AB9" s="763">
        <v>4.5</v>
      </c>
      <c r="AC9" s="763">
        <v>1.5</v>
      </c>
      <c r="AD9" s="763">
        <v>9.0</v>
      </c>
      <c r="AE9" s="763">
        <v>0.0</v>
      </c>
      <c r="AF9" s="763">
        <v>3.0</v>
      </c>
      <c r="AG9" s="751">
        <f t="shared" si="1"/>
        <v>257.55</v>
      </c>
      <c r="AH9" s="455"/>
      <c r="AI9" s="38"/>
      <c r="AJ9" s="38"/>
      <c r="AP9" s="195" t="s">
        <v>104</v>
      </c>
      <c r="AQ9" s="176"/>
      <c r="AR9" s="177"/>
      <c r="AS9" s="493">
        <f>SUM(valuesByColor("#0070c0", "", B3:AF35))</f>
        <v>317.48</v>
      </c>
      <c r="AT9" s="196">
        <f t="shared" si="4"/>
        <v>120.6424</v>
      </c>
      <c r="AU9" s="267">
        <f t="shared" si="5"/>
        <v>15.0803</v>
      </c>
      <c r="AV9" s="267"/>
      <c r="AW9" s="494">
        <f t="shared" si="2"/>
        <v>0</v>
      </c>
      <c r="AX9" s="494">
        <f t="shared" si="3"/>
        <v>0</v>
      </c>
      <c r="AY9" s="268"/>
    </row>
    <row r="10" ht="27.0" customHeight="1">
      <c r="A10" s="773" t="s">
        <v>3</v>
      </c>
      <c r="B10" s="771">
        <v>3.0</v>
      </c>
      <c r="C10" s="771">
        <v>4.5</v>
      </c>
      <c r="D10" s="774">
        <v>19.62</v>
      </c>
      <c r="E10" s="774">
        <v>20.64</v>
      </c>
      <c r="F10" s="774">
        <v>27.75</v>
      </c>
      <c r="G10" s="775">
        <v>21.6</v>
      </c>
      <c r="H10" s="774">
        <v>20.04</v>
      </c>
      <c r="I10" s="774">
        <v>10.5</v>
      </c>
      <c r="J10" s="774">
        <v>17.25</v>
      </c>
      <c r="K10" s="774">
        <v>2.85</v>
      </c>
      <c r="L10" s="774">
        <v>0.0</v>
      </c>
      <c r="M10" s="774">
        <v>63.45</v>
      </c>
      <c r="N10" s="774">
        <v>40.35</v>
      </c>
      <c r="O10" s="774">
        <v>33.45</v>
      </c>
      <c r="P10" s="774">
        <v>18.45</v>
      </c>
      <c r="Q10" s="774">
        <v>1.5</v>
      </c>
      <c r="R10" s="774">
        <v>6.15</v>
      </c>
      <c r="S10" s="774">
        <v>26.25</v>
      </c>
      <c r="T10" s="774">
        <v>27.0</v>
      </c>
      <c r="U10" s="775">
        <v>99.02</v>
      </c>
      <c r="V10" s="775">
        <v>39.51</v>
      </c>
      <c r="W10" s="775">
        <v>47.72</v>
      </c>
      <c r="X10" s="775">
        <v>7.62</v>
      </c>
      <c r="Y10" s="775">
        <v>35.7</v>
      </c>
      <c r="Z10" s="775">
        <v>23.22</v>
      </c>
      <c r="AA10" s="775">
        <v>27.45</v>
      </c>
      <c r="AB10" s="775">
        <v>13.35</v>
      </c>
      <c r="AC10" s="775">
        <v>28.32</v>
      </c>
      <c r="AD10" s="775">
        <v>4.5</v>
      </c>
      <c r="AE10" s="775">
        <v>20.16</v>
      </c>
      <c r="AF10" s="775">
        <v>14.25</v>
      </c>
      <c r="AG10" s="751">
        <f t="shared" si="1"/>
        <v>725.17</v>
      </c>
      <c r="AH10" s="487"/>
      <c r="AI10" s="38"/>
      <c r="AJ10" s="38"/>
      <c r="AP10" s="201" t="s">
        <v>75</v>
      </c>
      <c r="AQ10" s="176"/>
      <c r="AR10" s="177"/>
      <c r="AS10" s="503">
        <f>SUM(valuesByColor("#ec7c31", "", B3:AF35))</f>
        <v>2200.14</v>
      </c>
      <c r="AT10" s="202">
        <f t="shared" si="4"/>
        <v>836.0532</v>
      </c>
      <c r="AU10" s="269">
        <f t="shared" si="5"/>
        <v>104.50665</v>
      </c>
      <c r="AV10" s="269"/>
      <c r="AW10" s="504">
        <f t="shared" si="2"/>
        <v>0</v>
      </c>
      <c r="AX10" s="504">
        <f t="shared" si="3"/>
        <v>0</v>
      </c>
      <c r="AY10" s="270"/>
    </row>
    <row r="11" ht="27.0" customHeight="1">
      <c r="A11" s="773" t="s">
        <v>4</v>
      </c>
      <c r="B11" s="776">
        <v>0.0</v>
      </c>
      <c r="C11" s="776">
        <v>0.0</v>
      </c>
      <c r="D11" s="776">
        <v>0.0</v>
      </c>
      <c r="E11" s="776">
        <v>0.0</v>
      </c>
      <c r="F11" s="777">
        <v>0.0</v>
      </c>
      <c r="G11" s="776">
        <v>0.0</v>
      </c>
      <c r="H11" s="776">
        <v>0.0</v>
      </c>
      <c r="I11" s="776">
        <v>0.0</v>
      </c>
      <c r="J11" s="776">
        <v>0.0</v>
      </c>
      <c r="K11" s="776">
        <v>0.0</v>
      </c>
      <c r="L11" s="776">
        <v>0.0</v>
      </c>
      <c r="M11" s="777"/>
      <c r="N11" s="777"/>
      <c r="O11" s="777"/>
      <c r="P11" s="777"/>
      <c r="Q11" s="777">
        <v>0.0</v>
      </c>
      <c r="R11" s="777">
        <v>0.0</v>
      </c>
      <c r="S11" s="776">
        <v>0.0</v>
      </c>
      <c r="T11" s="776">
        <v>0.0</v>
      </c>
      <c r="U11" s="776">
        <v>0.0</v>
      </c>
      <c r="V11" s="776">
        <v>0.0</v>
      </c>
      <c r="W11" s="768">
        <v>0.0</v>
      </c>
      <c r="X11" s="776">
        <v>0.0</v>
      </c>
      <c r="Y11" s="776">
        <v>0.0</v>
      </c>
      <c r="Z11" s="776">
        <v>0.0</v>
      </c>
      <c r="AA11" s="776">
        <v>0.0</v>
      </c>
      <c r="AB11" s="776">
        <v>0.0</v>
      </c>
      <c r="AC11" s="768">
        <v>0.0</v>
      </c>
      <c r="AD11" s="768">
        <v>0.0</v>
      </c>
      <c r="AE11" s="768">
        <v>0.0</v>
      </c>
      <c r="AF11" s="768">
        <v>0.0</v>
      </c>
      <c r="AG11" s="751">
        <f t="shared" si="1"/>
        <v>0</v>
      </c>
      <c r="AH11" s="487"/>
      <c r="AI11" s="38"/>
      <c r="AJ11" s="38"/>
      <c r="AK11" s="38"/>
      <c r="AL11" s="38"/>
      <c r="AP11" s="271"/>
      <c r="AQ11" s="176"/>
      <c r="AR11" s="177"/>
      <c r="AS11" s="509"/>
      <c r="AT11" s="272"/>
      <c r="AU11" s="273"/>
      <c r="AV11" s="273"/>
      <c r="AW11" s="510"/>
      <c r="AX11" s="510"/>
      <c r="AY11" s="274"/>
    </row>
    <row r="12" ht="28.5" customHeight="1">
      <c r="A12" s="778" t="s">
        <v>30</v>
      </c>
      <c r="B12" s="779">
        <v>0.12</v>
      </c>
      <c r="C12" s="779">
        <v>0.0</v>
      </c>
      <c r="D12" s="768">
        <v>0.0</v>
      </c>
      <c r="E12" s="768">
        <v>0.0</v>
      </c>
      <c r="F12" s="768">
        <v>0.0</v>
      </c>
      <c r="G12" s="777">
        <v>0.0</v>
      </c>
      <c r="H12" s="768">
        <v>0.0</v>
      </c>
      <c r="I12" s="768">
        <v>0.0</v>
      </c>
      <c r="J12" s="768">
        <v>0.0</v>
      </c>
      <c r="K12" s="768">
        <v>0.0</v>
      </c>
      <c r="L12" s="768">
        <v>0.0</v>
      </c>
      <c r="M12" s="768"/>
      <c r="N12" s="768"/>
      <c r="O12" s="768"/>
      <c r="P12" s="768"/>
      <c r="Q12" s="768">
        <v>0.0</v>
      </c>
      <c r="R12" s="768">
        <v>0.0</v>
      </c>
      <c r="S12" s="768">
        <v>0.0</v>
      </c>
      <c r="T12" s="768">
        <v>0.0</v>
      </c>
      <c r="U12" s="777">
        <v>0.0</v>
      </c>
      <c r="V12" s="777">
        <v>0.0</v>
      </c>
      <c r="W12" s="777">
        <v>0.0</v>
      </c>
      <c r="X12" s="777">
        <v>0.0</v>
      </c>
      <c r="Y12" s="777">
        <v>0.0</v>
      </c>
      <c r="Z12" s="777">
        <v>0.0</v>
      </c>
      <c r="AA12" s="777">
        <v>0.0</v>
      </c>
      <c r="AB12" s="777">
        <v>0.0</v>
      </c>
      <c r="AC12" s="777">
        <v>0.0</v>
      </c>
      <c r="AD12" s="777">
        <v>0.0</v>
      </c>
      <c r="AE12" s="777">
        <v>0.0</v>
      </c>
      <c r="AF12" s="777">
        <v>0.0</v>
      </c>
      <c r="AG12" s="751">
        <f t="shared" si="1"/>
        <v>0.12</v>
      </c>
      <c r="AH12" s="455"/>
      <c r="AI12" s="38"/>
      <c r="AJ12" s="38"/>
      <c r="AK12" s="38"/>
      <c r="AL12" s="38"/>
      <c r="AP12" s="277" t="s">
        <v>43</v>
      </c>
      <c r="AQ12" s="176"/>
      <c r="AR12" s="177"/>
      <c r="AS12" s="518">
        <f>SUM(valuesByColor("lime", "", B3:AF35))</f>
        <v>973.25</v>
      </c>
      <c r="AT12" s="278">
        <f t="shared" ref="AT12:AT14" si="6">((AS12*(1-0.05))*(1-0.6))+AW12</f>
        <v>369.835</v>
      </c>
      <c r="AU12" s="279">
        <f t="shared" ref="AU12:AU14" si="7">(AS12*(1-0.05))*(1-0.95)+AX12</f>
        <v>46.229375</v>
      </c>
      <c r="AV12" s="279"/>
      <c r="AW12" s="519">
        <f t="shared" ref="AW12:AW14" si="8">(AV12*(1-0.05))*(1-0.9)</f>
        <v>0</v>
      </c>
      <c r="AX12" s="519">
        <f t="shared" ref="AX12:AX14" si="9">(AV12*(1-0.05))*(1-0.95)</f>
        <v>0</v>
      </c>
      <c r="AY12" s="280">
        <v>35.0</v>
      </c>
    </row>
    <row r="13" ht="28.5" customHeight="1">
      <c r="A13" s="747" t="s">
        <v>31</v>
      </c>
      <c r="B13" s="768">
        <v>0.0</v>
      </c>
      <c r="C13" s="777">
        <v>0.0</v>
      </c>
      <c r="D13" s="768">
        <v>0.0</v>
      </c>
      <c r="E13" s="768">
        <v>0.0</v>
      </c>
      <c r="F13" s="768">
        <v>0.0</v>
      </c>
      <c r="G13" s="768">
        <v>0.0</v>
      </c>
      <c r="H13" s="768">
        <v>0.0</v>
      </c>
      <c r="I13" s="768">
        <v>0.0</v>
      </c>
      <c r="J13" s="768">
        <v>0.0</v>
      </c>
      <c r="K13" s="768">
        <v>0.0</v>
      </c>
      <c r="L13" s="777">
        <v>0.0</v>
      </c>
      <c r="M13" s="748">
        <v>21.0</v>
      </c>
      <c r="N13" s="748">
        <v>10.5</v>
      </c>
      <c r="O13" s="777"/>
      <c r="P13" s="777"/>
      <c r="Q13" s="748">
        <v>20.3</v>
      </c>
      <c r="R13" s="775">
        <v>13.28</v>
      </c>
      <c r="S13" s="775">
        <v>14.12</v>
      </c>
      <c r="T13" s="775">
        <v>3.0</v>
      </c>
      <c r="U13" s="775">
        <v>7.74</v>
      </c>
      <c r="V13" s="777">
        <v>0.0</v>
      </c>
      <c r="W13" s="532">
        <v>22.36</v>
      </c>
      <c r="X13" s="532">
        <v>6.0</v>
      </c>
      <c r="Y13" s="532">
        <v>7.5</v>
      </c>
      <c r="Z13" s="532">
        <v>6.0</v>
      </c>
      <c r="AA13" s="532">
        <v>1.5</v>
      </c>
      <c r="AB13" s="532">
        <v>3.0</v>
      </c>
      <c r="AC13" s="532">
        <v>3.0</v>
      </c>
      <c r="AD13" s="532">
        <v>1.5</v>
      </c>
      <c r="AE13" s="532">
        <v>22.5</v>
      </c>
      <c r="AF13" s="532">
        <v>58.5</v>
      </c>
      <c r="AG13" s="751">
        <f t="shared" si="1"/>
        <v>221.8</v>
      </c>
      <c r="AH13" s="455"/>
      <c r="AI13" s="38"/>
      <c r="AJ13" s="38"/>
      <c r="AK13" s="38"/>
      <c r="AL13" s="38"/>
      <c r="AP13" s="668" t="s">
        <v>105</v>
      </c>
      <c r="AQ13" s="176"/>
      <c r="AR13" s="177"/>
      <c r="AS13" s="669">
        <f>SUM(valuesByColor("#7a00ff", "", B3:AF35))</f>
        <v>235.64</v>
      </c>
      <c r="AT13" s="670">
        <f t="shared" si="6"/>
        <v>89.5432</v>
      </c>
      <c r="AU13" s="671">
        <f t="shared" si="7"/>
        <v>11.1929</v>
      </c>
      <c r="AV13" s="671"/>
      <c r="AW13" s="672">
        <f t="shared" si="8"/>
        <v>0</v>
      </c>
      <c r="AX13" s="672">
        <f t="shared" si="9"/>
        <v>0</v>
      </c>
      <c r="AY13" s="673"/>
    </row>
    <row r="14" ht="28.5" customHeight="1">
      <c r="A14" s="747" t="s">
        <v>32</v>
      </c>
      <c r="B14" s="780">
        <v>4.5</v>
      </c>
      <c r="C14" s="749">
        <v>1.5</v>
      </c>
      <c r="D14" s="749">
        <v>1.62</v>
      </c>
      <c r="E14" s="749">
        <v>3.0</v>
      </c>
      <c r="F14" s="780">
        <v>3.0</v>
      </c>
      <c r="G14" s="780">
        <v>1.0</v>
      </c>
      <c r="H14" s="780">
        <v>1.5</v>
      </c>
      <c r="I14" s="780">
        <v>1.5</v>
      </c>
      <c r="J14" s="781">
        <v>0.0</v>
      </c>
      <c r="K14" s="781"/>
      <c r="L14" s="777">
        <v>0.0</v>
      </c>
      <c r="M14" s="782"/>
      <c r="N14" s="777"/>
      <c r="O14" s="777"/>
      <c r="P14" s="777"/>
      <c r="Q14" s="777">
        <v>0.0</v>
      </c>
      <c r="R14" s="777">
        <v>0.0</v>
      </c>
      <c r="S14" s="777">
        <v>0.0</v>
      </c>
      <c r="T14" s="777"/>
      <c r="U14" s="777">
        <v>0.0</v>
      </c>
      <c r="V14" s="777">
        <v>0.0</v>
      </c>
      <c r="W14" s="777">
        <v>0.0</v>
      </c>
      <c r="X14" s="777">
        <v>0.0</v>
      </c>
      <c r="Y14" s="777">
        <v>0.0</v>
      </c>
      <c r="Z14" s="777">
        <v>0.0</v>
      </c>
      <c r="AA14" s="777">
        <v>0.0</v>
      </c>
      <c r="AB14" s="777">
        <v>0.0</v>
      </c>
      <c r="AC14" s="777">
        <v>0.0</v>
      </c>
      <c r="AD14" s="777">
        <v>0.0</v>
      </c>
      <c r="AE14" s="777">
        <v>0.0</v>
      </c>
      <c r="AF14" s="777">
        <v>0.0</v>
      </c>
      <c r="AG14" s="751">
        <f t="shared" si="1"/>
        <v>17.62</v>
      </c>
      <c r="AH14" s="455"/>
      <c r="AI14" s="38"/>
      <c r="AJ14" s="38"/>
      <c r="AK14" s="38"/>
      <c r="AL14" s="38"/>
      <c r="AP14" s="384" t="s">
        <v>62</v>
      </c>
      <c r="AQ14" s="176"/>
      <c r="AR14" s="177"/>
      <c r="AS14" s="521">
        <f>SUM(valuesByColor("dark yellow 3", "", B3:AF35))</f>
        <v>928.31</v>
      </c>
      <c r="AT14" s="385">
        <f t="shared" si="6"/>
        <v>352.7578</v>
      </c>
      <c r="AU14" s="386">
        <f t="shared" si="7"/>
        <v>44.094725</v>
      </c>
      <c r="AV14" s="386"/>
      <c r="AW14" s="522">
        <f t="shared" si="8"/>
        <v>0</v>
      </c>
      <c r="AX14" s="522">
        <f t="shared" si="9"/>
        <v>0</v>
      </c>
      <c r="AY14" s="387"/>
    </row>
    <row r="15" ht="24.75" customHeight="1">
      <c r="A15" s="747" t="s">
        <v>106</v>
      </c>
      <c r="B15" s="679">
        <v>9.72</v>
      </c>
      <c r="C15" s="679">
        <v>8.07</v>
      </c>
      <c r="D15" s="679">
        <v>21.9</v>
      </c>
      <c r="E15" s="679">
        <v>12.57</v>
      </c>
      <c r="F15" s="679">
        <v>9.9</v>
      </c>
      <c r="G15" s="679">
        <v>20.85</v>
      </c>
      <c r="H15" s="679">
        <v>16.05</v>
      </c>
      <c r="I15" s="679">
        <v>0.0</v>
      </c>
      <c r="J15" s="679">
        <v>8.4</v>
      </c>
      <c r="K15" s="679">
        <v>21.15</v>
      </c>
      <c r="L15" s="679">
        <v>14.25</v>
      </c>
      <c r="M15" s="679">
        <v>10.5</v>
      </c>
      <c r="N15" s="679">
        <v>19.8</v>
      </c>
      <c r="O15" s="679">
        <v>13.35</v>
      </c>
      <c r="P15" s="679">
        <v>11.85</v>
      </c>
      <c r="Q15" s="679">
        <v>11.25</v>
      </c>
      <c r="R15" s="679">
        <v>24.4</v>
      </c>
      <c r="S15" s="679">
        <v>31.4</v>
      </c>
      <c r="T15" s="679">
        <v>0.0</v>
      </c>
      <c r="U15" s="679">
        <v>49.5</v>
      </c>
      <c r="V15" s="679">
        <v>23.9</v>
      </c>
      <c r="W15" s="679">
        <v>53.7</v>
      </c>
      <c r="X15" s="679">
        <v>0.0</v>
      </c>
      <c r="Y15" s="679">
        <v>31.4</v>
      </c>
      <c r="Z15" s="679">
        <v>0.0</v>
      </c>
      <c r="AA15" s="679">
        <v>28.55</v>
      </c>
      <c r="AB15" s="679">
        <v>38.45</v>
      </c>
      <c r="AC15" s="679">
        <v>17.85</v>
      </c>
      <c r="AD15" s="679">
        <v>57.2</v>
      </c>
      <c r="AE15" s="679">
        <v>11.85</v>
      </c>
      <c r="AF15" s="679">
        <v>21.9</v>
      </c>
      <c r="AG15" s="751">
        <f t="shared" si="1"/>
        <v>599.71</v>
      </c>
      <c r="AH15" s="455"/>
      <c r="AI15" s="38"/>
      <c r="AJ15" s="38"/>
      <c r="AK15" s="38"/>
      <c r="AL15" s="38"/>
      <c r="AS15" s="527">
        <f>SUM(AS4:AS14)</f>
        <v>9690.92</v>
      </c>
      <c r="AT15" s="38"/>
      <c r="AU15" s="220">
        <f>SUM(AU4:AU14)</f>
        <v>489.2937</v>
      </c>
    </row>
    <row r="16" ht="26.25" customHeight="1">
      <c r="A16" s="758" t="s">
        <v>107</v>
      </c>
      <c r="B16" s="768">
        <v>0.0</v>
      </c>
      <c r="C16" s="748">
        <v>1.5</v>
      </c>
      <c r="D16" s="768">
        <v>0.0</v>
      </c>
      <c r="E16" s="768">
        <v>0.0</v>
      </c>
      <c r="F16" s="777">
        <v>0.0</v>
      </c>
      <c r="G16" s="777">
        <v>0.0</v>
      </c>
      <c r="H16" s="768">
        <v>0.0</v>
      </c>
      <c r="I16" s="768">
        <v>0.0</v>
      </c>
      <c r="J16" s="777">
        <v>0.0</v>
      </c>
      <c r="K16" s="768">
        <v>0.0</v>
      </c>
      <c r="L16" s="768">
        <v>0.0</v>
      </c>
      <c r="M16" s="768"/>
      <c r="N16" s="768"/>
      <c r="O16" s="768"/>
      <c r="P16" s="768"/>
      <c r="Q16" s="768">
        <v>0.0</v>
      </c>
      <c r="R16" s="777">
        <v>0.0</v>
      </c>
      <c r="S16" s="768">
        <v>0.0</v>
      </c>
      <c r="T16" s="777">
        <v>0.0</v>
      </c>
      <c r="U16" s="777">
        <v>0.0</v>
      </c>
      <c r="V16" s="777">
        <v>0.0</v>
      </c>
      <c r="W16" s="777">
        <v>0.0</v>
      </c>
      <c r="X16" s="777">
        <v>0.0</v>
      </c>
      <c r="Y16" s="777">
        <v>0.0</v>
      </c>
      <c r="Z16" s="777">
        <v>0.0</v>
      </c>
      <c r="AA16" s="777">
        <v>0.0</v>
      </c>
      <c r="AB16" s="777">
        <v>0.0</v>
      </c>
      <c r="AC16" s="777">
        <v>0.0</v>
      </c>
      <c r="AD16" s="777">
        <v>0.0</v>
      </c>
      <c r="AE16" s="777">
        <v>0.0</v>
      </c>
      <c r="AF16" s="749">
        <v>6.0</v>
      </c>
      <c r="AG16" s="751">
        <f t="shared" si="1"/>
        <v>7.5</v>
      </c>
      <c r="AH16" s="455"/>
      <c r="AI16" s="38"/>
      <c r="AJ16" s="38"/>
      <c r="AK16" s="38"/>
      <c r="AL16" s="38"/>
      <c r="AP16" s="38"/>
      <c r="AQ16" s="38"/>
    </row>
    <row r="17" ht="25.5" customHeight="1">
      <c r="A17" s="758" t="s">
        <v>11</v>
      </c>
      <c r="B17" s="605">
        <v>123.04</v>
      </c>
      <c r="C17" s="605">
        <v>105.0</v>
      </c>
      <c r="D17" s="605">
        <v>122.6</v>
      </c>
      <c r="E17" s="605">
        <v>103.16</v>
      </c>
      <c r="F17" s="605">
        <v>114.0</v>
      </c>
      <c r="G17" s="605">
        <v>117.0</v>
      </c>
      <c r="H17" s="605">
        <v>103.24</v>
      </c>
      <c r="I17" s="605">
        <v>103.5</v>
      </c>
      <c r="J17" s="605">
        <v>97.5</v>
      </c>
      <c r="K17" s="605">
        <v>37.5</v>
      </c>
      <c r="L17" s="605">
        <v>132.5</v>
      </c>
      <c r="M17" s="605">
        <v>100.54</v>
      </c>
      <c r="N17" s="605">
        <v>0.0</v>
      </c>
      <c r="O17" s="605">
        <v>42.0</v>
      </c>
      <c r="P17" s="605">
        <v>99.0</v>
      </c>
      <c r="Q17" s="605">
        <v>106.08</v>
      </c>
      <c r="R17" s="605">
        <v>128.14</v>
      </c>
      <c r="S17" s="605">
        <v>123.0</v>
      </c>
      <c r="T17" s="605">
        <v>102.0</v>
      </c>
      <c r="U17" s="605">
        <v>118.5</v>
      </c>
      <c r="V17" s="605">
        <v>38.06</v>
      </c>
      <c r="W17" s="605">
        <v>171.46</v>
      </c>
      <c r="X17" s="605">
        <v>201.08</v>
      </c>
      <c r="Y17" s="605">
        <v>105.0</v>
      </c>
      <c r="Z17" s="605">
        <v>96.0</v>
      </c>
      <c r="AA17" s="605">
        <v>100.62</v>
      </c>
      <c r="AB17" s="605">
        <v>142.5</v>
      </c>
      <c r="AC17" s="783">
        <v>105.0</v>
      </c>
      <c r="AD17" s="783">
        <v>18.0</v>
      </c>
      <c r="AE17" s="783">
        <v>66.92</v>
      </c>
      <c r="AF17" s="783">
        <v>105.94</v>
      </c>
      <c r="AG17" s="751">
        <f t="shared" si="1"/>
        <v>3128.88</v>
      </c>
      <c r="AH17" s="455"/>
      <c r="AI17" s="38"/>
      <c r="AJ17" s="441"/>
      <c r="AK17" s="38"/>
      <c r="AL17" s="38"/>
      <c r="AP17" s="38"/>
      <c r="AQ17" s="38"/>
      <c r="AR17" s="38"/>
      <c r="AS17" s="173">
        <v>1.0</v>
      </c>
      <c r="AT17" s="174" t="s">
        <v>16</v>
      </c>
      <c r="AU17" s="173">
        <v>0.05</v>
      </c>
      <c r="AV17" s="456" t="s">
        <v>71</v>
      </c>
      <c r="AW17" s="456" t="s">
        <v>72</v>
      </c>
      <c r="AX17" s="456" t="s">
        <v>73</v>
      </c>
      <c r="AY17" s="246" t="s">
        <v>34</v>
      </c>
    </row>
    <row r="18" ht="29.25" customHeight="1">
      <c r="A18" s="758" t="s">
        <v>28</v>
      </c>
      <c r="B18" s="777">
        <v>0.0</v>
      </c>
      <c r="C18" s="777">
        <v>0.0</v>
      </c>
      <c r="D18" s="777">
        <v>0.0</v>
      </c>
      <c r="E18" s="777">
        <v>0.0</v>
      </c>
      <c r="F18" s="777">
        <v>0.0</v>
      </c>
      <c r="G18" s="777">
        <v>0.0</v>
      </c>
      <c r="H18" s="777">
        <v>0.0</v>
      </c>
      <c r="I18" s="777">
        <v>0.0</v>
      </c>
      <c r="J18" s="777">
        <v>0.0</v>
      </c>
      <c r="K18" s="777">
        <v>0.0</v>
      </c>
      <c r="L18" s="777">
        <v>0.0</v>
      </c>
      <c r="M18" s="777"/>
      <c r="N18" s="777"/>
      <c r="O18" s="777"/>
      <c r="P18" s="777"/>
      <c r="Q18" s="532">
        <v>11.96</v>
      </c>
      <c r="R18" s="777">
        <v>0.0</v>
      </c>
      <c r="S18" s="777">
        <v>0.0</v>
      </c>
      <c r="T18" s="777">
        <v>0.0</v>
      </c>
      <c r="U18" s="777">
        <v>0.0</v>
      </c>
      <c r="V18" s="777">
        <v>0.0</v>
      </c>
      <c r="W18" s="777">
        <v>0.0</v>
      </c>
      <c r="X18" s="777">
        <v>0.0</v>
      </c>
      <c r="Y18" s="777">
        <v>0.0</v>
      </c>
      <c r="Z18" s="777">
        <v>0.0</v>
      </c>
      <c r="AA18" s="777">
        <v>0.0</v>
      </c>
      <c r="AB18" s="777">
        <v>0.0</v>
      </c>
      <c r="AC18" s="777">
        <v>0.0</v>
      </c>
      <c r="AD18" s="777">
        <v>0.0</v>
      </c>
      <c r="AE18" s="777">
        <v>0.0</v>
      </c>
      <c r="AF18" s="777">
        <v>0.0</v>
      </c>
      <c r="AG18" s="751">
        <f t="shared" si="1"/>
        <v>11.96</v>
      </c>
      <c r="AH18" s="455"/>
      <c r="AI18" s="38"/>
      <c r="AJ18" s="38"/>
      <c r="AK18" s="38"/>
      <c r="AL18" s="38"/>
      <c r="AP18" s="544" t="s">
        <v>108</v>
      </c>
      <c r="AQ18" s="176"/>
      <c r="AR18" s="177"/>
      <c r="AS18" s="545">
        <f>SUM(valuesByColor("#ffc4d5", "", B3:AF35))</f>
        <v>384.19</v>
      </c>
      <c r="AT18" s="545">
        <f t="shared" ref="AT18:AT27" si="10">((AS18*(1-0.05))*(1-0.6))+AW18</f>
        <v>145.9922</v>
      </c>
      <c r="AU18" s="546">
        <f t="shared" ref="AU18:AU27" si="11">(AS18*(1-0.05))*(1-0.95)+AX18</f>
        <v>18.249025</v>
      </c>
      <c r="AV18" s="546"/>
      <c r="AW18" s="546">
        <f t="shared" ref="AW18:AW27" si="12">(AV18*(1-0.05))*(1-0.9)</f>
        <v>0</v>
      </c>
      <c r="AX18" s="546">
        <f t="shared" ref="AX18:AX27" si="13">(AV18*(1-0.05))*(1-0.95)</f>
        <v>0</v>
      </c>
      <c r="AY18" s="547"/>
    </row>
    <row r="19" ht="29.25" customHeight="1">
      <c r="A19" s="758" t="s">
        <v>68</v>
      </c>
      <c r="B19" s="784">
        <v>0.0</v>
      </c>
      <c r="C19" s="784">
        <v>1.5</v>
      </c>
      <c r="D19" s="784">
        <v>0.0</v>
      </c>
      <c r="E19" s="784">
        <v>12.72</v>
      </c>
      <c r="F19" s="784">
        <v>0.0</v>
      </c>
      <c r="G19" s="784">
        <v>12.15</v>
      </c>
      <c r="H19" s="784">
        <v>6.0</v>
      </c>
      <c r="I19" s="784">
        <v>7.62</v>
      </c>
      <c r="J19" s="784">
        <v>1.5</v>
      </c>
      <c r="K19" s="785">
        <v>9.0</v>
      </c>
      <c r="L19" s="784">
        <v>4.5</v>
      </c>
      <c r="M19" s="786">
        <v>3.0</v>
      </c>
      <c r="N19" s="784">
        <v>13.5</v>
      </c>
      <c r="O19" s="784">
        <v>14.1</v>
      </c>
      <c r="P19" s="784">
        <v>13.65</v>
      </c>
      <c r="Q19" s="784">
        <v>9.3</v>
      </c>
      <c r="R19" s="784">
        <v>13.5</v>
      </c>
      <c r="S19" s="784">
        <v>6.0</v>
      </c>
      <c r="T19" s="784">
        <v>1.5</v>
      </c>
      <c r="U19" s="784">
        <v>12.3</v>
      </c>
      <c r="V19" s="784">
        <v>1.5</v>
      </c>
      <c r="W19" s="784">
        <v>11.55</v>
      </c>
      <c r="X19" s="784">
        <v>3.0</v>
      </c>
      <c r="Y19" s="784">
        <v>0.0</v>
      </c>
      <c r="Z19" s="784">
        <v>0.0</v>
      </c>
      <c r="AA19" s="784">
        <v>4.5</v>
      </c>
      <c r="AB19" s="784">
        <v>0.0</v>
      </c>
      <c r="AC19" s="784">
        <v>3.0</v>
      </c>
      <c r="AD19" s="784">
        <v>6.45</v>
      </c>
      <c r="AE19" s="784">
        <v>3.0</v>
      </c>
      <c r="AF19" s="777">
        <v>0.0</v>
      </c>
      <c r="AG19" s="751">
        <f t="shared" si="1"/>
        <v>174.84</v>
      </c>
      <c r="AH19" s="455"/>
      <c r="AI19" s="38"/>
      <c r="AJ19" s="38"/>
      <c r="AK19" s="38"/>
      <c r="AL19" s="38"/>
      <c r="AP19" s="555"/>
      <c r="AQ19" s="176"/>
      <c r="AR19" s="177"/>
      <c r="AS19" s="556">
        <f>SUM(valuesByColor("#636212", "", B3:AF35))</f>
        <v>0</v>
      </c>
      <c r="AT19" s="556">
        <f t="shared" si="10"/>
        <v>0</v>
      </c>
      <c r="AU19" s="557">
        <f t="shared" si="11"/>
        <v>0</v>
      </c>
      <c r="AV19" s="557"/>
      <c r="AW19" s="557">
        <f t="shared" si="12"/>
        <v>0</v>
      </c>
      <c r="AX19" s="557">
        <f t="shared" si="13"/>
        <v>0</v>
      </c>
      <c r="AY19" s="558"/>
    </row>
    <row r="20" ht="29.25" customHeight="1">
      <c r="A20" s="758" t="s">
        <v>69</v>
      </c>
      <c r="B20" s="777">
        <v>0.0</v>
      </c>
      <c r="C20" s="777">
        <v>0.0</v>
      </c>
      <c r="D20" s="777">
        <v>0.0</v>
      </c>
      <c r="E20" s="777">
        <v>0.0</v>
      </c>
      <c r="F20" s="777">
        <v>0.0</v>
      </c>
      <c r="G20" s="777">
        <v>0.0</v>
      </c>
      <c r="H20" s="777">
        <v>0.0</v>
      </c>
      <c r="I20" s="777">
        <v>0.0</v>
      </c>
      <c r="J20" s="777">
        <v>0.0</v>
      </c>
      <c r="K20" s="777">
        <v>0.0</v>
      </c>
      <c r="L20" s="777">
        <v>0.0</v>
      </c>
      <c r="M20" s="777"/>
      <c r="N20" s="777"/>
      <c r="O20" s="777"/>
      <c r="P20" s="777"/>
      <c r="Q20" s="777">
        <v>0.0</v>
      </c>
      <c r="R20" s="777">
        <v>0.0</v>
      </c>
      <c r="S20" s="777">
        <v>0.0</v>
      </c>
      <c r="T20" s="777">
        <v>0.0</v>
      </c>
      <c r="U20" s="777">
        <v>0.0</v>
      </c>
      <c r="V20" s="777">
        <v>0.0</v>
      </c>
      <c r="W20" s="777">
        <v>0.0</v>
      </c>
      <c r="X20" s="777">
        <v>0.0</v>
      </c>
      <c r="Y20" s="787">
        <v>0.0</v>
      </c>
      <c r="Z20" s="787">
        <v>1.74</v>
      </c>
      <c r="AA20" s="787">
        <v>1.62</v>
      </c>
      <c r="AB20" s="787">
        <v>0.0</v>
      </c>
      <c r="AC20" s="787">
        <v>1.5</v>
      </c>
      <c r="AD20" s="787">
        <v>4.62</v>
      </c>
      <c r="AE20" s="787">
        <v>0.0</v>
      </c>
      <c r="AF20" s="787">
        <v>4.02</v>
      </c>
      <c r="AG20" s="751">
        <f t="shared" si="1"/>
        <v>13.5</v>
      </c>
      <c r="AH20" s="455"/>
      <c r="AI20" s="38"/>
      <c r="AJ20" s="38"/>
      <c r="AK20" s="38"/>
      <c r="AL20" s="38"/>
      <c r="AM20" s="38"/>
      <c r="AN20" s="38"/>
      <c r="AO20" s="226"/>
      <c r="AP20" s="563" t="s">
        <v>109</v>
      </c>
      <c r="AQ20" s="176"/>
      <c r="AR20" s="177"/>
      <c r="AS20" s="564">
        <f>SUM(valuesByColor("#00b572", "", B3:AF35))</f>
        <v>30.12</v>
      </c>
      <c r="AT20" s="564">
        <f t="shared" si="10"/>
        <v>11.4456</v>
      </c>
      <c r="AU20" s="565">
        <f t="shared" si="11"/>
        <v>1.4307</v>
      </c>
      <c r="AV20" s="565"/>
      <c r="AW20" s="565">
        <f t="shared" si="12"/>
        <v>0</v>
      </c>
      <c r="AX20" s="565">
        <f t="shared" si="13"/>
        <v>0</v>
      </c>
      <c r="AY20" s="566"/>
    </row>
    <row r="21" ht="29.25" customHeight="1">
      <c r="A21" s="747" t="s">
        <v>81</v>
      </c>
      <c r="B21" s="749">
        <v>6.0</v>
      </c>
      <c r="C21" s="749">
        <v>3.0</v>
      </c>
      <c r="D21" s="749">
        <v>1.5</v>
      </c>
      <c r="E21" s="749">
        <v>3.75</v>
      </c>
      <c r="F21" s="749">
        <v>0.0</v>
      </c>
      <c r="G21" s="750">
        <v>0.0</v>
      </c>
      <c r="H21" s="750">
        <v>0.0</v>
      </c>
      <c r="I21" s="750">
        <v>0.0</v>
      </c>
      <c r="J21" s="750">
        <v>0.0</v>
      </c>
      <c r="K21" s="750">
        <v>0.0</v>
      </c>
      <c r="L21" s="777">
        <v>0.0</v>
      </c>
      <c r="M21" s="777"/>
      <c r="N21" s="777"/>
      <c r="O21" s="777"/>
      <c r="P21" s="777"/>
      <c r="Q21" s="777">
        <v>0.0</v>
      </c>
      <c r="R21" s="777">
        <v>0.0</v>
      </c>
      <c r="S21" s="777">
        <v>0.0</v>
      </c>
      <c r="T21" s="749">
        <v>1.5</v>
      </c>
      <c r="U21" s="749">
        <v>0.0</v>
      </c>
      <c r="V21" s="777">
        <v>0.0</v>
      </c>
      <c r="W21" s="777">
        <v>0.0</v>
      </c>
      <c r="X21" s="777">
        <v>0.0</v>
      </c>
      <c r="Y21" s="777">
        <v>0.0</v>
      </c>
      <c r="Z21" s="777">
        <v>0.0</v>
      </c>
      <c r="AA21" s="777">
        <v>0.0</v>
      </c>
      <c r="AB21" s="777">
        <v>0.0</v>
      </c>
      <c r="AC21" s="777">
        <v>0.0</v>
      </c>
      <c r="AD21" s="777">
        <v>0.0</v>
      </c>
      <c r="AE21" s="777">
        <v>0.0</v>
      </c>
      <c r="AF21" s="777">
        <v>0.0</v>
      </c>
      <c r="AG21" s="751">
        <f t="shared" si="1"/>
        <v>15.75</v>
      </c>
      <c r="AH21" s="455"/>
      <c r="AI21" s="38"/>
      <c r="AJ21" s="38"/>
      <c r="AK21" s="38"/>
      <c r="AL21" s="38"/>
      <c r="AM21" s="38"/>
      <c r="AN21" s="38"/>
      <c r="AO21" s="226"/>
      <c r="AP21" s="575" t="s">
        <v>110</v>
      </c>
      <c r="AQ21" s="176"/>
      <c r="AR21" s="177"/>
      <c r="AS21" s="576">
        <f>SUM(valuesByColor("#7030a0", "", B3:AF35))</f>
        <v>13.5</v>
      </c>
      <c r="AT21" s="576">
        <f t="shared" si="10"/>
        <v>5.13</v>
      </c>
      <c r="AU21" s="577">
        <f t="shared" si="11"/>
        <v>0.64125</v>
      </c>
      <c r="AV21" s="577"/>
      <c r="AW21" s="577">
        <f t="shared" si="12"/>
        <v>0</v>
      </c>
      <c r="AX21" s="577">
        <f t="shared" si="13"/>
        <v>0</v>
      </c>
      <c r="AY21" s="578"/>
    </row>
    <row r="22" ht="29.25" customHeight="1">
      <c r="A22" s="747" t="s">
        <v>82</v>
      </c>
      <c r="B22" s="777">
        <v>0.0</v>
      </c>
      <c r="C22" s="777">
        <v>0.0</v>
      </c>
      <c r="D22" s="777">
        <v>0.0</v>
      </c>
      <c r="E22" s="777">
        <v>0.0</v>
      </c>
      <c r="F22" s="777">
        <v>0.0</v>
      </c>
      <c r="G22" s="777">
        <v>0.0</v>
      </c>
      <c r="H22" s="777">
        <v>0.0</v>
      </c>
      <c r="I22" s="777">
        <v>0.0</v>
      </c>
      <c r="J22" s="777">
        <v>0.0</v>
      </c>
      <c r="K22" s="777">
        <v>0.0</v>
      </c>
      <c r="L22" s="777">
        <v>0.0</v>
      </c>
      <c r="M22" s="777"/>
      <c r="N22" s="777"/>
      <c r="O22" s="777"/>
      <c r="P22" s="777"/>
      <c r="Q22" s="777">
        <v>0.0</v>
      </c>
      <c r="R22" s="777">
        <v>0.0</v>
      </c>
      <c r="S22" s="777">
        <v>0.0</v>
      </c>
      <c r="T22" s="777">
        <v>0.0</v>
      </c>
      <c r="U22" s="777">
        <v>0.0</v>
      </c>
      <c r="V22" s="777">
        <v>0.0</v>
      </c>
      <c r="W22" s="777">
        <v>0.0</v>
      </c>
      <c r="X22" s="777">
        <v>0.0</v>
      </c>
      <c r="Y22" s="777">
        <v>0.0</v>
      </c>
      <c r="Z22" s="777">
        <v>0.0</v>
      </c>
      <c r="AA22" s="777">
        <v>0.0</v>
      </c>
      <c r="AB22" s="777">
        <v>0.0</v>
      </c>
      <c r="AC22" s="777">
        <v>0.0</v>
      </c>
      <c r="AD22" s="777">
        <v>0.0</v>
      </c>
      <c r="AE22" s="777">
        <v>0.0</v>
      </c>
      <c r="AF22" s="777">
        <v>0.0</v>
      </c>
      <c r="AG22" s="751">
        <f t="shared" si="1"/>
        <v>0</v>
      </c>
      <c r="AH22" s="455"/>
      <c r="AI22" s="38"/>
      <c r="AJ22" s="38"/>
      <c r="AK22" s="38"/>
      <c r="AL22" s="38"/>
      <c r="AM22" s="38"/>
      <c r="AN22" s="38"/>
      <c r="AO22" s="226"/>
      <c r="AP22" s="580"/>
      <c r="AQ22" s="176"/>
      <c r="AR22" s="177"/>
      <c r="AS22" s="581"/>
      <c r="AT22" s="582">
        <f t="shared" si="10"/>
        <v>0</v>
      </c>
      <c r="AU22" s="583">
        <f t="shared" si="11"/>
        <v>0</v>
      </c>
      <c r="AV22" s="584"/>
      <c r="AW22" s="583">
        <f t="shared" si="12"/>
        <v>0</v>
      </c>
      <c r="AX22" s="583">
        <f t="shared" si="13"/>
        <v>0</v>
      </c>
      <c r="AY22" s="585"/>
    </row>
    <row r="23" ht="29.25" customHeight="1">
      <c r="A23" s="747" t="s">
        <v>83</v>
      </c>
      <c r="B23" s="788">
        <v>34.5</v>
      </c>
      <c r="C23" s="788">
        <v>21.12</v>
      </c>
      <c r="D23" s="788">
        <v>16.62</v>
      </c>
      <c r="E23" s="788">
        <v>25.5</v>
      </c>
      <c r="F23" s="788">
        <v>19.62</v>
      </c>
      <c r="G23" s="788">
        <v>31.5</v>
      </c>
      <c r="H23" s="788">
        <v>16.62</v>
      </c>
      <c r="I23" s="788">
        <v>27.0</v>
      </c>
      <c r="J23" s="788">
        <v>28.62</v>
      </c>
      <c r="K23" s="788">
        <v>33.36</v>
      </c>
      <c r="L23" s="788">
        <v>34.5</v>
      </c>
      <c r="M23" s="788">
        <v>39.0</v>
      </c>
      <c r="N23" s="788">
        <v>58.5</v>
      </c>
      <c r="O23" s="788">
        <v>22.74</v>
      </c>
      <c r="P23" s="788">
        <v>46.5</v>
      </c>
      <c r="Q23" s="788">
        <v>49.5</v>
      </c>
      <c r="R23" s="788">
        <v>36.12</v>
      </c>
      <c r="S23" s="788">
        <v>40.5</v>
      </c>
      <c r="T23" s="788">
        <v>28.5</v>
      </c>
      <c r="U23" s="788">
        <v>19.5</v>
      </c>
      <c r="V23" s="788">
        <v>7.5</v>
      </c>
      <c r="W23" s="788">
        <v>21.0</v>
      </c>
      <c r="X23" s="788">
        <v>19.74</v>
      </c>
      <c r="Y23" s="788">
        <v>9.12</v>
      </c>
      <c r="Z23" s="788">
        <v>13.5</v>
      </c>
      <c r="AA23" s="788">
        <v>6.0</v>
      </c>
      <c r="AB23" s="788">
        <v>19.5</v>
      </c>
      <c r="AC23" s="788">
        <v>4.5</v>
      </c>
      <c r="AD23" s="788">
        <v>21.0</v>
      </c>
      <c r="AE23" s="788">
        <v>21.24</v>
      </c>
      <c r="AF23" s="788">
        <v>22.5</v>
      </c>
      <c r="AG23" s="751">
        <f t="shared" si="1"/>
        <v>795.42</v>
      </c>
      <c r="AH23" s="455"/>
      <c r="AI23" s="38"/>
      <c r="AJ23" s="38"/>
      <c r="AK23" s="38"/>
      <c r="AL23" s="38"/>
      <c r="AM23" s="38"/>
      <c r="AN23" s="38"/>
      <c r="AO23" s="226"/>
      <c r="AP23" s="588"/>
      <c r="AQ23" s="176"/>
      <c r="AR23" s="177"/>
      <c r="AS23" s="589"/>
      <c r="AT23" s="590">
        <f t="shared" si="10"/>
        <v>0</v>
      </c>
      <c r="AU23" s="591">
        <f t="shared" si="11"/>
        <v>0</v>
      </c>
      <c r="AV23" s="592"/>
      <c r="AW23" s="591">
        <f t="shared" si="12"/>
        <v>0</v>
      </c>
      <c r="AX23" s="591">
        <f t="shared" si="13"/>
        <v>0</v>
      </c>
      <c r="AY23" s="268"/>
    </row>
    <row r="24" ht="29.25" customHeight="1">
      <c r="A24" s="747" t="s">
        <v>84</v>
      </c>
      <c r="B24" s="775">
        <v>0.0</v>
      </c>
      <c r="C24" s="775">
        <v>10.92</v>
      </c>
      <c r="D24" s="775">
        <v>16.62</v>
      </c>
      <c r="E24" s="775">
        <v>27.6</v>
      </c>
      <c r="F24" s="775">
        <v>19.18</v>
      </c>
      <c r="G24" s="775">
        <v>28.74</v>
      </c>
      <c r="H24" s="775">
        <v>4.5</v>
      </c>
      <c r="I24" s="775">
        <v>3.0</v>
      </c>
      <c r="J24" s="775">
        <v>20.06</v>
      </c>
      <c r="K24" s="775">
        <v>3.9</v>
      </c>
      <c r="L24" s="775">
        <v>0.0</v>
      </c>
      <c r="M24" s="775">
        <v>9.12</v>
      </c>
      <c r="N24" s="775">
        <v>12.0</v>
      </c>
      <c r="O24" s="775">
        <v>10.86</v>
      </c>
      <c r="P24" s="775">
        <v>3.0</v>
      </c>
      <c r="Q24" s="775">
        <v>3.0</v>
      </c>
      <c r="R24" s="679">
        <v>7.5</v>
      </c>
      <c r="S24" s="679">
        <v>3.0</v>
      </c>
      <c r="T24" s="679">
        <v>0.0</v>
      </c>
      <c r="U24" s="679">
        <v>7.62</v>
      </c>
      <c r="V24" s="679">
        <v>1.5</v>
      </c>
      <c r="W24" s="679">
        <v>6.24</v>
      </c>
      <c r="X24" s="679">
        <v>0.0</v>
      </c>
      <c r="Y24" s="679">
        <v>10.62</v>
      </c>
      <c r="Z24" s="679">
        <v>0.0</v>
      </c>
      <c r="AA24" s="679">
        <v>3.0</v>
      </c>
      <c r="AB24" s="679">
        <v>3.0</v>
      </c>
      <c r="AC24" s="679">
        <v>4.5</v>
      </c>
      <c r="AD24" s="679">
        <v>3.04</v>
      </c>
      <c r="AE24" s="784">
        <v>0.0</v>
      </c>
      <c r="AF24" s="784">
        <v>10.96</v>
      </c>
      <c r="AG24" s="751">
        <f t="shared" si="1"/>
        <v>233.48</v>
      </c>
      <c r="AH24" s="455"/>
      <c r="AI24" s="38"/>
      <c r="AJ24" s="38"/>
      <c r="AK24" s="38"/>
      <c r="AL24" s="38"/>
      <c r="AM24" s="38"/>
      <c r="AN24" s="38"/>
      <c r="AO24" s="226"/>
      <c r="AP24" s="588"/>
      <c r="AQ24" s="176"/>
      <c r="AR24" s="177"/>
      <c r="AS24" s="589"/>
      <c r="AT24" s="590">
        <f t="shared" si="10"/>
        <v>0</v>
      </c>
      <c r="AU24" s="591">
        <f t="shared" si="11"/>
        <v>0</v>
      </c>
      <c r="AV24" s="592"/>
      <c r="AW24" s="591">
        <f t="shared" si="12"/>
        <v>0</v>
      </c>
      <c r="AX24" s="591">
        <f t="shared" si="13"/>
        <v>0</v>
      </c>
      <c r="AY24" s="270"/>
    </row>
    <row r="25" ht="29.25" customHeight="1">
      <c r="A25" s="747" t="s">
        <v>85</v>
      </c>
      <c r="B25" s="749">
        <v>11.7</v>
      </c>
      <c r="C25" s="749">
        <v>3.0</v>
      </c>
      <c r="D25" s="749">
        <v>4.5</v>
      </c>
      <c r="E25" s="749">
        <v>6.0</v>
      </c>
      <c r="F25" s="749">
        <v>20.4</v>
      </c>
      <c r="G25" s="749">
        <v>22.62</v>
      </c>
      <c r="H25" s="749">
        <v>10.5</v>
      </c>
      <c r="I25" s="749">
        <v>1.0</v>
      </c>
      <c r="J25" s="749">
        <v>6.0</v>
      </c>
      <c r="K25" s="749">
        <v>0.0</v>
      </c>
      <c r="L25" s="749">
        <v>3.12</v>
      </c>
      <c r="M25" s="749">
        <v>1.5</v>
      </c>
      <c r="N25" s="749">
        <v>0.0</v>
      </c>
      <c r="O25" s="749">
        <v>0.0</v>
      </c>
      <c r="P25" s="749">
        <v>10.74</v>
      </c>
      <c r="Q25" s="749">
        <v>1.5</v>
      </c>
      <c r="R25" s="749">
        <v>1.5</v>
      </c>
      <c r="S25" s="749">
        <v>3.0</v>
      </c>
      <c r="T25" s="749">
        <v>6.0</v>
      </c>
      <c r="U25" s="749">
        <v>1.5</v>
      </c>
      <c r="V25" s="749">
        <v>0.0</v>
      </c>
      <c r="W25" s="749">
        <v>1.5</v>
      </c>
      <c r="X25" s="749">
        <v>0.0</v>
      </c>
      <c r="Y25" s="749">
        <v>0.0</v>
      </c>
      <c r="Z25" s="749">
        <v>1.5</v>
      </c>
      <c r="AA25" s="750">
        <v>0.0</v>
      </c>
      <c r="AB25" s="750">
        <v>0.0</v>
      </c>
      <c r="AC25" s="750">
        <v>0.0</v>
      </c>
      <c r="AD25" s="750">
        <v>0.0</v>
      </c>
      <c r="AE25" s="750">
        <v>0.0</v>
      </c>
      <c r="AF25" s="750">
        <v>0.0</v>
      </c>
      <c r="AG25" s="751">
        <f t="shared" si="1"/>
        <v>117.58</v>
      </c>
      <c r="AH25" s="455"/>
      <c r="AI25" s="38"/>
      <c r="AJ25" s="38"/>
      <c r="AK25" s="38"/>
      <c r="AL25" s="38"/>
      <c r="AM25" s="38"/>
      <c r="AN25" s="38"/>
      <c r="AO25" s="226"/>
      <c r="AP25" s="588"/>
      <c r="AQ25" s="176"/>
      <c r="AR25" s="177"/>
      <c r="AS25" s="589"/>
      <c r="AT25" s="590">
        <f t="shared" si="10"/>
        <v>0</v>
      </c>
      <c r="AU25" s="591">
        <f t="shared" si="11"/>
        <v>0</v>
      </c>
      <c r="AV25" s="600"/>
      <c r="AW25" s="591">
        <f t="shared" si="12"/>
        <v>0</v>
      </c>
      <c r="AX25" s="591">
        <f t="shared" si="13"/>
        <v>0</v>
      </c>
      <c r="AY25" s="274"/>
    </row>
    <row r="26" ht="29.25" customHeight="1">
      <c r="A26" s="789" t="s">
        <v>90</v>
      </c>
      <c r="B26" s="790">
        <v>5.52</v>
      </c>
      <c r="C26" s="790">
        <v>6.0</v>
      </c>
      <c r="D26" s="790">
        <v>15.0</v>
      </c>
      <c r="E26" s="790">
        <v>16.5</v>
      </c>
      <c r="F26" s="790">
        <v>11.3</v>
      </c>
      <c r="G26" s="790">
        <v>2.06</v>
      </c>
      <c r="H26" s="790">
        <v>3.0</v>
      </c>
      <c r="I26" s="790">
        <v>0.0</v>
      </c>
      <c r="J26" s="790">
        <v>15.0</v>
      </c>
      <c r="K26" s="790">
        <v>6.12</v>
      </c>
      <c r="L26" s="790">
        <v>1.5</v>
      </c>
      <c r="M26" s="790">
        <v>7.2</v>
      </c>
      <c r="N26" s="790">
        <v>0.0</v>
      </c>
      <c r="O26" s="790">
        <v>0.0</v>
      </c>
      <c r="P26" s="790">
        <v>3.0</v>
      </c>
      <c r="Q26" s="790">
        <v>6.42</v>
      </c>
      <c r="R26" s="790">
        <v>0.0</v>
      </c>
      <c r="S26" s="790">
        <v>0.0</v>
      </c>
      <c r="T26" s="790">
        <v>0.0</v>
      </c>
      <c r="U26" s="790">
        <v>0.0</v>
      </c>
      <c r="V26" s="790">
        <v>0.0</v>
      </c>
      <c r="W26" s="790">
        <v>0.0</v>
      </c>
      <c r="X26" s="790">
        <v>0.0</v>
      </c>
      <c r="Y26" s="790">
        <v>1.5</v>
      </c>
      <c r="Z26" s="790">
        <v>0.0</v>
      </c>
      <c r="AA26" s="791">
        <v>0.0</v>
      </c>
      <c r="AB26" s="791">
        <v>0.0</v>
      </c>
      <c r="AC26" s="791">
        <v>0.0</v>
      </c>
      <c r="AD26" s="791">
        <v>0.0</v>
      </c>
      <c r="AE26" s="792">
        <v>0.0</v>
      </c>
      <c r="AF26" s="792">
        <v>7.3</v>
      </c>
      <c r="AG26" s="751">
        <f t="shared" si="1"/>
        <v>107.42</v>
      </c>
      <c r="AH26" s="455"/>
      <c r="AI26" s="38"/>
      <c r="AJ26" s="38"/>
      <c r="AK26" s="38"/>
      <c r="AL26" s="38"/>
      <c r="AM26" s="38"/>
      <c r="AN26" s="38"/>
      <c r="AO26" s="226"/>
      <c r="AP26" s="588"/>
      <c r="AQ26" s="176"/>
      <c r="AR26" s="177"/>
      <c r="AS26" s="589"/>
      <c r="AT26" s="590">
        <f t="shared" si="10"/>
        <v>0</v>
      </c>
      <c r="AU26" s="591">
        <f t="shared" si="11"/>
        <v>0</v>
      </c>
      <c r="AV26" s="600"/>
      <c r="AW26" s="591">
        <f t="shared" si="12"/>
        <v>0</v>
      </c>
      <c r="AX26" s="591">
        <f t="shared" si="13"/>
        <v>0</v>
      </c>
      <c r="AY26" s="280"/>
    </row>
    <row r="27" ht="29.25" customHeight="1">
      <c r="A27" s="747" t="s">
        <v>111</v>
      </c>
      <c r="B27" s="793">
        <v>0.0</v>
      </c>
      <c r="C27" s="793">
        <v>39.01</v>
      </c>
      <c r="D27" s="793">
        <v>57.0</v>
      </c>
      <c r="E27" s="793">
        <v>22.5</v>
      </c>
      <c r="F27" s="793">
        <v>30.28</v>
      </c>
      <c r="G27" s="793">
        <v>53.59</v>
      </c>
      <c r="H27" s="793">
        <v>17.9</v>
      </c>
      <c r="I27" s="793">
        <v>13.5</v>
      </c>
      <c r="J27" s="793">
        <v>24.32</v>
      </c>
      <c r="K27" s="793">
        <v>22.26</v>
      </c>
      <c r="L27" s="793">
        <v>37.34</v>
      </c>
      <c r="M27" s="793">
        <v>62.52</v>
      </c>
      <c r="N27" s="793">
        <v>52.62</v>
      </c>
      <c r="O27" s="793">
        <v>36.68</v>
      </c>
      <c r="P27" s="793">
        <v>16.5</v>
      </c>
      <c r="Q27" s="793">
        <v>9.0</v>
      </c>
      <c r="R27" s="793">
        <v>59.4</v>
      </c>
      <c r="S27" s="793">
        <v>69.13</v>
      </c>
      <c r="T27" s="793">
        <v>89.85</v>
      </c>
      <c r="U27" s="793">
        <v>77.96</v>
      </c>
      <c r="V27" s="793">
        <v>12.26</v>
      </c>
      <c r="W27" s="793">
        <v>12.0</v>
      </c>
      <c r="X27" s="793">
        <v>0.0</v>
      </c>
      <c r="Y27" s="793">
        <v>33.54</v>
      </c>
      <c r="Z27" s="793">
        <v>0.0</v>
      </c>
      <c r="AA27" s="793">
        <v>0.0</v>
      </c>
      <c r="AB27" s="793">
        <v>49.34</v>
      </c>
      <c r="AC27" s="793">
        <v>98.48</v>
      </c>
      <c r="AD27" s="793">
        <v>33.7</v>
      </c>
      <c r="AE27" s="793">
        <v>72.96</v>
      </c>
      <c r="AF27" s="793">
        <v>49.5</v>
      </c>
      <c r="AG27" s="751">
        <f t="shared" si="1"/>
        <v>1153.14</v>
      </c>
      <c r="AH27" s="455"/>
      <c r="AI27" s="38"/>
      <c r="AJ27" s="38"/>
      <c r="AK27" s="38"/>
      <c r="AL27" s="38"/>
      <c r="AM27" s="38"/>
      <c r="AN27" s="38"/>
      <c r="AO27" s="226"/>
      <c r="AP27" s="588"/>
      <c r="AQ27" s="176"/>
      <c r="AR27" s="177"/>
      <c r="AS27" s="589"/>
      <c r="AT27" s="590">
        <f t="shared" si="10"/>
        <v>0</v>
      </c>
      <c r="AU27" s="591">
        <f t="shared" si="11"/>
        <v>0</v>
      </c>
      <c r="AV27" s="600"/>
      <c r="AW27" s="591">
        <f t="shared" si="12"/>
        <v>0</v>
      </c>
      <c r="AX27" s="591">
        <f t="shared" si="13"/>
        <v>0</v>
      </c>
      <c r="AY27" s="387"/>
    </row>
    <row r="28" ht="29.25" customHeight="1">
      <c r="A28" s="794" t="s">
        <v>95</v>
      </c>
      <c r="B28" s="795">
        <v>0.0</v>
      </c>
      <c r="C28" s="795">
        <v>0.0</v>
      </c>
      <c r="D28" s="795">
        <v>0.0</v>
      </c>
      <c r="E28" s="795">
        <v>0.0</v>
      </c>
      <c r="F28" s="795">
        <v>0.0</v>
      </c>
      <c r="G28" s="795">
        <v>0.0</v>
      </c>
      <c r="H28" s="795">
        <v>0.0</v>
      </c>
      <c r="I28" s="795">
        <v>0.0</v>
      </c>
      <c r="J28" s="795">
        <v>0.0</v>
      </c>
      <c r="K28" s="795">
        <v>0.0</v>
      </c>
      <c r="L28" s="795">
        <v>0.0</v>
      </c>
      <c r="M28" s="795">
        <v>0.0</v>
      </c>
      <c r="N28" s="795">
        <v>0.0</v>
      </c>
      <c r="O28" s="795">
        <v>0.0</v>
      </c>
      <c r="P28" s="795">
        <v>0.0</v>
      </c>
      <c r="Q28" s="795">
        <v>0.0</v>
      </c>
      <c r="R28" s="795">
        <v>0.0</v>
      </c>
      <c r="S28" s="795">
        <v>0.0</v>
      </c>
      <c r="T28" s="795">
        <v>0.0</v>
      </c>
      <c r="U28" s="795">
        <v>0.0</v>
      </c>
      <c r="V28" s="795">
        <v>0.0</v>
      </c>
      <c r="W28" s="795">
        <v>0.0</v>
      </c>
      <c r="X28" s="795">
        <v>0.0</v>
      </c>
      <c r="Y28" s="795">
        <v>0.0</v>
      </c>
      <c r="Z28" s="795">
        <v>0.0</v>
      </c>
      <c r="AA28" s="795">
        <v>0.0</v>
      </c>
      <c r="AB28" s="795">
        <v>0.0</v>
      </c>
      <c r="AC28" s="795">
        <v>0.0</v>
      </c>
      <c r="AD28" s="795">
        <v>0.0</v>
      </c>
      <c r="AE28" s="795">
        <v>0.0</v>
      </c>
      <c r="AF28" s="795">
        <v>0.0</v>
      </c>
      <c r="AG28" s="473">
        <f t="shared" si="1"/>
        <v>0</v>
      </c>
      <c r="AH28" s="455"/>
      <c r="AI28" s="38"/>
      <c r="AJ28" s="38"/>
      <c r="AK28" s="38"/>
      <c r="AL28" s="38"/>
      <c r="AM28" s="38"/>
      <c r="AN28" s="38"/>
      <c r="AO28" s="226"/>
      <c r="AS28" s="220">
        <f>SUM(AS18:AS27)</f>
        <v>427.81</v>
      </c>
      <c r="AT28" s="38"/>
      <c r="AU28" s="220">
        <f>SUM(AU18:AU27)</f>
        <v>20.320975</v>
      </c>
    </row>
    <row r="29" ht="29.25" customHeight="1">
      <c r="A29" s="758" t="s">
        <v>96</v>
      </c>
      <c r="B29" s="777">
        <v>0.0</v>
      </c>
      <c r="C29" s="777">
        <v>0.0</v>
      </c>
      <c r="D29" s="777">
        <v>0.0</v>
      </c>
      <c r="E29" s="777">
        <v>0.0</v>
      </c>
      <c r="F29" s="777">
        <v>0.0</v>
      </c>
      <c r="G29" s="777">
        <v>0.0</v>
      </c>
      <c r="H29" s="777">
        <v>0.0</v>
      </c>
      <c r="I29" s="777">
        <v>0.0</v>
      </c>
      <c r="J29" s="777">
        <v>0.0</v>
      </c>
      <c r="K29" s="777">
        <v>0.0</v>
      </c>
      <c r="L29" s="777">
        <v>0.0</v>
      </c>
      <c r="M29" s="777"/>
      <c r="N29" s="777"/>
      <c r="O29" s="777">
        <v>1.5</v>
      </c>
      <c r="P29" s="777"/>
      <c r="Q29" s="777">
        <v>0.0</v>
      </c>
      <c r="R29" s="777">
        <v>0.0</v>
      </c>
      <c r="S29" s="777">
        <v>0.0</v>
      </c>
      <c r="T29" s="777">
        <v>0.0</v>
      </c>
      <c r="U29" s="777">
        <v>0.0</v>
      </c>
      <c r="V29" s="777">
        <v>0.0</v>
      </c>
      <c r="W29" s="777">
        <v>0.0</v>
      </c>
      <c r="X29" s="777">
        <v>0.0</v>
      </c>
      <c r="Y29" s="777">
        <v>0.0</v>
      </c>
      <c r="Z29" s="777">
        <v>0.0</v>
      </c>
      <c r="AA29" s="777">
        <v>0.0</v>
      </c>
      <c r="AB29" s="777">
        <v>0.0</v>
      </c>
      <c r="AC29" s="777">
        <v>0.0</v>
      </c>
      <c r="AD29" s="777">
        <v>0.0</v>
      </c>
      <c r="AE29" s="777">
        <v>0.0</v>
      </c>
      <c r="AF29" s="777">
        <v>0.0</v>
      </c>
      <c r="AG29" s="473">
        <f t="shared" si="1"/>
        <v>1.5</v>
      </c>
      <c r="AH29" s="455"/>
      <c r="AI29" s="38"/>
      <c r="AJ29" s="38"/>
      <c r="AK29" s="38"/>
      <c r="AL29" s="38"/>
      <c r="AM29" s="38"/>
      <c r="AN29" s="38"/>
      <c r="AO29" s="226"/>
      <c r="AP29" s="226"/>
      <c r="AQ29" s="226"/>
    </row>
    <row r="30" ht="29.25" customHeight="1">
      <c r="A30" s="758" t="s">
        <v>97</v>
      </c>
      <c r="B30" s="748">
        <v>169.0</v>
      </c>
      <c r="C30" s="748">
        <v>90.0</v>
      </c>
      <c r="D30" s="748">
        <v>207.0</v>
      </c>
      <c r="E30" s="748">
        <v>58.5</v>
      </c>
      <c r="F30" s="748">
        <v>205.5</v>
      </c>
      <c r="G30" s="748">
        <v>141.0</v>
      </c>
      <c r="H30" s="748">
        <v>190.72</v>
      </c>
      <c r="I30" s="748">
        <v>43.5</v>
      </c>
      <c r="J30" s="748">
        <v>77.0</v>
      </c>
      <c r="K30" s="748">
        <v>6.0</v>
      </c>
      <c r="L30" s="748">
        <v>28.0</v>
      </c>
      <c r="M30" s="748">
        <v>41.0</v>
      </c>
      <c r="N30" s="748">
        <v>55.5</v>
      </c>
      <c r="O30" s="748">
        <v>55.5</v>
      </c>
      <c r="P30" s="748">
        <v>1.5</v>
      </c>
      <c r="Q30" s="748">
        <v>54.0</v>
      </c>
      <c r="R30" s="748">
        <v>33.0</v>
      </c>
      <c r="S30" s="748">
        <v>16.5</v>
      </c>
      <c r="T30" s="748">
        <v>10.5</v>
      </c>
      <c r="U30" s="748">
        <v>85.5</v>
      </c>
      <c r="V30" s="748">
        <v>10.5</v>
      </c>
      <c r="W30" s="748">
        <v>64.5</v>
      </c>
      <c r="X30" s="748">
        <v>28.5</v>
      </c>
      <c r="Y30" s="748">
        <v>49.5</v>
      </c>
      <c r="Z30" s="748">
        <v>25.5</v>
      </c>
      <c r="AA30" s="748">
        <v>19.5</v>
      </c>
      <c r="AB30" s="748">
        <v>190.5</v>
      </c>
      <c r="AC30" s="748">
        <v>34.5</v>
      </c>
      <c r="AD30" s="748">
        <v>76.5</v>
      </c>
      <c r="AE30" s="748">
        <v>33.0</v>
      </c>
      <c r="AF30" s="748">
        <v>24.0</v>
      </c>
      <c r="AG30" s="473">
        <f t="shared" si="1"/>
        <v>2125.72</v>
      </c>
      <c r="AH30" s="455"/>
      <c r="AI30" s="38"/>
      <c r="AJ30" s="38"/>
      <c r="AK30" s="38"/>
      <c r="AL30" s="38"/>
      <c r="AM30" s="38"/>
      <c r="AN30" s="38"/>
      <c r="AO30" s="226"/>
      <c r="AP30" s="226"/>
      <c r="AQ30" s="226"/>
    </row>
    <row r="31" ht="29.25" customHeight="1">
      <c r="A31" s="758" t="s">
        <v>98</v>
      </c>
      <c r="B31" s="749">
        <v>12.08</v>
      </c>
      <c r="C31" s="749">
        <v>0.28</v>
      </c>
      <c r="D31" s="749">
        <v>6.0</v>
      </c>
      <c r="E31" s="749">
        <v>1.5</v>
      </c>
      <c r="F31" s="749">
        <v>3.12</v>
      </c>
      <c r="G31" s="750">
        <v>0.0</v>
      </c>
      <c r="H31" s="750">
        <v>0.0</v>
      </c>
      <c r="I31" s="750">
        <v>0.0</v>
      </c>
      <c r="J31" s="750">
        <v>0.0</v>
      </c>
      <c r="K31" s="750">
        <v>0.0</v>
      </c>
      <c r="L31" s="750">
        <v>0.0</v>
      </c>
      <c r="M31" s="750"/>
      <c r="N31" s="750"/>
      <c r="O31" s="750"/>
      <c r="P31" s="750"/>
      <c r="Q31" s="750">
        <v>0.0</v>
      </c>
      <c r="R31" s="750"/>
      <c r="S31" s="750">
        <v>0.0</v>
      </c>
      <c r="T31" s="750">
        <v>0.0</v>
      </c>
      <c r="U31" s="750">
        <v>0.0</v>
      </c>
      <c r="V31" s="750">
        <v>0.0</v>
      </c>
      <c r="W31" s="750">
        <v>0.0</v>
      </c>
      <c r="X31" s="750">
        <v>0.0</v>
      </c>
      <c r="Y31" s="750">
        <v>0.0</v>
      </c>
      <c r="Z31" s="750">
        <v>0.0</v>
      </c>
      <c r="AA31" s="750">
        <v>0.12</v>
      </c>
      <c r="AB31" s="750">
        <v>0.0</v>
      </c>
      <c r="AC31" s="750">
        <v>0.0</v>
      </c>
      <c r="AD31" s="750">
        <v>0.0</v>
      </c>
      <c r="AE31" s="750">
        <v>0.0</v>
      </c>
      <c r="AF31" s="750">
        <v>0.0</v>
      </c>
      <c r="AG31" s="473">
        <f t="shared" si="1"/>
        <v>23.1</v>
      </c>
      <c r="AH31" s="455"/>
      <c r="AI31" s="38"/>
      <c r="AJ31" s="38"/>
      <c r="AK31" s="38"/>
      <c r="AL31" s="38"/>
      <c r="AM31" s="38"/>
      <c r="AN31" s="38"/>
      <c r="AO31" s="226"/>
      <c r="AP31" s="226"/>
      <c r="AQ31" s="226"/>
    </row>
    <row r="32" ht="29.25" customHeight="1">
      <c r="A32" s="758" t="s">
        <v>99</v>
      </c>
      <c r="B32" s="679">
        <v>7.12</v>
      </c>
      <c r="C32" s="679">
        <v>3.0</v>
      </c>
      <c r="D32" s="679">
        <v>0.82</v>
      </c>
      <c r="E32" s="679">
        <v>0.42</v>
      </c>
      <c r="F32" s="679">
        <v>7.72</v>
      </c>
      <c r="G32" s="679">
        <v>11.78</v>
      </c>
      <c r="H32" s="679">
        <v>0.12</v>
      </c>
      <c r="I32" s="679">
        <v>0.0</v>
      </c>
      <c r="J32" s="679">
        <v>5.76</v>
      </c>
      <c r="K32" s="679">
        <v>0.0</v>
      </c>
      <c r="L32" s="679">
        <v>0.0</v>
      </c>
      <c r="M32" s="679">
        <v>0.0</v>
      </c>
      <c r="N32" s="679">
        <v>2.48</v>
      </c>
      <c r="O32" s="679">
        <v>0.12</v>
      </c>
      <c r="P32" s="679">
        <v>11.8</v>
      </c>
      <c r="Q32" s="679">
        <v>1.75</v>
      </c>
      <c r="R32" s="777"/>
      <c r="S32" s="532">
        <v>1.62</v>
      </c>
      <c r="T32" s="532">
        <v>7.5</v>
      </c>
      <c r="U32" s="532">
        <v>15.0</v>
      </c>
      <c r="V32" s="532">
        <v>1.5</v>
      </c>
      <c r="W32" s="532">
        <v>9.82</v>
      </c>
      <c r="X32" s="532">
        <v>8.7</v>
      </c>
      <c r="Y32" s="532">
        <v>12.48</v>
      </c>
      <c r="Z32" s="532">
        <v>3.0</v>
      </c>
      <c r="AA32" s="532">
        <v>1.5</v>
      </c>
      <c r="AB32" s="532">
        <v>8.46</v>
      </c>
      <c r="AC32" s="532">
        <v>12.56</v>
      </c>
      <c r="AD32" s="532">
        <v>21.26</v>
      </c>
      <c r="AE32" s="532">
        <v>43.7</v>
      </c>
      <c r="AF32" s="532">
        <v>26.56</v>
      </c>
      <c r="AG32" s="473">
        <f t="shared" si="1"/>
        <v>226.55</v>
      </c>
      <c r="AH32" s="455"/>
      <c r="AI32" s="38"/>
      <c r="AJ32" s="38"/>
      <c r="AK32" s="38"/>
      <c r="AL32" s="38"/>
      <c r="AM32" s="38"/>
      <c r="AN32" s="38"/>
      <c r="AO32" s="226"/>
      <c r="AP32" s="226"/>
      <c r="AQ32" s="226"/>
    </row>
    <row r="33" ht="29.25" customHeight="1">
      <c r="A33" s="758" t="s">
        <v>100</v>
      </c>
      <c r="B33" s="777">
        <v>0.0</v>
      </c>
      <c r="C33" s="777">
        <v>0.0</v>
      </c>
      <c r="D33" s="777">
        <v>0.0</v>
      </c>
      <c r="E33" s="777">
        <v>0.0</v>
      </c>
      <c r="F33" s="777">
        <v>0.0</v>
      </c>
      <c r="G33" s="777">
        <v>0.0</v>
      </c>
      <c r="H33" s="777">
        <v>0.0</v>
      </c>
      <c r="I33" s="777">
        <v>0.0</v>
      </c>
      <c r="J33" s="784">
        <v>0.0</v>
      </c>
      <c r="K33" s="784">
        <v>0.0</v>
      </c>
      <c r="L33" s="784">
        <v>0.0</v>
      </c>
      <c r="M33" s="784">
        <v>5.34</v>
      </c>
      <c r="N33" s="784"/>
      <c r="O33" s="784">
        <v>0.36</v>
      </c>
      <c r="P33" s="784">
        <v>5.76</v>
      </c>
      <c r="Q33" s="784">
        <v>1.62</v>
      </c>
      <c r="R33" s="784">
        <v>9.9</v>
      </c>
      <c r="S33" s="784">
        <v>4.26</v>
      </c>
      <c r="T33" s="784">
        <v>0.0</v>
      </c>
      <c r="U33" s="784">
        <v>1.5</v>
      </c>
      <c r="V33" s="784">
        <v>4.2</v>
      </c>
      <c r="W33" s="784">
        <v>3.0</v>
      </c>
      <c r="X33" s="784">
        <v>3.0</v>
      </c>
      <c r="Y33" s="784">
        <v>0.0</v>
      </c>
      <c r="Z33" s="784">
        <v>0.0</v>
      </c>
      <c r="AA33" s="784">
        <v>1.5</v>
      </c>
      <c r="AB33" s="784">
        <v>0.0</v>
      </c>
      <c r="AC33" s="784">
        <v>0.0</v>
      </c>
      <c r="AD33" s="784">
        <v>1.98</v>
      </c>
      <c r="AE33" s="784">
        <v>0.0</v>
      </c>
      <c r="AF33" s="777">
        <v>0.0</v>
      </c>
      <c r="AG33" s="473">
        <f t="shared" si="1"/>
        <v>42.42</v>
      </c>
      <c r="AH33" s="455"/>
      <c r="AI33" s="38"/>
      <c r="AJ33" s="38"/>
      <c r="AK33" s="38"/>
      <c r="AL33" s="38"/>
      <c r="AM33" s="38"/>
      <c r="AN33" s="38"/>
      <c r="AO33" s="226"/>
      <c r="AP33" s="226"/>
      <c r="AQ33" s="226"/>
    </row>
    <row r="34" ht="29.25" customHeight="1">
      <c r="A34" s="758" t="s">
        <v>112</v>
      </c>
      <c r="B34" s="780">
        <v>0.0</v>
      </c>
      <c r="C34" s="780">
        <v>7.0</v>
      </c>
      <c r="D34" s="780">
        <v>7.5</v>
      </c>
      <c r="E34" s="780">
        <v>4.5</v>
      </c>
      <c r="F34" s="780">
        <v>0.12</v>
      </c>
      <c r="G34" s="749">
        <v>0.0</v>
      </c>
      <c r="H34" s="780">
        <v>0.0</v>
      </c>
      <c r="I34" s="780">
        <v>0.0</v>
      </c>
      <c r="J34" s="780">
        <v>0.24</v>
      </c>
      <c r="K34" s="780">
        <v>0.0</v>
      </c>
      <c r="L34" s="780">
        <v>0.12</v>
      </c>
      <c r="M34" s="780">
        <v>0.0</v>
      </c>
      <c r="N34" s="780">
        <v>0.0</v>
      </c>
      <c r="O34" s="780">
        <v>0.0</v>
      </c>
      <c r="P34" s="780">
        <v>3.12</v>
      </c>
      <c r="Q34" s="780">
        <v>0.12</v>
      </c>
      <c r="R34" s="780">
        <v>0.0</v>
      </c>
      <c r="S34" s="768">
        <v>0.0</v>
      </c>
      <c r="T34" s="768">
        <v>0.0</v>
      </c>
      <c r="U34" s="777">
        <v>0.0</v>
      </c>
      <c r="V34" s="777">
        <v>0.0</v>
      </c>
      <c r="W34" s="749">
        <v>0.0</v>
      </c>
      <c r="X34" s="749">
        <v>4.5</v>
      </c>
      <c r="Y34" s="749">
        <v>0.0</v>
      </c>
      <c r="Z34" s="749">
        <v>0.0</v>
      </c>
      <c r="AA34" s="750">
        <v>0.0</v>
      </c>
      <c r="AB34" s="750">
        <v>0.0</v>
      </c>
      <c r="AC34" s="750">
        <v>0.0</v>
      </c>
      <c r="AD34" s="750">
        <v>0.0</v>
      </c>
      <c r="AE34" s="750">
        <v>0.0</v>
      </c>
      <c r="AF34" s="750">
        <v>0.0</v>
      </c>
      <c r="AG34" s="473">
        <f t="shared" si="1"/>
        <v>27.22</v>
      </c>
      <c r="AH34" s="455"/>
      <c r="AI34" s="38"/>
      <c r="AJ34" s="38"/>
      <c r="AK34" s="38"/>
      <c r="AL34" s="38"/>
      <c r="AM34" s="38"/>
      <c r="AN34" s="38"/>
      <c r="AO34" s="226"/>
      <c r="AP34" s="226"/>
      <c r="AQ34" s="226"/>
    </row>
    <row r="35" ht="29.25" customHeight="1">
      <c r="A35" s="758" t="s">
        <v>9</v>
      </c>
      <c r="B35" s="777">
        <v>0.0</v>
      </c>
      <c r="C35" s="777">
        <v>0.0</v>
      </c>
      <c r="D35" s="777">
        <v>0.0</v>
      </c>
      <c r="E35" s="777">
        <v>0.0</v>
      </c>
      <c r="F35" s="777">
        <v>0.0</v>
      </c>
      <c r="G35" s="777">
        <v>0.0</v>
      </c>
      <c r="H35" s="777">
        <v>0.0</v>
      </c>
      <c r="I35" s="777">
        <v>0.0</v>
      </c>
      <c r="J35" s="777">
        <v>0.0</v>
      </c>
      <c r="K35" s="777">
        <v>0.0</v>
      </c>
      <c r="L35" s="777">
        <v>0.0</v>
      </c>
      <c r="M35" s="777"/>
      <c r="N35" s="777"/>
      <c r="O35" s="777"/>
      <c r="P35" s="777"/>
      <c r="Q35" s="777">
        <v>0.0</v>
      </c>
      <c r="R35" s="777"/>
      <c r="S35" s="777">
        <v>0.0</v>
      </c>
      <c r="T35" s="777">
        <v>0.0</v>
      </c>
      <c r="U35" s="777">
        <v>0.0</v>
      </c>
      <c r="V35" s="777">
        <v>0.0</v>
      </c>
      <c r="W35" s="777">
        <v>0.0</v>
      </c>
      <c r="X35" s="777">
        <v>0.0</v>
      </c>
      <c r="Y35" s="777">
        <v>0.0</v>
      </c>
      <c r="Z35" s="777">
        <v>0.0</v>
      </c>
      <c r="AA35" s="777">
        <v>0.0</v>
      </c>
      <c r="AB35" s="777">
        <v>0.0</v>
      </c>
      <c r="AC35" s="777">
        <v>0.0</v>
      </c>
      <c r="AD35" s="777">
        <v>0.0</v>
      </c>
      <c r="AE35" s="777">
        <v>0.0</v>
      </c>
      <c r="AF35" s="777">
        <v>0.0</v>
      </c>
      <c r="AG35" s="473">
        <f t="shared" si="1"/>
        <v>0</v>
      </c>
      <c r="AH35" s="455"/>
      <c r="AI35" s="38"/>
      <c r="AJ35" s="38"/>
      <c r="AK35" s="38"/>
      <c r="AL35" s="38"/>
      <c r="AM35" s="38"/>
      <c r="AN35" s="38"/>
      <c r="AO35" s="226"/>
    </row>
    <row r="36" ht="24.75" customHeight="1">
      <c r="A36" s="47" t="s">
        <v>14</v>
      </c>
      <c r="B36" s="167">
        <f t="shared" ref="B36:AF36" si="14">SUM(B28:B35,B3:B26,B27)</f>
        <v>425.42</v>
      </c>
      <c r="C36" s="167">
        <f t="shared" si="14"/>
        <v>411.99</v>
      </c>
      <c r="D36" s="167">
        <f t="shared" si="14"/>
        <v>617.7</v>
      </c>
      <c r="E36" s="167">
        <f t="shared" si="14"/>
        <v>436.22</v>
      </c>
      <c r="F36" s="167">
        <f t="shared" si="14"/>
        <v>694.23</v>
      </c>
      <c r="G36" s="167">
        <f t="shared" si="14"/>
        <v>574.39</v>
      </c>
      <c r="H36" s="167">
        <f t="shared" si="14"/>
        <v>474.94</v>
      </c>
      <c r="I36" s="167">
        <f t="shared" si="14"/>
        <v>304.94</v>
      </c>
      <c r="J36" s="167">
        <f t="shared" si="14"/>
        <v>378.27</v>
      </c>
      <c r="K36" s="167">
        <f t="shared" si="14"/>
        <v>235.26</v>
      </c>
      <c r="L36" s="167">
        <f t="shared" si="14"/>
        <v>363.65</v>
      </c>
      <c r="M36" s="167">
        <f t="shared" si="14"/>
        <v>461.91</v>
      </c>
      <c r="N36" s="167">
        <f t="shared" si="14"/>
        <v>359.87</v>
      </c>
      <c r="O36" s="167">
        <f t="shared" si="14"/>
        <v>328.16</v>
      </c>
      <c r="P36" s="167">
        <f t="shared" si="14"/>
        <v>322.37</v>
      </c>
      <c r="Q36" s="167">
        <f t="shared" si="14"/>
        <v>355.3</v>
      </c>
      <c r="R36" s="167">
        <f t="shared" si="14"/>
        <v>474.71</v>
      </c>
      <c r="S36" s="167">
        <f t="shared" si="14"/>
        <v>521.37</v>
      </c>
      <c r="T36" s="167">
        <f t="shared" si="14"/>
        <v>429.9</v>
      </c>
      <c r="U36" s="167">
        <f t="shared" si="14"/>
        <v>606.89</v>
      </c>
      <c r="V36" s="167">
        <f t="shared" si="14"/>
        <v>229.71</v>
      </c>
      <c r="W36" s="167">
        <f t="shared" si="14"/>
        <v>490.85</v>
      </c>
      <c r="X36" s="167">
        <f t="shared" si="14"/>
        <v>349.26</v>
      </c>
      <c r="Y36" s="167">
        <f t="shared" si="14"/>
        <v>409.04</v>
      </c>
      <c r="Z36" s="167">
        <f t="shared" si="14"/>
        <v>260.32</v>
      </c>
      <c r="AA36" s="167">
        <f t="shared" si="14"/>
        <v>294.63</v>
      </c>
      <c r="AB36" s="167">
        <f t="shared" si="14"/>
        <v>634.47</v>
      </c>
      <c r="AC36" s="167">
        <f t="shared" si="14"/>
        <v>443.83</v>
      </c>
      <c r="AD36" s="167">
        <f t="shared" si="14"/>
        <v>375.75</v>
      </c>
      <c r="AE36" s="167">
        <f t="shared" si="14"/>
        <v>367.45</v>
      </c>
      <c r="AF36" s="167">
        <f t="shared" si="14"/>
        <v>417.67</v>
      </c>
      <c r="AG36" s="38"/>
      <c r="AH36" s="58"/>
      <c r="AI36" s="38"/>
      <c r="AJ36" s="38"/>
      <c r="AK36" s="38"/>
      <c r="AL36" s="38"/>
      <c r="AM36" s="38"/>
      <c r="AN36" s="38"/>
      <c r="AO36" s="226"/>
    </row>
    <row r="37" ht="15.75" customHeight="1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1"/>
      <c r="O37" s="631"/>
      <c r="P37" s="631"/>
      <c r="Q37" s="631"/>
      <c r="R37" s="631"/>
      <c r="S37" s="631"/>
      <c r="T37" s="631"/>
      <c r="U37" s="631"/>
      <c r="V37" s="631"/>
      <c r="W37" s="631"/>
      <c r="X37" s="631"/>
      <c r="Y37" s="631"/>
      <c r="Z37" s="631"/>
      <c r="AA37" s="631"/>
      <c r="AB37" s="631"/>
      <c r="AC37" s="631"/>
      <c r="AD37" s="631"/>
      <c r="AE37" s="631"/>
      <c r="AF37" s="632"/>
      <c r="AG37" s="38"/>
      <c r="AH37" s="58"/>
      <c r="AI37" s="38"/>
      <c r="AJ37" s="38"/>
      <c r="AK37" s="38"/>
      <c r="AL37" s="38"/>
      <c r="AM37" s="38"/>
      <c r="AN37" s="38"/>
      <c r="AO37" s="38"/>
      <c r="AP37" s="38"/>
      <c r="AQ37" s="38"/>
    </row>
    <row r="38" ht="14.25" customHeight="1">
      <c r="A38" s="38"/>
      <c r="B38" s="38"/>
      <c r="C38" s="38"/>
      <c r="D38" s="38"/>
      <c r="E38" s="633"/>
      <c r="F38" s="633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58"/>
      <c r="AI38" s="38"/>
      <c r="AJ38" s="38"/>
      <c r="AK38" s="38"/>
      <c r="AL38" s="38"/>
      <c r="AM38" s="38"/>
      <c r="AN38" s="38"/>
      <c r="AO38" s="38"/>
      <c r="AP38" s="38"/>
      <c r="AQ38" s="38"/>
    </row>
    <row r="39" ht="15.75" customHeight="1">
      <c r="A39" s="38"/>
      <c r="B39" s="38"/>
      <c r="C39" s="38"/>
      <c r="D39" s="38"/>
      <c r="E39" s="633"/>
      <c r="F39" s="633"/>
      <c r="AG39" s="49"/>
      <c r="AH39" s="8"/>
    </row>
    <row r="40" ht="15.75" customHeight="1">
      <c r="A40" s="38"/>
      <c r="B40" s="38"/>
      <c r="C40" s="38"/>
      <c r="D40" s="38"/>
      <c r="E40" s="38"/>
      <c r="F40" s="633"/>
      <c r="G40" s="428"/>
      <c r="AG40" s="49"/>
      <c r="AH40" s="8"/>
    </row>
    <row r="41" ht="15.75" customHeight="1">
      <c r="A41" s="38"/>
      <c r="B41" s="38"/>
      <c r="C41" s="38"/>
      <c r="D41" s="428"/>
      <c r="E41" s="38"/>
      <c r="AG41" s="49"/>
      <c r="AH41" s="8"/>
    </row>
    <row r="42" ht="15.75" customHeight="1">
      <c r="A42" s="38"/>
      <c r="B42" s="38"/>
      <c r="C42" s="38"/>
      <c r="D42" s="38"/>
      <c r="E42" s="38"/>
      <c r="AG42" s="49"/>
      <c r="AH42" s="8"/>
    </row>
    <row r="43" ht="15.75" customHeight="1">
      <c r="A43" s="38"/>
      <c r="B43" s="38"/>
      <c r="C43" s="38"/>
      <c r="D43" s="38"/>
      <c r="E43" s="38"/>
      <c r="AG43" s="49"/>
      <c r="AH43" s="8"/>
    </row>
    <row r="44" ht="15.75" customHeight="1">
      <c r="A44" s="38"/>
      <c r="B44" s="428"/>
      <c r="C44" s="38"/>
      <c r="D44" s="38"/>
      <c r="E44" s="38"/>
      <c r="AG44" s="49"/>
      <c r="AH44" s="8"/>
    </row>
    <row r="45" ht="15.75" customHeight="1">
      <c r="A45" s="38"/>
      <c r="B45" s="38"/>
      <c r="C45" s="58"/>
      <c r="D45" s="38"/>
      <c r="E45" s="38"/>
      <c r="F45" s="58"/>
      <c r="AG45" s="49"/>
      <c r="AH45" s="8"/>
    </row>
    <row r="46" ht="15.75" customHeight="1">
      <c r="B46" s="428"/>
      <c r="D46" s="428"/>
      <c r="AG46" s="49"/>
      <c r="AH46" s="8"/>
    </row>
    <row r="47" ht="15.75" customHeight="1">
      <c r="B47" s="428"/>
      <c r="AG47" s="49"/>
      <c r="AH47" s="8"/>
    </row>
    <row r="48" ht="15.75" customHeight="1">
      <c r="AG48" s="49"/>
      <c r="AH48" s="8"/>
    </row>
    <row r="49" ht="15.75" customHeight="1">
      <c r="AG49" s="49"/>
      <c r="AH49" s="8"/>
    </row>
    <row r="50" ht="15.75" customHeight="1">
      <c r="A50" s="38"/>
      <c r="R50" s="38"/>
      <c r="AG50" s="49"/>
      <c r="AH50" s="8"/>
    </row>
    <row r="51" ht="15.75" customHeight="1">
      <c r="A51" s="38"/>
      <c r="R51" s="38"/>
      <c r="AG51" s="49"/>
      <c r="AH51" s="8"/>
    </row>
    <row r="52" ht="15.75" customHeight="1">
      <c r="A52" s="38"/>
      <c r="B52" s="428"/>
      <c r="R52" s="38"/>
      <c r="AG52" s="49"/>
      <c r="AH52" s="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</row>
    <row r="54" ht="15.75" customHeight="1">
      <c r="A54" s="634"/>
      <c r="B54" s="635"/>
      <c r="C54" s="636"/>
      <c r="D54" s="636"/>
      <c r="E54" s="636"/>
      <c r="F54" s="636"/>
      <c r="G54" s="636"/>
      <c r="H54" s="636"/>
      <c r="M54" s="38"/>
      <c r="N54" s="635"/>
      <c r="O54" s="38"/>
      <c r="P54" s="635"/>
      <c r="Q54" s="635"/>
      <c r="R54" s="38"/>
      <c r="AG54" s="49"/>
      <c r="AH54" s="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</row>
    <row r="61" ht="15.75" customHeight="1">
      <c r="A61" s="38"/>
      <c r="B61" s="38"/>
      <c r="C61" s="796"/>
      <c r="D61" s="797"/>
      <c r="E61" s="38"/>
      <c r="F61" s="38"/>
      <c r="G61" s="38"/>
      <c r="H61" s="38"/>
      <c r="M61" s="38"/>
      <c r="N61" s="38"/>
      <c r="O61" s="38"/>
      <c r="P61" s="38"/>
      <c r="Q61" s="38"/>
      <c r="R61" s="38"/>
      <c r="AG61" s="49"/>
      <c r="AH61" s="8"/>
    </row>
    <row r="62" ht="15.75" customHeight="1">
      <c r="A62" s="38"/>
      <c r="B62" s="38"/>
      <c r="C62" s="796"/>
      <c r="D62" s="797"/>
      <c r="E62" s="38"/>
      <c r="F62" s="38"/>
      <c r="G62" s="38"/>
      <c r="H62" s="38"/>
      <c r="M62" s="38"/>
      <c r="N62" s="38"/>
      <c r="O62" s="38"/>
      <c r="P62" s="38"/>
      <c r="Q62" s="38"/>
      <c r="R62" s="38"/>
      <c r="AG62" s="49"/>
      <c r="AH62" s="8"/>
    </row>
    <row r="63" ht="15.75" customHeight="1">
      <c r="A63" s="38"/>
      <c r="B63" s="38"/>
      <c r="C63" s="796"/>
      <c r="D63" s="797"/>
      <c r="E63" s="38"/>
      <c r="F63" s="38"/>
      <c r="G63" s="38"/>
      <c r="H63" s="38"/>
      <c r="M63" s="38"/>
      <c r="N63" s="38"/>
      <c r="O63" s="38"/>
      <c r="P63" s="38"/>
      <c r="Q63" s="38"/>
      <c r="R63" s="38"/>
      <c r="AG63" s="49"/>
      <c r="AH63" s="8"/>
    </row>
    <row r="64" ht="15.75" customHeight="1">
      <c r="A64" s="38"/>
      <c r="B64" s="38"/>
      <c r="C64" s="796"/>
      <c r="D64" s="797"/>
      <c r="E64" s="38"/>
      <c r="F64" s="38"/>
      <c r="G64" s="38"/>
      <c r="H64" s="38"/>
      <c r="M64" s="38"/>
      <c r="N64" s="38"/>
      <c r="O64" s="38"/>
      <c r="P64" s="38"/>
      <c r="Q64" s="38"/>
      <c r="R64" s="38"/>
      <c r="AG64" s="49"/>
      <c r="AH64" s="8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C77" s="796"/>
      <c r="D77" s="797"/>
      <c r="AG77" s="49"/>
      <c r="AH77" s="8"/>
    </row>
    <row r="78" ht="15.75" customHeight="1">
      <c r="C78" s="796"/>
      <c r="D78" s="797"/>
      <c r="AG78" s="49"/>
      <c r="AH78" s="8"/>
    </row>
    <row r="79" ht="15.75" customHeight="1">
      <c r="C79" s="796"/>
      <c r="D79" s="797"/>
      <c r="AG79" s="49"/>
      <c r="AH79" s="8"/>
      <c r="AT79" s="38"/>
      <c r="AU79" s="38"/>
      <c r="AV79" s="226"/>
      <c r="AW79" s="226"/>
      <c r="AX79" s="226"/>
    </row>
    <row r="80" ht="15.75" customHeight="1">
      <c r="C80" s="796"/>
      <c r="D80" s="797"/>
      <c r="AG80" s="49"/>
      <c r="AH80" s="8"/>
      <c r="AT80" s="226"/>
      <c r="AU80" s="226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8:AR18"/>
    <mergeCell ref="AP19:AR19"/>
    <mergeCell ref="AP20:AR20"/>
    <mergeCell ref="AO35:AQ35"/>
    <mergeCell ref="AO36:AQ36"/>
    <mergeCell ref="I50:I52"/>
    <mergeCell ref="I53:I55"/>
    <mergeCell ref="I56:I58"/>
    <mergeCell ref="I59:I61"/>
    <mergeCell ref="I62:I64"/>
    <mergeCell ref="AP21:AR21"/>
    <mergeCell ref="AP22:AR22"/>
    <mergeCell ref="AP23:AR23"/>
    <mergeCell ref="AP24:AR24"/>
    <mergeCell ref="AP25:AR25"/>
    <mergeCell ref="AP26:AR26"/>
    <mergeCell ref="AP27:AR2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1" width="18.71"/>
    <col customWidth="1" min="52" max="65" width="14.14"/>
  </cols>
  <sheetData>
    <row r="1" ht="36.75" customHeight="1">
      <c r="A1" s="339" t="s">
        <v>2</v>
      </c>
      <c r="B1" s="340">
        <v>1.0</v>
      </c>
      <c r="C1" s="340">
        <v>2.0</v>
      </c>
      <c r="D1" s="340">
        <v>3.0</v>
      </c>
      <c r="E1" s="340">
        <v>4.0</v>
      </c>
      <c r="F1" s="340">
        <v>5.0</v>
      </c>
      <c r="G1" s="340">
        <v>6.0</v>
      </c>
      <c r="H1" s="340">
        <v>7.0</v>
      </c>
      <c r="I1" s="340">
        <v>8.0</v>
      </c>
      <c r="J1" s="340">
        <v>9.0</v>
      </c>
      <c r="K1" s="340">
        <v>10.0</v>
      </c>
      <c r="L1" s="340">
        <v>11.0</v>
      </c>
      <c r="M1" s="340">
        <v>12.0</v>
      </c>
      <c r="N1" s="342">
        <v>13.0</v>
      </c>
      <c r="O1" s="342">
        <v>14.0</v>
      </c>
      <c r="P1" s="342">
        <v>15.0</v>
      </c>
      <c r="Q1" s="342">
        <v>16.0</v>
      </c>
      <c r="R1" s="342">
        <v>17.0</v>
      </c>
      <c r="S1" s="342">
        <v>18.0</v>
      </c>
      <c r="T1" s="342">
        <v>19.0</v>
      </c>
      <c r="U1" s="342">
        <v>20.0</v>
      </c>
      <c r="V1" s="342">
        <v>21.0</v>
      </c>
      <c r="W1" s="342">
        <v>22.0</v>
      </c>
      <c r="X1" s="342">
        <v>23.0</v>
      </c>
      <c r="Y1" s="342">
        <v>24.0</v>
      </c>
      <c r="Z1" s="342">
        <v>25.0</v>
      </c>
      <c r="AA1" s="342">
        <v>26.0</v>
      </c>
      <c r="AB1" s="342">
        <v>27.0</v>
      </c>
      <c r="AC1" s="342">
        <v>28.0</v>
      </c>
      <c r="AD1" s="342">
        <v>29.0</v>
      </c>
      <c r="AE1" s="342">
        <v>30.0</v>
      </c>
      <c r="AF1" s="343">
        <v>31.0</v>
      </c>
      <c r="AG1" s="57" t="s">
        <v>1</v>
      </c>
      <c r="AH1" s="58"/>
      <c r="AI1" s="38"/>
      <c r="AJ1" s="38"/>
      <c r="AY1" s="745"/>
      <c r="AZ1" s="226"/>
      <c r="BA1" s="226"/>
      <c r="BB1" s="226"/>
      <c r="BC1" s="226"/>
      <c r="BD1" s="226"/>
      <c r="BE1" s="226"/>
      <c r="BF1" s="226"/>
      <c r="BG1" s="745"/>
      <c r="BH1" s="226"/>
      <c r="BI1" s="226"/>
      <c r="BJ1" s="746"/>
      <c r="BK1" s="226"/>
      <c r="BL1" s="226"/>
      <c r="BM1" s="226"/>
    </row>
    <row r="2" ht="33.0" customHeight="1">
      <c r="A2" s="641" t="s">
        <v>86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">
        <f>SUM(AG3:AG31,AU6:AU16,AV53:AV62)</f>
        <v>8040.23</v>
      </c>
      <c r="AH2" s="58"/>
      <c r="AI2" s="38"/>
    </row>
    <row r="3" ht="36.75" customHeight="1">
      <c r="A3" s="747" t="s">
        <v>101</v>
      </c>
      <c r="B3" s="798">
        <v>1.5</v>
      </c>
      <c r="C3" s="798">
        <v>3.0</v>
      </c>
      <c r="D3" s="757">
        <v>1.5</v>
      </c>
      <c r="E3" s="757">
        <v>3.0</v>
      </c>
      <c r="F3" s="757">
        <v>4.5</v>
      </c>
      <c r="G3" s="757">
        <v>0.0</v>
      </c>
      <c r="H3" s="757">
        <v>0.0</v>
      </c>
      <c r="I3" s="757">
        <v>0.12</v>
      </c>
      <c r="J3" s="757">
        <v>0.0</v>
      </c>
      <c r="K3" s="757">
        <v>0.12</v>
      </c>
      <c r="L3" s="757">
        <v>0.12</v>
      </c>
      <c r="M3" s="757">
        <v>0.0</v>
      </c>
      <c r="N3" s="757">
        <v>1.62</v>
      </c>
      <c r="O3" s="757">
        <v>3.0</v>
      </c>
      <c r="P3" s="757">
        <v>0.0</v>
      </c>
      <c r="Q3" s="755">
        <v>0.0</v>
      </c>
      <c r="R3" s="755">
        <v>0.0</v>
      </c>
      <c r="S3" s="755">
        <v>0.0</v>
      </c>
      <c r="T3" s="755">
        <v>0.0</v>
      </c>
      <c r="U3" s="755">
        <v>0.0</v>
      </c>
      <c r="V3" s="755">
        <v>0.0</v>
      </c>
      <c r="W3" s="799">
        <v>0.0</v>
      </c>
      <c r="X3" s="755">
        <v>0.0</v>
      </c>
      <c r="Y3" s="755">
        <v>0.0</v>
      </c>
      <c r="Z3" s="755">
        <v>0.0</v>
      </c>
      <c r="AA3" s="755">
        <v>0.0</v>
      </c>
      <c r="AB3" s="755">
        <v>0.0</v>
      </c>
      <c r="AC3" s="755">
        <v>0.0</v>
      </c>
      <c r="AD3" s="755">
        <v>0.0</v>
      </c>
      <c r="AE3" s="755">
        <v>0.0</v>
      </c>
      <c r="AF3" s="755"/>
      <c r="AG3" s="751">
        <f t="shared" ref="AG3:AG31" si="1">SUM(B3:AF3)</f>
        <v>18.48</v>
      </c>
      <c r="AH3" s="455"/>
      <c r="AI3" s="38"/>
    </row>
    <row r="4" ht="31.5" customHeight="1">
      <c r="A4" s="758" t="s">
        <v>5</v>
      </c>
      <c r="B4" s="759">
        <v>0.0</v>
      </c>
      <c r="C4" s="760">
        <v>3.0</v>
      </c>
      <c r="D4" s="761">
        <v>13.5</v>
      </c>
      <c r="E4" s="762">
        <v>3.0</v>
      </c>
      <c r="F4" s="763">
        <v>3.0</v>
      </c>
      <c r="G4" s="763">
        <v>3.0</v>
      </c>
      <c r="H4" s="763">
        <v>0.0</v>
      </c>
      <c r="I4" s="763">
        <v>0.0</v>
      </c>
      <c r="J4" s="763">
        <v>19.5</v>
      </c>
      <c r="K4" s="763">
        <v>7.5</v>
      </c>
      <c r="L4" s="763">
        <v>1.5</v>
      </c>
      <c r="M4" s="763">
        <v>18.0</v>
      </c>
      <c r="N4" s="763">
        <v>7.5</v>
      </c>
      <c r="O4" s="763">
        <v>10.5</v>
      </c>
      <c r="P4" s="763">
        <v>14.38</v>
      </c>
      <c r="Q4" s="763">
        <v>22.92</v>
      </c>
      <c r="R4" s="763">
        <v>9.14</v>
      </c>
      <c r="S4" s="763">
        <v>6.0</v>
      </c>
      <c r="T4" s="763">
        <v>6.0</v>
      </c>
      <c r="U4" s="763">
        <v>3.84</v>
      </c>
      <c r="V4" s="763">
        <v>4.5</v>
      </c>
      <c r="W4" s="763">
        <v>0.0</v>
      </c>
      <c r="X4" s="763">
        <v>12.6</v>
      </c>
      <c r="Y4" s="763">
        <v>1.5</v>
      </c>
      <c r="Z4" s="763">
        <v>12.0</v>
      </c>
      <c r="AA4" s="763">
        <v>4.5</v>
      </c>
      <c r="AB4" s="763">
        <v>0.0</v>
      </c>
      <c r="AC4" s="763">
        <v>0.0</v>
      </c>
      <c r="AD4" s="763">
        <v>0.0</v>
      </c>
      <c r="AE4" s="763">
        <v>0.0</v>
      </c>
      <c r="AF4" s="777"/>
      <c r="AG4" s="751">
        <f t="shared" si="1"/>
        <v>187.38</v>
      </c>
      <c r="AH4" s="455"/>
      <c r="AI4" s="38"/>
    </row>
    <row r="5" ht="40.5" customHeight="1">
      <c r="A5" s="764" t="s">
        <v>6</v>
      </c>
      <c r="B5" s="800">
        <v>43.5</v>
      </c>
      <c r="C5" s="800">
        <v>86.12</v>
      </c>
      <c r="D5" s="801">
        <v>46.62</v>
      </c>
      <c r="E5" s="801">
        <v>70.24</v>
      </c>
      <c r="F5" s="801">
        <v>102.0</v>
      </c>
      <c r="G5" s="801">
        <v>52.12</v>
      </c>
      <c r="H5" s="801">
        <v>96.24</v>
      </c>
      <c r="I5" s="801">
        <v>87.0</v>
      </c>
      <c r="J5" s="801">
        <v>63.5</v>
      </c>
      <c r="K5" s="801">
        <v>48.24</v>
      </c>
      <c r="L5" s="802">
        <v>37.62</v>
      </c>
      <c r="M5" s="801">
        <v>36.24</v>
      </c>
      <c r="N5" s="801">
        <v>55.62</v>
      </c>
      <c r="O5" s="801">
        <v>67.62</v>
      </c>
      <c r="P5" s="801">
        <v>55.62</v>
      </c>
      <c r="Q5" s="801">
        <v>111.0</v>
      </c>
      <c r="R5" s="801">
        <v>85.5</v>
      </c>
      <c r="S5" s="801">
        <v>57.0</v>
      </c>
      <c r="T5" s="801">
        <v>72.0</v>
      </c>
      <c r="U5" s="801">
        <v>69.0</v>
      </c>
      <c r="V5" s="801">
        <v>44.62</v>
      </c>
      <c r="W5" s="801">
        <v>66.12</v>
      </c>
      <c r="X5" s="801">
        <v>43.5</v>
      </c>
      <c r="Y5" s="801">
        <v>75.12</v>
      </c>
      <c r="Z5" s="801">
        <v>49.5</v>
      </c>
      <c r="AA5" s="801">
        <v>51.0</v>
      </c>
      <c r="AB5" s="801">
        <v>102.0</v>
      </c>
      <c r="AC5" s="801">
        <v>36.0</v>
      </c>
      <c r="AD5" s="801">
        <v>52.5</v>
      </c>
      <c r="AE5" s="801">
        <v>41.5</v>
      </c>
      <c r="AF5" s="755"/>
      <c r="AG5" s="751">
        <f t="shared" si="1"/>
        <v>1904.66</v>
      </c>
      <c r="AH5" s="487"/>
      <c r="AI5" s="38"/>
      <c r="AJ5" s="38"/>
      <c r="AO5" s="38"/>
      <c r="AP5" s="38"/>
      <c r="AQ5" s="38"/>
      <c r="AR5" s="173">
        <v>1.0</v>
      </c>
      <c r="AS5" s="174" t="s">
        <v>16</v>
      </c>
      <c r="AT5" s="173">
        <v>0.05</v>
      </c>
      <c r="AU5" s="456" t="s">
        <v>71</v>
      </c>
      <c r="AV5" s="456" t="s">
        <v>72</v>
      </c>
      <c r="AW5" s="456" t="s">
        <v>73</v>
      </c>
      <c r="AX5" s="246" t="s">
        <v>34</v>
      </c>
    </row>
    <row r="6" ht="31.5" customHeight="1">
      <c r="A6" s="758" t="s">
        <v>8</v>
      </c>
      <c r="B6" s="768">
        <v>0.0</v>
      </c>
      <c r="C6" s="768">
        <v>0.0</v>
      </c>
      <c r="D6" s="755">
        <v>0.0</v>
      </c>
      <c r="E6" s="755">
        <v>0.0</v>
      </c>
      <c r="F6" s="755">
        <v>0.0</v>
      </c>
      <c r="G6" s="755">
        <v>0.0</v>
      </c>
      <c r="H6" s="755">
        <v>0.0</v>
      </c>
      <c r="I6" s="755">
        <v>0.0</v>
      </c>
      <c r="J6" s="755">
        <v>0.0</v>
      </c>
      <c r="K6" s="755">
        <v>0.0</v>
      </c>
      <c r="L6" s="768">
        <v>0.0</v>
      </c>
      <c r="M6" s="755">
        <v>0.0</v>
      </c>
      <c r="N6" s="755">
        <v>0.0</v>
      </c>
      <c r="O6" s="755">
        <v>0.0</v>
      </c>
      <c r="P6" s="755">
        <v>0.0</v>
      </c>
      <c r="Q6" s="755">
        <v>0.0</v>
      </c>
      <c r="R6" s="755">
        <v>0.0</v>
      </c>
      <c r="S6" s="755">
        <v>0.0</v>
      </c>
      <c r="T6" s="755">
        <v>0.0</v>
      </c>
      <c r="U6" s="755">
        <v>0.0</v>
      </c>
      <c r="V6" s="755">
        <v>0.0</v>
      </c>
      <c r="W6" s="755">
        <v>0.0</v>
      </c>
      <c r="X6" s="755">
        <v>0.0</v>
      </c>
      <c r="Y6" s="755">
        <v>0.0</v>
      </c>
      <c r="Z6" s="755">
        <v>0.0</v>
      </c>
      <c r="AA6" s="755">
        <v>0.0</v>
      </c>
      <c r="AB6" s="755">
        <v>0.0</v>
      </c>
      <c r="AC6" s="755">
        <v>0.0</v>
      </c>
      <c r="AD6" s="755">
        <v>0.0</v>
      </c>
      <c r="AE6" s="755">
        <v>0.0</v>
      </c>
      <c r="AF6" s="755"/>
      <c r="AG6" s="751">
        <f t="shared" si="1"/>
        <v>0</v>
      </c>
      <c r="AH6" s="455"/>
      <c r="AI6" s="38"/>
      <c r="AJ6" s="38"/>
      <c r="AO6" s="344" t="s">
        <v>113</v>
      </c>
      <c r="AP6" s="176"/>
      <c r="AQ6" s="177"/>
      <c r="AR6" s="464">
        <f>SUM(valuesByColor("red berry", "", B3:AF31))</f>
        <v>54.06</v>
      </c>
      <c r="AS6" s="345">
        <f t="shared" ref="AS6:AS16" si="2">((AR6*(1-0.05))*(1-0.6))+AV6</f>
        <v>20.5428</v>
      </c>
      <c r="AT6" s="346">
        <f t="shared" ref="AT6:AT16" si="3">(AR6*(1-0.05))*(1-0.95)+AW6</f>
        <v>2.56785</v>
      </c>
      <c r="AU6" s="346"/>
      <c r="AV6" s="346">
        <f t="shared" ref="AV6:AV12" si="4">(AU6*(1-0.05))*(1-0.9)</f>
        <v>0</v>
      </c>
      <c r="AW6" s="346">
        <f t="shared" ref="AW6:AW12" si="5">(AU6*(1-0.05))*(1-0.95)</f>
        <v>0</v>
      </c>
      <c r="AX6" s="347"/>
    </row>
    <row r="7" ht="29.25" customHeight="1">
      <c r="A7" s="758" t="s">
        <v>41</v>
      </c>
      <c r="B7" s="769">
        <v>0.0</v>
      </c>
      <c r="C7" s="769">
        <v>0.0</v>
      </c>
      <c r="D7" s="770">
        <v>0.0</v>
      </c>
      <c r="E7" s="770">
        <v>0.0</v>
      </c>
      <c r="F7" s="770">
        <v>0.0</v>
      </c>
      <c r="G7" s="770">
        <v>0.0</v>
      </c>
      <c r="H7" s="770">
        <v>0.0</v>
      </c>
      <c r="I7" s="770">
        <v>1.5</v>
      </c>
      <c r="J7" s="770">
        <v>0.0</v>
      </c>
      <c r="K7" s="770">
        <v>0.0</v>
      </c>
      <c r="L7" s="770">
        <v>0.0</v>
      </c>
      <c r="M7" s="770">
        <v>0.0</v>
      </c>
      <c r="N7" s="770">
        <v>0.0</v>
      </c>
      <c r="O7" s="770">
        <v>0.0</v>
      </c>
      <c r="P7" s="770">
        <v>0.0</v>
      </c>
      <c r="Q7" s="770">
        <v>0.0</v>
      </c>
      <c r="R7" s="770">
        <v>0.0</v>
      </c>
      <c r="S7" s="770">
        <v>0.0</v>
      </c>
      <c r="T7" s="770">
        <v>0.0</v>
      </c>
      <c r="U7" s="770">
        <v>0.0</v>
      </c>
      <c r="V7" s="770">
        <v>0.0</v>
      </c>
      <c r="W7" s="803">
        <v>1.5</v>
      </c>
      <c r="X7" s="803">
        <v>0.0</v>
      </c>
      <c r="Y7" s="803">
        <v>0.0</v>
      </c>
      <c r="Z7" s="803">
        <v>0.0</v>
      </c>
      <c r="AA7" s="803">
        <v>1.78</v>
      </c>
      <c r="AB7" s="803">
        <v>0.0</v>
      </c>
      <c r="AC7" s="803">
        <v>1.92</v>
      </c>
      <c r="AD7" s="803">
        <v>0.0</v>
      </c>
      <c r="AE7" s="803">
        <v>1.5</v>
      </c>
      <c r="AF7" s="770"/>
      <c r="AG7" s="751">
        <f t="shared" si="1"/>
        <v>8.2</v>
      </c>
      <c r="AH7" s="455"/>
      <c r="AI7" s="38"/>
      <c r="AJ7" s="38"/>
      <c r="AO7" s="175" t="s">
        <v>102</v>
      </c>
      <c r="AP7" s="176"/>
      <c r="AQ7" s="177"/>
      <c r="AR7" s="467">
        <f>SUM(valuesByColor("yellow", "", B3:AF31))</f>
        <v>2142.54</v>
      </c>
      <c r="AS7" s="178">
        <f t="shared" si="2"/>
        <v>814.1652</v>
      </c>
      <c r="AT7" s="248">
        <f t="shared" si="3"/>
        <v>101.77065</v>
      </c>
      <c r="AU7" s="248"/>
      <c r="AV7" s="248">
        <f t="shared" si="4"/>
        <v>0</v>
      </c>
      <c r="AW7" s="248">
        <f t="shared" si="5"/>
        <v>0</v>
      </c>
      <c r="AX7" s="249"/>
    </row>
    <row r="8" ht="29.25" customHeight="1">
      <c r="A8" s="758" t="s">
        <v>29</v>
      </c>
      <c r="B8" s="772">
        <v>1.5</v>
      </c>
      <c r="C8" s="772">
        <v>0.0</v>
      </c>
      <c r="D8" s="772">
        <v>4.5</v>
      </c>
      <c r="E8" s="772">
        <v>0.0</v>
      </c>
      <c r="F8" s="772">
        <v>3.0</v>
      </c>
      <c r="G8" s="763">
        <v>3.0</v>
      </c>
      <c r="H8" s="772">
        <v>0.0</v>
      </c>
      <c r="I8" s="772">
        <v>0.0</v>
      </c>
      <c r="J8" s="772">
        <v>0.0</v>
      </c>
      <c r="K8" s="772">
        <v>4.5</v>
      </c>
      <c r="L8" s="772">
        <v>1.5</v>
      </c>
      <c r="M8" s="772">
        <v>9.0</v>
      </c>
      <c r="N8" s="772">
        <v>4.5</v>
      </c>
      <c r="O8" s="772">
        <v>0.0</v>
      </c>
      <c r="P8" s="772">
        <v>6.0</v>
      </c>
      <c r="Q8" s="772">
        <v>7.32</v>
      </c>
      <c r="R8" s="772">
        <v>4.5</v>
      </c>
      <c r="S8" s="772">
        <v>3.0</v>
      </c>
      <c r="T8" s="772">
        <v>4.5</v>
      </c>
      <c r="U8" s="763">
        <v>1.5</v>
      </c>
      <c r="V8" s="763">
        <v>0.0</v>
      </c>
      <c r="W8" s="763">
        <v>0.0</v>
      </c>
      <c r="X8" s="763">
        <v>0.24</v>
      </c>
      <c r="Y8" s="763">
        <v>0.0</v>
      </c>
      <c r="Z8" s="763">
        <v>0.0</v>
      </c>
      <c r="AA8" s="763">
        <v>0.0</v>
      </c>
      <c r="AB8" s="763">
        <v>1.5</v>
      </c>
      <c r="AC8" s="763">
        <v>0.0</v>
      </c>
      <c r="AD8" s="763">
        <v>0.0</v>
      </c>
      <c r="AE8" s="804">
        <v>1.5</v>
      </c>
      <c r="AF8" s="777"/>
      <c r="AG8" s="751">
        <f t="shared" si="1"/>
        <v>61.56</v>
      </c>
      <c r="AH8" s="455"/>
      <c r="AI8" s="38"/>
      <c r="AJ8" s="38"/>
      <c r="AO8" s="252" t="s">
        <v>103</v>
      </c>
      <c r="AP8" s="176"/>
      <c r="AQ8" s="177"/>
      <c r="AR8" s="474">
        <f>SUM(valuesByColor("cyan", "", B3:AF31))</f>
        <v>576.6</v>
      </c>
      <c r="AS8" s="253">
        <f t="shared" si="2"/>
        <v>219.108</v>
      </c>
      <c r="AT8" s="254">
        <f t="shared" si="3"/>
        <v>27.3885</v>
      </c>
      <c r="AU8" s="254"/>
      <c r="AV8" s="254">
        <f t="shared" si="4"/>
        <v>0</v>
      </c>
      <c r="AW8" s="254">
        <f t="shared" si="5"/>
        <v>0</v>
      </c>
      <c r="AX8" s="255"/>
    </row>
    <row r="9" ht="27.0" customHeight="1">
      <c r="A9" s="773" t="s">
        <v>3</v>
      </c>
      <c r="B9" s="805">
        <v>1.5</v>
      </c>
      <c r="C9" s="805">
        <v>7.5</v>
      </c>
      <c r="D9" s="805">
        <v>1.5</v>
      </c>
      <c r="E9" s="805">
        <v>33.15</v>
      </c>
      <c r="F9" s="805">
        <v>9.12</v>
      </c>
      <c r="G9" s="679">
        <v>5.7</v>
      </c>
      <c r="H9" s="805">
        <v>3.58</v>
      </c>
      <c r="I9" s="805">
        <v>13.7</v>
      </c>
      <c r="J9" s="805">
        <v>0.0</v>
      </c>
      <c r="K9" s="805">
        <v>15.6</v>
      </c>
      <c r="L9" s="805">
        <v>4.52</v>
      </c>
      <c r="M9" s="805">
        <v>12.06</v>
      </c>
      <c r="N9" s="805">
        <v>1.62</v>
      </c>
      <c r="O9" s="805">
        <v>3.0</v>
      </c>
      <c r="P9" s="805">
        <v>12.78</v>
      </c>
      <c r="Q9" s="805">
        <v>1.5</v>
      </c>
      <c r="R9" s="805">
        <v>8.08</v>
      </c>
      <c r="S9" s="805">
        <v>5.52</v>
      </c>
      <c r="T9" s="805">
        <v>4.5</v>
      </c>
      <c r="U9" s="679">
        <v>3.12</v>
      </c>
      <c r="V9" s="679">
        <v>6.0</v>
      </c>
      <c r="W9" s="679">
        <v>1.62</v>
      </c>
      <c r="X9" s="679">
        <v>0.0</v>
      </c>
      <c r="Y9" s="679">
        <v>4.5</v>
      </c>
      <c r="Z9" s="679">
        <v>7.52</v>
      </c>
      <c r="AA9" s="679">
        <v>1.5</v>
      </c>
      <c r="AB9" s="679">
        <v>0.0</v>
      </c>
      <c r="AC9" s="679">
        <v>1.5</v>
      </c>
      <c r="AD9" s="679">
        <v>2.52</v>
      </c>
      <c r="AE9" s="679">
        <v>1.5</v>
      </c>
      <c r="AF9" s="777"/>
      <c r="AG9" s="751">
        <f t="shared" si="1"/>
        <v>174.71</v>
      </c>
      <c r="AH9" s="487"/>
      <c r="AI9" s="38"/>
      <c r="AJ9" s="38"/>
      <c r="AO9" s="188" t="s">
        <v>38</v>
      </c>
      <c r="AP9" s="176"/>
      <c r="AQ9" s="177"/>
      <c r="AR9" s="481">
        <f>SUM(valuesByColor("#f09090", "", B3:AF31))</f>
        <v>872.47</v>
      </c>
      <c r="AS9" s="189">
        <f t="shared" si="2"/>
        <v>331.5386</v>
      </c>
      <c r="AT9" s="256">
        <f t="shared" si="3"/>
        <v>41.442325</v>
      </c>
      <c r="AU9" s="256"/>
      <c r="AV9" s="482">
        <f t="shared" si="4"/>
        <v>0</v>
      </c>
      <c r="AW9" s="482">
        <f t="shared" si="5"/>
        <v>0</v>
      </c>
      <c r="AX9" s="257"/>
    </row>
    <row r="10" ht="28.5" customHeight="1">
      <c r="A10" s="747" t="s">
        <v>31</v>
      </c>
      <c r="B10" s="806">
        <v>34.5</v>
      </c>
      <c r="C10" s="532">
        <v>14.24</v>
      </c>
      <c r="D10" s="806">
        <v>15.64</v>
      </c>
      <c r="E10" s="806">
        <v>1.5</v>
      </c>
      <c r="F10" s="806">
        <v>6.0</v>
      </c>
      <c r="G10" s="806">
        <v>12.5</v>
      </c>
      <c r="H10" s="806">
        <v>9.5</v>
      </c>
      <c r="I10" s="806">
        <v>3.0</v>
      </c>
      <c r="J10" s="806">
        <v>6.0</v>
      </c>
      <c r="K10" s="806">
        <v>3.0</v>
      </c>
      <c r="L10" s="532">
        <v>6.0</v>
      </c>
      <c r="M10" s="532">
        <v>1.5</v>
      </c>
      <c r="N10" s="532">
        <v>10.5</v>
      </c>
      <c r="O10" s="532">
        <v>16.5</v>
      </c>
      <c r="P10" s="777">
        <v>0.0</v>
      </c>
      <c r="Q10" s="777">
        <v>0.0</v>
      </c>
      <c r="R10" s="777">
        <v>0.0</v>
      </c>
      <c r="S10" s="777">
        <v>0.0</v>
      </c>
      <c r="T10" s="777">
        <v>0.0</v>
      </c>
      <c r="U10" s="777">
        <v>0.0</v>
      </c>
      <c r="V10" s="777">
        <v>0.0</v>
      </c>
      <c r="W10" s="807">
        <v>8.82</v>
      </c>
      <c r="X10" s="807">
        <v>5.5</v>
      </c>
      <c r="Y10" s="807">
        <v>0.24</v>
      </c>
      <c r="Z10" s="807">
        <v>1.5</v>
      </c>
      <c r="AA10" s="807">
        <v>7.62</v>
      </c>
      <c r="AB10" s="807">
        <v>0.0</v>
      </c>
      <c r="AC10" s="807">
        <v>3.82</v>
      </c>
      <c r="AD10" s="807">
        <v>7.5</v>
      </c>
      <c r="AE10" s="807">
        <v>6.0</v>
      </c>
      <c r="AF10" s="777"/>
      <c r="AG10" s="751">
        <f t="shared" si="1"/>
        <v>181.38</v>
      </c>
      <c r="AH10" s="455"/>
      <c r="AI10" s="38"/>
      <c r="AJ10" s="38"/>
      <c r="AK10" s="38"/>
      <c r="AL10" s="38"/>
      <c r="AO10" s="263" t="s">
        <v>114</v>
      </c>
      <c r="AP10" s="176"/>
      <c r="AQ10" s="177"/>
      <c r="AR10" s="808">
        <f>SUM(valuesByColor("magenta", "", B4:AF31))</f>
        <v>94.82</v>
      </c>
      <c r="AS10" s="264">
        <f t="shared" si="2"/>
        <v>36.0316</v>
      </c>
      <c r="AT10" s="265">
        <f t="shared" si="3"/>
        <v>4.50395</v>
      </c>
      <c r="AU10" s="265"/>
      <c r="AV10" s="489">
        <f t="shared" si="4"/>
        <v>0</v>
      </c>
      <c r="AW10" s="489">
        <f t="shared" si="5"/>
        <v>0</v>
      </c>
      <c r="AX10" s="266"/>
    </row>
    <row r="11" ht="28.5" customHeight="1">
      <c r="A11" s="747" t="s">
        <v>32</v>
      </c>
      <c r="B11" s="768">
        <v>0.0</v>
      </c>
      <c r="C11" s="777">
        <v>0.0</v>
      </c>
      <c r="D11" s="777">
        <v>0.0</v>
      </c>
      <c r="E11" s="777">
        <v>0.0</v>
      </c>
      <c r="F11" s="768">
        <v>0.0</v>
      </c>
      <c r="G11" s="768">
        <v>0.0</v>
      </c>
      <c r="H11" s="768">
        <v>0.0</v>
      </c>
      <c r="I11" s="768">
        <v>0.0</v>
      </c>
      <c r="J11" s="768">
        <v>0.0</v>
      </c>
      <c r="K11" s="768">
        <v>0.0</v>
      </c>
      <c r="L11" s="777">
        <v>0.0</v>
      </c>
      <c r="M11" s="777">
        <v>0.0</v>
      </c>
      <c r="N11" s="777">
        <v>0.0</v>
      </c>
      <c r="O11" s="777">
        <v>0.0</v>
      </c>
      <c r="P11" s="532">
        <v>7.5</v>
      </c>
      <c r="Q11" s="532">
        <v>51.0</v>
      </c>
      <c r="R11" s="532">
        <v>0.0</v>
      </c>
      <c r="S11" s="532">
        <v>9.0</v>
      </c>
      <c r="T11" s="532">
        <v>3.0</v>
      </c>
      <c r="U11" s="532">
        <v>0.0</v>
      </c>
      <c r="V11" s="532">
        <v>4.0</v>
      </c>
      <c r="W11" s="532">
        <v>7.5</v>
      </c>
      <c r="X11" s="532">
        <v>2.5</v>
      </c>
      <c r="Y11" s="532">
        <v>1.5</v>
      </c>
      <c r="Z11" s="532">
        <v>1.5</v>
      </c>
      <c r="AA11" s="532">
        <v>16.4</v>
      </c>
      <c r="AB11" s="532">
        <v>0.0</v>
      </c>
      <c r="AC11" s="532">
        <v>0.0</v>
      </c>
      <c r="AD11" s="532">
        <v>6.0</v>
      </c>
      <c r="AE11" s="532">
        <v>12.0</v>
      </c>
      <c r="AF11" s="777"/>
      <c r="AG11" s="751">
        <f t="shared" si="1"/>
        <v>121.9</v>
      </c>
      <c r="AH11" s="455"/>
      <c r="AI11" s="38"/>
      <c r="AJ11" s="38"/>
      <c r="AK11" s="38"/>
      <c r="AL11" s="38"/>
      <c r="AO11" s="195" t="s">
        <v>115</v>
      </c>
      <c r="AP11" s="176"/>
      <c r="AQ11" s="177"/>
      <c r="AR11" s="493">
        <f>SUM(valuesByColor("#0070c0", "", B3:AF31))</f>
        <v>1442.78</v>
      </c>
      <c r="AS11" s="196">
        <f t="shared" si="2"/>
        <v>548.2564</v>
      </c>
      <c r="AT11" s="267">
        <f t="shared" si="3"/>
        <v>68.53205</v>
      </c>
      <c r="AU11" s="267"/>
      <c r="AV11" s="494">
        <f t="shared" si="4"/>
        <v>0</v>
      </c>
      <c r="AW11" s="494">
        <f t="shared" si="5"/>
        <v>0</v>
      </c>
      <c r="AX11" s="268"/>
    </row>
    <row r="12" ht="24.75" customHeight="1">
      <c r="A12" s="747" t="s">
        <v>106</v>
      </c>
      <c r="B12" s="679">
        <v>7.15</v>
      </c>
      <c r="C12" s="679">
        <v>14.1</v>
      </c>
      <c r="D12" s="679">
        <v>21.5</v>
      </c>
      <c r="E12" s="679">
        <v>57.5</v>
      </c>
      <c r="F12" s="679">
        <v>22.85</v>
      </c>
      <c r="G12" s="679">
        <v>23.55</v>
      </c>
      <c r="H12" s="679">
        <v>30.41</v>
      </c>
      <c r="I12" s="679">
        <v>13.86</v>
      </c>
      <c r="J12" s="679">
        <v>0.0</v>
      </c>
      <c r="K12" s="679">
        <v>16.58</v>
      </c>
      <c r="L12" s="679">
        <v>10.46</v>
      </c>
      <c r="M12" s="679">
        <v>8.32</v>
      </c>
      <c r="N12" s="679">
        <v>15.94</v>
      </c>
      <c r="O12" s="679">
        <v>22.45</v>
      </c>
      <c r="P12" s="679">
        <v>20.72</v>
      </c>
      <c r="Q12" s="679">
        <v>6.72</v>
      </c>
      <c r="R12" s="679">
        <v>7.2</v>
      </c>
      <c r="S12" s="679">
        <v>13.26</v>
      </c>
      <c r="T12" s="679">
        <v>8.22</v>
      </c>
      <c r="U12" s="679">
        <v>12.88</v>
      </c>
      <c r="V12" s="679">
        <v>3.0</v>
      </c>
      <c r="W12" s="679">
        <v>8.52</v>
      </c>
      <c r="X12" s="679">
        <v>0.0</v>
      </c>
      <c r="Y12" s="679">
        <v>12.0</v>
      </c>
      <c r="Z12" s="679">
        <v>13.96</v>
      </c>
      <c r="AA12" s="679">
        <v>3.0</v>
      </c>
      <c r="AB12" s="679">
        <v>7.78</v>
      </c>
      <c r="AC12" s="679">
        <v>15.58</v>
      </c>
      <c r="AD12" s="679">
        <v>1.26</v>
      </c>
      <c r="AE12" s="679">
        <v>3.12</v>
      </c>
      <c r="AF12" s="777"/>
      <c r="AG12" s="751">
        <f t="shared" si="1"/>
        <v>401.89</v>
      </c>
      <c r="AH12" s="455"/>
      <c r="AI12" s="38"/>
      <c r="AJ12" s="38"/>
      <c r="AK12" s="38"/>
      <c r="AL12" s="38"/>
      <c r="AO12" s="201" t="s">
        <v>75</v>
      </c>
      <c r="AP12" s="176"/>
      <c r="AQ12" s="177"/>
      <c r="AR12" s="503">
        <f>SUM(valuesByColor("#ec7c31", "", B3:AF31))</f>
        <v>164.1</v>
      </c>
      <c r="AS12" s="202">
        <f t="shared" si="2"/>
        <v>62.358</v>
      </c>
      <c r="AT12" s="269">
        <f t="shared" si="3"/>
        <v>7.79475</v>
      </c>
      <c r="AU12" s="269"/>
      <c r="AV12" s="504">
        <f t="shared" si="4"/>
        <v>0</v>
      </c>
      <c r="AW12" s="504">
        <f t="shared" si="5"/>
        <v>0</v>
      </c>
      <c r="AX12" s="270"/>
    </row>
    <row r="13" ht="26.25" customHeight="1">
      <c r="A13" s="758" t="s">
        <v>107</v>
      </c>
      <c r="B13" s="768">
        <v>0.0</v>
      </c>
      <c r="C13" s="777">
        <v>0.0</v>
      </c>
      <c r="D13" s="768">
        <v>0.0</v>
      </c>
      <c r="E13" s="768">
        <v>0.0</v>
      </c>
      <c r="F13" s="777">
        <v>0.0</v>
      </c>
      <c r="G13" s="777">
        <v>0.0</v>
      </c>
      <c r="H13" s="768">
        <v>0.0</v>
      </c>
      <c r="I13" s="768">
        <v>0.0</v>
      </c>
      <c r="J13" s="777">
        <v>0.0</v>
      </c>
      <c r="K13" s="768">
        <v>0.0</v>
      </c>
      <c r="L13" s="768">
        <v>0.0</v>
      </c>
      <c r="M13" s="768">
        <v>0.0</v>
      </c>
      <c r="N13" s="768">
        <v>0.0</v>
      </c>
      <c r="O13" s="768">
        <v>0.0</v>
      </c>
      <c r="P13" s="768">
        <v>0.0</v>
      </c>
      <c r="Q13" s="768">
        <v>0.0</v>
      </c>
      <c r="R13" s="804">
        <v>0.0</v>
      </c>
      <c r="S13" s="809">
        <v>0.0</v>
      </c>
      <c r="T13" s="804">
        <v>0.0</v>
      </c>
      <c r="U13" s="804">
        <v>0.0</v>
      </c>
      <c r="V13" s="804">
        <v>0.0</v>
      </c>
      <c r="W13" s="804">
        <v>0.0</v>
      </c>
      <c r="X13" s="804">
        <v>0.0</v>
      </c>
      <c r="Y13" s="804">
        <v>0.0</v>
      </c>
      <c r="Z13" s="804">
        <v>0.0</v>
      </c>
      <c r="AA13" s="804">
        <v>0.0</v>
      </c>
      <c r="AB13" s="804">
        <v>0.0</v>
      </c>
      <c r="AC13" s="804">
        <v>0.0</v>
      </c>
      <c r="AD13" s="804">
        <v>0.0</v>
      </c>
      <c r="AE13" s="804">
        <v>0.0</v>
      </c>
      <c r="AF13" s="777"/>
      <c r="AG13" s="751">
        <f t="shared" si="1"/>
        <v>0</v>
      </c>
      <c r="AH13" s="455"/>
      <c r="AI13" s="38"/>
      <c r="AJ13" s="38"/>
      <c r="AK13" s="38"/>
      <c r="AL13" s="38"/>
      <c r="AO13" s="810" t="s">
        <v>116</v>
      </c>
      <c r="AP13" s="176"/>
      <c r="AQ13" s="177"/>
      <c r="AR13" s="811">
        <f>SUM(valuesByColor("#911553", "", B4:AF32))</f>
        <v>1.5</v>
      </c>
      <c r="AS13" s="812">
        <f t="shared" si="2"/>
        <v>0.57</v>
      </c>
      <c r="AT13" s="813">
        <f t="shared" si="3"/>
        <v>0.07125</v>
      </c>
      <c r="AU13" s="814"/>
      <c r="AV13" s="815"/>
      <c r="AW13" s="815"/>
      <c r="AX13" s="274"/>
    </row>
    <row r="14" ht="25.5" customHeight="1">
      <c r="A14" s="758" t="s">
        <v>11</v>
      </c>
      <c r="B14" s="605">
        <v>108.0</v>
      </c>
      <c r="C14" s="605">
        <v>147.46</v>
      </c>
      <c r="D14" s="605">
        <v>100.44</v>
      </c>
      <c r="E14" s="605">
        <v>117.42</v>
      </c>
      <c r="F14" s="605">
        <v>54.0</v>
      </c>
      <c r="G14" s="605">
        <v>115.5</v>
      </c>
      <c r="H14" s="605">
        <v>71.42</v>
      </c>
      <c r="I14" s="605">
        <v>90.3</v>
      </c>
      <c r="J14" s="605">
        <v>86.78</v>
      </c>
      <c r="K14" s="605">
        <v>48.08</v>
      </c>
      <c r="L14" s="605">
        <v>44.06</v>
      </c>
      <c r="M14" s="605">
        <v>93.42</v>
      </c>
      <c r="N14" s="605">
        <v>37.5</v>
      </c>
      <c r="O14" s="605">
        <v>78.0</v>
      </c>
      <c r="P14" s="605">
        <v>84.0</v>
      </c>
      <c r="Q14" s="605">
        <v>0.0</v>
      </c>
      <c r="R14" s="605">
        <v>75.0</v>
      </c>
      <c r="S14" s="605">
        <v>114.0</v>
      </c>
      <c r="T14" s="605">
        <v>87.0</v>
      </c>
      <c r="U14" s="605">
        <v>54.42</v>
      </c>
      <c r="V14" s="605">
        <v>39.0</v>
      </c>
      <c r="W14" s="605">
        <v>67.5</v>
      </c>
      <c r="X14" s="605">
        <v>13.5</v>
      </c>
      <c r="Y14" s="605">
        <v>63.0</v>
      </c>
      <c r="Z14" s="605">
        <v>54.0</v>
      </c>
      <c r="AA14" s="605">
        <v>52.5</v>
      </c>
      <c r="AB14" s="605">
        <v>42.0</v>
      </c>
      <c r="AC14" s="783">
        <v>52.74</v>
      </c>
      <c r="AD14" s="783">
        <v>34.5</v>
      </c>
      <c r="AE14" s="680">
        <v>117.0</v>
      </c>
      <c r="AF14" s="783"/>
      <c r="AG14" s="751">
        <f t="shared" si="1"/>
        <v>2142.54</v>
      </c>
      <c r="AH14" s="455"/>
      <c r="AI14" s="38"/>
      <c r="AJ14" s="441"/>
      <c r="AK14" s="38"/>
      <c r="AL14" s="38"/>
      <c r="AO14" s="277" t="s">
        <v>43</v>
      </c>
      <c r="AP14" s="176"/>
      <c r="AQ14" s="177"/>
      <c r="AR14" s="518">
        <f>SUM(valuesByColor("lime", "", B3:AF31))</f>
        <v>247.44</v>
      </c>
      <c r="AS14" s="278">
        <f t="shared" si="2"/>
        <v>94.0272</v>
      </c>
      <c r="AT14" s="279">
        <f t="shared" si="3"/>
        <v>11.7534</v>
      </c>
      <c r="AU14" s="279"/>
      <c r="AV14" s="519">
        <f t="shared" ref="AV14:AV16" si="6">(AU14*(1-0.05))*(1-0.9)</f>
        <v>0</v>
      </c>
      <c r="AW14" s="519">
        <f t="shared" ref="AW14:AW16" si="7">(AU14*(1-0.05))*(1-0.95)</f>
        <v>0</v>
      </c>
      <c r="AX14" s="280"/>
    </row>
    <row r="15" ht="29.25" customHeight="1">
      <c r="A15" s="758" t="s">
        <v>68</v>
      </c>
      <c r="B15" s="750">
        <v>0.0</v>
      </c>
      <c r="C15" s="750">
        <v>0.0</v>
      </c>
      <c r="D15" s="750">
        <v>0.0</v>
      </c>
      <c r="E15" s="750">
        <v>0.0</v>
      </c>
      <c r="F15" s="750">
        <v>0.0</v>
      </c>
      <c r="G15" s="750">
        <v>0.0</v>
      </c>
      <c r="H15" s="750">
        <v>0.0</v>
      </c>
      <c r="I15" s="749">
        <v>6.12</v>
      </c>
      <c r="J15" s="749">
        <v>4.5</v>
      </c>
      <c r="K15" s="749">
        <v>2.18</v>
      </c>
      <c r="L15" s="749">
        <v>0.0</v>
      </c>
      <c r="M15" s="816">
        <v>6.0</v>
      </c>
      <c r="N15" s="749">
        <v>0.0</v>
      </c>
      <c r="O15" s="749">
        <v>0.0</v>
      </c>
      <c r="P15" s="749">
        <v>0.0</v>
      </c>
      <c r="Q15" s="749">
        <v>0.0</v>
      </c>
      <c r="R15" s="749">
        <v>1.5</v>
      </c>
      <c r="S15" s="749">
        <v>0.0</v>
      </c>
      <c r="T15" s="749">
        <v>0.0</v>
      </c>
      <c r="U15" s="749">
        <v>0.0</v>
      </c>
      <c r="V15" s="750">
        <v>0.0</v>
      </c>
      <c r="W15" s="750">
        <v>0.0</v>
      </c>
      <c r="X15" s="750">
        <v>0.0</v>
      </c>
      <c r="Y15" s="750">
        <v>0.0</v>
      </c>
      <c r="Z15" s="750">
        <v>0.0</v>
      </c>
      <c r="AA15" s="750">
        <v>0.0</v>
      </c>
      <c r="AB15" s="750">
        <v>0.0</v>
      </c>
      <c r="AC15" s="750">
        <v>0.0</v>
      </c>
      <c r="AD15" s="750">
        <v>0.0</v>
      </c>
      <c r="AE15" s="750">
        <v>0.0</v>
      </c>
      <c r="AF15" s="817"/>
      <c r="AG15" s="751">
        <f t="shared" si="1"/>
        <v>20.3</v>
      </c>
      <c r="AH15" s="455"/>
      <c r="AI15" s="38"/>
      <c r="AJ15" s="38"/>
      <c r="AK15" s="38"/>
      <c r="AL15" s="38"/>
      <c r="AO15" s="668" t="s">
        <v>105</v>
      </c>
      <c r="AP15" s="176"/>
      <c r="AQ15" s="177"/>
      <c r="AR15" s="669">
        <f>SUM(valuesByColor("#7a00ff", "", B3:AF31))</f>
        <v>124.9</v>
      </c>
      <c r="AS15" s="670">
        <f t="shared" si="2"/>
        <v>47.462</v>
      </c>
      <c r="AT15" s="671">
        <f t="shared" si="3"/>
        <v>5.93275</v>
      </c>
      <c r="AU15" s="671"/>
      <c r="AV15" s="672">
        <f t="shared" si="6"/>
        <v>0</v>
      </c>
      <c r="AW15" s="672">
        <f t="shared" si="7"/>
        <v>0</v>
      </c>
      <c r="AX15" s="673"/>
    </row>
    <row r="16" ht="29.25" customHeight="1">
      <c r="A16" s="758" t="s">
        <v>69</v>
      </c>
      <c r="B16" s="777">
        <v>0.0</v>
      </c>
      <c r="C16" s="777">
        <v>0.0</v>
      </c>
      <c r="D16" s="777">
        <v>0.0</v>
      </c>
      <c r="E16" s="777">
        <v>0.0</v>
      </c>
      <c r="F16" s="777">
        <v>0.0</v>
      </c>
      <c r="G16" s="777">
        <v>0.0</v>
      </c>
      <c r="H16" s="777">
        <v>0.0</v>
      </c>
      <c r="I16" s="777">
        <v>0.0</v>
      </c>
      <c r="J16" s="777">
        <v>0.0</v>
      </c>
      <c r="K16" s="777">
        <v>0.0</v>
      </c>
      <c r="L16" s="777">
        <v>0.0</v>
      </c>
      <c r="M16" s="777">
        <v>0.0</v>
      </c>
      <c r="N16" s="777">
        <v>0.0</v>
      </c>
      <c r="O16" s="777">
        <v>0.0</v>
      </c>
      <c r="P16" s="777">
        <v>0.0</v>
      </c>
      <c r="Q16" s="777">
        <v>0.0</v>
      </c>
      <c r="R16" s="777">
        <v>0.0</v>
      </c>
      <c r="S16" s="777">
        <v>0.0</v>
      </c>
      <c r="T16" s="777">
        <v>0.0</v>
      </c>
      <c r="U16" s="777">
        <v>0.0</v>
      </c>
      <c r="V16" s="777">
        <v>0.0</v>
      </c>
      <c r="W16" s="777">
        <v>0.0</v>
      </c>
      <c r="X16" s="777">
        <v>0.0</v>
      </c>
      <c r="Y16" s="777">
        <v>0.0</v>
      </c>
      <c r="Z16" s="777">
        <v>0.0</v>
      </c>
      <c r="AA16" s="777">
        <v>0.0</v>
      </c>
      <c r="AB16" s="777">
        <v>0.0</v>
      </c>
      <c r="AC16" s="777">
        <v>0.0</v>
      </c>
      <c r="AD16" s="777">
        <v>0.0</v>
      </c>
      <c r="AE16" s="777">
        <v>0.0</v>
      </c>
      <c r="AF16" s="777"/>
      <c r="AG16" s="751">
        <f t="shared" si="1"/>
        <v>0</v>
      </c>
      <c r="AH16" s="455"/>
      <c r="AI16" s="38"/>
      <c r="AJ16" s="38"/>
      <c r="AK16" s="38"/>
      <c r="AL16" s="38"/>
      <c r="AM16" s="38"/>
      <c r="AN16" s="38"/>
      <c r="AO16" s="384"/>
      <c r="AP16" s="176"/>
      <c r="AQ16" s="177"/>
      <c r="AR16" s="521">
        <f>SUM(valuesByColor("dark yellow 3", "", B3:AF31))</f>
        <v>0</v>
      </c>
      <c r="AS16" s="385">
        <f t="shared" si="2"/>
        <v>0</v>
      </c>
      <c r="AT16" s="386">
        <f t="shared" si="3"/>
        <v>0</v>
      </c>
      <c r="AU16" s="386"/>
      <c r="AV16" s="522">
        <f t="shared" si="6"/>
        <v>0</v>
      </c>
      <c r="AW16" s="522">
        <f t="shared" si="7"/>
        <v>0</v>
      </c>
      <c r="AX16" s="387"/>
    </row>
    <row r="17" ht="29.25" customHeight="1">
      <c r="A17" s="747" t="s">
        <v>82</v>
      </c>
      <c r="B17" s="777">
        <v>0.0</v>
      </c>
      <c r="C17" s="777">
        <v>0.0</v>
      </c>
      <c r="D17" s="777">
        <v>0.0</v>
      </c>
      <c r="E17" s="777">
        <v>0.0</v>
      </c>
      <c r="F17" s="777">
        <v>0.0</v>
      </c>
      <c r="G17" s="777">
        <v>0.0</v>
      </c>
      <c r="H17" s="748">
        <v>1.5</v>
      </c>
      <c r="I17" s="777">
        <v>0.0</v>
      </c>
      <c r="J17" s="777">
        <v>0.0</v>
      </c>
      <c r="K17" s="777">
        <v>0.0</v>
      </c>
      <c r="L17" s="777">
        <v>0.0</v>
      </c>
      <c r="M17" s="777">
        <v>0.0</v>
      </c>
      <c r="N17" s="777">
        <v>0.0</v>
      </c>
      <c r="O17" s="777">
        <v>0.0</v>
      </c>
      <c r="P17" s="777">
        <v>0.0</v>
      </c>
      <c r="Q17" s="777">
        <v>0.0</v>
      </c>
      <c r="R17" s="777">
        <v>0.0</v>
      </c>
      <c r="S17" s="777">
        <v>0.0</v>
      </c>
      <c r="T17" s="777">
        <v>0.0</v>
      </c>
      <c r="U17" s="777">
        <v>0.0</v>
      </c>
      <c r="V17" s="777">
        <v>0.0</v>
      </c>
      <c r="W17" s="777">
        <v>0.0</v>
      </c>
      <c r="X17" s="777">
        <v>0.0</v>
      </c>
      <c r="Y17" s="777">
        <v>0.0</v>
      </c>
      <c r="Z17" s="777">
        <v>0.0</v>
      </c>
      <c r="AA17" s="777">
        <v>0.0</v>
      </c>
      <c r="AB17" s="777">
        <v>0.0</v>
      </c>
      <c r="AC17" s="777">
        <v>0.0</v>
      </c>
      <c r="AD17" s="777">
        <v>0.0</v>
      </c>
      <c r="AE17" s="777">
        <v>0.0</v>
      </c>
      <c r="AF17" s="777"/>
      <c r="AG17" s="751">
        <f t="shared" si="1"/>
        <v>1.5</v>
      </c>
      <c r="AH17" s="455"/>
      <c r="AI17" s="38"/>
      <c r="AJ17" s="38"/>
      <c r="AK17" s="38"/>
      <c r="AL17" s="38"/>
      <c r="AM17" s="38"/>
      <c r="AN17" s="38"/>
      <c r="AR17" s="527">
        <f>SUM(AR6:AR16)</f>
        <v>5721.21</v>
      </c>
      <c r="AS17" s="38"/>
      <c r="AT17" s="220">
        <f>SUM(AT6:AT16)</f>
        <v>271.757475</v>
      </c>
    </row>
    <row r="18" ht="29.25" customHeight="1">
      <c r="A18" s="747" t="s">
        <v>83</v>
      </c>
      <c r="B18" s="818">
        <v>4.5</v>
      </c>
      <c r="C18" s="818">
        <v>10.86</v>
      </c>
      <c r="D18" s="818">
        <v>6.0</v>
      </c>
      <c r="E18" s="818">
        <v>30.0</v>
      </c>
      <c r="F18" s="818">
        <v>7.5</v>
      </c>
      <c r="G18" s="818">
        <v>3.0</v>
      </c>
      <c r="H18" s="818">
        <v>13.74</v>
      </c>
      <c r="I18" s="818">
        <v>22.62</v>
      </c>
      <c r="J18" s="818">
        <v>18.12</v>
      </c>
      <c r="K18" s="818">
        <v>19.62</v>
      </c>
      <c r="L18" s="818">
        <v>4.5</v>
      </c>
      <c r="M18" s="818">
        <v>6.0</v>
      </c>
      <c r="N18" s="818">
        <v>7.62</v>
      </c>
      <c r="O18" s="818">
        <v>22.62</v>
      </c>
      <c r="P18" s="818">
        <v>15.0</v>
      </c>
      <c r="Q18" s="818">
        <v>15.0</v>
      </c>
      <c r="R18" s="818">
        <v>6.0</v>
      </c>
      <c r="S18" s="818">
        <v>18.0</v>
      </c>
      <c r="T18" s="818">
        <v>12.0</v>
      </c>
      <c r="U18" s="818">
        <v>7.5</v>
      </c>
      <c r="V18" s="818">
        <v>0.0</v>
      </c>
      <c r="W18" s="818">
        <v>6.0</v>
      </c>
      <c r="X18" s="818">
        <v>6.0</v>
      </c>
      <c r="Y18" s="818">
        <v>3.12</v>
      </c>
      <c r="Z18" s="818">
        <v>7.5</v>
      </c>
      <c r="AA18" s="818">
        <v>10.5</v>
      </c>
      <c r="AB18" s="818">
        <v>7.74</v>
      </c>
      <c r="AC18" s="818">
        <v>1.5</v>
      </c>
      <c r="AD18" s="818">
        <v>4.5</v>
      </c>
      <c r="AE18" s="818">
        <v>7.5</v>
      </c>
      <c r="AF18" s="777"/>
      <c r="AG18" s="751">
        <f t="shared" si="1"/>
        <v>304.56</v>
      </c>
      <c r="AH18" s="455"/>
      <c r="AI18" s="38"/>
      <c r="AJ18" s="38"/>
      <c r="AK18" s="38"/>
      <c r="AL18" s="38"/>
      <c r="AM18" s="38"/>
      <c r="AN18" s="38"/>
    </row>
    <row r="19" ht="29.25" customHeight="1">
      <c r="A19" s="747" t="s">
        <v>84</v>
      </c>
      <c r="B19" s="784">
        <v>6.0</v>
      </c>
      <c r="C19" s="784">
        <v>27.0</v>
      </c>
      <c r="D19" s="784">
        <v>18.84</v>
      </c>
      <c r="E19" s="784">
        <v>22.5</v>
      </c>
      <c r="F19" s="784">
        <v>0.0</v>
      </c>
      <c r="G19" s="784">
        <v>12.0</v>
      </c>
      <c r="H19" s="784">
        <v>6.0</v>
      </c>
      <c r="I19" s="784">
        <v>1.5</v>
      </c>
      <c r="J19" s="784">
        <v>0.0</v>
      </c>
      <c r="K19" s="784">
        <v>0.0</v>
      </c>
      <c r="L19" s="777">
        <v>0.0</v>
      </c>
      <c r="M19" s="777">
        <v>0.0</v>
      </c>
      <c r="N19" s="777">
        <v>0.0</v>
      </c>
      <c r="O19" s="777">
        <v>0.0</v>
      </c>
      <c r="P19" s="777">
        <v>0.0</v>
      </c>
      <c r="Q19" s="777">
        <v>0.0</v>
      </c>
      <c r="R19" s="777">
        <v>0.0</v>
      </c>
      <c r="S19" s="777">
        <v>0.0</v>
      </c>
      <c r="T19" s="777">
        <v>0.0</v>
      </c>
      <c r="U19" s="777">
        <v>0.0</v>
      </c>
      <c r="V19" s="777">
        <v>0.0</v>
      </c>
      <c r="W19" s="777">
        <v>0.0</v>
      </c>
      <c r="X19" s="777">
        <v>0.0</v>
      </c>
      <c r="Y19" s="777">
        <v>0.0</v>
      </c>
      <c r="Z19" s="777">
        <v>0.0</v>
      </c>
      <c r="AA19" s="777">
        <v>0.12</v>
      </c>
      <c r="AB19" s="777">
        <v>0.0</v>
      </c>
      <c r="AC19" s="777">
        <v>0.0</v>
      </c>
      <c r="AD19" s="777">
        <v>0.0</v>
      </c>
      <c r="AE19" s="777">
        <v>0.0</v>
      </c>
      <c r="AF19" s="777"/>
      <c r="AG19" s="751">
        <f t="shared" si="1"/>
        <v>93.96</v>
      </c>
      <c r="AH19" s="455"/>
      <c r="AI19" s="38"/>
      <c r="AJ19" s="38"/>
      <c r="AK19" s="38"/>
      <c r="AL19" s="38"/>
      <c r="AM19" s="38"/>
      <c r="AN19" s="38"/>
    </row>
    <row r="20" ht="29.25" customHeight="1">
      <c r="A20" s="747" t="s">
        <v>85</v>
      </c>
      <c r="B20" s="777">
        <v>0.0</v>
      </c>
      <c r="C20" s="777">
        <v>0.0</v>
      </c>
      <c r="D20" s="777">
        <v>0.0</v>
      </c>
      <c r="E20" s="777">
        <v>0.0</v>
      </c>
      <c r="F20" s="777">
        <v>0.0</v>
      </c>
      <c r="G20" s="777">
        <v>0.0</v>
      </c>
      <c r="H20" s="777">
        <v>0.0</v>
      </c>
      <c r="I20" s="777">
        <v>0.0</v>
      </c>
      <c r="J20" s="777">
        <v>0.0</v>
      </c>
      <c r="K20" s="819">
        <v>10.48</v>
      </c>
      <c r="L20" s="819">
        <v>1.5</v>
      </c>
      <c r="M20" s="819">
        <v>28.74</v>
      </c>
      <c r="N20" s="819">
        <v>21.62</v>
      </c>
      <c r="O20" s="819">
        <v>3.0</v>
      </c>
      <c r="P20" s="819">
        <v>3.0</v>
      </c>
      <c r="Q20" s="819">
        <v>0.98</v>
      </c>
      <c r="R20" s="819">
        <v>1.5</v>
      </c>
      <c r="S20" s="819">
        <v>0.0</v>
      </c>
      <c r="T20" s="819">
        <v>3.0</v>
      </c>
      <c r="U20" s="819">
        <v>0.0</v>
      </c>
      <c r="V20" s="819">
        <v>0.0</v>
      </c>
      <c r="W20" s="819">
        <v>1.5</v>
      </c>
      <c r="X20" s="819">
        <v>4.5</v>
      </c>
      <c r="Y20" s="819">
        <v>0.0</v>
      </c>
      <c r="Z20" s="819">
        <v>1.5</v>
      </c>
      <c r="AA20" s="819">
        <v>3.0</v>
      </c>
      <c r="AB20" s="819">
        <v>0.0</v>
      </c>
      <c r="AC20" s="819">
        <v>0.0</v>
      </c>
      <c r="AD20" s="819">
        <v>0.0</v>
      </c>
      <c r="AE20" s="819">
        <v>1.5</v>
      </c>
      <c r="AF20" s="777"/>
      <c r="AG20" s="751">
        <f t="shared" si="1"/>
        <v>85.82</v>
      </c>
      <c r="AH20" s="455"/>
      <c r="AI20" s="38"/>
      <c r="AJ20" s="38"/>
      <c r="AK20" s="38"/>
      <c r="AL20" s="38"/>
      <c r="AM20" s="38"/>
      <c r="AN20" s="38"/>
    </row>
    <row r="21" ht="29.25" customHeight="1">
      <c r="A21" s="789" t="s">
        <v>90</v>
      </c>
      <c r="B21" s="792">
        <v>0.0</v>
      </c>
      <c r="C21" s="792">
        <v>3.0</v>
      </c>
      <c r="D21" s="792">
        <v>20.56</v>
      </c>
      <c r="E21" s="792">
        <v>4.5</v>
      </c>
      <c r="F21" s="792">
        <v>0.0</v>
      </c>
      <c r="G21" s="792">
        <v>1.5</v>
      </c>
      <c r="H21" s="792">
        <v>1.5</v>
      </c>
      <c r="I21" s="769">
        <v>0.0</v>
      </c>
      <c r="J21" s="769">
        <v>0.0</v>
      </c>
      <c r="K21" s="769">
        <v>0.0</v>
      </c>
      <c r="L21" s="769">
        <v>0.0</v>
      </c>
      <c r="M21" s="769">
        <v>0.0</v>
      </c>
      <c r="N21" s="769">
        <v>0.0</v>
      </c>
      <c r="O21" s="769">
        <v>0.0</v>
      </c>
      <c r="P21" s="769">
        <v>0.0</v>
      </c>
      <c r="Q21" s="769">
        <v>0.0</v>
      </c>
      <c r="R21" s="769">
        <v>0.0</v>
      </c>
      <c r="S21" s="769">
        <v>0.0</v>
      </c>
      <c r="T21" s="769">
        <v>0.0</v>
      </c>
      <c r="U21" s="769">
        <v>0.0</v>
      </c>
      <c r="V21" s="769">
        <v>0.0</v>
      </c>
      <c r="W21" s="769">
        <v>0.0</v>
      </c>
      <c r="X21" s="769">
        <v>0.0</v>
      </c>
      <c r="Y21" s="769">
        <v>0.0</v>
      </c>
      <c r="Z21" s="769">
        <v>0.0</v>
      </c>
      <c r="AA21" s="769">
        <v>0.0</v>
      </c>
      <c r="AB21" s="769">
        <v>0.0</v>
      </c>
      <c r="AC21" s="769">
        <v>0.0</v>
      </c>
      <c r="AD21" s="769">
        <v>0.0</v>
      </c>
      <c r="AE21" s="769">
        <v>0.0</v>
      </c>
      <c r="AF21" s="769"/>
      <c r="AG21" s="751">
        <f t="shared" si="1"/>
        <v>31.06</v>
      </c>
      <c r="AH21" s="455"/>
      <c r="AI21" s="38"/>
      <c r="AJ21" s="38"/>
      <c r="AK21" s="38"/>
      <c r="AL21" s="38"/>
      <c r="AM21" s="38"/>
      <c r="AN21" s="38"/>
    </row>
    <row r="22" ht="29.25" customHeight="1">
      <c r="A22" s="747" t="s">
        <v>111</v>
      </c>
      <c r="B22" s="793">
        <v>41.32</v>
      </c>
      <c r="C22" s="793">
        <v>58.78</v>
      </c>
      <c r="D22" s="793">
        <v>14.98</v>
      </c>
      <c r="E22" s="793">
        <v>0.0</v>
      </c>
      <c r="F22" s="793">
        <v>31.27</v>
      </c>
      <c r="G22" s="793">
        <v>38.04</v>
      </c>
      <c r="H22" s="793">
        <v>52.72</v>
      </c>
      <c r="I22" s="793">
        <v>71.64</v>
      </c>
      <c r="J22" s="793">
        <v>22.68</v>
      </c>
      <c r="K22" s="793">
        <v>33.34</v>
      </c>
      <c r="L22" s="793">
        <v>19.04</v>
      </c>
      <c r="M22" s="793">
        <v>11.08</v>
      </c>
      <c r="N22" s="793">
        <v>30.0</v>
      </c>
      <c r="O22" s="793">
        <v>0.0</v>
      </c>
      <c r="P22" s="793">
        <v>28.74</v>
      </c>
      <c r="Q22" s="793">
        <v>7.5</v>
      </c>
      <c r="R22" s="793">
        <v>14.34</v>
      </c>
      <c r="S22" s="793">
        <v>40.42</v>
      </c>
      <c r="T22" s="793">
        <v>39.48</v>
      </c>
      <c r="U22" s="793">
        <v>40.84</v>
      </c>
      <c r="V22" s="793">
        <v>57.1</v>
      </c>
      <c r="W22" s="793">
        <v>49.36</v>
      </c>
      <c r="X22" s="793">
        <v>49.4</v>
      </c>
      <c r="Y22" s="793">
        <v>18.7</v>
      </c>
      <c r="Z22" s="793">
        <v>34.84</v>
      </c>
      <c r="AA22" s="793">
        <v>13.12</v>
      </c>
      <c r="AB22" s="793">
        <v>18.56</v>
      </c>
      <c r="AC22" s="793">
        <v>1.5</v>
      </c>
      <c r="AD22" s="793">
        <v>6.56</v>
      </c>
      <c r="AE22" s="793">
        <v>27.12</v>
      </c>
      <c r="AF22" s="777"/>
      <c r="AG22" s="751">
        <f t="shared" si="1"/>
        <v>872.47</v>
      </c>
      <c r="AH22" s="455"/>
      <c r="AI22" s="38"/>
      <c r="AJ22" s="38"/>
      <c r="AK22" s="38"/>
      <c r="AL22" s="38"/>
      <c r="AM22" s="38"/>
      <c r="AN22" s="38"/>
    </row>
    <row r="23" ht="29.25" customHeight="1">
      <c r="A23" s="758" t="s">
        <v>96</v>
      </c>
      <c r="B23" s="819">
        <v>0.0</v>
      </c>
      <c r="C23" s="819">
        <v>0.0</v>
      </c>
      <c r="D23" s="819">
        <v>0.0</v>
      </c>
      <c r="E23" s="819">
        <v>1.5</v>
      </c>
      <c r="F23" s="819">
        <v>6.0</v>
      </c>
      <c r="G23" s="819">
        <v>1.5</v>
      </c>
      <c r="H23" s="819">
        <v>0.0</v>
      </c>
      <c r="I23" s="777">
        <v>0.0</v>
      </c>
      <c r="J23" s="777">
        <v>0.0</v>
      </c>
      <c r="K23" s="777">
        <v>0.0</v>
      </c>
      <c r="L23" s="777">
        <v>0.0</v>
      </c>
      <c r="M23" s="777">
        <v>0.0</v>
      </c>
      <c r="N23" s="777">
        <v>0.0</v>
      </c>
      <c r="O23" s="777">
        <v>0.0</v>
      </c>
      <c r="P23" s="777">
        <v>0.0</v>
      </c>
      <c r="Q23" s="777">
        <v>0.0</v>
      </c>
      <c r="R23" s="777">
        <v>0.0</v>
      </c>
      <c r="S23" s="777">
        <v>0.0</v>
      </c>
      <c r="T23" s="777">
        <v>0.0</v>
      </c>
      <c r="U23" s="777">
        <v>0.0</v>
      </c>
      <c r="V23" s="777">
        <v>0.0</v>
      </c>
      <c r="W23" s="777">
        <v>0.0</v>
      </c>
      <c r="X23" s="777">
        <v>0.0</v>
      </c>
      <c r="Y23" s="777">
        <v>0.0</v>
      </c>
      <c r="Z23" s="777">
        <v>0.0</v>
      </c>
      <c r="AA23" s="777">
        <v>0.0</v>
      </c>
      <c r="AB23" s="777">
        <v>0.0</v>
      </c>
      <c r="AC23" s="777">
        <v>0.0</v>
      </c>
      <c r="AD23" s="777">
        <v>0.0</v>
      </c>
      <c r="AE23" s="777">
        <v>0.0</v>
      </c>
      <c r="AF23" s="777"/>
      <c r="AG23" s="473">
        <f t="shared" si="1"/>
        <v>9</v>
      </c>
      <c r="AH23" s="455"/>
      <c r="AI23" s="38"/>
      <c r="AJ23" s="38"/>
      <c r="AK23" s="38"/>
      <c r="AL23" s="38"/>
      <c r="AM23" s="38"/>
      <c r="AN23" s="38"/>
    </row>
    <row r="24" ht="29.25" customHeight="1">
      <c r="A24" s="758" t="s">
        <v>97</v>
      </c>
      <c r="B24" s="748">
        <v>39.0</v>
      </c>
      <c r="C24" s="748">
        <v>18.0</v>
      </c>
      <c r="D24" s="748">
        <v>16.5</v>
      </c>
      <c r="E24" s="748">
        <v>6.0</v>
      </c>
      <c r="F24" s="748">
        <v>6.0</v>
      </c>
      <c r="G24" s="748">
        <v>16.5</v>
      </c>
      <c r="H24" s="748">
        <v>9.0</v>
      </c>
      <c r="I24" s="748">
        <v>0.0</v>
      </c>
      <c r="J24" s="748">
        <v>4.5</v>
      </c>
      <c r="K24" s="748">
        <v>9.0</v>
      </c>
      <c r="L24" s="748">
        <v>6.0</v>
      </c>
      <c r="M24" s="748">
        <v>3.0</v>
      </c>
      <c r="N24" s="748">
        <v>4.5</v>
      </c>
      <c r="O24" s="748">
        <v>12.0</v>
      </c>
      <c r="P24" s="748">
        <v>1.5</v>
      </c>
      <c r="Q24" s="748">
        <v>1.5</v>
      </c>
      <c r="R24" s="748">
        <v>0.0</v>
      </c>
      <c r="S24" s="748">
        <v>3.0</v>
      </c>
      <c r="T24" s="748">
        <v>0.0</v>
      </c>
      <c r="U24" s="748">
        <v>6.6</v>
      </c>
      <c r="V24" s="748">
        <v>0.0</v>
      </c>
      <c r="W24" s="748">
        <v>0.0</v>
      </c>
      <c r="X24" s="748">
        <v>0.0</v>
      </c>
      <c r="Y24" s="748">
        <v>0.0</v>
      </c>
      <c r="Z24" s="748">
        <v>0.0</v>
      </c>
      <c r="AA24" s="748">
        <v>0.0</v>
      </c>
      <c r="AB24" s="748">
        <v>0.0</v>
      </c>
      <c r="AC24" s="748">
        <v>0.0</v>
      </c>
      <c r="AD24" s="748">
        <v>0.0</v>
      </c>
      <c r="AE24" s="748">
        <v>0.0</v>
      </c>
      <c r="AF24" s="777"/>
      <c r="AG24" s="473">
        <f t="shared" si="1"/>
        <v>162.6</v>
      </c>
      <c r="AH24" s="455"/>
      <c r="AI24" s="38"/>
      <c r="AJ24" s="38"/>
      <c r="AK24" s="38"/>
      <c r="AL24" s="38"/>
      <c r="AM24" s="38"/>
      <c r="AN24" s="38"/>
    </row>
    <row r="25" ht="29.25" customHeight="1">
      <c r="A25" s="758" t="s">
        <v>98</v>
      </c>
      <c r="B25" s="777">
        <v>0.0</v>
      </c>
      <c r="C25" s="777">
        <v>0.0</v>
      </c>
      <c r="D25" s="777">
        <v>0.0</v>
      </c>
      <c r="E25" s="777">
        <v>0.0</v>
      </c>
      <c r="F25" s="777">
        <v>0.0</v>
      </c>
      <c r="G25" s="777">
        <v>0.0</v>
      </c>
      <c r="H25" s="777">
        <v>0.0</v>
      </c>
      <c r="I25" s="777">
        <v>0.0</v>
      </c>
      <c r="J25" s="777">
        <v>0.0</v>
      </c>
      <c r="K25" s="777">
        <v>0.0</v>
      </c>
      <c r="L25" s="777">
        <v>0.0</v>
      </c>
      <c r="M25" s="777">
        <v>0.0</v>
      </c>
      <c r="N25" s="777">
        <v>0.0</v>
      </c>
      <c r="O25" s="777">
        <v>0.0</v>
      </c>
      <c r="P25" s="777">
        <v>0.0</v>
      </c>
      <c r="Q25" s="777">
        <v>0.0</v>
      </c>
      <c r="R25" s="777">
        <v>0.0</v>
      </c>
      <c r="S25" s="777">
        <v>0.0</v>
      </c>
      <c r="T25" s="777">
        <v>0.0</v>
      </c>
      <c r="U25" s="777">
        <v>0.0</v>
      </c>
      <c r="V25" s="777">
        <v>0.0</v>
      </c>
      <c r="W25" s="777">
        <v>0.0</v>
      </c>
      <c r="X25" s="777">
        <v>0.0</v>
      </c>
      <c r="Y25" s="777">
        <v>0.0</v>
      </c>
      <c r="Z25" s="777">
        <v>0.0</v>
      </c>
      <c r="AA25" s="777">
        <v>0.0</v>
      </c>
      <c r="AB25" s="777">
        <v>0.0</v>
      </c>
      <c r="AC25" s="777">
        <v>0.0</v>
      </c>
      <c r="AD25" s="777">
        <v>0.0</v>
      </c>
      <c r="AE25" s="777">
        <v>0.0</v>
      </c>
      <c r="AF25" s="777"/>
      <c r="AG25" s="473">
        <f t="shared" si="1"/>
        <v>0</v>
      </c>
      <c r="AH25" s="455"/>
      <c r="AI25" s="38"/>
      <c r="AJ25" s="38"/>
      <c r="AK25" s="38"/>
      <c r="AL25" s="38"/>
      <c r="AM25" s="38"/>
      <c r="AN25" s="38"/>
    </row>
    <row r="26" ht="29.25" customHeight="1">
      <c r="A26" s="758" t="s">
        <v>99</v>
      </c>
      <c r="B26" s="532">
        <v>28.1</v>
      </c>
      <c r="C26" s="532">
        <v>30.38</v>
      </c>
      <c r="D26" s="532">
        <v>1.64</v>
      </c>
      <c r="E26" s="532">
        <v>53.24</v>
      </c>
      <c r="F26" s="532">
        <v>43.5</v>
      </c>
      <c r="G26" s="532">
        <v>82.5</v>
      </c>
      <c r="H26" s="532">
        <v>66.0</v>
      </c>
      <c r="I26" s="532">
        <v>79.5</v>
      </c>
      <c r="J26" s="532">
        <v>72.0</v>
      </c>
      <c r="K26" s="532">
        <v>0.0</v>
      </c>
      <c r="L26" s="532">
        <v>120.0</v>
      </c>
      <c r="M26" s="532">
        <v>110.24</v>
      </c>
      <c r="N26" s="532">
        <v>28.5</v>
      </c>
      <c r="O26" s="532">
        <v>55.5</v>
      </c>
      <c r="P26" s="532">
        <v>36.0</v>
      </c>
      <c r="Q26" s="532">
        <v>35.9</v>
      </c>
      <c r="R26" s="532">
        <v>0.0</v>
      </c>
      <c r="S26" s="532">
        <v>73.5</v>
      </c>
      <c r="T26" s="532">
        <v>78.0</v>
      </c>
      <c r="U26" s="532">
        <v>64.5</v>
      </c>
      <c r="V26" s="532">
        <v>61.5</v>
      </c>
      <c r="W26" s="532">
        <v>10.5</v>
      </c>
      <c r="X26" s="532">
        <v>1.5</v>
      </c>
      <c r="Y26" s="532">
        <v>0.0</v>
      </c>
      <c r="Z26" s="532">
        <v>4.5</v>
      </c>
      <c r="AA26" s="532">
        <v>1.5</v>
      </c>
      <c r="AB26" s="532">
        <v>0.0</v>
      </c>
      <c r="AC26" s="532">
        <v>0.0</v>
      </c>
      <c r="AD26" s="532">
        <v>27.0</v>
      </c>
      <c r="AE26" s="532">
        <v>15.0</v>
      </c>
      <c r="AF26" s="777"/>
      <c r="AG26" s="473">
        <f t="shared" si="1"/>
        <v>1180.5</v>
      </c>
      <c r="AH26" s="455"/>
      <c r="AI26" s="38"/>
      <c r="AJ26" s="38"/>
      <c r="AK26" s="38"/>
      <c r="AL26" s="38"/>
      <c r="AM26" s="38"/>
      <c r="AN26" s="38"/>
    </row>
    <row r="27" ht="29.25" customHeight="1">
      <c r="A27" s="758" t="s">
        <v>100</v>
      </c>
      <c r="B27" s="777">
        <v>0.0</v>
      </c>
      <c r="C27" s="777">
        <v>0.0</v>
      </c>
      <c r="D27" s="777">
        <v>0.0</v>
      </c>
      <c r="E27" s="777">
        <v>0.0</v>
      </c>
      <c r="F27" s="777">
        <v>0.0</v>
      </c>
      <c r="G27" s="777">
        <v>0.0</v>
      </c>
      <c r="H27" s="777">
        <v>0.0</v>
      </c>
      <c r="I27" s="777">
        <v>0.0</v>
      </c>
      <c r="J27" s="777">
        <v>0.0</v>
      </c>
      <c r="K27" s="777">
        <v>0.0</v>
      </c>
      <c r="L27" s="777">
        <v>0.0</v>
      </c>
      <c r="M27" s="777">
        <v>0.0</v>
      </c>
      <c r="N27" s="777">
        <v>0.0</v>
      </c>
      <c r="O27" s="777">
        <v>0.0</v>
      </c>
      <c r="P27" s="777">
        <v>0.0</v>
      </c>
      <c r="Q27" s="777">
        <v>0.0</v>
      </c>
      <c r="R27" s="777">
        <v>0.0</v>
      </c>
      <c r="S27" s="777">
        <v>0.0</v>
      </c>
      <c r="T27" s="777">
        <v>0.0</v>
      </c>
      <c r="U27" s="777">
        <v>0.0</v>
      </c>
      <c r="V27" s="777">
        <v>0.0</v>
      </c>
      <c r="W27" s="777">
        <v>0.0</v>
      </c>
      <c r="X27" s="777">
        <v>0.0</v>
      </c>
      <c r="Y27" s="777">
        <v>0.0</v>
      </c>
      <c r="Z27" s="777">
        <v>0.0</v>
      </c>
      <c r="AA27" s="777">
        <v>0.0</v>
      </c>
      <c r="AB27" s="777">
        <v>0.0</v>
      </c>
      <c r="AC27" s="777">
        <v>0.0</v>
      </c>
      <c r="AD27" s="777">
        <v>0.0</v>
      </c>
      <c r="AE27" s="777">
        <v>0.0</v>
      </c>
      <c r="AF27" s="777"/>
      <c r="AG27" s="473">
        <f t="shared" si="1"/>
        <v>0</v>
      </c>
      <c r="AH27" s="455"/>
      <c r="AI27" s="38"/>
      <c r="AJ27" s="38"/>
      <c r="AK27" s="38"/>
      <c r="AL27" s="38"/>
      <c r="AM27" s="38"/>
      <c r="AN27" s="38"/>
    </row>
    <row r="28" ht="29.25" customHeight="1">
      <c r="A28" s="758" t="s">
        <v>117</v>
      </c>
      <c r="B28" s="768"/>
      <c r="C28" s="768"/>
      <c r="D28" s="768"/>
      <c r="E28" s="768"/>
      <c r="F28" s="768"/>
      <c r="G28" s="777"/>
      <c r="H28" s="768"/>
      <c r="I28" s="768"/>
      <c r="J28" s="768"/>
      <c r="K28" s="768"/>
      <c r="L28" s="820">
        <v>3.0</v>
      </c>
      <c r="M28" s="820">
        <v>0.0</v>
      </c>
      <c r="N28" s="820">
        <v>0.0</v>
      </c>
      <c r="O28" s="820">
        <v>0.0</v>
      </c>
      <c r="P28" s="820">
        <v>0.0</v>
      </c>
      <c r="Q28" s="820">
        <v>0.0</v>
      </c>
      <c r="R28" s="820">
        <v>0.0</v>
      </c>
      <c r="S28" s="820">
        <v>0.24</v>
      </c>
      <c r="T28" s="820">
        <v>0.12</v>
      </c>
      <c r="U28" s="807">
        <v>1.5</v>
      </c>
      <c r="V28" s="807">
        <v>1.5</v>
      </c>
      <c r="W28" s="777">
        <v>0.0</v>
      </c>
      <c r="X28" s="777">
        <v>0.0</v>
      </c>
      <c r="Y28" s="777">
        <v>0.0</v>
      </c>
      <c r="Z28" s="777">
        <v>0.0</v>
      </c>
      <c r="AA28" s="777">
        <v>0.0</v>
      </c>
      <c r="AB28" s="777">
        <v>0.0</v>
      </c>
      <c r="AC28" s="777">
        <v>0.0</v>
      </c>
      <c r="AD28" s="777">
        <v>0.0</v>
      </c>
      <c r="AE28" s="777">
        <v>0.0</v>
      </c>
      <c r="AF28" s="777"/>
      <c r="AG28" s="473">
        <f t="shared" si="1"/>
        <v>6.36</v>
      </c>
      <c r="AH28" s="455"/>
      <c r="AI28" s="38"/>
      <c r="AJ28" s="38"/>
      <c r="AK28" s="38"/>
      <c r="AL28" s="38"/>
      <c r="AM28" s="38"/>
      <c r="AN28" s="38"/>
    </row>
    <row r="29" ht="29.25" customHeight="1">
      <c r="A29" s="758" t="s">
        <v>118</v>
      </c>
      <c r="B29" s="768"/>
      <c r="C29" s="768"/>
      <c r="D29" s="768"/>
      <c r="E29" s="768"/>
      <c r="F29" s="768"/>
      <c r="G29" s="777"/>
      <c r="H29" s="768"/>
      <c r="I29" s="768"/>
      <c r="J29" s="768"/>
      <c r="K29" s="780">
        <v>7.0</v>
      </c>
      <c r="L29" s="780">
        <v>0.0</v>
      </c>
      <c r="M29" s="780">
        <v>0.0</v>
      </c>
      <c r="N29" s="780">
        <v>0.0</v>
      </c>
      <c r="O29" s="780">
        <v>0.0</v>
      </c>
      <c r="P29" s="780">
        <v>0.0</v>
      </c>
      <c r="Q29" s="780">
        <v>0.0</v>
      </c>
      <c r="R29" s="780"/>
      <c r="S29" s="780"/>
      <c r="T29" s="780"/>
      <c r="U29" s="749"/>
      <c r="V29" s="749">
        <v>0.0</v>
      </c>
      <c r="W29" s="749">
        <v>1.5</v>
      </c>
      <c r="X29" s="749">
        <v>4.5</v>
      </c>
      <c r="Y29" s="749">
        <v>0.12</v>
      </c>
      <c r="Z29" s="749">
        <v>0.0</v>
      </c>
      <c r="AA29" s="749">
        <v>3.0</v>
      </c>
      <c r="AB29" s="749">
        <v>1.5</v>
      </c>
      <c r="AC29" s="749">
        <v>1.62</v>
      </c>
      <c r="AD29" s="749">
        <v>0.0</v>
      </c>
      <c r="AE29" s="749">
        <v>0.0</v>
      </c>
      <c r="AF29" s="749"/>
      <c r="AG29" s="473">
        <f t="shared" si="1"/>
        <v>19.24</v>
      </c>
      <c r="AH29" s="455"/>
      <c r="AI29" s="38"/>
      <c r="AJ29" s="38"/>
      <c r="AK29" s="38"/>
      <c r="AL29" s="38"/>
      <c r="AM29" s="38"/>
      <c r="AN29" s="38"/>
    </row>
    <row r="30" ht="29.25" customHeight="1">
      <c r="A30" s="758" t="s">
        <v>119</v>
      </c>
      <c r="B30" s="768"/>
      <c r="C30" s="768"/>
      <c r="D30" s="768"/>
      <c r="E30" s="768"/>
      <c r="F30" s="768"/>
      <c r="G30" s="777"/>
      <c r="H30" s="768"/>
      <c r="I30" s="768"/>
      <c r="J30" s="768"/>
      <c r="K30" s="780"/>
      <c r="L30" s="780">
        <v>0.0</v>
      </c>
      <c r="M30" s="780">
        <v>0.0</v>
      </c>
      <c r="N30" s="780">
        <v>0.0</v>
      </c>
      <c r="O30" s="780">
        <v>0.0</v>
      </c>
      <c r="P30" s="780">
        <v>0.0</v>
      </c>
      <c r="Q30" s="780">
        <v>0.0</v>
      </c>
      <c r="R30" s="780">
        <v>7.12</v>
      </c>
      <c r="S30" s="780">
        <v>0.0</v>
      </c>
      <c r="T30" s="780">
        <v>0.0</v>
      </c>
      <c r="U30" s="749">
        <v>0.0</v>
      </c>
      <c r="V30" s="749">
        <v>0.0</v>
      </c>
      <c r="W30" s="749">
        <v>0.0</v>
      </c>
      <c r="X30" s="749">
        <v>0.0</v>
      </c>
      <c r="Y30" s="749">
        <v>15.0</v>
      </c>
      <c r="Z30" s="777">
        <v>0.0</v>
      </c>
      <c r="AA30" s="777">
        <v>0.0</v>
      </c>
      <c r="AB30" s="777">
        <v>0.0</v>
      </c>
      <c r="AC30" s="777">
        <v>0.0</v>
      </c>
      <c r="AD30" s="777">
        <v>0.56</v>
      </c>
      <c r="AE30" s="777">
        <v>0.0</v>
      </c>
      <c r="AF30" s="777"/>
      <c r="AG30" s="473">
        <f t="shared" si="1"/>
        <v>22.68</v>
      </c>
      <c r="AH30" s="455"/>
      <c r="AI30" s="38"/>
      <c r="AJ30" s="38"/>
      <c r="AK30" s="38"/>
      <c r="AL30" s="38"/>
      <c r="AM30" s="38"/>
      <c r="AN30" s="38"/>
    </row>
    <row r="31" ht="29.25" customHeight="1">
      <c r="A31" s="758" t="s">
        <v>112</v>
      </c>
      <c r="B31" s="768">
        <v>0.0</v>
      </c>
      <c r="C31" s="768">
        <v>0.0</v>
      </c>
      <c r="D31" s="768">
        <v>0.0</v>
      </c>
      <c r="E31" s="821">
        <v>3.0</v>
      </c>
      <c r="F31" s="821">
        <v>6.12</v>
      </c>
      <c r="G31" s="822">
        <v>1.5</v>
      </c>
      <c r="H31" s="821">
        <v>0.0</v>
      </c>
      <c r="I31" s="821">
        <v>0.12</v>
      </c>
      <c r="J31" s="821">
        <v>6.0</v>
      </c>
      <c r="K31" s="821">
        <v>1.5</v>
      </c>
      <c r="L31" s="821">
        <v>0.0</v>
      </c>
      <c r="M31" s="821">
        <v>1.5</v>
      </c>
      <c r="N31" s="821">
        <v>0.0</v>
      </c>
      <c r="O31" s="821">
        <v>4.62</v>
      </c>
      <c r="P31" s="821">
        <v>1.62</v>
      </c>
      <c r="Q31" s="768">
        <v>0.0</v>
      </c>
      <c r="R31" s="780">
        <v>1.5</v>
      </c>
      <c r="S31" s="768">
        <v>0.0</v>
      </c>
      <c r="T31" s="768">
        <v>0.0</v>
      </c>
      <c r="U31" s="777">
        <v>0.0</v>
      </c>
      <c r="V31" s="777">
        <v>0.0</v>
      </c>
      <c r="W31" s="777">
        <v>0.0</v>
      </c>
      <c r="X31" s="777">
        <v>0.0</v>
      </c>
      <c r="Y31" s="777">
        <v>0.0</v>
      </c>
      <c r="Z31" s="777">
        <v>0.0</v>
      </c>
      <c r="AA31" s="777">
        <v>0.0</v>
      </c>
      <c r="AB31" s="777">
        <v>0.0</v>
      </c>
      <c r="AC31" s="777">
        <v>0.0</v>
      </c>
      <c r="AD31" s="777">
        <v>0.0</v>
      </c>
      <c r="AE31" s="777">
        <v>0.0</v>
      </c>
      <c r="AF31" s="777"/>
      <c r="AG31" s="473">
        <f t="shared" si="1"/>
        <v>27.48</v>
      </c>
      <c r="AH31" s="455"/>
      <c r="AI31" s="38"/>
      <c r="AJ31" s="38"/>
      <c r="AK31" s="38"/>
      <c r="AL31" s="38"/>
      <c r="AM31" s="38"/>
      <c r="AN31" s="38"/>
    </row>
    <row r="32" ht="24.75" customHeight="1">
      <c r="A32" s="47" t="s">
        <v>14</v>
      </c>
      <c r="B32" s="167">
        <f t="shared" ref="B32:AF32" si="8">SUM(B23:B31,B3:B21,B22)</f>
        <v>316.57</v>
      </c>
      <c r="C32" s="167">
        <f t="shared" si="8"/>
        <v>423.44</v>
      </c>
      <c r="D32" s="167">
        <f t="shared" si="8"/>
        <v>283.72</v>
      </c>
      <c r="E32" s="167">
        <f t="shared" si="8"/>
        <v>406.55</v>
      </c>
      <c r="F32" s="167">
        <f t="shared" si="8"/>
        <v>304.86</v>
      </c>
      <c r="G32" s="167">
        <f t="shared" si="8"/>
        <v>371.91</v>
      </c>
      <c r="H32" s="167">
        <f t="shared" si="8"/>
        <v>361.61</v>
      </c>
      <c r="I32" s="167">
        <f t="shared" si="8"/>
        <v>390.98</v>
      </c>
      <c r="J32" s="167">
        <f t="shared" si="8"/>
        <v>303.58</v>
      </c>
      <c r="K32" s="167">
        <f t="shared" si="8"/>
        <v>226.74</v>
      </c>
      <c r="L32" s="167">
        <f t="shared" si="8"/>
        <v>259.82</v>
      </c>
      <c r="M32" s="167">
        <f t="shared" si="8"/>
        <v>345.1</v>
      </c>
      <c r="N32" s="167">
        <f t="shared" si="8"/>
        <v>227.04</v>
      </c>
      <c r="O32" s="167">
        <f t="shared" si="8"/>
        <v>298.81</v>
      </c>
      <c r="P32" s="167">
        <f t="shared" si="8"/>
        <v>286.86</v>
      </c>
      <c r="Q32" s="167">
        <f t="shared" si="8"/>
        <v>261.34</v>
      </c>
      <c r="R32" s="167">
        <f t="shared" si="8"/>
        <v>221.38</v>
      </c>
      <c r="S32" s="167">
        <f t="shared" si="8"/>
        <v>342.94</v>
      </c>
      <c r="T32" s="167">
        <f t="shared" si="8"/>
        <v>317.82</v>
      </c>
      <c r="U32" s="167">
        <f t="shared" si="8"/>
        <v>265.7</v>
      </c>
      <c r="V32" s="167">
        <f t="shared" si="8"/>
        <v>221.22</v>
      </c>
      <c r="W32" s="167">
        <f t="shared" si="8"/>
        <v>230.44</v>
      </c>
      <c r="X32" s="167">
        <f t="shared" si="8"/>
        <v>143.74</v>
      </c>
      <c r="Y32" s="167">
        <f t="shared" si="8"/>
        <v>194.8</v>
      </c>
      <c r="Z32" s="167">
        <f t="shared" si="8"/>
        <v>188.32</v>
      </c>
      <c r="AA32" s="167">
        <f t="shared" si="8"/>
        <v>169.54</v>
      </c>
      <c r="AB32" s="167">
        <f t="shared" si="8"/>
        <v>181.08</v>
      </c>
      <c r="AC32" s="167">
        <f t="shared" si="8"/>
        <v>116.18</v>
      </c>
      <c r="AD32" s="167">
        <f t="shared" si="8"/>
        <v>142.9</v>
      </c>
      <c r="AE32" s="167">
        <f t="shared" si="8"/>
        <v>235.24</v>
      </c>
      <c r="AF32" s="167">
        <f t="shared" si="8"/>
        <v>0</v>
      </c>
      <c r="AG32" s="38"/>
      <c r="AH32" s="58"/>
      <c r="AI32" s="38"/>
      <c r="AJ32" s="38"/>
      <c r="AK32" s="38"/>
      <c r="AL32" s="38"/>
      <c r="AM32" s="38"/>
      <c r="AN32" s="38"/>
    </row>
    <row r="33" ht="15.75" customHeight="1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1"/>
      <c r="O33" s="631"/>
      <c r="P33" s="631"/>
      <c r="Q33" s="631"/>
      <c r="R33" s="631"/>
      <c r="S33" s="631"/>
      <c r="T33" s="631"/>
      <c r="U33" s="631"/>
      <c r="V33" s="631"/>
      <c r="W33" s="631"/>
      <c r="X33" s="631"/>
      <c r="Y33" s="631"/>
      <c r="Z33" s="631"/>
      <c r="AA33" s="631"/>
      <c r="AB33" s="631"/>
      <c r="AC33" s="631"/>
      <c r="AD33" s="631"/>
      <c r="AE33" s="631"/>
      <c r="AF33" s="632"/>
      <c r="AG33" s="38"/>
      <c r="AH33" s="58"/>
      <c r="AI33" s="38"/>
      <c r="AJ33" s="38"/>
      <c r="AK33" s="38"/>
      <c r="AL33" s="38"/>
      <c r="AM33" s="38"/>
      <c r="AN33" s="38"/>
    </row>
    <row r="34" ht="14.25" customHeight="1">
      <c r="A34" s="38"/>
      <c r="B34" s="38"/>
      <c r="C34" s="38"/>
      <c r="D34" s="38"/>
      <c r="E34" s="633"/>
      <c r="F34" s="633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58"/>
      <c r="AI34" s="38"/>
      <c r="AJ34" s="38"/>
      <c r="AK34" s="38"/>
      <c r="AL34" s="38"/>
      <c r="AM34" s="38"/>
      <c r="AN34" s="38"/>
    </row>
    <row r="35" ht="15.75" customHeight="1">
      <c r="A35" s="38"/>
      <c r="B35" s="38"/>
      <c r="C35" s="38"/>
      <c r="D35" s="38"/>
      <c r="E35" s="633"/>
      <c r="F35" s="633"/>
      <c r="AG35" s="49"/>
      <c r="AH35" s="8"/>
      <c r="AO35" s="226"/>
      <c r="AP35" s="226"/>
    </row>
    <row r="36" ht="15.75" customHeight="1">
      <c r="A36" s="38"/>
      <c r="B36" s="38"/>
      <c r="C36" s="38"/>
      <c r="D36" s="38"/>
      <c r="E36" s="38"/>
      <c r="F36" s="633"/>
      <c r="G36" s="428"/>
      <c r="AG36" s="49"/>
      <c r="AH36" s="8"/>
      <c r="AO36" s="226"/>
      <c r="AP36" s="226"/>
    </row>
    <row r="37" ht="15.75" customHeight="1">
      <c r="A37" s="38"/>
      <c r="B37" s="38"/>
      <c r="C37" s="38"/>
      <c r="D37" s="428"/>
      <c r="E37" s="38"/>
      <c r="AG37" s="49"/>
      <c r="AH37" s="8"/>
      <c r="AS37" s="226"/>
      <c r="AT37" s="226"/>
    </row>
    <row r="38" ht="15.75" customHeight="1">
      <c r="A38" s="38"/>
      <c r="B38" s="38"/>
      <c r="C38" s="38"/>
      <c r="D38" s="38"/>
      <c r="E38" s="38"/>
      <c r="AG38" s="49"/>
      <c r="AH38" s="8"/>
    </row>
    <row r="39" ht="15.75" customHeight="1">
      <c r="A39" s="38"/>
      <c r="B39" s="38"/>
      <c r="C39" s="38"/>
      <c r="D39" s="38"/>
      <c r="E39" s="38"/>
      <c r="AG39" s="49"/>
      <c r="AH39" s="8"/>
    </row>
    <row r="40" ht="15.75" customHeight="1">
      <c r="A40" s="38"/>
      <c r="B40" s="428"/>
      <c r="C40" s="38"/>
      <c r="D40" s="38"/>
      <c r="E40" s="38"/>
      <c r="AG40" s="49"/>
      <c r="AH40" s="8"/>
    </row>
    <row r="41" ht="15.75" customHeight="1">
      <c r="A41" s="38"/>
      <c r="B41" s="38"/>
      <c r="C41" s="58"/>
      <c r="D41" s="38"/>
      <c r="E41" s="38"/>
      <c r="F41" s="58"/>
      <c r="AG41" s="49"/>
      <c r="AH41" s="8"/>
    </row>
    <row r="42" ht="15.75" customHeight="1">
      <c r="B42" s="428"/>
      <c r="D42" s="428"/>
      <c r="AG42" s="49"/>
      <c r="AH42" s="8"/>
    </row>
    <row r="43" ht="15.75" customHeight="1">
      <c r="B43" s="428"/>
      <c r="AG43" s="49"/>
      <c r="AH43" s="8"/>
    </row>
    <row r="44" ht="15.75" customHeight="1">
      <c r="AG44" s="49"/>
      <c r="AH44" s="8"/>
    </row>
    <row r="45" ht="15.75" customHeight="1">
      <c r="AG45" s="49"/>
      <c r="AH45" s="8"/>
    </row>
    <row r="46" ht="15.75" customHeight="1">
      <c r="A46" s="38"/>
      <c r="R46" s="38"/>
      <c r="AG46" s="49"/>
      <c r="AH46" s="8"/>
    </row>
    <row r="47" ht="15.75" customHeight="1">
      <c r="A47" s="38"/>
      <c r="R47" s="38"/>
      <c r="AG47" s="49"/>
      <c r="AH47" s="8"/>
    </row>
    <row r="48" ht="15.75" customHeight="1">
      <c r="A48" s="38"/>
      <c r="B48" s="428"/>
      <c r="R48" s="38"/>
      <c r="AG48" s="49"/>
      <c r="AH48" s="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M49" s="38"/>
      <c r="N49" s="38"/>
      <c r="O49" s="38"/>
      <c r="P49" s="38"/>
      <c r="Q49" s="38"/>
      <c r="R49" s="38"/>
      <c r="AG49" s="49"/>
      <c r="AH49" s="8"/>
    </row>
    <row r="50" ht="15.75" customHeight="1">
      <c r="A50" s="634"/>
      <c r="B50" s="635"/>
      <c r="C50" s="636"/>
      <c r="D50" s="636"/>
      <c r="E50" s="636"/>
      <c r="F50" s="636"/>
      <c r="G50" s="636"/>
      <c r="H50" s="636"/>
      <c r="M50" s="38"/>
      <c r="N50" s="635"/>
      <c r="O50" s="38"/>
      <c r="P50" s="635"/>
      <c r="Q50" s="635"/>
      <c r="R50" s="38"/>
      <c r="AG50" s="49"/>
      <c r="AH50" s="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M51" s="38"/>
      <c r="N51" s="38"/>
      <c r="O51" s="38"/>
      <c r="P51" s="38"/>
      <c r="Q51" s="38"/>
      <c r="R51" s="38"/>
      <c r="AG51" s="49"/>
      <c r="AH51" s="8"/>
      <c r="AP51" s="38"/>
      <c r="AQ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M52" s="38"/>
      <c r="N52" s="38"/>
      <c r="O52" s="38"/>
      <c r="P52" s="38"/>
      <c r="Q52" s="38"/>
      <c r="R52" s="38"/>
      <c r="AG52" s="49"/>
      <c r="AH52" s="8"/>
      <c r="AP52" s="38"/>
      <c r="AQ52" s="38"/>
      <c r="AR52" s="38"/>
      <c r="AS52" s="173">
        <v>1.0</v>
      </c>
      <c r="AT52" s="174" t="s">
        <v>16</v>
      </c>
      <c r="AU52" s="173">
        <v>0.05</v>
      </c>
      <c r="AV52" s="456" t="s">
        <v>71</v>
      </c>
      <c r="AW52" s="456" t="s">
        <v>72</v>
      </c>
      <c r="AX52" s="456" t="s">
        <v>73</v>
      </c>
      <c r="AY52" s="246" t="s">
        <v>34</v>
      </c>
    </row>
    <row r="53" ht="15.75" customHeight="1">
      <c r="A53" s="38"/>
      <c r="B53" s="38"/>
      <c r="C53" s="38"/>
      <c r="D53" s="38"/>
      <c r="E53" s="38"/>
      <c r="F53" s="38"/>
      <c r="G53" s="38"/>
      <c r="H53" s="38"/>
      <c r="M53" s="38"/>
      <c r="N53" s="38"/>
      <c r="O53" s="38"/>
      <c r="P53" s="38"/>
      <c r="Q53" s="38"/>
      <c r="R53" s="38"/>
      <c r="AG53" s="49"/>
      <c r="AH53" s="8"/>
      <c r="AP53" s="544" t="s">
        <v>108</v>
      </c>
      <c r="AQ53" s="176"/>
      <c r="AR53" s="177"/>
      <c r="AS53" s="545">
        <f>SUM(valuesByColor("#ffc4d5", "", B3:AF31))</f>
        <v>63.16</v>
      </c>
      <c r="AT53" s="545">
        <f t="shared" ref="AT53:AT62" si="9">((AS53*(1-0.05))*(1-0.6))+AW53</f>
        <v>24.0008</v>
      </c>
      <c r="AU53" s="546">
        <f t="shared" ref="AU53:AU62" si="10">(AS53*(1-0.05))*(1-0.95)+AX53</f>
        <v>3.0001</v>
      </c>
      <c r="AV53" s="546"/>
      <c r="AW53" s="546">
        <f t="shared" ref="AW53:AW62" si="11">(AV53*(1-0.05))*(1-0.9)</f>
        <v>0</v>
      </c>
      <c r="AX53" s="546">
        <f t="shared" ref="AX53:AX62" si="12">(AV53*(1-0.05))*(1-0.95)</f>
        <v>0</v>
      </c>
      <c r="AY53" s="547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M54" s="38"/>
      <c r="N54" s="38"/>
      <c r="O54" s="38"/>
      <c r="P54" s="38"/>
      <c r="Q54" s="38"/>
      <c r="R54" s="38"/>
      <c r="AG54" s="49"/>
      <c r="AH54" s="8"/>
      <c r="AP54" s="555"/>
      <c r="AQ54" s="176"/>
      <c r="AR54" s="177"/>
      <c r="AS54" s="556">
        <f>SUM(valuesByColor("#636212", "", B3:AF31))</f>
        <v>0</v>
      </c>
      <c r="AT54" s="556">
        <f t="shared" si="9"/>
        <v>0</v>
      </c>
      <c r="AU54" s="557">
        <f t="shared" si="10"/>
        <v>0</v>
      </c>
      <c r="AV54" s="557"/>
      <c r="AW54" s="557">
        <f t="shared" si="11"/>
        <v>0</v>
      </c>
      <c r="AX54" s="557">
        <f t="shared" si="12"/>
        <v>0</v>
      </c>
      <c r="AY54" s="558"/>
    </row>
    <row r="55" ht="15.75" customHeight="1">
      <c r="A55" s="38"/>
      <c r="B55" s="38"/>
      <c r="C55" s="796"/>
      <c r="D55" s="797"/>
      <c r="E55" s="38"/>
      <c r="F55" s="38"/>
      <c r="G55" s="38"/>
      <c r="H55" s="38"/>
      <c r="M55" s="38"/>
      <c r="N55" s="38"/>
      <c r="O55" s="38"/>
      <c r="P55" s="38"/>
      <c r="Q55" s="38"/>
      <c r="R55" s="38"/>
      <c r="AG55" s="49"/>
      <c r="AH55" s="8"/>
      <c r="AP55" s="563" t="s">
        <v>109</v>
      </c>
      <c r="AQ55" s="176"/>
      <c r="AR55" s="177"/>
      <c r="AS55" s="564">
        <f>SUM(valuesByColor("#00b572", "", B3:AF31))</f>
        <v>44.46</v>
      </c>
      <c r="AT55" s="564">
        <f t="shared" si="9"/>
        <v>16.8948</v>
      </c>
      <c r="AU55" s="565">
        <f t="shared" si="10"/>
        <v>2.11185</v>
      </c>
      <c r="AV55" s="565"/>
      <c r="AW55" s="565">
        <f t="shared" si="11"/>
        <v>0</v>
      </c>
      <c r="AX55" s="565">
        <f t="shared" si="12"/>
        <v>0</v>
      </c>
      <c r="AY55" s="566"/>
    </row>
    <row r="56" ht="15.75" customHeight="1">
      <c r="A56" s="38"/>
      <c r="B56" s="38"/>
      <c r="C56" s="796"/>
      <c r="D56" s="797"/>
      <c r="E56" s="38"/>
      <c r="F56" s="38"/>
      <c r="G56" s="38"/>
      <c r="H56" s="38"/>
      <c r="M56" s="38"/>
      <c r="N56" s="38"/>
      <c r="O56" s="38"/>
      <c r="P56" s="38"/>
      <c r="Q56" s="38"/>
      <c r="R56" s="38"/>
      <c r="AG56" s="49"/>
      <c r="AH56" s="8"/>
      <c r="AP56" s="575" t="s">
        <v>110</v>
      </c>
      <c r="AQ56" s="176"/>
      <c r="AR56" s="177"/>
      <c r="AS56" s="576">
        <f>SUM(valuesByColor("#7030a0", "", B3:AF31))</f>
        <v>0</v>
      </c>
      <c r="AT56" s="576">
        <f t="shared" si="9"/>
        <v>0</v>
      </c>
      <c r="AU56" s="577">
        <f t="shared" si="10"/>
        <v>0</v>
      </c>
      <c r="AV56" s="577"/>
      <c r="AW56" s="577">
        <f t="shared" si="11"/>
        <v>0</v>
      </c>
      <c r="AX56" s="577">
        <f t="shared" si="12"/>
        <v>0</v>
      </c>
      <c r="AY56" s="578"/>
    </row>
    <row r="57" ht="15.75" customHeight="1">
      <c r="A57" s="38"/>
      <c r="B57" s="38"/>
      <c r="C57" s="796"/>
      <c r="D57" s="797"/>
      <c r="E57" s="38"/>
      <c r="F57" s="38"/>
      <c r="G57" s="38"/>
      <c r="H57" s="38"/>
      <c r="M57" s="38"/>
      <c r="N57" s="38"/>
      <c r="O57" s="38"/>
      <c r="P57" s="38"/>
      <c r="Q57" s="38"/>
      <c r="R57" s="38"/>
      <c r="AG57" s="49"/>
      <c r="AH57" s="8"/>
      <c r="AP57" s="580"/>
      <c r="AQ57" s="176"/>
      <c r="AR57" s="177"/>
      <c r="AS57" s="581"/>
      <c r="AT57" s="582">
        <f t="shared" si="9"/>
        <v>0</v>
      </c>
      <c r="AU57" s="583">
        <f t="shared" si="10"/>
        <v>0</v>
      </c>
      <c r="AV57" s="584"/>
      <c r="AW57" s="583">
        <f t="shared" si="11"/>
        <v>0</v>
      </c>
      <c r="AX57" s="583">
        <f t="shared" si="12"/>
        <v>0</v>
      </c>
      <c r="AY57" s="585"/>
    </row>
    <row r="58" ht="15.75" customHeight="1">
      <c r="A58" s="38"/>
      <c r="B58" s="38"/>
      <c r="C58" s="796"/>
      <c r="D58" s="797"/>
      <c r="E58" s="38"/>
      <c r="F58" s="38"/>
      <c r="G58" s="38"/>
      <c r="H58" s="38"/>
      <c r="M58" s="38"/>
      <c r="N58" s="38"/>
      <c r="O58" s="38"/>
      <c r="P58" s="38"/>
      <c r="Q58" s="38"/>
      <c r="R58" s="38"/>
      <c r="AG58" s="49"/>
      <c r="AH58" s="8"/>
      <c r="AP58" s="588"/>
      <c r="AQ58" s="176"/>
      <c r="AR58" s="177"/>
      <c r="AS58" s="589"/>
      <c r="AT58" s="590">
        <f t="shared" si="9"/>
        <v>0</v>
      </c>
      <c r="AU58" s="591">
        <f t="shared" si="10"/>
        <v>0</v>
      </c>
      <c r="AV58" s="592"/>
      <c r="AW58" s="591">
        <f t="shared" si="11"/>
        <v>0</v>
      </c>
      <c r="AX58" s="591">
        <f t="shared" si="12"/>
        <v>0</v>
      </c>
      <c r="AY58" s="268"/>
    </row>
    <row r="59" ht="15.75" customHeight="1">
      <c r="A59" s="38"/>
      <c r="B59" s="38"/>
      <c r="C59" s="796"/>
      <c r="D59" s="797"/>
      <c r="E59" s="38"/>
      <c r="F59" s="38"/>
      <c r="G59" s="38"/>
      <c r="H59" s="38"/>
      <c r="M59" s="38"/>
      <c r="N59" s="38"/>
      <c r="O59" s="38"/>
      <c r="P59" s="38"/>
      <c r="Q59" s="38"/>
      <c r="R59" s="38"/>
      <c r="AG59" s="49"/>
      <c r="AH59" s="8"/>
      <c r="AP59" s="588"/>
      <c r="AQ59" s="176"/>
      <c r="AR59" s="177"/>
      <c r="AS59" s="589"/>
      <c r="AT59" s="590">
        <f t="shared" si="9"/>
        <v>0</v>
      </c>
      <c r="AU59" s="591">
        <f t="shared" si="10"/>
        <v>0</v>
      </c>
      <c r="AV59" s="592"/>
      <c r="AW59" s="591">
        <f t="shared" si="11"/>
        <v>0</v>
      </c>
      <c r="AX59" s="591">
        <f t="shared" si="12"/>
        <v>0</v>
      </c>
      <c r="AY59" s="270"/>
    </row>
    <row r="60" ht="15.75" customHeight="1">
      <c r="A60" s="38"/>
      <c r="B60" s="38"/>
      <c r="C60" s="796"/>
      <c r="D60" s="797"/>
      <c r="E60" s="38"/>
      <c r="F60" s="38"/>
      <c r="G60" s="38"/>
      <c r="H60" s="38"/>
      <c r="M60" s="38"/>
      <c r="N60" s="38"/>
      <c r="O60" s="38"/>
      <c r="P60" s="38"/>
      <c r="Q60" s="38"/>
      <c r="R60" s="38"/>
      <c r="AG60" s="49"/>
      <c r="AH60" s="8"/>
      <c r="AP60" s="588"/>
      <c r="AQ60" s="176"/>
      <c r="AR60" s="177"/>
      <c r="AS60" s="589"/>
      <c r="AT60" s="590">
        <f t="shared" si="9"/>
        <v>0</v>
      </c>
      <c r="AU60" s="591">
        <f t="shared" si="10"/>
        <v>0</v>
      </c>
      <c r="AV60" s="600"/>
      <c r="AW60" s="591">
        <f t="shared" si="11"/>
        <v>0</v>
      </c>
      <c r="AX60" s="591">
        <f t="shared" si="12"/>
        <v>0</v>
      </c>
      <c r="AY60" s="274"/>
    </row>
    <row r="61" ht="15.75" customHeight="1">
      <c r="C61" s="796"/>
      <c r="D61" s="797"/>
      <c r="AG61" s="49"/>
      <c r="AH61" s="8"/>
      <c r="AP61" s="588"/>
      <c r="AQ61" s="176"/>
      <c r="AR61" s="177"/>
      <c r="AS61" s="589"/>
      <c r="AT61" s="590">
        <f t="shared" si="9"/>
        <v>0</v>
      </c>
      <c r="AU61" s="591">
        <f t="shared" si="10"/>
        <v>0</v>
      </c>
      <c r="AV61" s="600"/>
      <c r="AW61" s="591">
        <f t="shared" si="11"/>
        <v>0</v>
      </c>
      <c r="AX61" s="591">
        <f t="shared" si="12"/>
        <v>0</v>
      </c>
      <c r="AY61" s="280"/>
    </row>
    <row r="62" ht="15.75" customHeight="1">
      <c r="C62" s="796"/>
      <c r="D62" s="797"/>
      <c r="AG62" s="49"/>
      <c r="AH62" s="8"/>
      <c r="AP62" s="588"/>
      <c r="AQ62" s="176"/>
      <c r="AR62" s="177"/>
      <c r="AS62" s="589"/>
      <c r="AT62" s="590">
        <f t="shared" si="9"/>
        <v>0</v>
      </c>
      <c r="AU62" s="591">
        <f t="shared" si="10"/>
        <v>0</v>
      </c>
      <c r="AV62" s="600"/>
      <c r="AW62" s="591">
        <f t="shared" si="11"/>
        <v>0</v>
      </c>
      <c r="AX62" s="591">
        <f t="shared" si="12"/>
        <v>0</v>
      </c>
      <c r="AY62" s="387"/>
    </row>
    <row r="63" ht="15.75" customHeight="1">
      <c r="C63" s="796"/>
      <c r="D63" s="797"/>
      <c r="AG63" s="49"/>
      <c r="AH63" s="8"/>
      <c r="AS63" s="220">
        <f>SUM(AS53:AS62)</f>
        <v>107.62</v>
      </c>
      <c r="AT63" s="38"/>
      <c r="AU63" s="220">
        <f>SUM(AU53:AU62)</f>
        <v>5.11195</v>
      </c>
    </row>
    <row r="64" ht="15.75" customHeight="1">
      <c r="C64" s="796"/>
      <c r="D64" s="797"/>
      <c r="AG64" s="49"/>
      <c r="AH64" s="8"/>
      <c r="AP64" s="226"/>
      <c r="AQ64" s="226"/>
    </row>
    <row r="65" ht="15.75" customHeight="1">
      <c r="C65" s="796"/>
      <c r="D65" s="797"/>
      <c r="AG65" s="49"/>
      <c r="AH65" s="8"/>
    </row>
    <row r="66" ht="15.75" customHeight="1">
      <c r="C66" s="796"/>
      <c r="D66" s="797"/>
      <c r="AG66" s="49"/>
      <c r="AH66" s="8"/>
    </row>
    <row r="67" ht="15.75" customHeight="1">
      <c r="C67" s="796"/>
      <c r="D67" s="797"/>
      <c r="AG67" s="49"/>
      <c r="AH67" s="8"/>
    </row>
    <row r="68" ht="15.75" customHeight="1">
      <c r="C68" s="796"/>
      <c r="D68" s="797"/>
      <c r="AG68" s="49"/>
      <c r="AH68" s="8"/>
    </row>
    <row r="69" ht="15.75" customHeight="1">
      <c r="C69" s="796"/>
      <c r="D69" s="797"/>
      <c r="AG69" s="49"/>
      <c r="AH69" s="8"/>
    </row>
    <row r="70" ht="15.75" customHeight="1">
      <c r="C70" s="796"/>
      <c r="D70" s="797"/>
      <c r="AG70" s="49"/>
      <c r="AH70" s="8"/>
    </row>
    <row r="71" ht="15.75" customHeight="1">
      <c r="C71" s="796"/>
      <c r="D71" s="797"/>
      <c r="AG71" s="49"/>
      <c r="AH71" s="8"/>
    </row>
    <row r="72" ht="15.75" customHeight="1">
      <c r="C72" s="796"/>
      <c r="D72" s="797"/>
      <c r="AG72" s="49"/>
      <c r="AH72" s="8"/>
    </row>
    <row r="73" ht="15.75" customHeight="1">
      <c r="C73" s="796"/>
      <c r="D73" s="797"/>
      <c r="AG73" s="49"/>
      <c r="AH73" s="8"/>
    </row>
    <row r="74" ht="15.75" customHeight="1">
      <c r="C74" s="796"/>
      <c r="D74" s="797"/>
      <c r="AG74" s="49"/>
      <c r="AH74" s="8"/>
    </row>
    <row r="75" ht="15.75" customHeight="1">
      <c r="C75" s="796"/>
      <c r="D75" s="797"/>
      <c r="AG75" s="49"/>
      <c r="AH75" s="8"/>
    </row>
    <row r="76" ht="15.75" customHeight="1">
      <c r="C76" s="796"/>
      <c r="D76" s="797"/>
      <c r="AG76" s="49"/>
      <c r="AH76" s="8"/>
    </row>
    <row r="77" ht="15.75" customHeight="1">
      <c r="AG77" s="49"/>
      <c r="AH77" s="8"/>
    </row>
    <row r="78" ht="15.75" customHeight="1">
      <c r="AG78" s="49"/>
      <c r="AH78" s="8"/>
    </row>
    <row r="79" ht="15.75" customHeight="1">
      <c r="AG79" s="49"/>
      <c r="AH79" s="8"/>
    </row>
    <row r="80" ht="15.75" customHeight="1">
      <c r="AG80" s="49"/>
      <c r="AH80" s="8"/>
    </row>
    <row r="81" ht="15.75" customHeight="1">
      <c r="AG81" s="49"/>
      <c r="AH81" s="8"/>
    </row>
    <row r="82" ht="15.75" customHeight="1">
      <c r="AG82" s="49"/>
      <c r="AH82" s="8"/>
    </row>
    <row r="83" ht="15.75" customHeight="1">
      <c r="AG83" s="49"/>
      <c r="AH83" s="8"/>
    </row>
    <row r="84" ht="15.75" customHeight="1">
      <c r="AG84" s="49"/>
      <c r="AH84" s="8"/>
    </row>
    <row r="85" ht="15.75" customHeight="1">
      <c r="AG85" s="49"/>
      <c r="AH85" s="8"/>
    </row>
    <row r="86" ht="15.75" customHeight="1">
      <c r="AG86" s="49"/>
      <c r="AH86" s="8"/>
    </row>
    <row r="87" ht="15.75" customHeight="1">
      <c r="AG87" s="49"/>
      <c r="AH87" s="8"/>
    </row>
    <row r="88" ht="15.75" customHeight="1">
      <c r="AG88" s="49"/>
      <c r="AH88" s="8"/>
    </row>
    <row r="89" ht="15.75" customHeight="1">
      <c r="AG89" s="49"/>
      <c r="AH89" s="8"/>
    </row>
    <row r="90" ht="15.75" customHeight="1">
      <c r="AG90" s="49"/>
      <c r="AH90" s="8"/>
    </row>
    <row r="91" ht="15.75" customHeight="1">
      <c r="AG91" s="49"/>
      <c r="AH91" s="8"/>
    </row>
    <row r="92" ht="15.75" customHeight="1">
      <c r="AG92" s="49"/>
      <c r="AH92" s="8"/>
    </row>
    <row r="93" ht="15.75" customHeight="1">
      <c r="AG93" s="49"/>
      <c r="AH93" s="8"/>
    </row>
    <row r="94" ht="15.75" customHeight="1">
      <c r="AG94" s="49"/>
      <c r="AH94" s="8"/>
    </row>
    <row r="95" ht="15.75" customHeight="1">
      <c r="AG95" s="49"/>
      <c r="AH95" s="8"/>
    </row>
    <row r="96" ht="15.75" customHeight="1">
      <c r="AG96" s="49"/>
      <c r="AH96" s="8"/>
    </row>
    <row r="97" ht="15.75" customHeight="1">
      <c r="AG97" s="49"/>
      <c r="AH97" s="8"/>
    </row>
    <row r="98" ht="15.75" customHeight="1">
      <c r="AG98" s="49"/>
      <c r="AH98" s="8"/>
    </row>
    <row r="99" ht="15.75" customHeight="1">
      <c r="AG99" s="49"/>
      <c r="AH99" s="8"/>
    </row>
    <row r="100" ht="15.75" customHeight="1">
      <c r="AG100" s="49"/>
      <c r="AH100" s="8"/>
    </row>
    <row r="101" ht="15.75" customHeight="1">
      <c r="AG101" s="49"/>
      <c r="AH101" s="8"/>
    </row>
    <row r="102" ht="15.75" customHeight="1">
      <c r="AG102" s="49"/>
      <c r="AH102" s="8"/>
    </row>
    <row r="103" ht="15.75" customHeight="1">
      <c r="AG103" s="49"/>
      <c r="AH103" s="8"/>
    </row>
    <row r="104" ht="15.75" customHeight="1">
      <c r="AG104" s="49"/>
      <c r="AH104" s="8"/>
    </row>
    <row r="105" ht="15.75" customHeight="1">
      <c r="AG105" s="49"/>
      <c r="AH105" s="8"/>
    </row>
    <row r="106" ht="15.75" customHeight="1">
      <c r="AG106" s="49"/>
      <c r="AH106" s="8"/>
    </row>
    <row r="107" ht="15.75" customHeight="1">
      <c r="AG107" s="49"/>
      <c r="AH107" s="8"/>
    </row>
    <row r="108" ht="15.75" customHeight="1">
      <c r="AG108" s="49"/>
      <c r="AH108" s="8"/>
    </row>
    <row r="109" ht="15.75" customHeight="1">
      <c r="AG109" s="49"/>
      <c r="AH109" s="8"/>
    </row>
    <row r="110" ht="15.75" customHeight="1">
      <c r="AG110" s="49"/>
      <c r="AH110" s="8"/>
    </row>
    <row r="111" ht="15.75" customHeight="1">
      <c r="AG111" s="49"/>
      <c r="AH111" s="8"/>
    </row>
    <row r="112" ht="15.75" customHeight="1">
      <c r="AG112" s="49"/>
      <c r="AH112" s="8"/>
    </row>
    <row r="113" ht="15.75" customHeight="1">
      <c r="AG113" s="49"/>
      <c r="AH113" s="8"/>
    </row>
    <row r="114" ht="15.75" customHeight="1">
      <c r="AG114" s="49"/>
      <c r="AH114" s="8"/>
    </row>
    <row r="115" ht="15.75" customHeight="1">
      <c r="AG115" s="49"/>
      <c r="AH115" s="8"/>
    </row>
    <row r="116" ht="15.75" customHeight="1">
      <c r="AG116" s="49"/>
      <c r="AH116" s="8"/>
    </row>
    <row r="117" ht="15.75" customHeight="1">
      <c r="AG117" s="49"/>
      <c r="AH117" s="8"/>
    </row>
    <row r="118" ht="15.75" customHeight="1">
      <c r="AG118" s="49"/>
      <c r="AH118" s="8"/>
    </row>
    <row r="119" ht="15.75" customHeight="1">
      <c r="AG119" s="49"/>
      <c r="AH119" s="8"/>
    </row>
    <row r="120" ht="15.75" customHeight="1">
      <c r="AG120" s="49"/>
      <c r="AH120" s="8"/>
    </row>
    <row r="121" ht="15.75" customHeight="1">
      <c r="AG121" s="49"/>
      <c r="AH121" s="8"/>
    </row>
    <row r="122" ht="15.75" customHeight="1">
      <c r="AG122" s="49"/>
      <c r="AH122" s="8"/>
    </row>
    <row r="123" ht="15.75" customHeight="1">
      <c r="AG123" s="49"/>
      <c r="AH123" s="8"/>
    </row>
    <row r="124" ht="15.75" customHeight="1">
      <c r="AG124" s="49"/>
      <c r="AH124" s="8"/>
    </row>
    <row r="125" ht="15.75" customHeight="1">
      <c r="AG125" s="49"/>
      <c r="AH125" s="8"/>
    </row>
    <row r="126" ht="15.75" customHeight="1">
      <c r="AG126" s="49"/>
      <c r="AH126" s="8"/>
    </row>
    <row r="127" ht="15.75" customHeight="1">
      <c r="AG127" s="49"/>
      <c r="AH127" s="8"/>
    </row>
    <row r="128" ht="15.75" customHeight="1">
      <c r="AG128" s="49"/>
      <c r="AH128" s="8"/>
    </row>
    <row r="129" ht="15.75" customHeight="1">
      <c r="AG129" s="49"/>
      <c r="AH129" s="8"/>
    </row>
    <row r="130" ht="15.75" customHeight="1">
      <c r="AG130" s="49"/>
      <c r="AH130" s="8"/>
    </row>
    <row r="131" ht="15.75" customHeight="1">
      <c r="AG131" s="49"/>
      <c r="AH131" s="8"/>
    </row>
    <row r="132" ht="15.75" customHeight="1">
      <c r="AG132" s="49"/>
      <c r="AH132" s="8"/>
    </row>
    <row r="133" ht="15.75" customHeight="1">
      <c r="AG133" s="49"/>
      <c r="AH133" s="8"/>
    </row>
    <row r="134" ht="15.75" customHeight="1">
      <c r="AG134" s="49"/>
      <c r="AH134" s="8"/>
    </row>
    <row r="135" ht="15.75" customHeight="1">
      <c r="AG135" s="49"/>
      <c r="AH135" s="8"/>
    </row>
    <row r="136" ht="15.75" customHeight="1">
      <c r="AG136" s="49"/>
      <c r="AH136" s="8"/>
    </row>
    <row r="137" ht="15.75" customHeight="1">
      <c r="AG137" s="49"/>
      <c r="AH137" s="8"/>
    </row>
    <row r="138" ht="15.75" customHeight="1">
      <c r="AG138" s="49"/>
      <c r="AH138" s="8"/>
    </row>
    <row r="139" ht="15.75" customHeight="1">
      <c r="AG139" s="49"/>
      <c r="AH139" s="8"/>
    </row>
    <row r="140" ht="15.75" customHeight="1">
      <c r="AG140" s="49"/>
      <c r="AH140" s="8"/>
    </row>
    <row r="141" ht="15.75" customHeight="1">
      <c r="AG141" s="49"/>
      <c r="AH141" s="8"/>
    </row>
    <row r="142" ht="15.75" customHeight="1">
      <c r="AG142" s="49"/>
      <c r="AH142" s="8"/>
    </row>
    <row r="143" ht="15.75" customHeight="1">
      <c r="AG143" s="49"/>
      <c r="AH143" s="8"/>
    </row>
    <row r="144" ht="15.75" customHeight="1">
      <c r="AG144" s="49"/>
      <c r="AH144" s="8"/>
    </row>
    <row r="145" ht="15.75" customHeight="1">
      <c r="AG145" s="49"/>
      <c r="AH145" s="8"/>
    </row>
    <row r="146" ht="15.75" customHeight="1">
      <c r="AG146" s="49"/>
      <c r="AH146" s="8"/>
    </row>
    <row r="147" ht="15.75" customHeight="1">
      <c r="AG147" s="49"/>
      <c r="AH147" s="8"/>
    </row>
    <row r="148" ht="15.75" customHeight="1">
      <c r="AG148" s="49"/>
      <c r="AH148" s="8"/>
    </row>
    <row r="149" ht="15.75" customHeight="1">
      <c r="AG149" s="49"/>
      <c r="AH149" s="8"/>
    </row>
    <row r="150" ht="15.75" customHeight="1">
      <c r="AG150" s="49"/>
      <c r="AH150" s="8"/>
    </row>
    <row r="151" ht="15.75" customHeight="1">
      <c r="AG151" s="49"/>
      <c r="AH151" s="8"/>
    </row>
    <row r="152" ht="15.75" customHeight="1">
      <c r="AG152" s="49"/>
      <c r="AH152" s="8"/>
    </row>
    <row r="153" ht="15.75" customHeight="1">
      <c r="AG153" s="49"/>
      <c r="AH153" s="8"/>
    </row>
    <row r="154" ht="15.75" customHeight="1">
      <c r="AG154" s="49"/>
      <c r="AH154" s="8"/>
    </row>
    <row r="155" ht="15.75" customHeight="1">
      <c r="AG155" s="49"/>
      <c r="AH155" s="8"/>
    </row>
    <row r="156" ht="15.75" customHeight="1">
      <c r="AG156" s="49"/>
      <c r="AH156" s="8"/>
    </row>
    <row r="157" ht="15.75" customHeight="1">
      <c r="AG157" s="49"/>
      <c r="AH157" s="8"/>
    </row>
    <row r="158" ht="15.75" customHeight="1">
      <c r="AG158" s="49"/>
      <c r="AH158" s="8"/>
    </row>
    <row r="159" ht="15.75" customHeight="1">
      <c r="AG159" s="49"/>
      <c r="AH159" s="8"/>
    </row>
    <row r="160" ht="15.75" customHeight="1">
      <c r="AG160" s="49"/>
      <c r="AH160" s="8"/>
    </row>
    <row r="161" ht="15.75" customHeight="1">
      <c r="AG161" s="49"/>
      <c r="AH161" s="8"/>
    </row>
    <row r="162" ht="15.75" customHeight="1">
      <c r="AG162" s="49"/>
      <c r="AH162" s="8"/>
    </row>
    <row r="163" ht="15.75" customHeight="1">
      <c r="AG163" s="49"/>
      <c r="AH163" s="8"/>
    </row>
    <row r="164" ht="15.75" customHeight="1">
      <c r="AG164" s="49"/>
      <c r="AH164" s="8"/>
    </row>
    <row r="165" ht="15.75" customHeight="1">
      <c r="AG165" s="49"/>
      <c r="AH165" s="8"/>
    </row>
    <row r="166" ht="15.75" customHeight="1">
      <c r="AG166" s="49"/>
      <c r="AH166" s="8"/>
    </row>
    <row r="167" ht="15.75" customHeight="1">
      <c r="AG167" s="49"/>
      <c r="AH167" s="8"/>
    </row>
    <row r="168" ht="15.75" customHeight="1">
      <c r="AG168" s="49"/>
      <c r="AH168" s="8"/>
    </row>
    <row r="169" ht="15.75" customHeight="1">
      <c r="AG169" s="49"/>
      <c r="AH169" s="8"/>
    </row>
    <row r="170" ht="15.75" customHeight="1">
      <c r="AG170" s="49"/>
      <c r="AH170" s="8"/>
    </row>
    <row r="171" ht="15.75" customHeight="1">
      <c r="AG171" s="49"/>
      <c r="AH171" s="8"/>
    </row>
    <row r="172" ht="15.75" customHeight="1">
      <c r="AG172" s="49"/>
      <c r="AH172" s="8"/>
    </row>
    <row r="173" ht="15.75" customHeight="1">
      <c r="AG173" s="49"/>
      <c r="AH173" s="8"/>
    </row>
    <row r="174" ht="15.75" customHeight="1">
      <c r="AG174" s="49"/>
      <c r="AH174" s="8"/>
    </row>
    <row r="175" ht="15.75" customHeight="1">
      <c r="AG175" s="49"/>
      <c r="AH175" s="8"/>
    </row>
    <row r="176" ht="15.75" customHeight="1">
      <c r="AG176" s="49"/>
      <c r="AH176" s="8"/>
    </row>
    <row r="177" ht="15.75" customHeight="1">
      <c r="AG177" s="49"/>
      <c r="AH177" s="8"/>
    </row>
    <row r="178" ht="15.75" customHeight="1">
      <c r="AG178" s="49"/>
      <c r="AH178" s="8"/>
    </row>
    <row r="179" ht="15.75" customHeight="1">
      <c r="AG179" s="49"/>
      <c r="AH179" s="8"/>
    </row>
    <row r="180" ht="15.75" customHeight="1">
      <c r="AG180" s="49"/>
      <c r="AH180" s="8"/>
    </row>
    <row r="181" ht="15.75" customHeight="1">
      <c r="AG181" s="49"/>
      <c r="AH181" s="8"/>
    </row>
    <row r="182" ht="15.75" customHeight="1">
      <c r="AG182" s="49"/>
      <c r="AH182" s="8"/>
    </row>
    <row r="183" ht="15.75" customHeight="1">
      <c r="AG183" s="49"/>
      <c r="AH183" s="8"/>
    </row>
    <row r="184" ht="15.75" customHeight="1">
      <c r="AG184" s="49"/>
      <c r="AH184" s="8"/>
    </row>
    <row r="185" ht="15.75" customHeight="1">
      <c r="AG185" s="49"/>
      <c r="AH185" s="8"/>
    </row>
    <row r="186" ht="15.75" customHeight="1">
      <c r="AG186" s="49"/>
      <c r="AH186" s="8"/>
    </row>
    <row r="187" ht="15.75" customHeight="1">
      <c r="AG187" s="49"/>
      <c r="AH187" s="8"/>
    </row>
    <row r="188" ht="15.75" customHeight="1">
      <c r="AG188" s="49"/>
      <c r="AH188" s="8"/>
    </row>
    <row r="189" ht="15.75" customHeight="1">
      <c r="AG189" s="49"/>
      <c r="AH189" s="8"/>
    </row>
    <row r="190" ht="15.75" customHeight="1">
      <c r="AG190" s="49"/>
      <c r="AH190" s="8"/>
    </row>
    <row r="191" ht="15.75" customHeight="1">
      <c r="AG191" s="49"/>
      <c r="AH191" s="8"/>
    </row>
    <row r="192" ht="15.75" customHeight="1">
      <c r="AG192" s="49"/>
      <c r="AH192" s="8"/>
    </row>
    <row r="193" ht="15.75" customHeight="1">
      <c r="AG193" s="49"/>
      <c r="AH193" s="8"/>
    </row>
    <row r="194" ht="15.75" customHeight="1">
      <c r="AG194" s="49"/>
      <c r="AH194" s="8"/>
    </row>
    <row r="195" ht="15.75" customHeight="1">
      <c r="AG195" s="49"/>
      <c r="AH195" s="8"/>
    </row>
    <row r="196" ht="15.75" customHeight="1">
      <c r="AG196" s="49"/>
      <c r="AH196" s="8"/>
    </row>
    <row r="197" ht="15.75" customHeight="1">
      <c r="AG197" s="49"/>
      <c r="AH197" s="8"/>
    </row>
    <row r="198" ht="15.75" customHeight="1">
      <c r="AG198" s="49"/>
      <c r="AH198" s="8"/>
    </row>
    <row r="199" ht="15.75" customHeight="1">
      <c r="AG199" s="49"/>
      <c r="AH199" s="8"/>
    </row>
    <row r="200" ht="15.75" customHeight="1">
      <c r="AG200" s="49"/>
      <c r="AH200" s="8"/>
    </row>
    <row r="201" ht="15.75" customHeight="1">
      <c r="AG201" s="49"/>
      <c r="AH201" s="8"/>
    </row>
    <row r="202" ht="15.75" customHeight="1">
      <c r="AG202" s="49"/>
      <c r="AH202" s="8"/>
    </row>
    <row r="203" ht="15.75" customHeight="1">
      <c r="AG203" s="49"/>
      <c r="AH203" s="8"/>
    </row>
    <row r="204" ht="15.75" customHeight="1">
      <c r="AG204" s="49"/>
      <c r="AH204" s="8"/>
    </row>
    <row r="205" ht="15.75" customHeight="1">
      <c r="AG205" s="49"/>
      <c r="AH205" s="8"/>
    </row>
    <row r="206" ht="15.75" customHeight="1">
      <c r="AG206" s="49"/>
      <c r="AH206" s="8"/>
    </row>
    <row r="207" ht="15.75" customHeight="1">
      <c r="AG207" s="49"/>
      <c r="AH207" s="8"/>
    </row>
    <row r="208" ht="15.75" customHeight="1">
      <c r="AG208" s="49"/>
      <c r="AH208" s="8"/>
    </row>
    <row r="209" ht="15.75" customHeight="1">
      <c r="AG209" s="49"/>
      <c r="AH209" s="8"/>
    </row>
    <row r="210" ht="15.75" customHeight="1">
      <c r="AG210" s="49"/>
      <c r="AH210" s="8"/>
    </row>
    <row r="211" ht="15.75" customHeight="1">
      <c r="AG211" s="49"/>
      <c r="AH211" s="8"/>
    </row>
    <row r="212" ht="15.75" customHeight="1">
      <c r="AG212" s="49"/>
      <c r="AH212" s="8"/>
    </row>
    <row r="213" ht="15.75" customHeight="1">
      <c r="AG213" s="49"/>
      <c r="AH213" s="8"/>
    </row>
    <row r="214" ht="15.75" customHeight="1">
      <c r="AG214" s="49"/>
      <c r="AH214" s="8"/>
    </row>
    <row r="215" ht="15.75" customHeight="1">
      <c r="AG215" s="49"/>
      <c r="AH215" s="8"/>
    </row>
    <row r="216" ht="15.75" customHeight="1">
      <c r="AG216" s="49"/>
      <c r="AH216" s="8"/>
    </row>
    <row r="217" ht="15.75" customHeight="1">
      <c r="AG217" s="49"/>
      <c r="AH217" s="8"/>
    </row>
    <row r="218" ht="15.75" customHeight="1">
      <c r="AG218" s="49"/>
      <c r="AH218" s="8"/>
    </row>
    <row r="219" ht="15.75" customHeight="1">
      <c r="AG219" s="49"/>
      <c r="AH219" s="8"/>
    </row>
    <row r="220" ht="15.75" customHeight="1">
      <c r="AG220" s="49"/>
      <c r="AH220" s="8"/>
    </row>
    <row r="221" ht="15.75" customHeight="1">
      <c r="AG221" s="49"/>
      <c r="AH221" s="8"/>
    </row>
    <row r="222" ht="15.75" customHeight="1">
      <c r="AG222" s="49"/>
      <c r="AH222" s="8"/>
    </row>
    <row r="223" ht="15.75" customHeight="1">
      <c r="AG223" s="49"/>
      <c r="AH223" s="8"/>
    </row>
    <row r="224" ht="15.75" customHeight="1">
      <c r="AG224" s="49"/>
      <c r="AH224" s="8"/>
    </row>
    <row r="225" ht="15.75" customHeight="1">
      <c r="AG225" s="49"/>
      <c r="AH225" s="8"/>
    </row>
    <row r="226" ht="15.75" customHeight="1">
      <c r="AG226" s="49"/>
      <c r="AH226" s="8"/>
    </row>
    <row r="227" ht="15.75" customHeight="1">
      <c r="AG227" s="49"/>
      <c r="AH227" s="8"/>
    </row>
    <row r="228" ht="15.75" customHeight="1">
      <c r="AG228" s="49"/>
      <c r="AH228" s="8"/>
    </row>
    <row r="229" ht="15.75" customHeight="1">
      <c r="AG229" s="49"/>
      <c r="AH229" s="8"/>
    </row>
    <row r="230" ht="15.75" customHeight="1">
      <c r="AG230" s="49"/>
      <c r="AH230" s="8"/>
    </row>
    <row r="231" ht="15.75" customHeight="1">
      <c r="AG231" s="49"/>
      <c r="AH231" s="8"/>
    </row>
    <row r="232" ht="15.75" customHeight="1">
      <c r="AG232" s="49"/>
      <c r="AH232" s="8"/>
    </row>
    <row r="233" ht="15.75" customHeight="1">
      <c r="AG233" s="49"/>
      <c r="AH233" s="8"/>
    </row>
    <row r="234" ht="15.75" customHeight="1">
      <c r="AG234" s="49"/>
      <c r="AH234" s="8"/>
    </row>
    <row r="235" ht="15.75" customHeight="1">
      <c r="AG235" s="49"/>
      <c r="AH235" s="8"/>
    </row>
    <row r="236" ht="15.75" customHeight="1">
      <c r="AG236" s="49"/>
      <c r="AH236" s="8"/>
    </row>
    <row r="237" ht="15.75" customHeight="1">
      <c r="AG237" s="49"/>
      <c r="AH237" s="8"/>
    </row>
    <row r="238" ht="15.75" customHeight="1">
      <c r="AG238" s="49"/>
      <c r="AH238" s="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O6:AQ6"/>
    <mergeCell ref="AO7:AQ7"/>
    <mergeCell ref="AO8:AQ8"/>
    <mergeCell ref="AO9:AQ9"/>
    <mergeCell ref="AO10:AQ10"/>
    <mergeCell ref="AO11:AQ11"/>
    <mergeCell ref="AO12:AQ12"/>
    <mergeCell ref="I55:I57"/>
    <mergeCell ref="I58:I60"/>
    <mergeCell ref="AO13:AQ13"/>
    <mergeCell ref="AO14:AQ14"/>
    <mergeCell ref="AO15:AQ15"/>
    <mergeCell ref="AO16:AQ16"/>
    <mergeCell ref="I46:I48"/>
    <mergeCell ref="I49:I51"/>
    <mergeCell ref="I52:I54"/>
    <mergeCell ref="AP60:AR60"/>
    <mergeCell ref="AP61:AR61"/>
    <mergeCell ref="AP62:AR62"/>
    <mergeCell ref="AP53:AR53"/>
    <mergeCell ref="AP54:AR54"/>
    <mergeCell ref="AP55:AR55"/>
    <mergeCell ref="AP56:AR56"/>
    <mergeCell ref="AP57:AR57"/>
    <mergeCell ref="AP58:AR58"/>
    <mergeCell ref="AP59:AR59"/>
  </mergeCells>
  <conditionalFormatting sqref="A33:BM34">
    <cfRule type="notContainsBlanks" dxfId="0" priority="1">
      <formula>LEN(TRIM(A33))&gt;0</formula>
    </cfRule>
  </conditionalFormatting>
  <printOptions/>
  <pageMargins bottom="0.75" footer="0.0" header="0.0" left="0.7" right="0.7" top="0.75"/>
  <pageSetup orientation="landscape"/>
  <drawing r:id="rId1"/>
</worksheet>
</file>